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mc:AlternateContent xmlns:mc="http://schemas.openxmlformats.org/markup-compatibility/2006">
    <mc:Choice Requires="x15">
      <x15ac:absPath xmlns:x15ac="http://schemas.microsoft.com/office/spreadsheetml/2010/11/ac" url="D:\xdqd_xml\策划文档\数值文档\"/>
    </mc:Choice>
  </mc:AlternateContent>
  <bookViews>
    <workbookView windowWidth="27945" windowHeight="11925" firstSheet="1"/>
  </bookViews>
  <sheets>
    <sheet name="洗练性价比" sheetId="1" r:id="rId1"/>
    <sheet name="符文总览" sheetId="2" r:id="rId2"/>
    <sheet name="符文权重" sheetId="3" r:id="rId3"/>
    <sheet name="价值表" sheetId="9" r:id="rId4"/>
    <sheet name="模块1" sheetId="10" r:id="rId5"/>
    <sheet name="模块2" sheetId="11" r:id="rId6"/>
  </sheets>
  <definedNames>
    <definedName name="_xlnm._FilterDatabase" localSheetId="1" hidden="1">符文总览!$A$1:$AN$792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</authors>
  <commentList>
    <comment ref="AI1" authorId="0">
      <text>
        <r>
          <rPr>
            <b/>
            <sz val="9"/>
            <rFont val="宋体"/>
            <scheme val="minor"/>
            <charset val="0"/>
          </rPr>
          <t>Administrator:</t>
        </r>
        <r>
          <rPr>
            <sz val="9"/>
            <rFont val="宋体"/>
            <scheme val="minor"/>
            <charset val="0"/>
          </rPr>
          <t xml:space="preserve">
影响符文总览是否展示</t>
        </r>
      </text>
    </comment>
    <comment ref="AJ1" authorId="0">
      <text>
        <r>
          <rPr>
            <b/>
            <sz val="9"/>
            <rFont val="宋体"/>
            <scheme val="minor"/>
            <charset val="0"/>
          </rPr>
          <t>Administrator:</t>
        </r>
        <r>
          <rPr>
            <sz val="9"/>
            <rFont val="宋体"/>
            <scheme val="minor"/>
            <charset val="0"/>
          </rPr>
          <t xml:space="preserve">
洗练此符文的时候会弹出确认提示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<sst xmlns="http://schemas.openxmlformats.org/spreadsheetml/2006/main" count="6721" uniqueCount="1185">
  <si>
    <t>实际概率集</t>
  </si>
  <si>
    <t>期望坑深</t>
  </si>
  <si>
    <t>总价值</t>
  </si>
  <si>
    <t>目标品质</t>
  </si>
  <si>
    <t>预期洗练次数</t>
  </si>
  <si>
    <t>dmg1=51000*a*b*c*d</t>
  </si>
  <si>
    <t>小毕业</t>
  </si>
  <si>
    <t>职业全部洗练</t>
  </si>
  <si>
    <t>dmg2=51060*a*b*c*d</t>
  </si>
  <si>
    <t>大毕业</t>
  </si>
  <si>
    <t>稀有+专属符文全洗练</t>
  </si>
  <si>
    <t>定价</t>
  </si>
  <si>
    <t>日常获取价格（4折）</t>
  </si>
  <si>
    <t>符文</t>
  </si>
  <si>
    <t>权重</t>
  </si>
  <si>
    <t>价值</t>
  </si>
  <si>
    <t>完美毕业</t>
  </si>
  <si>
    <t>6档符文暴击全洗练</t>
  </si>
  <si>
    <t>红色符文价格</t>
  </si>
  <si>
    <t>红色普通符文</t>
  </si>
  <si>
    <t>彩色符文价格</t>
  </si>
  <si>
    <t>红色专属符文</t>
  </si>
  <si>
    <t>符文占比</t>
  </si>
  <si>
    <t>概率</t>
  </si>
  <si>
    <t>日常获取价格（10折）</t>
  </si>
  <si>
    <t>通用攻击</t>
  </si>
  <si>
    <t>红色洗练价值</t>
  </si>
  <si>
    <t>彩色普通符文</t>
  </si>
  <si>
    <t>通用防御</t>
  </si>
  <si>
    <t>彩色洗练价值</t>
  </si>
  <si>
    <t>彩色专属符文</t>
  </si>
  <si>
    <t>定向攻击</t>
  </si>
  <si>
    <t>无效属性</t>
  </si>
  <si>
    <t>符文品质</t>
  </si>
  <si>
    <t>档次</t>
  </si>
  <si>
    <t>有效属性</t>
  </si>
  <si>
    <t>部位1</t>
  </si>
  <si>
    <t>部位2</t>
  </si>
  <si>
    <t>部位3</t>
  </si>
  <si>
    <t>部位4</t>
  </si>
  <si>
    <t>部位5</t>
  </si>
  <si>
    <t>部位6</t>
  </si>
  <si>
    <t>单颗定价</t>
  </si>
  <si>
    <t>洗练期望</t>
  </si>
  <si>
    <t>洗练品质</t>
  </si>
  <si>
    <t>洗练消耗</t>
  </si>
  <si>
    <t>符文本体4096</t>
  </si>
  <si>
    <t>日常获取4折</t>
  </si>
  <si>
    <t>橙色符文价格</t>
  </si>
  <si>
    <t xml:space="preserve">    </t>
  </si>
  <si>
    <t>日常获取（10折）</t>
  </si>
  <si>
    <t>橙色符文</t>
  </si>
  <si>
    <t>镭射眼专属</t>
  </si>
  <si>
    <t>红色符文</t>
  </si>
  <si>
    <t>彩色符文</t>
  </si>
  <si>
    <t>诸葛专属</t>
  </si>
  <si>
    <t>诸葛强专属</t>
  </si>
  <si>
    <t>洗练预期与性价比</t>
  </si>
  <si>
    <t>档次收益</t>
  </si>
  <si>
    <t>洗练预期</t>
  </si>
  <si>
    <t>等级</t>
  </si>
  <si>
    <t>攻击</t>
  </si>
  <si>
    <t>3（稀释）</t>
  </si>
  <si>
    <t>3（非稀释）</t>
  </si>
  <si>
    <t>3（怪物类）</t>
  </si>
  <si>
    <t>非R</t>
  </si>
  <si>
    <t>白</t>
  </si>
  <si>
    <t>小R</t>
  </si>
  <si>
    <t>绿</t>
  </si>
  <si>
    <t>中R</t>
  </si>
  <si>
    <t>蓝</t>
  </si>
  <si>
    <t>大R</t>
  </si>
  <si>
    <t>紫</t>
  </si>
  <si>
    <t>超R</t>
  </si>
  <si>
    <t>橙</t>
  </si>
  <si>
    <t>红</t>
  </si>
  <si>
    <t>彩</t>
  </si>
  <si>
    <t>3选1</t>
  </si>
  <si>
    <t>4选2</t>
  </si>
  <si>
    <t>3选2.5</t>
  </si>
  <si>
    <t>2选1</t>
  </si>
  <si>
    <t>修正概率</t>
  </si>
  <si>
    <t>ID</t>
  </si>
  <si>
    <t>洗练花费</t>
  </si>
  <si>
    <t>级别</t>
  </si>
  <si>
    <t>洗练次数</t>
  </si>
  <si>
    <t>预期强度</t>
  </si>
  <si>
    <t>性价比</t>
  </si>
  <si>
    <t>符文id
要求唯一
不同品质的相同效果的符文id不同
参考道具id规则
53+部位[0~3]+品质[1~7]+级别[0~5]+序号+版本号【原始无需】</t>
  </si>
  <si>
    <r>
      <rPr>
        <b/>
        <sz val="9"/>
        <color indexed="53"/>
        <rFont val="微软雅黑"/>
        <charset val="134"/>
      </rPr>
      <t>效果类型
(</t>
    </r>
    <r>
      <rPr>
        <b/>
        <sz val="9"/>
        <color indexed="30"/>
        <rFont val="微软雅黑"/>
        <charset val="134"/>
      </rPr>
      <t>纯公式</t>
    </r>
    <r>
      <rPr>
        <b/>
        <sz val="9"/>
        <color indexed="53"/>
        <rFont val="微软雅黑"/>
        <charset val="134"/>
      </rPr>
      <t>)</t>
    </r>
  </si>
  <si>
    <t>品质</t>
  </si>
  <si>
    <t xml:space="preserve">部位列表
[1,2,3,4,5,6]
1-头盔
2-衣服
3-护臂
4-裤子
5-鞋子
6-手套
</t>
  </si>
  <si>
    <t>部位1概率</t>
  </si>
  <si>
    <t>部位2概率</t>
  </si>
  <si>
    <t>部位3概率</t>
  </si>
  <si>
    <t>部位4概率</t>
  </si>
  <si>
    <t>部位5概率</t>
  </si>
  <si>
    <t>部位6概率</t>
  </si>
  <si>
    <t>生效对象类型
主角（公共，一般用于加属性）
梦灵（用于给特定梦灵加属性或效果，生效对象列表必须填）
基地（用于给基地加属性或效果）
主角+梦灵（用于给主角和梦灵加效果，不用于加属性）
职业梦灵（对应职业生效，生效对象列表配职业[1,2,3]）</t>
  </si>
  <si>
    <t>生效对象列表
[unit_id1,unit_id2...]
1-warrior 3-hunter 2-mage 6-drug 5-control 7-summon</t>
  </si>
  <si>
    <t>基础符文属性</t>
  </si>
  <si>
    <t>效果列表</t>
  </si>
  <si>
    <t>属性列表</t>
  </si>
  <si>
    <t>战力</t>
  </si>
  <si>
    <t>权重
生成和重铸时使用的权重</t>
  </si>
  <si>
    <t>解锁条件</t>
  </si>
  <si>
    <t>名称</t>
  </si>
  <si>
    <t>描述
（蓝色字体表示用了公式）</t>
  </si>
  <si>
    <r>
      <rPr>
        <b/>
        <sz val="9"/>
        <color indexed="53"/>
        <rFont val="微软雅黑"/>
        <charset val="134"/>
      </rPr>
      <t>总览效果类型
(</t>
    </r>
    <r>
      <rPr>
        <b/>
        <sz val="9"/>
        <color indexed="30"/>
        <rFont val="微软雅黑"/>
        <charset val="134"/>
      </rPr>
      <t>纯公式</t>
    </r>
    <r>
      <rPr>
        <b/>
        <sz val="9"/>
        <color indexed="53"/>
        <rFont val="微软雅黑"/>
        <charset val="134"/>
      </rPr>
      <t>)</t>
    </r>
  </si>
  <si>
    <t>总览符文效果属性列表</t>
  </si>
  <si>
    <t>稀有标签</t>
  </si>
  <si>
    <t>展示隐藏
填1隐藏显示</t>
  </si>
  <si>
    <t>洗练拦截
（数字1进行拦截）</t>
  </si>
  <si>
    <t>首ID</t>
  </si>
  <si>
    <t>描述
(%s会替换成右边的系数)</t>
  </si>
  <si>
    <t>描述系数</t>
  </si>
  <si>
    <t>实际阶级备注</t>
  </si>
  <si>
    <t>排序</t>
  </si>
  <si>
    <t>rune_id</t>
  </si>
  <si>
    <t>effect_type</t>
  </si>
  <si>
    <t>quality</t>
  </si>
  <si>
    <t>列2</t>
  </si>
  <si>
    <t>part_list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</si>
  <si>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</si>
  <si>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</si>
  <si>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</si>
  <si>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</si>
  <si>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</si>
  <si>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</si>
  <si>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</si>
  <si>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</si>
  <si>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</si>
  <si>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</si>
  <si>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</si>
  <si>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</si>
  <si>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affect_type</t>
  </si>
  <si>
    <t>affect_list</t>
  </si>
  <si>
    <t>base_attr_list</t>
  </si>
  <si>
    <t>effect_list</t>
  </si>
  <si>
    <t>attr_list</t>
  </si>
  <si>
    <t>power</t>
  </si>
  <si>
    <t>weight</t>
  </si>
  <si>
    <t>condition</t>
  </si>
  <si>
    <t>name</t>
  </si>
  <si>
    <t>desc</t>
  </si>
  <si>
    <t>列18</t>
  </si>
  <si>
    <t>power_type</t>
  </si>
  <si>
    <t>power_value</t>
  </si>
  <si>
    <t>effec_desc_type</t>
  </si>
  <si>
    <t>effect_attr_list</t>
  </si>
  <si>
    <t>grade</t>
  </si>
  <si>
    <t>rare_tag</t>
  </si>
  <si>
    <t>show_in_rune</t>
  </si>
  <si>
    <t>intercept</t>
  </si>
  <si>
    <t>列15</t>
  </si>
  <si>
    <t>列16</t>
  </si>
  <si>
    <t>列17</t>
  </si>
  <si>
    <t>列1</t>
  </si>
  <si>
    <t>type</t>
  </si>
  <si>
    <t>display_priority</t>
  </si>
  <si>
    <t>新版</t>
  </si>
  <si>
    <t>公式:=LET(key,TRIM(P6),c,XLOOKUP(key&amp;"",符文总览!A:A&amp;"",符文总览!C:C,""),IF(OR(LEN(A6)=0,LEN(key)=0),"",IF(ISNUMBER(MATCH(c,{1,2},0)),1,"")))</t>
  </si>
  <si>
    <t>[1,2,3,4,5,6]</t>
  </si>
  <si>
    <t>主角+梦灵</t>
  </si>
  <si>
    <t>[{atk,20}]</t>
  </si>
  <si>
    <t>普通符文</t>
  </si>
  <si>
    <t>fixed</t>
  </si>
  <si>
    <t/>
  </si>
  <si>
    <t xml:space="preserve">攻击力&lt;color=#54b76b&gt;+%s&lt;/color&gt; </t>
  </si>
  <si>
    <t>[{atk,30}]</t>
  </si>
  <si>
    <t>优秀符文</t>
  </si>
  <si>
    <t>[{atk,40}]</t>
  </si>
  <si>
    <t>稀有符文</t>
  </si>
  <si>
    <t>[{atk,50}]</t>
  </si>
  <si>
    <t>史诗符文</t>
  </si>
  <si>
    <t>[{atk,64}]</t>
  </si>
  <si>
    <t>传说符文</t>
  </si>
  <si>
    <t>[{atk,80}]</t>
  </si>
  <si>
    <t>神话符文</t>
  </si>
  <si>
    <t>[{atk,100}]</t>
  </si>
  <si>
    <t>创世符文</t>
  </si>
  <si>
    <t>职业梦灵</t>
  </si>
  <si>
    <t>[3]</t>
  </si>
  <si>
    <t>[{hunter_atk,30}]</t>
  </si>
  <si>
    <t>射手职业攻击力&lt;color=#54b76b&gt;+%s&lt;/color&gt;</t>
  </si>
  <si>
    <t>[{hunter_atk,40}]</t>
  </si>
  <si>
    <t>[{hunter_atk,50}]</t>
  </si>
  <si>
    <t>[{hunter_atk,75}]</t>
  </si>
  <si>
    <t>[{hunter_atk,96}]</t>
  </si>
  <si>
    <t>[{hunter_atk,120}]</t>
  </si>
  <si>
    <t>[{hunter_atk,150}]</t>
  </si>
  <si>
    <t>[1]</t>
  </si>
  <si>
    <t>[{warrior_atk,30}]</t>
  </si>
  <si>
    <t>战士职业攻击力&lt;color=#54b76b&gt;+%s&lt;/color&gt;</t>
  </si>
  <si>
    <t>[{warrior_atk,40}]</t>
  </si>
  <si>
    <t>[{warrior_atk,50}]</t>
  </si>
  <si>
    <t>[{warrior_atk,75}]</t>
  </si>
  <si>
    <t>[{warrior_atk,96}]</t>
  </si>
  <si>
    <t>[{warrior_atk,120}]</t>
  </si>
  <si>
    <t>[{warrior_atk,150}]</t>
  </si>
  <si>
    <t>[2]</t>
  </si>
  <si>
    <t>[{mage_atk,30}]</t>
  </si>
  <si>
    <t>法师职业攻击力&lt;color=#54b76b&gt;+%s&lt;/color&gt;</t>
  </si>
  <si>
    <t>[{mage_atk,40}]</t>
  </si>
  <si>
    <t>[{mage_atk,50}]</t>
  </si>
  <si>
    <t>[{mage_atk,75}]</t>
  </si>
  <si>
    <t>[{mage_atk,96}]</t>
  </si>
  <si>
    <t>[{mage_atk,120}]</t>
  </si>
  <si>
    <t>[{mage_atk,150}]</t>
  </si>
  <si>
    <t>[6]</t>
  </si>
  <si>
    <t>[{drug_atk,30}]</t>
  </si>
  <si>
    <t>毒系职业攻击力&lt;color=#54b76b&gt;+%s&lt;/color&gt;</t>
  </si>
  <si>
    <t>[{drug_atk,40}]</t>
  </si>
  <si>
    <t>[{drug_atk,50}]</t>
  </si>
  <si>
    <t>[{drug_atk,75}]</t>
  </si>
  <si>
    <t>[{drug_atk,96}]</t>
  </si>
  <si>
    <t>[{drug_atk,120}]</t>
  </si>
  <si>
    <t>[{drug_atk,150}]</t>
  </si>
  <si>
    <t>[5]</t>
  </si>
  <si>
    <t>[{control_atk,30}]</t>
  </si>
  <si>
    <t>控制职业攻击力&lt;color=#54b76b&gt;+%s&lt;/color&gt;</t>
  </si>
  <si>
    <t>[{control_atk,40}]</t>
  </si>
  <si>
    <t>[{control_atk,50}]</t>
  </si>
  <si>
    <t>[{control_atk,75}]</t>
  </si>
  <si>
    <t>[{control_atk,96}]</t>
  </si>
  <si>
    <t>[{control_atk,120}]</t>
  </si>
  <si>
    <t>[{control_atk,150}]</t>
  </si>
  <si>
    <t>[7]</t>
  </si>
  <si>
    <t>[{summon_atk,30}]</t>
  </si>
  <si>
    <t>召唤职业攻击力&lt;color=#54b76b&gt;+%s&lt;/color&gt;</t>
  </si>
  <si>
    <t>[{summon_atk,40}]</t>
  </si>
  <si>
    <t>[{summon_atk,50}]</t>
  </si>
  <si>
    <t>[{summon_atk,75}]</t>
  </si>
  <si>
    <t>[{summon_atk,96}]</t>
  </si>
  <si>
    <t>[{summon_atk,120}]</t>
  </si>
  <si>
    <t>[{summon_atk,150}]</t>
  </si>
  <si>
    <t>[{global_dmg_rate,300}]</t>
  </si>
  <si>
    <t>队长和梦灵伤害&lt;color=#54b76b&gt;+%s%&lt;/color&gt;</t>
  </si>
  <si>
    <t>[{global_dmg_rate,400}]</t>
  </si>
  <si>
    <t>[{global_dmg_rate,500}]</t>
  </si>
  <si>
    <t>[{global_dmg_rate,600}]</t>
  </si>
  <si>
    <t>[{global_dmg_rate,800}]</t>
  </si>
  <si>
    <t>[{global_dmg_rate,1000}]</t>
  </si>
  <si>
    <t>[{global_dmg_rate,1200}]</t>
  </si>
  <si>
    <t>主角</t>
  </si>
  <si>
    <t>[{captain_dmg_rate,1000}]</t>
  </si>
  <si>
    <t>队长伤害&lt;color=#54b76b&gt;+%s%&lt;/color&gt;</t>
  </si>
  <si>
    <t>[{captain_dmg_rate,1500}]</t>
  </si>
  <si>
    <t>[{captain_dmg_rate,2000}]</t>
  </si>
  <si>
    <t>[{captain_dmg_rate,2500}]</t>
  </si>
  <si>
    <t>[{captain_dmg_rate,3200}]</t>
  </si>
  <si>
    <t>[{captain_dmg_rate,4000}]</t>
  </si>
  <si>
    <t>[{captain_dmg_rate,5000}]</t>
  </si>
  <si>
    <t>[{warrior_dmg_rate,400}]</t>
  </si>
  <si>
    <t>战士职业伤害&lt;color=#54b76b&gt;+%s%&lt;/color&gt;</t>
  </si>
  <si>
    <t>[{warrior_dmg_rate,600}]</t>
  </si>
  <si>
    <t>[{warrior_dmg_rate,800}]</t>
  </si>
  <si>
    <t>[{warrior_dmg_rate,1000}]</t>
  </si>
  <si>
    <t>[{warrior_dmg_rate,1250}]</t>
  </si>
  <si>
    <t>[{warrior_dmg_rate,1500}]</t>
  </si>
  <si>
    <t>[{warrior_dmg_rate,2000}]</t>
  </si>
  <si>
    <t>[{hunter_dmg_rate,400}]</t>
  </si>
  <si>
    <t>射手职业伤害&lt;color=#54b76b&gt;+%s%&lt;/color&gt;</t>
  </si>
  <si>
    <t>[{hunter_dmg_rate,600}]</t>
  </si>
  <si>
    <t>[{hunter_dmg_rate,800}]</t>
  </si>
  <si>
    <t>[{hunter_dmg_rate,1000}]</t>
  </si>
  <si>
    <t>[{hunter_dmg_rate,1250}]</t>
  </si>
  <si>
    <t>[{hunter_dmg_rate,1500}]</t>
  </si>
  <si>
    <t>[{hunter_dmg_rate,2000}]</t>
  </si>
  <si>
    <t>[{mage_dmg_rate,400}]</t>
  </si>
  <si>
    <t>法师职业伤害&lt;color=#54b76b&gt;+%s%&lt;/color&gt;</t>
  </si>
  <si>
    <t>[{mage_dmg_rate,600}]</t>
  </si>
  <si>
    <t>[{mage_dmg_rate,800}]</t>
  </si>
  <si>
    <t>[{mage_dmg_rate,1000}]</t>
  </si>
  <si>
    <t>[{mage_dmg_rate,1250}]</t>
  </si>
  <si>
    <t>[{mage_dmg_rate,1500}]</t>
  </si>
  <si>
    <t>[{mage_dmg_rate,2000}]</t>
  </si>
  <si>
    <t>[{drug_dmg_rate,400}]</t>
  </si>
  <si>
    <t>毒系职业伤害&lt;color=#54b76b&gt;+%s%&lt;/color&gt;</t>
  </si>
  <si>
    <t>[{drug_dmg_rate,600}]</t>
  </si>
  <si>
    <t>[{drug_dmg_rate,800}]</t>
  </si>
  <si>
    <t>[{drug_dmg_rate,1000}]</t>
  </si>
  <si>
    <t>[{drug_dmg_rate,1250}]</t>
  </si>
  <si>
    <t>[{drug_dmg_rate,1500}]</t>
  </si>
  <si>
    <t>[{drug_dmg_rate,2000}]</t>
  </si>
  <si>
    <t>[{control_dmg_rate,400}]</t>
  </si>
  <si>
    <t>控制职业伤害&lt;color=#54b76b&gt;+%s%&lt;/color&gt;</t>
  </si>
  <si>
    <t>[{control_dmg_rate,600}]</t>
  </si>
  <si>
    <t>[{control_dmg_rate,800}]</t>
  </si>
  <si>
    <t>[{control_dmg_rate,1000}]</t>
  </si>
  <si>
    <t>[{control_dmg_rate,1250}]</t>
  </si>
  <si>
    <t>[{control_dmg_rate,1500}]</t>
  </si>
  <si>
    <t>[{control_dmg_rate,2000}]</t>
  </si>
  <si>
    <t>[{summon_dmg_rate,400}]</t>
  </si>
  <si>
    <t>召唤职业伤害&lt;color=#54b76b&gt;+%s%&lt;/color&gt;</t>
  </si>
  <si>
    <t>[{summon_dmg_rate,600}]</t>
  </si>
  <si>
    <t>[{summon_dmg_rate,800}]</t>
  </si>
  <si>
    <t>[{summon_dmg_rate,1000}]</t>
  </si>
  <si>
    <t>[{summon_dmg_rate,1250}]</t>
  </si>
  <si>
    <t>[{summon_dmg_rate,1500}]</t>
  </si>
  <si>
    <t>[{summon_dmg_rate,2000}]</t>
  </si>
  <si>
    <t>[{ranged_monster_hit_rate,1000}]</t>
  </si>
  <si>
    <t>对远程怪物伤害&lt;color=#54b76b&gt;+%s%&lt;/color&gt;</t>
  </si>
  <si>
    <t>[{ranged_monster_hit_rate,1500}]</t>
  </si>
  <si>
    <t>[{ranged_monster_hit_rate,2000}]</t>
  </si>
  <si>
    <t>[{ranged_monster_hit_rate,2500}]</t>
  </si>
  <si>
    <t>[{ranged_monster_hit_rate,3200}]</t>
  </si>
  <si>
    <t>[{ranged_monster_hit_rate,4000}]</t>
  </si>
  <si>
    <t>[{ranged_monster_hit_rate,5000}]</t>
  </si>
  <si>
    <t>[{tank_monster_hit_rate,1000}]</t>
  </si>
  <si>
    <t>对肉盾怪物伤害&lt;color=#54b76b&gt;+%s%&lt;/color&gt;</t>
  </si>
  <si>
    <t>[{tank_monster_hit_rate,1500}]</t>
  </si>
  <si>
    <t>[{tank_monster_hit_rate,2000}]</t>
  </si>
  <si>
    <t>[{tank_monster_hit_rate,2500}]</t>
  </si>
  <si>
    <t>[{tank_monster_hit_rate,3200}]</t>
  </si>
  <si>
    <t>[{tank_monster_hit_rate,4000}]</t>
  </si>
  <si>
    <t>[{tank_monster_hit_rate,5000}]</t>
  </si>
  <si>
    <t>[{fast_monster_hit_rate,1000}]</t>
  </si>
  <si>
    <t>对高速怪物伤害&lt;color=#54b76b&gt;+%s%&lt;/color&gt;</t>
  </si>
  <si>
    <t>[{fast_monster_hit_rate,1500}]</t>
  </si>
  <si>
    <t>[{fast_monster_hit_rate,2000}]</t>
  </si>
  <si>
    <t>[{fast_monster_hit_rate,2500}]</t>
  </si>
  <si>
    <t>[{fast_monster_hit_rate,3200}]</t>
  </si>
  <si>
    <t>[{fast_monster_hit_rate,4000}]</t>
  </si>
  <si>
    <t>[{fast_monster_hit_rate,5000}]</t>
  </si>
  <si>
    <t>[1,3,5]</t>
  </si>
  <si>
    <t>对血量高于70%的怪物伤害&lt;color=#54b76b&gt;+%s%&lt;/color&gt;</t>
  </si>
  <si>
    <t>[2,4,6]</t>
  </si>
  <si>
    <t>对有负面状态的怪物伤害&lt;color=#54b76b&gt;+%s%&lt;/color&gt;</t>
  </si>
  <si>
    <t>[2,5]</t>
  </si>
  <si>
    <t>梦灵</t>
  </si>
  <si>
    <t>梦灵可免疫&lt;color=#54b76b&gt;%s&lt;/color&gt;次伤害</t>
  </si>
  <si>
    <t>[1,4]</t>
  </si>
  <si>
    <t>最前排梦灵获得&lt;color=#54b76b&gt;%s%&lt;/color&gt;最大生命值</t>
  </si>
  <si>
    <t>[3,6]</t>
  </si>
  <si>
    <t>最前排梦灵获得相当于&lt;color=#54b76b&gt;%s%&lt;/color&gt;最大生命值的护盾</t>
  </si>
  <si>
    <t>受到远程怪伤害降低&lt;color=#54b76b&gt;%s%&lt;/color&gt;</t>
  </si>
  <si>
    <t>[1,6]</t>
  </si>
  <si>
    <t>队长技能冷却缩短&lt;color=#54b76b&gt;%s%&lt;/color&gt;</t>
  </si>
  <si>
    <t>[{global_crit_dmg,2000}]</t>
  </si>
  <si>
    <t>暴击伤害&lt;color=#54b76b&gt;+%s%&lt;/color&gt;</t>
  </si>
  <si>
    <t>[{global_crit_dmg,3000}]</t>
  </si>
  <si>
    <t>[{global_crit_dmg,4000}]</t>
  </si>
  <si>
    <t>[{global_crit_dmg,5000}]</t>
  </si>
  <si>
    <t>[{global_crit_dmg,6500}]</t>
  </si>
  <si>
    <t>[{global_crit_dmg,8000}]</t>
  </si>
  <si>
    <t>[{global_crit_dmg,10000}]</t>
  </si>
  <si>
    <t>进入战斗前60秒对怪物伤害&lt;color=#54b76b&gt;+%s%&lt;/color&gt;</t>
  </si>
  <si>
    <t>[{elitist_monster_hit_rate,1000},{boss_monster_hit_rate,1000}]</t>
  </si>
  <si>
    <t>对精英和首领伤害&lt;color=#54b76b&gt;+%s%&lt;/color&gt;</t>
  </si>
  <si>
    <t>[{elitist_monster_hit_rate,1500},{boss_monster_hit_rate,1500}]</t>
  </si>
  <si>
    <t>[{elitist_monster_hit_rate,2000},{boss_monster_hit_rate,2000}]</t>
  </si>
  <si>
    <t>[{elitist_monster_hit_rate,2500},{boss_monster_hit_rate,2500}]</t>
  </si>
  <si>
    <t>[{elitist_monster_hit_rate,3200},{boss_monster_hit_rate,3200}]</t>
  </si>
  <si>
    <t>[{elitist_monster_hit_rate,4000},{boss_monster_hit_rate,4000}]</t>
  </si>
  <si>
    <t>[{elitist_monster_hit_rate,5000},{boss_monster_hit_rate,5000}]</t>
  </si>
  <si>
    <t>[3,4]</t>
  </si>
  <si>
    <t>击杀精英或首领后全队回复&lt;color=#54b76b&gt;%s%&lt;/color&gt;血量</t>
  </si>
  <si>
    <t>[1,3]</t>
  </si>
  <si>
    <t>队长每释放一次[咻咻的弹簧锤]，所有梦灵伤害&lt;color=#54b76b&gt;+%s%&lt;/color&gt;，最多8次</t>
  </si>
  <si>
    <t>[2,4]</t>
  </si>
  <si>
    <t>队长每触发一次暴击，所有梦灵伤害&lt;color=#54b76b&gt;+%s%&lt;/color&gt;，最多8次</t>
  </si>
  <si>
    <t>梦灵血量首次低于30%，获得最大生命&lt;color=#54b76b&gt;%s%&lt;/color&gt;的护盾</t>
  </si>
  <si>
    <t>[5,6]</t>
  </si>
  <si>
    <t>梦灵获得祝福时，全体梦灵恢复&lt;color=#54b76b&gt;%s%&lt;/color&gt;生命值</t>
  </si>
  <si>
    <t>梦灵血量低于&lt;color=#54b76b&gt;65%&lt;/color&gt;，伤害&lt;color=#54b76b&gt;+%s%&lt;/color&gt;</t>
  </si>
  <si>
    <t>梦灵满血时，伤害&lt;color=#54b76b&gt;+%s%&lt;/color&gt;</t>
  </si>
  <si>
    <t>队长暴击率&lt;color=#54b76b&gt;+%s%&lt;/color&gt;</t>
  </si>
  <si>
    <t>[{captain_crit_rate,300}]</t>
  </si>
  <si>
    <t>[{captain_crit_rate,400}]</t>
  </si>
  <si>
    <t>[{captain_crit_rate,500}]</t>
  </si>
  <si>
    <t>[{captain_crit_rate,600}]</t>
  </si>
  <si>
    <t>[{captain_crit_rate,700}]</t>
  </si>
  <si>
    <t>每次穿透时，伤害&lt;color=#54b76b&gt;+%s%&lt;/color&gt;</t>
  </si>
  <si>
    <t>每次弹射时，伤害&lt;color=#54b76b&gt;+%s%&lt;/color&gt;</t>
  </si>
  <si>
    <t>[4]</t>
  </si>
  <si>
    <t>梦灵技能范围大小&lt;color=#54b76b&gt;+%s%&lt;/color&gt;</t>
  </si>
  <si>
    <t>梦灵对近距离敌人的伤害&lt;color=#54b76b&gt;+%s%&lt;/color&gt;</t>
  </si>
  <si>
    <t>梦灵对半场外敌人的伤害&lt;color=#54b76b&gt;+%s%&lt;/color&gt;</t>
  </si>
  <si>
    <t>5505011</t>
  </si>
  <si>
    <t>[{global_atk,4}]</t>
  </si>
  <si>
    <t>[5505011]</t>
  </si>
  <si>
    <t>梦灵每升阶一次后，所有伤害&lt;color=#54b76b&gt;+%s%&lt;/color&gt;</t>
  </si>
  <si>
    <t>[{global_atk,8}]</t>
  </si>
  <si>
    <t>[5505012]</t>
  </si>
  <si>
    <t>[{global_atk,12}]</t>
  </si>
  <si>
    <t>[5505013]</t>
  </si>
  <si>
    <t>[8]</t>
  </si>
  <si>
    <t>[{global_atk,16}]</t>
  </si>
  <si>
    <t>[5505014]</t>
  </si>
  <si>
    <t>[10]</t>
  </si>
  <si>
    <t>[{global_atk,20}]</t>
  </si>
  <si>
    <t>[5505015]</t>
  </si>
  <si>
    <t>[15]</t>
  </si>
  <si>
    <t>[{global_atk,24}]</t>
  </si>
  <si>
    <t>[5505016]</t>
  </si>
  <si>
    <t>[20]</t>
  </si>
  <si>
    <t>[{global_atk,28}]</t>
  </si>
  <si>
    <t>[5505017]</t>
  </si>
  <si>
    <t>[25]</t>
  </si>
  <si>
    <t>5505021</t>
  </si>
  <si>
    <t>[5505021]</t>
  </si>
  <si>
    <t>[0]</t>
  </si>
  <si>
    <t>战士攻击范围&lt;color=#54b76b&gt;+1&lt;/color&gt;格,伤害&lt;color=#54b76b&gt;+%s%&lt;/color&gt;</t>
  </si>
  <si>
    <t>[5505022]</t>
  </si>
  <si>
    <t>[5505023]</t>
  </si>
  <si>
    <t>[5505024]</t>
  </si>
  <si>
    <t>[5505025]</t>
  </si>
  <si>
    <t>[{battle_dmg_rate,1500}]</t>
  </si>
  <si>
    <t>[5505026]</t>
  </si>
  <si>
    <t>[{battle_dmg_rate,3500}]</t>
  </si>
  <si>
    <t>[35]</t>
  </si>
  <si>
    <t>[5505027]</t>
  </si>
  <si>
    <t>[{battle_dmg_rate,5500}]</t>
  </si>
  <si>
    <t>[55]</t>
  </si>
  <si>
    <t>5505031</t>
  </si>
  <si>
    <t>[5505031]</t>
  </si>
  <si>
    <t xml:space="preserve">战士充能后，首次伤害&lt;color=#54b76b&gt;+%s%&lt;/color&gt;
</t>
  </si>
  <si>
    <t>[5505032]</t>
  </si>
  <si>
    <t>[5505033]</t>
  </si>
  <si>
    <t>[5505034]</t>
  </si>
  <si>
    <t>[80]</t>
  </si>
  <si>
    <t>[5505035]</t>
  </si>
  <si>
    <t>[140]</t>
  </si>
  <si>
    <t>[5505036]</t>
  </si>
  <si>
    <t>[200]</t>
  </si>
  <si>
    <t>[5505037]</t>
  </si>
  <si>
    <t>[260]</t>
  </si>
  <si>
    <t>5505041</t>
  </si>
  <si>
    <t>[5505041]</t>
  </si>
  <si>
    <t>战士能量耗尽后&lt;color=#54b76b&gt;%s%&lt;/color&gt;概率立刻快速充能</t>
  </si>
  <si>
    <t>[5505042]</t>
  </si>
  <si>
    <t>[5505043]</t>
  </si>
  <si>
    <t>[5505044]</t>
  </si>
  <si>
    <t>[5505045]</t>
  </si>
  <si>
    <t>[32]</t>
  </si>
  <si>
    <t>[5505046]</t>
  </si>
  <si>
    <t>[45]</t>
  </si>
  <si>
    <t>[5505047]</t>
  </si>
  <si>
    <t>[60]</t>
  </si>
  <si>
    <t>5505051</t>
  </si>
  <si>
    <t>[5505051]</t>
  </si>
  <si>
    <t>射手的每次攻击提高&lt;color=#54b76b&gt;%s%&lt;/color&gt;伤害，充能时重置</t>
  </si>
  <si>
    <t>[5505052]</t>
  </si>
  <si>
    <t>[5505053]</t>
  </si>
  <si>
    <t>[5505054]</t>
  </si>
  <si>
    <t>[5505055]</t>
  </si>
  <si>
    <t>[5505056]</t>
  </si>
  <si>
    <t>[5505057]</t>
  </si>
  <si>
    <t>[30]</t>
  </si>
  <si>
    <t>5505061</t>
  </si>
  <si>
    <t>[5505061]</t>
  </si>
  <si>
    <t>射手穿透或弹射时，有&lt;color=#54b76b&gt;%s%&lt;/color&gt;概率不消耗次数</t>
  </si>
  <si>
    <t>[5505062]</t>
  </si>
  <si>
    <t>[12]</t>
  </si>
  <si>
    <t>[5505063]</t>
  </si>
  <si>
    <t>[18]</t>
  </si>
  <si>
    <t>[5505064]</t>
  </si>
  <si>
    <t>[5505065]</t>
  </si>
  <si>
    <t>[40]</t>
  </si>
  <si>
    <t>[5505066]</t>
  </si>
  <si>
    <t>[5505067]</t>
  </si>
  <si>
    <t>[75]</t>
  </si>
  <si>
    <t>5505071</t>
  </si>
  <si>
    <t>[5505071]</t>
  </si>
  <si>
    <t>射手普攻时有&lt;color=#54b76b&gt;%s%&lt;/color&gt;概率额外攻击1次</t>
  </si>
  <si>
    <t>[5505072]</t>
  </si>
  <si>
    <t>[5505073]</t>
  </si>
  <si>
    <t>[5505074]</t>
  </si>
  <si>
    <t>[5505075]</t>
  </si>
  <si>
    <t>[5505076]</t>
  </si>
  <si>
    <t>[5505077]</t>
  </si>
  <si>
    <t>5505081</t>
  </si>
  <si>
    <t>[5505081]</t>
  </si>
  <si>
    <t>[110]</t>
  </si>
  <si>
    <t>法师职业暴击时，最终暴击伤害将在80%~&lt;color=#54b76b&gt;%s%&lt;/color&gt;之间波动</t>
  </si>
  <si>
    <t>[5505082]</t>
  </si>
  <si>
    <t>[115]</t>
  </si>
  <si>
    <t>[5505083]</t>
  </si>
  <si>
    <t>[120]</t>
  </si>
  <si>
    <t>[5505084]</t>
  </si>
  <si>
    <t>[130]</t>
  </si>
  <si>
    <t>[5505085]</t>
  </si>
  <si>
    <t>[150]</t>
  </si>
  <si>
    <t>[5505086]</t>
  </si>
  <si>
    <t>[180]</t>
  </si>
  <si>
    <t>[5505087]</t>
  </si>
  <si>
    <t>[240]</t>
  </si>
  <si>
    <t>5505091</t>
  </si>
  <si>
    <t>[5505091]</t>
  </si>
  <si>
    <t>法师职业的大招冷却时间缩短&lt;color=#54b76b&gt;%s%&lt;/color&gt;</t>
  </si>
  <si>
    <t>[5505092]</t>
  </si>
  <si>
    <t>[5505093]</t>
  </si>
  <si>
    <t>[5505094]</t>
  </si>
  <si>
    <t>[5505095]</t>
  </si>
  <si>
    <t>[5505096]</t>
  </si>
  <si>
    <t>[5505097]</t>
  </si>
  <si>
    <t>法师对血量低于50%敌人有&lt;color=#54b76b&gt;%s%&lt;/color&gt;额外暴击几率</t>
  </si>
  <si>
    <t>控制职业有&lt;color=#54b76b&gt;%s%&lt;/color&gt;的概率控制时间延长100%</t>
  </si>
  <si>
    <t>被施加控制的怪物5s内受到伤害&lt;color=#54b76b&gt;+%s%&lt;/color&gt;</t>
  </si>
  <si>
    <t>每选择一个控制梦灵的词条，所有控制梦灵伤害&lt;color=#54b76b&gt;+%s%&lt;/color&gt;</t>
  </si>
  <si>
    <t>毒系职业施加中毒效果时，有&lt;color=#54b76b&gt;%s%&lt;/color&gt;概率触发[剧毒]，造成当前层数的毒系伤害</t>
  </si>
  <si>
    <t>每次触发中毒伤害，下次中毒伤害额外&lt;color=#54b76b&gt;+%s%&lt;/color&gt;</t>
  </si>
  <si>
    <t>毒系职业中毒层数上限提升&lt;color=#54b76b&gt;%s%&lt;/color&gt;</t>
  </si>
  <si>
    <t>召唤师召唤物持续时间&lt;color=#54b76b&gt;+%s%&lt;/color&gt;</t>
  </si>
  <si>
    <t>召唤师召唤物死亡前，无敌&lt;color=#54b76b&gt;%s&lt;/color&gt;秒</t>
  </si>
  <si>
    <t>召唤师召唤物每嘲讽1个敌人，召唤物最大生命值&lt;color=#54b76b&gt;+%s%&lt;/color&gt;</t>
  </si>
  <si>
    <t>[3,5]</t>
  </si>
  <si>
    <t>攻击满血怪物时，暴击率&lt;color=#54b76b&gt;+%s%&lt;/color&gt;</t>
  </si>
  <si>
    <t>无视怪物所有类型&lt;color=#54b76b&gt;%s%&lt;/color&gt;的抗性</t>
  </si>
  <si>
    <t>[{global_ignore_red,3000}]</t>
  </si>
  <si>
    <t>[{global_ignore_red,4000}]</t>
  </si>
  <si>
    <t>[{global_ignore_red,5000}]</t>
  </si>
  <si>
    <t>[{global_ignore_red,6000}]</t>
  </si>
  <si>
    <t>伤害在80%~&lt;color=#54b76b&gt;%s%&lt;/color&gt;之间浮动</t>
  </si>
  <si>
    <t>梦灵暴击率&lt;color=#54b76b&gt;+%s%&lt;/color&gt;</t>
  </si>
  <si>
    <t>[{global_crit_rate,400}]</t>
  </si>
  <si>
    <t>[{global_crit_rate,500}]</t>
  </si>
  <si>
    <t>[{global_crit_rate,600}]</t>
  </si>
  <si>
    <t>[{global_crit_rate,700}]</t>
  </si>
  <si>
    <t>释放普攻时&lt;color=#54b76b&gt;%s%&lt;/color&gt;概率额外释放1次</t>
  </si>
  <si>
    <t>伤害有&lt;color=#54b76b&gt;%s%&lt;/color&gt;概率造成2次命中</t>
  </si>
  <si>
    <t>攻击范围&lt;color=#54b76b&gt;+1&lt;/color&gt;格，伤害&lt;color=#54b76b&gt;+%s%&lt;/color&gt;</t>
  </si>
  <si>
    <t>[{battle_dmg_rate,500}]</t>
  </si>
  <si>
    <t>[{battle_dmg_rate,1000}]</t>
  </si>
  <si>
    <t>攻击范围&lt;color=#54b76b&gt;+2&lt;/color&gt;格，伤害&lt;color=#54b76b&gt;+%s%&lt;/color&gt;</t>
  </si>
  <si>
    <t>充能后获得&lt;color=#54b76b&gt;%s%&lt;/color&gt;攻速3秒</t>
  </si>
  <si>
    <t>能量耗尽时&lt;color=#54b76b&gt;%s%&lt;/color&gt;概率跳过充能</t>
  </si>
  <si>
    <t>[{energy_recover_finish_rate,500}]</t>
  </si>
  <si>
    <t>[{energy_recover_finish_rate,800}]</t>
  </si>
  <si>
    <t>[{energy_recover_finish_rate,1200}]</t>
  </si>
  <si>
    <t>[{energy_recover_finish_rate,1500}]</t>
  </si>
  <si>
    <t>负面伤害享受&lt;color=#54b76b&gt;%s%&lt;/color&gt;暴击几率加成</t>
  </si>
  <si>
    <t>[{dot_crit_rate_scale,1000}]</t>
  </si>
  <si>
    <t>[{dot_crit_rate_scale,2000}]</t>
  </si>
  <si>
    <t>[{dot_crit_rate_scale,2500}]</t>
  </si>
  <si>
    <t>[{dot_crit_rate_scale,3500}]</t>
  </si>
  <si>
    <t>对负面状态的敌人造成暴击后, &lt;color=#54b76b&gt;%s%&lt;/color&gt;概率使敌人所有负面状态持续时间+1s, 最多+3s. 直到敌人的移除所有负面状态</t>
  </si>
  <si>
    <t>[1310100]</t>
  </si>
  <si>
    <t>[5301220]</t>
  </si>
  <si>
    <t>[{8,1000}]</t>
  </si>
  <si>
    <t>[50]</t>
  </si>
  <si>
    <t>寒冰射手攻击时，&lt;color=#54b76b&gt;35%&lt;/color&gt;几率释放&lt;color=#54b76b&gt;1&lt;/color&gt;个伤害&lt;color=#54b76b&gt;50%&lt;/color&gt;的冰锥</t>
  </si>
  <si>
    <t>[5302220]</t>
  </si>
  <si>
    <t>[{8,1500}]</t>
  </si>
  <si>
    <t>[70]</t>
  </si>
  <si>
    <t>寒冰射手攻击时，&lt;color=#54b76b&gt;35%&lt;/color&gt;几率释放&lt;color=#54b76b&gt;1&lt;/color&gt;个伤害&lt;color=#54b76b&gt;70%&lt;/color&gt;的冰锥</t>
  </si>
  <si>
    <t>[5301221]</t>
  </si>
  <si>
    <t>寒冰射手箭矢穿透&lt;color=#54b76b&gt;+1&lt;/color&gt;，伤害&lt;color=#54b76b&gt;-20%&lt;/color&gt;</t>
  </si>
  <si>
    <t>[5302221]</t>
  </si>
  <si>
    <t>寒冰射手箭矢穿透&lt;color=#54b76b&gt;+1&lt;/color&gt;，伤害&lt;color=#54b76b&gt;-10%&lt;/color&gt;</t>
  </si>
  <si>
    <t>[1210400]</t>
  </si>
  <si>
    <t>[5301223]</t>
  </si>
  <si>
    <t>炽焰巫师烤鸡有&lt;color=#54b76b&gt;15%&lt;/color&gt;概率点燃怪物</t>
  </si>
  <si>
    <t>[5302223]</t>
  </si>
  <si>
    <t>炽焰巫师烤鸡有&lt;color=#54b76b&gt;25%&lt;/color&gt;概率点燃怪物</t>
  </si>
  <si>
    <t>[5301224]</t>
  </si>
  <si>
    <t>炽焰巫师烤鸡弹跳次数&lt;color=#54b76b&gt;+1&lt;/color&gt;，伤害&lt;color=#54b76b&gt;-20%&lt;/color&gt;</t>
  </si>
  <si>
    <t>[5302224]</t>
  </si>
  <si>
    <t>炽焰巫师烤鸡弹跳次数&lt;color=#54b76b&gt;+1&lt;/color&gt;，伤害&lt;color=#54b76b&gt;-15%&lt;/color&gt;</t>
  </si>
  <si>
    <t>[1230100]</t>
  </si>
  <si>
    <t>[5301226]</t>
  </si>
  <si>
    <t>[{8,500}]</t>
  </si>
  <si>
    <t>吟游诗人施加祝福时&lt;color=#54b76b&gt;50%&lt;/color&gt;几率攻击1个敌人并附加&lt;color=#54b76b&gt;15%[易伤]&lt;/color&gt;</t>
  </si>
  <si>
    <t>[5302226]</t>
  </si>
  <si>
    <t>[{8,750}]</t>
  </si>
  <si>
    <t>吟游诗人施加祝福时&lt;color=#54b76b&gt;50%&lt;/color&gt;几率攻击1个敌人并附加&lt;color=#54b76b&gt;20%[易伤]&lt;/color&gt;</t>
  </si>
  <si>
    <t>[5301227]</t>
  </si>
  <si>
    <t>吟游诗人增幅持续时间&lt;color=#54b76b&gt;+1秒&lt;/color&gt;</t>
  </si>
  <si>
    <t>[5302227]</t>
  </si>
  <si>
    <t>[1.5]</t>
  </si>
  <si>
    <t>吟游诗人增幅持续时间&lt;color=#54b76b&gt;+1.5秒&lt;/color&gt;</t>
  </si>
  <si>
    <t>[1420200]</t>
  </si>
  <si>
    <t>[5302229]</t>
  </si>
  <si>
    <t>[{8,600}]</t>
  </si>
  <si>
    <t>摇滚巨石&lt;color=#54b76b&gt;12&lt;/color&gt;秒内没受到攻击，可获得&lt;color=#54b76b&gt;1&lt;/color&gt;层[免伤盾]，上限&lt;color=#54b76b&gt;1&lt;/color&gt;层</t>
  </si>
  <si>
    <t>[5303229]</t>
  </si>
  <si>
    <t>[{8,900}]</t>
  </si>
  <si>
    <t>摇滚巨石&lt;color=#54b76b&gt;12&lt;/color&gt;秒内没受到攻击，可获得&lt;color=#54b76b&gt;1&lt;/color&gt;层[免伤盾]，上限&lt;color=#54b76b&gt;2&lt;/color&gt;层</t>
  </si>
  <si>
    <t>[5304229]</t>
  </si>
  <si>
    <t>[{8,1200}]</t>
  </si>
  <si>
    <t>摇滚巨石&lt;color=#54b76b&gt;12&lt;/color&gt;秒内没受到攻击，可获得&lt;color=#54b76b&gt;1&lt;/color&gt;层[免伤盾]，上限&lt;color=#54b76b&gt;3&lt;/color&gt;层</t>
  </si>
  <si>
    <t>[{be_heal_rate,2000}]</t>
  </si>
  <si>
    <t>摇滚巨石受到的治疗量&lt;color=#54b76b&gt;+20%&lt;/color&gt;</t>
  </si>
  <si>
    <t>[{be_heal_rate,2500}]</t>
  </si>
  <si>
    <t>摇滚巨石受到的治疗量&lt;color=#54b76b&gt;+25%&lt;/color&gt;</t>
  </si>
  <si>
    <t>[{be_heal_rate,3000}]</t>
  </si>
  <si>
    <t>摇滚巨石受到的治疗量&lt;color=#54b76b&gt;+30%&lt;/color&gt;</t>
  </si>
  <si>
    <t>[5302231]</t>
  </si>
  <si>
    <t>摇滚巨石攻击被控制的敌人时，伤害&lt;color=#54b76b&gt;+12%&lt;/color&gt;</t>
  </si>
  <si>
    <t>[5303231]</t>
  </si>
  <si>
    <t>摇滚巨石攻击被控制的敌人时，伤害&lt;color=#54b76b&gt;+18%&lt;/color&gt;</t>
  </si>
  <si>
    <t>[5304231]</t>
  </si>
  <si>
    <t>[24]</t>
  </si>
  <si>
    <t>摇滚巨石攻击被控制的敌人时，伤害&lt;color=#54b76b&gt;+24%&lt;/color&gt;</t>
  </si>
  <si>
    <t>[1320100]</t>
  </si>
  <si>
    <t>[5302233]</t>
  </si>
  <si>
    <t>果冻少女冻冻弹射&lt;color=#54b76b&gt;+1&lt;/color&gt;，伤害&lt;color=#54b76b&gt;-45%&lt;/color&gt;</t>
  </si>
  <si>
    <t>[5303233]</t>
  </si>
  <si>
    <t>[{8,1800}]</t>
  </si>
  <si>
    <t>果冻少女冻冻弹射&lt;color=#54b76b&gt;+1&lt;/color&gt;，伤害&lt;color=#54b76b&gt;-40%&lt;/color&gt;</t>
  </si>
  <si>
    <t>[5304233]</t>
  </si>
  <si>
    <t>[{8,2400}]</t>
  </si>
  <si>
    <t>[36]</t>
  </si>
  <si>
    <t>果冻少女冻冻弹射&lt;color=#54b76b&gt;+1&lt;/color&gt;，伤害&lt;color=#54b76b&gt;-36%&lt;/color&gt;</t>
  </si>
  <si>
    <t>[{dot_hit_rate,2500}]</t>
  </si>
  <si>
    <t>果冻少女中毒伤害&lt;color=#54b76b&gt;+25%&lt;/color&gt;</t>
  </si>
  <si>
    <t>[{dot_hit_rate,3600}]</t>
  </si>
  <si>
    <t>果冻少女中毒伤害&lt;color=#54b76b&gt;+36%&lt;/color&gt;</t>
  </si>
  <si>
    <t>[{dot_hit_rate,4800}]</t>
  </si>
  <si>
    <t>[48]</t>
  </si>
  <si>
    <t>果冻少女中毒伤害&lt;color=#54b76b&gt;+48%&lt;/color&gt;</t>
  </si>
  <si>
    <t>[5302235]</t>
  </si>
  <si>
    <t>果冻少女中毒时间&lt;color=#54b76b&gt;+20%&lt;/color&gt;</t>
  </si>
  <si>
    <t>[5303235]</t>
  </si>
  <si>
    <t>果冻少女中毒时间&lt;color=#54b76b&gt;+30%&lt;/color&gt;</t>
  </si>
  <si>
    <t>[5304235]</t>
  </si>
  <si>
    <t>果冻少女中毒时间&lt;color=#54b76b&gt;+40%&lt;/color&gt;</t>
  </si>
  <si>
    <t>[1310300]</t>
  </si>
  <si>
    <t>[{crit_rate,300}]</t>
  </si>
  <si>
    <t>雷震子暴击&lt;color=#54b76b&gt;+3%&lt;/color&gt;</t>
  </si>
  <si>
    <t>[{crit_rate,500}]</t>
  </si>
  <si>
    <t>雷震子暴击&lt;color=#54b76b&gt;+5%&lt;/color&gt;</t>
  </si>
  <si>
    <t>[{crit_rate,700}]</t>
  </si>
  <si>
    <t>雷震子暴击&lt;color=#54b76b&gt;+7%&lt;/color&gt;</t>
  </si>
  <si>
    <t>[5302238]</t>
  </si>
  <si>
    <t>雷震子闪电链对中毒的敌人造成伤害时，造成&lt;color=#54b76b&gt;15%&lt;/color&gt;额外伤害</t>
  </si>
  <si>
    <t>[5303238]</t>
  </si>
  <si>
    <t>[22]</t>
  </si>
  <si>
    <t>雷震子闪电链对中毒的敌人造成伤害时，造成&lt;color=#54b76b&gt;22%&lt;/color&gt;额外伤害</t>
  </si>
  <si>
    <t>[5304238]</t>
  </si>
  <si>
    <t>雷震子闪电链对中毒的敌人造成伤害时，造成&lt;color=#54b76b&gt;30%&lt;/color&gt;额外伤害</t>
  </si>
  <si>
    <t>[5302239]</t>
  </si>
  <si>
    <t>雷震子大招冷却缩减&lt;color=#54b76b&gt;25%&lt;/color&gt;</t>
  </si>
  <si>
    <t>[5303239]</t>
  </si>
  <si>
    <t>雷震子大招冷却缩减&lt;color=#54b76b&gt;35%&lt;/color&gt;</t>
  </si>
  <si>
    <t>[5304239]</t>
  </si>
  <si>
    <t>雷震子大招冷却缩减&lt;color=#54b76b&gt;50%&lt;/color&gt;</t>
  </si>
  <si>
    <t>[1210600]</t>
  </si>
  <si>
    <t>[{energy_reuse_rate,1200}]</t>
  </si>
  <si>
    <t>忍者鲨手手里剑&lt;color=#54b76b&gt;15%&lt;/color&gt;几率不消耗能量</t>
  </si>
  <si>
    <t>[{energy_reuse_rate,1800}]</t>
  </si>
  <si>
    <t>忍者鲨手手里剑&lt;color=#54b76b&gt;22%&lt;/color&gt;几率不消耗能量</t>
  </si>
  <si>
    <t>[{energy_reuse_rate,2400}]</t>
  </si>
  <si>
    <t>忍者鲨手手里剑&lt;color=#54b76b&gt;30%&lt;/color&gt;几率不消耗能量</t>
  </si>
  <si>
    <t>[5302242]</t>
  </si>
  <si>
    <t>忍者鲨手对减速的敌人造成伤害时，造成&lt;color=#54b76b&gt;12%&lt;/color&gt;额外伤害</t>
  </si>
  <si>
    <t>[5303242]</t>
  </si>
  <si>
    <t>忍者鲨手对减速的敌人造成伤害时，造成&lt;color=#54b76b&gt;18%&lt;/color&gt;额外伤害</t>
  </si>
  <si>
    <t>[5304242]</t>
  </si>
  <si>
    <t>忍者鲨手对减速的敌人造成伤害时，造成&lt;color=#54b76b&gt;24%&lt;/color&gt;额外伤害</t>
  </si>
  <si>
    <t>[5302243]</t>
  </si>
  <si>
    <t>忍者鲨手有&lt;color=#54b76b&gt;12%&lt;/color&gt;的概率额外扔出一发手里剑</t>
  </si>
  <si>
    <t>[5303243]</t>
  </si>
  <si>
    <t>[16]</t>
  </si>
  <si>
    <t>忍者鲨手有&lt;color=#54b76b&gt;16%&lt;/color&gt;的概率额外扔出一发手里剑</t>
  </si>
  <si>
    <t>[5304243]</t>
  </si>
  <si>
    <t>忍者鲨手有&lt;color=#54b76b&gt;20%&lt;/color&gt;的概率额外扔出一发手里剑</t>
  </si>
  <si>
    <t>[1230400]</t>
  </si>
  <si>
    <t>[5302245]</t>
  </si>
  <si>
    <t>甜心护士额外发射&lt;color=#54b76b&gt;1&lt;/color&gt;个针筒</t>
  </si>
  <si>
    <t>[5303245]</t>
  </si>
  <si>
    <t>甜心护士额外发射&lt;color=#54b76b&gt;2&lt;/color&gt;个针筒</t>
  </si>
  <si>
    <t>[5304245]</t>
  </si>
  <si>
    <t>甜心护士额外发射&lt;color=#54b76b&gt;3&lt;/color&gt;个针筒</t>
  </si>
  <si>
    <t>[5302246]</t>
  </si>
  <si>
    <t>甜心护士医疗包治疗效果&lt;color=#54b76b&gt;+20%&lt;/color&gt;</t>
  </si>
  <si>
    <t>[5303246]</t>
  </si>
  <si>
    <t>甜心护士医疗包治疗效果&lt;color=#54b76b&gt;+30%&lt;/color&gt;</t>
  </si>
  <si>
    <t>[5304246]</t>
  </si>
  <si>
    <t>甜心护士医疗包治疗效果&lt;color=#54b76b&gt;+40%&lt;/color&gt;</t>
  </si>
  <si>
    <t>[5302247]</t>
  </si>
  <si>
    <t>甜心护士医疗包能量消耗&lt;color=#54b76b&gt;-20%&lt;/color&gt;</t>
  </si>
  <si>
    <t>[5303247]</t>
  </si>
  <si>
    <t>甜心护士医疗包能量消耗&lt;color=#54b76b&gt;-30%&lt;/color&gt;</t>
  </si>
  <si>
    <t>[5304247]</t>
  </si>
  <si>
    <t>甜心护士医疗包能量消耗&lt;color=#54b76b&gt;-50%&lt;/color&gt;</t>
  </si>
  <si>
    <t>[1210700]</t>
  </si>
  <si>
    <t>[5302334]</t>
  </si>
  <si>
    <t>[{1,280}]</t>
  </si>
  <si>
    <t>路人血量低于50%时，霸王轰拳护盾效果&lt;color=#54b76b&gt;+25%&lt;/color&gt;，持续时间&lt;color=#54b76b&gt;+50%&lt;/color&gt;</t>
  </si>
  <si>
    <t>[5303334]</t>
  </si>
  <si>
    <t>[{1,240}]</t>
  </si>
  <si>
    <t>[5304334]</t>
  </si>
  <si>
    <t>[{1,200}]</t>
  </si>
  <si>
    <t>路人血量低于50%时，霸王轰拳护盾效果&lt;color=#54b76b&gt;+40%&lt;/color&gt;，持续时间&lt;color=#54b76b&gt;+75%&lt;/color&gt;</t>
  </si>
  <si>
    <t>[5302335]</t>
  </si>
  <si>
    <t>路人血量越低技能尺寸越大，至多&lt;color=#54b76b&gt;36%&lt;/color&gt;</t>
  </si>
  <si>
    <t>[5303335]</t>
  </si>
  <si>
    <t>[5304335]</t>
  </si>
  <si>
    <t>路人血量越低技能尺寸越大，至多&lt;color=#54b76b&gt;54%&lt;/color&gt;</t>
  </si>
  <si>
    <t>[5302336]</t>
  </si>
  <si>
    <t>路人每次释放弹簧机关枪有&lt;color=#54b76b&gt;10%&lt;/color&gt;概率额外释放&lt;color=#54b76b&gt;1&lt;/color&gt;次</t>
  </si>
  <si>
    <t>[5303336]</t>
  </si>
  <si>
    <t>[5304336]</t>
  </si>
  <si>
    <t>路人每次释放弹簧机关枪有&lt;color=#54b76b&gt;15%&lt;/color&gt;概率额外释放&lt;color=#54b76b&gt;1&lt;/color&gt;次</t>
  </si>
  <si>
    <t>[1110100]</t>
  </si>
  <si>
    <t>[5304249]</t>
  </si>
  <si>
    <t>关羽对血量高于&lt;color=#54b76b&gt;75%&lt;/color&gt;的敌人，暴击率&lt;color=#54b76b&gt;+20%&lt;/color&gt;</t>
  </si>
  <si>
    <t>[5305249]</t>
  </si>
  <si>
    <t>关羽对血量高于&lt;color=#54b76b&gt;75%&lt;/color&gt;的敌人，暴击率&lt;color=#54b76b&gt;+25%&lt;/color&gt;</t>
  </si>
  <si>
    <t>[5306249]</t>
  </si>
  <si>
    <t>关羽对血量高于&lt;color=#54b76b&gt;75%&lt;/color&gt;的敌人，暴击率&lt;color=#54b76b&gt;+32%&lt;/color&gt;</t>
  </si>
  <si>
    <t>[5307249]</t>
  </si>
  <si>
    <t>关羽对血量高于&lt;color=#54b76b&gt;75%&lt;/color&gt;的敌人，暴击率&lt;color=#54b76b&gt;+40%&lt;/color&gt;</t>
  </si>
  <si>
    <t>[5304250]</t>
  </si>
  <si>
    <t>关羽充能时&lt;color=#54b76b&gt;18%&lt;/color&gt;几率能量上限&lt;color=#54b76b&gt;+50%&lt;/color&gt;，持续到下次充能，最多叠&lt;color=#54b76b&gt;3&lt;/color&gt;次</t>
  </si>
  <si>
    <t>[5305250]</t>
  </si>
  <si>
    <t>关羽充能时&lt;color=#54b76b&gt;25%&lt;/color&gt;几率能量上限&lt;color=#54b76b&gt;+50%&lt;/color&gt;，持续到下次充能，最多叠&lt;color=#54b76b&gt;3&lt;/color&gt;次</t>
  </si>
  <si>
    <t>[5306250]</t>
  </si>
  <si>
    <t>关羽充能时&lt;color=#54b76b&gt;35%&lt;/color&gt;几率能量上限&lt;color=#54b76b&gt;+50%&lt;/color&gt;，持续到下次充能，最多叠&lt;color=#54b76b&gt;3&lt;/color&gt;次</t>
  </si>
  <si>
    <t>[5307250]</t>
  </si>
  <si>
    <t>关羽充能时&lt;color=#54b76b&gt;45%&lt;/color&gt;几率能量上限&lt;color=#54b76b&gt;+50%&lt;/color&gt;，持续到下次充能，最多叠&lt;color=#54b76b&gt;3&lt;/color&gt;次</t>
  </si>
  <si>
    <t>[5304251]</t>
  </si>
  <si>
    <t>[{battle_dmg_rate,800}]</t>
  </si>
  <si>
    <t>关羽的攻击距离&lt;color=#54b76b&gt;+20%&lt;/color&gt;，伤害&lt;color=#54b76b&gt;+8%&lt;/color&gt;</t>
  </si>
  <si>
    <t>[5305251]</t>
  </si>
  <si>
    <t>关羽的攻击距离&lt;color=#54b76b&gt;+20%&lt;/color&gt;，伤害&lt;color=#54b76b&gt;+15%&lt;/color&gt;</t>
  </si>
  <si>
    <t>[5306251]</t>
  </si>
  <si>
    <t>[{battle_dmg_rate,3000}]</t>
  </si>
  <si>
    <t>关羽的攻击距离&lt;color=#54b76b&gt;+20%&lt;/color&gt;，伤害&lt;color=#54b76b&gt;+30%&lt;/color&gt;</t>
  </si>
  <si>
    <t>[5307251]</t>
  </si>
  <si>
    <t>[{battle_dmg_rate,4500}]</t>
  </si>
  <si>
    <t>关羽的攻击距离&lt;color=#54b76b&gt;+20%&lt;/color&gt;，伤害&lt;color=#54b76b&gt;+45%&lt;/color&gt;</t>
  </si>
  <si>
    <t>[1210300]</t>
  </si>
  <si>
    <t>[5304253]</t>
  </si>
  <si>
    <t>亚瑟死亡时，立即召唤自身&lt;color=#54b76b&gt;30%&lt;/color&gt;最大生命值的警盾，持续&lt;color=#54b76b&gt;12&lt;/color&gt;秒，并嘲讽范围内全部敌人</t>
  </si>
  <si>
    <t>[5305253]</t>
  </si>
  <si>
    <t>[{8,1400}]</t>
  </si>
  <si>
    <t>亚瑟死亡时，立即召唤自身&lt;color=#54b76b&gt;40%&lt;/color&gt;最大生命值的警盾，持续&lt;color=#54b76b&gt;12&lt;/color&gt;秒，并嘲讽范围内全部敌人</t>
  </si>
  <si>
    <t>[5306253]</t>
  </si>
  <si>
    <t>亚瑟死亡时，立即召唤自身&lt;color=#54b76b&gt;50%&lt;/color&gt;最大生命值的警盾，持续&lt;color=#54b76b&gt;12&lt;/color&gt;秒，并嘲讽范围内全部敌人</t>
  </si>
  <si>
    <t>[5307253]</t>
  </si>
  <si>
    <t>[{8,2250}]</t>
  </si>
  <si>
    <t>亚瑟死亡时，立即召唤自身&lt;color=#54b76b&gt;60%&lt;/color&gt;最大生命值的警盾，持续&lt;color=#54b76b&gt;12&lt;/color&gt;秒，并嘲讽范围内全部敌人</t>
  </si>
  <si>
    <t>[5304254]</t>
  </si>
  <si>
    <t>亚瑟的[正当防卫]有&lt;color=#54b76b&gt;2%&lt;/color&gt;概率秒杀普通怪物（不超过亚瑟攻击力2500%）</t>
  </si>
  <si>
    <t>[5305254]</t>
  </si>
  <si>
    <t>亚瑟的[正当防卫]有&lt;color=#54b76b&gt;3%&lt;/color&gt;概率秒杀普通怪物（不超过亚瑟攻击力3000%）</t>
  </si>
  <si>
    <t>[5306254]</t>
  </si>
  <si>
    <t>亚瑟的[正当防卫]有&lt;color=#54b76b&gt;4%&lt;/color&gt;概率秒杀普通怪物（不超过亚瑟攻击力3500%）</t>
  </si>
  <si>
    <t>[5307254]</t>
  </si>
  <si>
    <t>亚瑟的[正当防卫]有&lt;color=#54b76b&gt;5%&lt;/color&gt;概率秒杀普通怪物（不超过亚瑟攻击力4000%）</t>
  </si>
  <si>
    <t>[5304255]</t>
  </si>
  <si>
    <t>亚瑟首次生命低于35%时，立刻恢复&lt;color=#54b76b&gt;20%&lt;/color&gt;最大生命值</t>
  </si>
  <si>
    <t>[5305255]</t>
  </si>
  <si>
    <t>[28]</t>
  </si>
  <si>
    <t>亚瑟首次生命低于35%时，立刻恢复&lt;color=#54b76b&gt;28%&lt;/color&gt;最大生命值</t>
  </si>
  <si>
    <t>[5306255]</t>
  </si>
  <si>
    <t>亚瑟首次生命低于35%时，立刻恢复&lt;color=#54b76b&gt;36%&lt;/color&gt;最大生命值</t>
  </si>
  <si>
    <t>[5307255]</t>
  </si>
  <si>
    <t>亚瑟首次生命低于35%时，立刻恢复&lt;color=#54b76b&gt;45%&lt;/color&gt;最大生命值</t>
  </si>
  <si>
    <t>[1130100]</t>
  </si>
  <si>
    <t>[{energy_recover_rate,1000},{energy_recover_finish_rate,2000}]</t>
  </si>
  <si>
    <t>[{8,2000}]</t>
  </si>
  <si>
    <t>东方不败攻击充能效率提高&lt;color=#54b76b&gt;10%&lt;/color&gt;，有&lt;color=#54b76b&gt;15%&lt;/color&gt;几率立即完成</t>
  </si>
  <si>
    <t>[{energy_recover_rate,1500},{energy_recover_finish_rate,2000}]</t>
  </si>
  <si>
    <t>[{8,2800}]</t>
  </si>
  <si>
    <t>东方不败攻击充能效率提高&lt;color=#54b76b&gt;15%&lt;/color&gt;，有&lt;color=#54b76b&gt;15%&lt;/color&gt;几率立即完成</t>
  </si>
  <si>
    <t>[{energy_recover_rate,2000},{energy_recover_finish_rate,2000}]</t>
  </si>
  <si>
    <t>[{8,3600}]</t>
  </si>
  <si>
    <t>东方不败攻击充能效率提高&lt;color=#54b76b&gt;20%&lt;/color&gt;，有&lt;color=#54b76b&gt;15%&lt;/color&gt;几率立即完成</t>
  </si>
  <si>
    <t>[{energy_recover_rate,3000},{energy_recover_finish_rate,2000}]</t>
  </si>
  <si>
    <t>[{8,4500}]</t>
  </si>
  <si>
    <t>东方不败攻击充能效率提高&lt;color=#54b76b&gt;30%&lt;/color&gt;，有&lt;color=#54b76b&gt;15%&lt;/color&gt;几率立即完成</t>
  </si>
  <si>
    <t>[5304258]</t>
  </si>
  <si>
    <t>[{battle_dmg_rate,-2000}]</t>
  </si>
  <si>
    <t>东方不败有&lt;color=#54b76b&gt;50%&lt;/color&gt;概率飞针+1，伤害&lt;color=#54b76b&gt;-20%&lt;/color&gt;</t>
  </si>
  <si>
    <t>[5305258]</t>
  </si>
  <si>
    <t>东方不败有&lt;color=#54b76b&gt;60%&lt;/color&gt;概率飞针+1，伤害&lt;color=#54b76b&gt;-20%&lt;/color&gt;</t>
  </si>
  <si>
    <t>[5306258]</t>
  </si>
  <si>
    <t>东方不败有&lt;color=#54b76b&gt;70%&lt;/color&gt;概率飞针+1，伤害&lt;color=#54b76b&gt;-20%&lt;/color&gt;</t>
  </si>
  <si>
    <t>[5307258]</t>
  </si>
  <si>
    <t>东方不败有&lt;color=#54b76b&gt;80%&lt;/color&gt;概率飞针+1，伤害&lt;color=#54b76b&gt;-20%&lt;/color&gt;</t>
  </si>
  <si>
    <t>[5304259]</t>
  </si>
  <si>
    <t>东方不败击杀目标时，攻速提升&lt;color=#54b76b&gt;30%&lt;/color&gt;，持续5秒</t>
  </si>
  <si>
    <t>[5305259]</t>
  </si>
  <si>
    <t>东方不败击杀目标时，攻速提升&lt;color=#54b76b&gt;40%&lt;/color&gt;，持续5秒</t>
  </si>
  <si>
    <t>[5306259]</t>
  </si>
  <si>
    <t>东方不败击杀目标时，攻速提升&lt;color=#54b76b&gt;50%&lt;/color&gt;，持续5秒</t>
  </si>
  <si>
    <t>[5307259]</t>
  </si>
  <si>
    <t>东方不败击杀目标时，攻速提升&lt;color=#54b76b&gt;60%&lt;/color&gt;，持续5秒</t>
  </si>
  <si>
    <t>[1530100]</t>
  </si>
  <si>
    <t>[5304261]</t>
  </si>
  <si>
    <t>镭射眼对减速的敌人造成伤害时，暴击率&lt;color=#54b76b&gt;+8%&lt;/color&gt;</t>
  </si>
  <si>
    <t>[5305261]</t>
  </si>
  <si>
    <t>镭射眼对减速的敌人造成伤害时，暴击率&lt;color=#54b76b&gt;+10%&lt;/color&gt;</t>
  </si>
  <si>
    <t>[5306261]</t>
  </si>
  <si>
    <t>镭射眼对减速的敌人造成伤害时，暴击率&lt;color=#54b76b&gt;+12%&lt;/color&gt;</t>
  </si>
  <si>
    <t>[5307261]</t>
  </si>
  <si>
    <t>[14]</t>
  </si>
  <si>
    <t>镭射眼对减速的敌人造成伤害时，暴击率&lt;color=#54b76b&gt;+14%&lt;/color&gt;</t>
  </si>
  <si>
    <t>[5304262]</t>
  </si>
  <si>
    <t>镭射眼对主目标的敌人造成暴击时，会额外造成最大生命值的&lt;color=#54b76b&gt;7%&lt;/color&gt;伤害（400%攻击力上限）</t>
  </si>
  <si>
    <t>[5305262]</t>
  </si>
  <si>
    <t>镭射眼对主目标的敌人造成暴击时，会额外造成最大生命值的&lt;color=#54b76b&gt;10%&lt;/color&gt;伤害（560%攻击力上限）</t>
  </si>
  <si>
    <t>[5306262]</t>
  </si>
  <si>
    <t>[13]</t>
  </si>
  <si>
    <t>镭射眼对主目标的敌人造成暴击时，会额外造成最大生命值的&lt;color=#54b76b&gt;13%&lt;/color&gt;伤害（720%攻击力上限）</t>
  </si>
  <si>
    <t>[5307262]</t>
  </si>
  <si>
    <t>镭射眼对主目标的敌人造成暴击时，会额外造成最大生命值的&lt;color=#54b76b&gt;16%&lt;/color&gt;伤害（900%攻击力上限）</t>
  </si>
  <si>
    <t>[5304263]</t>
  </si>
  <si>
    <t>[0.5]</t>
  </si>
  <si>
    <t>镭射眼暴击时，大招的冷却降低&lt;color=#54b76b&gt;0.5&lt;/color&gt;秒</t>
  </si>
  <si>
    <t>[5305263]</t>
  </si>
  <si>
    <t>[0.7]</t>
  </si>
  <si>
    <t>镭射眼暴击时，大招的冷却降低&lt;color=#54b76b&gt;0.7&lt;/color&gt;秒</t>
  </si>
  <si>
    <t>[5306263]</t>
  </si>
  <si>
    <t>[0.9]</t>
  </si>
  <si>
    <t>镭射眼暴击时，大招的冷却降低&lt;color=#54b76b&gt;0.9&lt;/color&gt;秒</t>
  </si>
  <si>
    <t>[5307263]</t>
  </si>
  <si>
    <t>[1.2]</t>
  </si>
  <si>
    <t>镭射眼暴击时，大招的冷却降低&lt;color=#54b76b&gt;1.2&lt;/color&gt;秒</t>
  </si>
  <si>
    <t>[1140200]</t>
  </si>
  <si>
    <t>[5304265]</t>
  </si>
  <si>
    <t>被神灯王子复活的梦灵，免疫所有伤害&lt;color=#54b76b&gt;1&lt;/color&gt;秒（最多生效4次）</t>
  </si>
  <si>
    <t>[5305265]</t>
  </si>
  <si>
    <t>被神灯王子复活的梦灵，免疫所有伤害&lt;color=#54b76b&gt;3&lt;/color&gt;秒（最多生效4次）</t>
  </si>
  <si>
    <t>[5306265]</t>
  </si>
  <si>
    <t>被神灯王子复活的梦灵，免疫所有伤害&lt;color=#54b76b&gt;5&lt;/color&gt;秒（最多生效4次）</t>
  </si>
  <si>
    <t>[5307265]</t>
  </si>
  <si>
    <t>被神灯王子复活的梦灵，免疫所有伤害&lt;color=#54b76b&gt;7&lt;/color&gt;秒（最多生效4次）</t>
  </si>
  <si>
    <t>[5304266]</t>
  </si>
  <si>
    <t>神灯王子【愿能】提供的充能加速效果&lt;color=#54b76b&gt;+15%&lt;/color&gt;</t>
  </si>
  <si>
    <t>[5305266]</t>
  </si>
  <si>
    <t>神灯王子【愿能】提供的充能加速效果&lt;color=#54b76b&gt;+30%&lt;/color&gt;</t>
  </si>
  <si>
    <t>[5306266]</t>
  </si>
  <si>
    <t>神灯王子【愿能】提供的充能加速效果&lt;color=#54b76b&gt;+45%&lt;/color&gt;</t>
  </si>
  <si>
    <t>[5307266]</t>
  </si>
  <si>
    <t>神灯王子【愿能】提供的充能加速效果&lt;color=#54b76b&gt;+60%&lt;/color&gt;</t>
  </si>
  <si>
    <t>[5304267]</t>
  </si>
  <si>
    <t>神灯王子攻击有&lt;color=#54b76b&gt;10%&lt;/color&gt;概率使全体梦灵获得：下次充能加速&lt;color=#54b76b&gt;+50%&lt;/color&gt;</t>
  </si>
  <si>
    <t>[5305267]</t>
  </si>
  <si>
    <t>[100]</t>
  </si>
  <si>
    <t>神灯王子攻击有&lt;color=#54b76b&gt;15%&lt;/color&gt;概率使全体梦灵获得：下次充能加速&lt;color=#54b76b&gt;+100%&lt;/color&gt;</t>
  </si>
  <si>
    <t>[5306267]</t>
  </si>
  <si>
    <t>神灯王子攻击有&lt;color=#54b76b&gt;15%&lt;/color&gt;概率使全体梦灵获得：下次充能加速&lt;color=#54b76b&gt;+200%&lt;/color&gt;</t>
  </si>
  <si>
    <t>[5307267]</t>
  </si>
  <si>
    <t>[300]</t>
  </si>
  <si>
    <t>神灯王子攻击有&lt;color=#54b76b&gt;15%&lt;/color&gt;概率使全体梦灵获得：下次充能加速&lt;color=#54b76b&gt;+300%&lt;/color&gt;</t>
  </si>
  <si>
    <t>[1140100]</t>
  </si>
  <si>
    <t>[5304269]</t>
  </si>
  <si>
    <t>唐小僧[符咒]消失时爆炸，造成&lt;color=#54b76b&gt;20%&lt;/color&gt;伤害</t>
  </si>
  <si>
    <t>[5305269]</t>
  </si>
  <si>
    <t>唐小僧[符咒]消失时爆炸，造成&lt;color=#54b76b&gt;28%&lt;/color&gt;伤害</t>
  </si>
  <si>
    <t>[5306269]</t>
  </si>
  <si>
    <t>唐小僧[符咒]消失时爆炸，造成&lt;color=#54b76b&gt;36%&lt;/color&gt;伤害</t>
  </si>
  <si>
    <t>[5307269]</t>
  </si>
  <si>
    <t>唐小僧[符咒]消失时爆炸，造成&lt;color=#54b76b&gt;45%&lt;/color&gt;伤害</t>
  </si>
  <si>
    <t>[5304270]</t>
  </si>
  <si>
    <t>唐小僧攻击被&lt;color=#54b76b&gt;[控制]&lt;/color&gt;的目标时，暴击率&lt;color=#54b76b&gt;+8%&lt;/color&gt;</t>
  </si>
  <si>
    <t>[5305270]</t>
  </si>
  <si>
    <t>唐小僧攻击被&lt;color=#54b76b&gt;[控制]&lt;/color&gt;的目标时，暴击率&lt;color=#54b76b&gt;+10%&lt;/color&gt;</t>
  </si>
  <si>
    <t>[5306270]</t>
  </si>
  <si>
    <t>唐小僧攻击被&lt;color=#54b76b&gt;[控制]&lt;/color&gt;的目标时，暴击率&lt;color=#54b76b&gt;+12%&lt;/color&gt;</t>
  </si>
  <si>
    <t>[5307270]</t>
  </si>
  <si>
    <t>唐小僧攻击被&lt;color=#54b76b&gt;[控制]&lt;/color&gt;的目标时，暴击率&lt;color=#54b76b&gt;+14%&lt;/color&gt;</t>
  </si>
  <si>
    <t>[5304271]</t>
  </si>
  <si>
    <t>唐小僧[木鱼]释放时&lt;color=#54b76b&gt;20%&lt;/color&gt;几率数量&lt;color=#54b76b&gt;+1&lt;/color&gt;</t>
  </si>
  <si>
    <t>[5305271]</t>
  </si>
  <si>
    <t>唐小僧[木鱼]释放时&lt;color=#54b76b&gt;28%&lt;/color&gt;几率数量&lt;color=#54b76b&gt;+1&lt;/color&gt;</t>
  </si>
  <si>
    <t>[5306271]</t>
  </si>
  <si>
    <t>唐小僧[木鱼]释放时&lt;color=#54b76b&gt;35%&lt;/color&gt;几率数量&lt;color=#54b76b&gt;+1&lt;/color&gt;</t>
  </si>
  <si>
    <t>[5307271]</t>
  </si>
  <si>
    <t>唐小僧[木鱼]释放时&lt;color=#54b76b&gt;45%&lt;/color&gt;几率数量&lt;color=#54b76b&gt;+1&lt;/color&gt;</t>
  </si>
  <si>
    <t>[1430700]</t>
  </si>
  <si>
    <t>[5304273]</t>
  </si>
  <si>
    <t>蜘蛛女皇的地刺叠加&lt;color=#54b76b&gt;1层&lt;/color&gt;中毒</t>
  </si>
  <si>
    <t>[5305273]</t>
  </si>
  <si>
    <t>蜘蛛女皇的地刺叠加&lt;color=#54b76b&gt;1层&lt;/color&gt;中毒（&lt;color=#54b76b&gt;40%&lt;/color&gt;概率2层）</t>
  </si>
  <si>
    <t>[5306273]</t>
  </si>
  <si>
    <t>蜘蛛女皇的地刺叠加&lt;color=#54b76b&gt;1层&lt;/color&gt;中毒（&lt;color=#54b76b&gt;70%&lt;/color&gt;概率2层）</t>
  </si>
  <si>
    <t>[5307273]</t>
  </si>
  <si>
    <t>蜘蛛女皇的地刺叠加&lt;color=#54b76b&gt;2层&lt;/color&gt;中毒</t>
  </si>
  <si>
    <t>[5304274]</t>
  </si>
  <si>
    <t>蜘蛛女皇对目标有&lt;color=#54b76b&gt;30%&lt;/color&gt;几率释放蜘蛛网，减速&lt;color=#54b76b&gt;30%&lt;/color&gt;，&lt;color=#54b76b&gt;2秒&lt;/color&gt;</t>
  </si>
  <si>
    <t>[5305274]</t>
  </si>
  <si>
    <t>蜘蛛女皇对目标有&lt;color=#54b76b&gt;30%&lt;/color&gt;几率释放蜘蛛网，减速&lt;color=#54b76b&gt;40%&lt;/color&gt;，&lt;color=#54b76b&gt;2秒&lt;/color&gt;</t>
  </si>
  <si>
    <t>[5306274]</t>
  </si>
  <si>
    <t>蜘蛛女皇对目标有&lt;color=#54b76b&gt;30%&lt;/color&gt;几率释放蜘蛛网，减速&lt;color=#54b76b&gt;50%&lt;/color&gt;，&lt;color=#54b76b&gt;2秒&lt;/color&gt;</t>
  </si>
  <si>
    <t>[5307274]</t>
  </si>
  <si>
    <t>蜘蛛女皇对目标有&lt;color=#54b76b&gt;30%&lt;/color&gt;几率释放蜘蛛网，减速&lt;color=#54b76b&gt;60%&lt;/color&gt;，&lt;color=#54b76b&gt;2秒&lt;/color&gt;</t>
  </si>
  <si>
    <t>[{dot_hit_rate,2000},{drug_ignore_red,2000}]</t>
  </si>
  <si>
    <t>蜘蛛女皇的中毒伤害&lt;color=#54b76b&gt;+20%&lt;/color&gt;，忽视中毒抗性&lt;color=#54b76b&gt;+20%&lt;/color&gt;</t>
  </si>
  <si>
    <t>[{dot_hit_rate,2800},{drug_ignore_red,2000}]</t>
  </si>
  <si>
    <t>蜘蛛女皇的中毒伤害&lt;color=#54b76b&gt;+28%&lt;/color&gt;，忽视中毒抗性&lt;color=#54b76b&gt;+20%&lt;/color&gt;</t>
  </si>
  <si>
    <t>[{dot_hit_rate,3600},{drug_ignore_red,2000}]</t>
  </si>
  <si>
    <t>蜘蛛女皇的中毒伤害&lt;color=#54b76b&gt;+36%&lt;/color&gt;，忽视中毒抗性&lt;color=#54b76b&gt;+20%&lt;/color&gt;</t>
  </si>
  <si>
    <t>[{dot_hit_rate,4500},{drug_ignore_red,2000}]</t>
  </si>
  <si>
    <t>蜘蛛女皇的中毒伤害&lt;color=#54b76b&gt;+45%&lt;/color&gt;，忽视中毒抗性&lt;color=#54b76b&gt;+20%&lt;/color&gt;</t>
  </si>
  <si>
    <t>[1410200]</t>
  </si>
  <si>
    <t>[5304277]</t>
  </si>
  <si>
    <t>海拉释放奥义后，下次攻击&lt;color=#54b76b&gt;40%&lt;/color&gt;概率灵魂&lt;color=#54b76b&gt;+10&lt;/color&gt;层</t>
  </si>
  <si>
    <t>[5305277]</t>
  </si>
  <si>
    <t>海拉释放强化普攻后，下次普攻有&lt;color=#54b76b&gt;25%&lt;/color&gt;概率灵魂&lt;color=#54b76b&gt;+30&lt;/color&gt;层灵魂</t>
  </si>
  <si>
    <t>[5306277]</t>
  </si>
  <si>
    <t>海拉释放强化普攻后，下次普攻有&lt;color=#54b76b&gt;30%&lt;/color&gt;概率灵魂&lt;color=#54b76b&gt;+30&lt;/color&gt;层灵魂</t>
  </si>
  <si>
    <t>[5307277]</t>
  </si>
  <si>
    <t>海拉释放强化普攻后，下次普攻有&lt;color=#54b76b&gt;35%&lt;/color&gt;概率灵魂&lt;color=#54b76b&gt;+30&lt;/color&gt;层灵魂</t>
  </si>
  <si>
    <t>[5304278]</t>
  </si>
  <si>
    <t>海拉每获得1层灵魂，攻速&lt;color=#54b76b&gt;+3%&lt;/color&gt;</t>
  </si>
  <si>
    <t>[5305278]</t>
  </si>
  <si>
    <t>海拉每获得1层灵魂，攻速&lt;color=#54b76b&gt;+4%&lt;/color&gt;</t>
  </si>
  <si>
    <t>[5306278]</t>
  </si>
  <si>
    <t>海拉每获得1层灵魂，攻速&lt;color=#54b76b&gt;+6%&lt;/color&gt;</t>
  </si>
  <si>
    <t>[5307278]</t>
  </si>
  <si>
    <t>海拉每获得1层灵魂，攻速&lt;color=#54b76b&gt;+8%&lt;/color&gt;</t>
  </si>
  <si>
    <t>[5304279]</t>
  </si>
  <si>
    <t>海拉每层【灵魂】伤害加成效果提升&lt;color=#54b76b&gt;80%&lt;/color&gt;</t>
  </si>
  <si>
    <t>[5305279]</t>
  </si>
  <si>
    <t>海拉每层[灵魂]使伤害&lt;color=#54b76b&gt;+2%&lt;/color&gt;</t>
  </si>
  <si>
    <t>[5306279]</t>
  </si>
  <si>
    <t>[2.5]</t>
  </si>
  <si>
    <t>海拉每层[灵魂]使伤害&lt;color=#54b76b&gt;+2.5%&lt;/color&gt;</t>
  </si>
  <si>
    <t>[5307279]</t>
  </si>
  <si>
    <t>海拉每层[灵魂]使伤害&lt;color=#54b76b&gt;+3%&lt;/color&gt;</t>
  </si>
  <si>
    <t>[1530200]</t>
  </si>
  <si>
    <t>[5304281]</t>
  </si>
  <si>
    <t>后羿每次命中敌人有&lt;color=#54b76b&gt;25%&lt;/color&gt;几率分出一支射向怪物的箭</t>
  </si>
  <si>
    <t>[5305281]</t>
  </si>
  <si>
    <t>后羿每次命中敌人有&lt;color=#54b76b&gt;35%&lt;/color&gt;几率分出一支射向怪物的箭</t>
  </si>
  <si>
    <t>[5306281]</t>
  </si>
  <si>
    <t>后羿每次命中敌人有&lt;color=#54b76b&gt;50%&lt;/color&gt;几率分出一支射向怪物的箭</t>
  </si>
  <si>
    <t>[5307281]</t>
  </si>
  <si>
    <t>后羿每次命中敌人有&lt;color=#54b76b&gt;75%&lt;/color&gt;几率分出一支射向怪物的箭</t>
  </si>
  <si>
    <t>[5304282]</t>
  </si>
  <si>
    <t>[250]</t>
  </si>
  <si>
    <t>后羿充能后提高&lt;color=#54b76b&gt;250%&lt;/color&gt;攻速，持续3s</t>
  </si>
  <si>
    <t>[5305282]</t>
  </si>
  <si>
    <t>[350]</t>
  </si>
  <si>
    <t>后羿充能后提高&lt;color=#54b76b&gt;350%&lt;/color&gt;攻速，持续3s</t>
  </si>
  <si>
    <t>[5306282]</t>
  </si>
  <si>
    <t>[450]</t>
  </si>
  <si>
    <t>后羿充能后提高&lt;color=#54b76b&gt;450%&lt;/color&gt;攻速，持续3s</t>
  </si>
  <si>
    <t>[5307282]</t>
  </si>
  <si>
    <t>[550]</t>
  </si>
  <si>
    <t>后羿充能后提高&lt;color=#54b76b&gt;550%&lt;/color&gt;攻速，持续3s</t>
  </si>
  <si>
    <t>[5304283]</t>
  </si>
  <si>
    <t>后羿添加喉咙上火标记时&lt;color=#54b76b&gt;50%&lt;/color&gt;几率立即叠满</t>
  </si>
  <si>
    <t>[5305283]</t>
  </si>
  <si>
    <t>后羿添加喉咙上火标记时&lt;color=#54b76b&gt;70%&lt;/color&gt;几率立即叠满</t>
  </si>
  <si>
    <t>[5306283]</t>
  </si>
  <si>
    <t>[85]</t>
  </si>
  <si>
    <t>后羿添加喉咙上火标记时&lt;color=#54b76b&gt;85%&lt;/color&gt;几率立即叠满</t>
  </si>
  <si>
    <t>[5307283]</t>
  </si>
  <si>
    <t>后羿添加喉咙上火标记时&lt;color=#54b76b&gt;100%&lt;/color&gt;几率立即叠满</t>
  </si>
  <si>
    <t>[1420300]</t>
  </si>
  <si>
    <t>[5304285]</t>
  </si>
  <si>
    <t>诸葛奥义会对怪物追击最大生命值&lt;color=#54b76b&gt;6%&lt;/color&gt;的血量伤害（不超过1200%攻击力）</t>
  </si>
  <si>
    <t>[5305285]</t>
  </si>
  <si>
    <t>诸葛奥义会对怪物追击最大生命值&lt;color=#54b76b&gt;8%&lt;/color&gt;的血量伤害（不超过1600%攻击力）</t>
  </si>
  <si>
    <t>[5306285]</t>
  </si>
  <si>
    <t>诸葛奥义会对怪物追击最大生命值&lt;color=#54b76b&gt;10%&lt;/color&gt;的血量伤害（不超过2000%攻击力）</t>
  </si>
  <si>
    <t>[5307285]</t>
  </si>
  <si>
    <t>诸葛奥义会对怪物追击最大生命值&lt;color=#54b76b&gt;12%&lt;/color&gt;的血量伤害（不超过2500%攻击力）</t>
  </si>
  <si>
    <t>[5304286]</t>
  </si>
  <si>
    <t>[155]</t>
  </si>
  <si>
    <t>诸葛龙卷的暴击伤害在80%~&lt;color=#54b76b&gt;155%&lt;/color&gt;之间波动</t>
  </si>
  <si>
    <t>[5305286]</t>
  </si>
  <si>
    <t>[165]</t>
  </si>
  <si>
    <t>诸葛龙卷的暴击伤害在80%~&lt;color=#54b76b&gt;165%&lt;/color&gt;之间波动</t>
  </si>
  <si>
    <t>[5306286]</t>
  </si>
  <si>
    <t>[175]</t>
  </si>
  <si>
    <t>诸葛龙卷的暴击伤害在80%~&lt;color=#54b76b&gt;175%&lt;/color&gt;之间波动</t>
  </si>
  <si>
    <t>[5307286]</t>
  </si>
  <si>
    <t>[185]</t>
  </si>
  <si>
    <t>诸葛龙卷的暴击伤害在80%~&lt;color=#54b76b&gt;185%&lt;/color&gt;之间波动</t>
  </si>
  <si>
    <t>[5304287]</t>
  </si>
  <si>
    <t>[0.07]</t>
  </si>
  <si>
    <t>诸葛奥义每击杀1个敌人会延长下次奥义持续时间&lt;color=#54b76b&gt;0.07&lt;/color&gt;秒，上限3秒</t>
  </si>
  <si>
    <t>[5305287]</t>
  </si>
  <si>
    <t>[0.1]</t>
  </si>
  <si>
    <t>诸葛奥义每击杀1个敌人会延长下次奥义持续时间&lt;color=#54b76b&gt;0.1&lt;/color&gt;秒，上限3.5秒</t>
  </si>
  <si>
    <t>[5306287]</t>
  </si>
  <si>
    <t>[0.13]</t>
  </si>
  <si>
    <t>诸葛奥义每击杀1个敌人会延长下次奥义持续时间&lt;color=#54b76b&gt;0.13&lt;/color&gt;秒，上限4秒</t>
  </si>
  <si>
    <t>[5307287]</t>
  </si>
  <si>
    <t>[0.16]</t>
  </si>
  <si>
    <t>诸葛奥义每击杀1个敌人会延长下次奥义持续时间&lt;color=#54b76b&gt;0.16&lt;/color&gt;秒，上限5秒</t>
  </si>
  <si>
    <t>[1130200]</t>
  </si>
  <si>
    <t>[5304294]</t>
  </si>
  <si>
    <t>我爱沙守鹤击杀敌人，恢复自身&lt;color=#31921E&gt;0.5%&lt;/color&gt;最大生命，持续时间&lt;color=#31921E&gt;+0.5&lt;/color&gt;秒，最多增加&lt;color=#31921E&gt;2.5&lt;/color&gt;秒</t>
  </si>
  <si>
    <t>[5305294]</t>
  </si>
  <si>
    <t>我爱沙守鹤击杀敌人，恢复自身&lt;color=#31921E&gt;1%&lt;/color&gt;最大生命，持续时间&lt;color=#31921E&gt;+0.5&lt;/color&gt;秒，最多增加&lt;color=#31921E&gt;5&lt;/color&gt;秒</t>
  </si>
  <si>
    <t>[5306294]</t>
  </si>
  <si>
    <t>我爱沙守鹤击杀敌人，恢复自身&lt;color=#31921E&gt;1%&lt;/color&gt;最大生命，持续时间&lt;color=#31921E&gt;1&lt;/color&gt;秒，最多增加&lt;color=#31921E&gt;8&lt;/color&gt;秒</t>
  </si>
  <si>
    <t>[5307294]</t>
  </si>
  <si>
    <t>我爱沙守鹤击杀敌人，恢复自身&lt;color=#31921E&gt;1.5%&lt;/color&gt;最大生命，持续时间&lt;color=#31921E&gt;1&lt;/color&gt;秒，最多增加&lt;color=#31921E&gt;10&lt;/color&gt;秒</t>
  </si>
  <si>
    <t>[5304295]</t>
  </si>
  <si>
    <t>我爱沙陷流之沙的护盾效果&lt;color=#31921E&gt;+25%&lt;/color&gt;</t>
  </si>
  <si>
    <t>[5305295]</t>
  </si>
  <si>
    <t>我爱沙陷流之沙的护盾效果&lt;color=#31921E&gt;+35%&lt;/color&gt;</t>
  </si>
  <si>
    <t>[5306295]</t>
  </si>
  <si>
    <t>我爱沙陷流之沙的护盾效果&lt;color=#31921E&gt;+45%&lt;/color&gt;</t>
  </si>
  <si>
    <t>[5307295]</t>
  </si>
  <si>
    <t>我爱沙陷流之沙的护盾效果&lt;color=#31921E&gt;+55%&lt;/color&gt;</t>
  </si>
  <si>
    <t>[5304296]</t>
  </si>
  <si>
    <t>我爱沙陷流之沙的沙环伤害&lt;color=#31921E&gt;+25%&lt;/color&gt;</t>
  </si>
  <si>
    <t>[5305296]</t>
  </si>
  <si>
    <t>我爱沙陷流之沙的沙环伤害&lt;color=#31921E&gt;+35%&lt;/color&gt;</t>
  </si>
  <si>
    <t>[5306296]</t>
  </si>
  <si>
    <t>我爱沙陷流之沙的沙环伤害&lt;color=#31921E&gt;+45%&lt;/color&gt;</t>
  </si>
  <si>
    <t>[5307296]</t>
  </si>
  <si>
    <t>我爱沙陷流之沙的沙环伤害&lt;color=#31921E&gt;+55%&lt;/color&gt;</t>
  </si>
  <si>
    <t>[1120100]</t>
  </si>
  <si>
    <t>[5304289]</t>
  </si>
  <si>
    <t>[1200]</t>
  </si>
  <si>
    <t>妲己狂热粉丝解除魅惑时, 会受到妲己&lt;color=#54b76b&gt;1200%&lt;/color&gt;攻击力的伤害</t>
  </si>
  <si>
    <t>[5305289]</t>
  </si>
  <si>
    <t>[1600]</t>
  </si>
  <si>
    <t>妲己狂热粉丝解除魅惑时, 会受到妲己&lt;color=#54b76b&gt;1600%&lt;/color&gt;攻击力的伤害</t>
  </si>
  <si>
    <t>[5306289]</t>
  </si>
  <si>
    <t>[2000]</t>
  </si>
  <si>
    <t>妲己狂热粉丝解除魅惑时, 会受到妲己&lt;color=#54b76b&gt;2000%&lt;/color&gt;攻击力的伤害</t>
  </si>
  <si>
    <t>[5307289]</t>
  </si>
  <si>
    <t>[2400]</t>
  </si>
  <si>
    <t>妲己狂热粉丝解除魅惑时, 会受到妲己&lt;color=#54b76b&gt;2400%&lt;/color&gt;攻击力的伤害</t>
  </si>
  <si>
    <t>[5304290]</t>
  </si>
  <si>
    <t>妲己每次普攻有&lt;color=#54b76b&gt;25%&lt;/color&gt;概率使下次普攻直接变成强化狐火</t>
  </si>
  <si>
    <t>[5305290]</t>
  </si>
  <si>
    <t>妲己每次普攻有&lt;color=#54b76b&gt;35%&lt;/color&gt;概率使下次普攻直接变成强化狐火</t>
  </si>
  <si>
    <t>[5306290]</t>
  </si>
  <si>
    <t>妲己每次普攻有&lt;color=#54b76b&gt;45%&lt;/color&gt;概率使下次普攻直接变成强化狐火</t>
  </si>
  <si>
    <t>[5307290]</t>
  </si>
  <si>
    <t>妲己每次普攻有&lt;color=#54b76b&gt;55%&lt;/color&gt;概率使下次普攻直接变成强化狐火</t>
  </si>
  <si>
    <t>[5304291]</t>
  </si>
  <si>
    <t>妲己狐火持续时间&lt;color=#54b76b&gt;+1&lt;/color&gt;秒,若狐火击杀敌人则有&lt;color=#54b76b&gt;55%&lt;/color&gt;概率使本次狐火弹射+&lt;color=#54b76b&gt;1&lt;/color&gt;</t>
  </si>
  <si>
    <t>[5305291]</t>
  </si>
  <si>
    <t>妲己狐火持续时间&lt;color=#54b76b&gt;+1&lt;/color&gt;秒,若狐火击杀敌人则有&lt;color=#54b76b&gt;70%&lt;/color&gt;概率使本次狐火弹射+&lt;color=#54b76b&gt;1&lt;/color&gt;</t>
  </si>
  <si>
    <t>[5306291]</t>
  </si>
  <si>
    <t>妲己狐火持续时间&lt;color=#54b76b&gt;+2&lt;/color&gt;秒,若狐火击杀敌人则有&lt;color=#54b76b&gt;85%&lt;/color&gt;概率使本次狐火弹射+&lt;color=#54b76b&gt;1&lt;/color&gt;</t>
  </si>
  <si>
    <t>[5307291]</t>
  </si>
  <si>
    <t>妲己狐火持续时间&lt;color=#54b76b&gt;+3&lt;/color&gt;秒,若狐火击杀敌人则有&lt;color=#54b76b&gt;100%&lt;/color&gt;概率使本次狐火弹射+&lt;color=#54b76b&gt;1&lt;/color&gt;</t>
  </si>
  <si>
    <t>部位列表</t>
  </si>
  <si>
    <r>
      <rPr>
        <b/>
        <sz val="10"/>
        <color rgb="FFFA7D00"/>
        <rFont val="微软雅黑"/>
        <charset val="134"/>
      </rPr>
      <t xml:space="preserve">洗练权重
重铸时使用的权重
</t>
    </r>
    <r>
      <rPr>
        <b/>
        <sz val="10"/>
        <color rgb="FFFF0000"/>
        <rFont val="微软雅黑"/>
        <charset val="134"/>
      </rPr>
      <t>万分比</t>
    </r>
  </si>
  <si>
    <t>洗练保底次数</t>
  </si>
  <si>
    <t>洗练权重
生成时使用的权重
万分比</t>
  </si>
  <si>
    <t>guaranteed</t>
  </si>
  <si>
    <t>compose_weight</t>
  </si>
  <si>
    <t>compose_guaranteed</t>
  </si>
  <si>
    <t>improve_threshold_floor</t>
  </si>
  <si>
    <t>graduate_cost_per_floor</t>
  </si>
  <si>
    <t>grade_display_order</t>
  </si>
  <si>
    <t>序号</t>
  </si>
  <si>
    <t>道具ID</t>
  </si>
  <si>
    <t>道具名称</t>
  </si>
  <si>
    <t>类别</t>
  </si>
  <si>
    <t>钻石价值</t>
  </si>
  <si>
    <t>RMB售价</t>
  </si>
  <si>
    <t>途径1</t>
  </si>
  <si>
    <t>途径2</t>
  </si>
  <si>
    <t>标准折扣</t>
  </si>
  <si>
    <t>备注</t>
  </si>
  <si>
    <t>整体思路</t>
  </si>
  <si>
    <t>钻石</t>
  </si>
  <si>
    <t>货币类</t>
  </si>
  <si>
    <t>任务/成就/主线三星</t>
  </si>
  <si>
    <t>充值</t>
  </si>
  <si>
    <t>做各阶层的能力阶梯</t>
  </si>
  <si>
    <t>体力</t>
  </si>
  <si>
    <t>快捷购买</t>
  </si>
  <si>
    <t>金币</t>
  </si>
  <si>
    <t>日周月商店</t>
  </si>
  <si>
    <t>星珀</t>
  </si>
  <si>
    <t>每日特惠</t>
  </si>
  <si>
    <t>排行冲刺</t>
  </si>
  <si>
    <t>做中R的付费质感（前期中R）</t>
  </si>
  <si>
    <t>战令宝箱</t>
  </si>
  <si>
    <t>每日特惠宝箱</t>
  </si>
  <si>
    <t>咩菲特的雕像</t>
  </si>
  <si>
    <t>织梦宝箱</t>
  </si>
  <si>
    <t>筑梦快递箱</t>
  </si>
  <si>
    <t>筑梦典藏箱</t>
  </si>
  <si>
    <t>巡航门票</t>
  </si>
  <si>
    <t>超能特饮</t>
  </si>
  <si>
    <t>能量特饮</t>
  </si>
  <si>
    <t>梦灵类</t>
  </si>
  <si>
    <t>体力产出</t>
  </si>
  <si>
    <t>做非R的基础体验</t>
  </si>
  <si>
    <t>梦境招募券</t>
  </si>
  <si>
    <t>情绪净化/主线任务</t>
  </si>
  <si>
    <t>商店购买</t>
  </si>
  <si>
    <t>做各阶层的能力阶梯（前期质变）</t>
  </si>
  <si>
    <t>梦愿水晶</t>
  </si>
  <si>
    <t>招募累计</t>
  </si>
  <si>
    <t>心愿招募</t>
  </si>
  <si>
    <t>神灯</t>
  </si>
  <si>
    <t>限定招募</t>
  </si>
  <si>
    <t>做大R的付费边界（后期质变）</t>
  </si>
  <si>
    <t>稀有梦灵</t>
  </si>
  <si>
    <t>英雄招募</t>
  </si>
  <si>
    <t>史诗梦灵</t>
  </si>
  <si>
    <t>传说梦灵</t>
  </si>
  <si>
    <t>神话梦灵</t>
  </si>
  <si>
    <t>彩虹梦灵</t>
  </si>
  <si>
    <t>稀有梦灵碎片</t>
  </si>
  <si>
    <t>史诗梦灵碎片</t>
  </si>
  <si>
    <t>传说梦灵碎片</t>
  </si>
  <si>
    <t>神话梦灵碎片</t>
  </si>
  <si>
    <t>彩虹梦灵碎片</t>
  </si>
  <si>
    <t>公会贡献</t>
  </si>
  <si>
    <t>转运石</t>
  </si>
  <si>
    <t>友情值</t>
  </si>
  <si>
    <t>装备强化书</t>
  </si>
  <si>
    <t>装备类</t>
  </si>
  <si>
    <t>做非R长线活跃养成</t>
  </si>
  <si>
    <t>锻造晶石</t>
  </si>
  <si>
    <t>装备洗练</t>
  </si>
  <si>
    <t>主线装备箱</t>
  </si>
  <si>
    <t>队长大箱子</t>
  </si>
  <si>
    <t>队长小箱子</t>
  </si>
  <si>
    <t>随机普通装备</t>
  </si>
  <si>
    <t>随机优秀装备</t>
  </si>
  <si>
    <t>随机稀有装备</t>
  </si>
  <si>
    <t>随机史诗装备</t>
  </si>
  <si>
    <t>随机传说装备</t>
  </si>
  <si>
    <t>随机神话装备</t>
  </si>
  <si>
    <t>随机创世装备</t>
  </si>
  <si>
    <t>初愿摇杆</t>
  </si>
  <si>
    <t>宝石类</t>
  </si>
  <si>
    <t>宝石低抽</t>
  </si>
  <si>
    <t>秘藏摇杆</t>
  </si>
  <si>
    <t>宝石高抽</t>
  </si>
  <si>
    <t>符引结晶</t>
  </si>
  <si>
    <t>低级洗练石</t>
  </si>
  <si>
    <t>幻梦晶核</t>
  </si>
  <si>
    <t>高级洗练石</t>
  </si>
  <si>
    <t>做中R的付费质感</t>
  </si>
  <si>
    <t>白宝石</t>
  </si>
  <si>
    <t>绿宝石</t>
  </si>
  <si>
    <t>蓝宝石</t>
  </si>
  <si>
    <t>紫宝石</t>
  </si>
  <si>
    <t>橙宝石</t>
  </si>
  <si>
    <t>红宝石</t>
  </si>
  <si>
    <t>做大R的付费质感</t>
  </si>
  <si>
    <t>彩宝石</t>
  </si>
  <si>
    <t>做大R的付费边界</t>
  </si>
  <si>
    <t>符文宝箱</t>
  </si>
  <si>
    <t>织梦微尘</t>
  </si>
  <si>
    <t>基因类</t>
  </si>
  <si>
    <t>基因低级材料</t>
  </si>
  <si>
    <t>潜能棱晶</t>
  </si>
  <si>
    <t>主线三星</t>
  </si>
  <si>
    <t>基因高级材料</t>
  </si>
  <si>
    <t>加速沙漏</t>
  </si>
  <si>
    <t>通过SS类活动做分层</t>
  </si>
  <si>
    <t>晶石</t>
  </si>
  <si>
    <t>秘宝类</t>
  </si>
  <si>
    <t>公会活动</t>
  </si>
  <si>
    <t>竞技场币</t>
  </si>
  <si>
    <t>抽奖道具</t>
  </si>
  <si>
    <t>运营活动</t>
  </si>
  <si>
    <t>史诗梦灵皮肤</t>
  </si>
  <si>
    <t>传说梦灵皮肤</t>
  </si>
  <si>
    <t>神话梦灵皮肤</t>
  </si>
  <si>
    <t>传说武器皮肤</t>
  </si>
  <si>
    <t>神话武器皮肤</t>
  </si>
  <si>
    <t>传说时装皮肤</t>
  </si>
  <si>
    <t>做中小R的钻销体系+大R的付费隔绝</t>
  </si>
  <si>
    <t>神话时装皮肤</t>
  </si>
  <si>
    <t>传说船体皮肤</t>
  </si>
  <si>
    <t>神话船体皮肤</t>
  </si>
  <si>
    <t>品质梯度调优</t>
  </si>
  <si>
    <t>职业ID</t>
  </si>
  <si>
    <t>每关倍率</t>
  </si>
  <si>
    <t>有效目标提升阈值</t>
  </si>
  <si>
    <t>毕业判定阈值</t>
  </si>
  <si>
    <t>job_type</t>
  </si>
  <si>
    <t>floor_ratio</t>
  </si>
  <si>
    <t>射手</t>
  </si>
  <si>
    <t>状态模块</t>
  </si>
  <si>
    <t>部位</t>
  </si>
  <si>
    <t>槽位序号</t>
  </si>
  <si>
    <t>符文ID</t>
  </si>
  <si>
    <t>符文级别</t>
  </si>
  <si>
    <t>part</t>
  </si>
  <si>
    <t>slot_index</t>
  </si>
  <si>
    <t>enabled</t>
  </si>
  <si>
    <t>连续未出该级别次数</t>
  </si>
  <si>
    <t>连续未通过该级别变强次数</t>
  </si>
  <si>
    <t>期望刷新次数</t>
  </si>
  <si>
    <t>miss_count</t>
  </si>
  <si>
    <t>miss_upgrade_count</t>
  </si>
  <si>
    <t>控制模块</t>
  </si>
  <si>
    <t>wash_count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</si>
</sst>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8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[=0]&quot;&quot;;General"/>
    <numFmt numFmtId="178" formatCode="0.0%"/>
    <numFmt numFmtId="179" formatCode="0.0_ "/>
  </numFmts>
  <fonts count="40">
    <font>
      <sz val="11"/>
      <color theme="1"/>
      <name val="宋体"/>
      <charset val="134"/>
      <scheme val="minor"/>
    </font>
    <font>
      <b/>
      <sz val="10"/>
      <color rgb="FFFA7D00"/>
      <name val="微软雅黑"/>
      <charset val="134"/>
    </font>
    <font>
      <sz val="9.75"/>
      <color rgb="FFCCCCCC"/>
      <name val="Segoe UI"/>
      <charset val="134"/>
    </font>
    <font>
      <b/>
      <sz val="10"/>
      <color rgb="FFFFFFFF"/>
      <name val="微软雅黑"/>
      <charset val="134"/>
    </font>
    <font>
      <sz val="10"/>
      <color theme="1"/>
      <name val="微软雅黑"/>
      <charset val="134"/>
    </font>
    <font>
      <b/>
      <sz val="10"/>
      <color rgb="FFFF0000"/>
      <name val="微软雅黑"/>
      <charset val="134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2"/>
      <color rgb="FF000000"/>
      <name val="微软雅黑"/>
      <charset val="134"/>
    </font>
    <font>
      <b/>
      <sz val="9"/>
      <color indexed="53"/>
      <name val="微软雅黑"/>
      <charset val="134"/>
    </font>
    <font>
      <sz val="9"/>
      <color indexed="8"/>
      <name val="微软雅黑"/>
      <charset val="134"/>
    </font>
    <font>
      <sz val="9"/>
      <name val="微软雅黑"/>
      <charset val="134"/>
    </font>
    <font>
      <b/>
      <sz val="9"/>
      <color indexed="30"/>
      <name val="微软雅黑"/>
      <charset val="134"/>
    </font>
    <font>
      <sz val="9"/>
      <color indexed="30"/>
      <name val="微软雅黑"/>
      <charset val="134"/>
    </font>
    <font>
      <sz val="9"/>
      <color indexed="62"/>
      <name val="微软雅黑"/>
      <charset val="134"/>
    </font>
    <font>
      <sz val="9"/>
      <color indexed="8"/>
      <name val="å®ä½"/>
      <charset val="134"/>
    </font>
    <font>
      <b/>
      <sz val="18"/>
      <color theme="1"/>
      <name val="微软雅黑"/>
      <charset val="134"/>
    </font>
    <font>
      <b/>
      <sz val="10"/>
      <color theme="1"/>
      <name val="微软雅黑"/>
      <charset val="134"/>
    </font>
    <font>
      <sz val="10"/>
      <color rgb="FF000000"/>
      <name val="等线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0"/>
      <scheme val="minor"/>
    </font>
    <font>
      <sz val="9"/>
      <name val="宋体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2" borderId="7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6" fillId="0" borderId="9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13" borderId="10" applyNumberFormat="0" applyAlignment="0" applyProtection="0">
      <alignment vertical="center"/>
    </xf>
    <xf numFmtId="0" fontId="28" fillId="14" borderId="11" applyNumberFormat="0" applyAlignment="0" applyProtection="0">
      <alignment vertical="center"/>
    </xf>
    <xf numFmtId="0" fontId="29" fillId="14" borderId="10" applyNumberFormat="0" applyAlignment="0" applyProtection="0">
      <alignment vertical="center"/>
    </xf>
    <xf numFmtId="0" fontId="30" fillId="15" borderId="12" applyNumberFormat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5" fillId="2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29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7" fillId="36" borderId="0" applyNumberFormat="0" applyBorder="0" applyAlignment="0" applyProtection="0">
      <alignment vertical="center"/>
    </xf>
    <xf numFmtId="0" fontId="36" fillId="37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7" fillId="39" borderId="0" applyNumberFormat="0" applyBorder="0" applyAlignment="0" applyProtection="0">
      <alignment vertical="center"/>
    </xf>
    <xf numFmtId="0" fontId="36" fillId="40" borderId="0" applyNumberFormat="0" applyBorder="0" applyAlignment="0" applyProtection="0">
      <alignment vertical="center"/>
    </xf>
  </cellStyleXfs>
  <cellXfs count="91"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9" fontId="4" fillId="0" borderId="3" xfId="0" applyNumberFormat="1" applyFont="1" applyFill="1" applyBorder="1" applyAlignment="1">
      <alignment horizontal="center" vertical="center"/>
    </xf>
    <xf numFmtId="0" fontId="7" fillId="0" borderId="0" xfId="0" applyNumberFormat="1" applyFont="1" applyFill="1" applyBorder="1" applyAlignment="1" applyProtection="1">
      <alignment horizontal="center"/>
    </xf>
    <xf numFmtId="0" fontId="7" fillId="0" borderId="0" xfId="0" applyNumberFormat="1" applyFont="1" applyFill="1" applyBorder="1" applyAlignment="1" applyProtection="1"/>
    <xf numFmtId="0" fontId="8" fillId="0" borderId="0" xfId="0" applyNumberFormat="1" applyFont="1" applyFill="1" applyBorder="1" applyAlignment="1" applyProtection="1"/>
    <xf numFmtId="177" fontId="7" fillId="0" borderId="0" xfId="0" applyNumberFormat="1" applyFont="1" applyFill="1" applyBorder="1" applyAlignment="1" applyProtection="1">
      <alignment horizontal="center"/>
    </xf>
    <xf numFmtId="177" fontId="7" fillId="4" borderId="0" xfId="0" applyNumberFormat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0" fontId="9" fillId="2" borderId="0" xfId="0" applyNumberFormat="1" applyFont="1" applyFill="1" applyBorder="1" applyAlignment="1" applyProtection="1">
      <alignment horizontal="center" vertical="center" wrapText="1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9" fillId="5" borderId="0" xfId="0" applyNumberFormat="1" applyFont="1" applyFill="1" applyBorder="1" applyAlignment="1" applyProtection="1">
      <alignment horizontal="center" vertical="center" wrapText="1"/>
    </xf>
    <xf numFmtId="0" fontId="9" fillId="6" borderId="0" xfId="0" applyNumberFormat="1" applyFont="1" applyFill="1" applyBorder="1" applyAlignment="1" applyProtection="1">
      <alignment horizontal="center" vertical="center" wrapText="1"/>
    </xf>
    <xf numFmtId="0" fontId="10" fillId="6" borderId="0" xfId="0" applyNumberFormat="1" applyFont="1" applyFill="1" applyBorder="1" applyAlignment="1" applyProtection="1">
      <alignment horizontal="center" vertical="center" wrapText="1"/>
    </xf>
    <xf numFmtId="0" fontId="11" fillId="0" borderId="0" xfId="0" applyNumberFormat="1" applyFont="1" applyFill="1" applyBorder="1" applyAlignment="1" applyProtection="1">
      <alignment horizontal="center" vertical="center" wrapText="1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left" vertical="center" wrapText="1"/>
    </xf>
    <xf numFmtId="0" fontId="12" fillId="2" borderId="0" xfId="0" applyNumberFormat="1" applyFont="1" applyFill="1" applyBorder="1" applyAlignment="1" applyProtection="1">
      <alignment horizontal="center" vertical="center" wrapText="1"/>
    </xf>
    <xf numFmtId="0" fontId="9" fillId="2" borderId="0" xfId="0" applyNumberFormat="1" applyFont="1" applyFill="1" applyBorder="1" applyAlignment="1" applyProtection="1">
      <alignment horizontal="center" vertical="center"/>
    </xf>
    <xf numFmtId="0" fontId="9" fillId="2" borderId="0" xfId="0" applyNumberFormat="1" applyFont="1" applyFill="1" applyBorder="1" applyAlignment="1" applyProtection="1">
      <alignment horizontal="left" vertical="center" wrapText="1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0" fillId="5" borderId="0" xfId="0" applyNumberFormat="1" applyFont="1" applyFill="1" applyBorder="1" applyAlignment="1" applyProtection="1">
      <alignment horizontal="center" vertical="center"/>
    </xf>
    <xf numFmtId="0" fontId="9" fillId="5" borderId="0" xfId="0" applyNumberFormat="1" applyFont="1" applyFill="1" applyBorder="1" applyAlignment="1" applyProtection="1">
      <alignment horizontal="center" vertical="center"/>
    </xf>
    <xf numFmtId="0" fontId="10" fillId="5" borderId="0" xfId="0" applyNumberFormat="1" applyFont="1" applyFill="1" applyBorder="1" applyAlignment="1" applyProtection="1">
      <alignment horizontal="center" vertical="center" wrapText="1"/>
    </xf>
    <xf numFmtId="0" fontId="11" fillId="5" borderId="0" xfId="0" applyNumberFormat="1" applyFont="1" applyFill="1" applyBorder="1" applyAlignment="1" applyProtection="1">
      <alignment horizontal="center" vertical="center" wrapText="1"/>
    </xf>
    <xf numFmtId="0" fontId="11" fillId="5" borderId="0" xfId="0" applyNumberFormat="1" applyFont="1" applyFill="1" applyBorder="1" applyAlignment="1" applyProtection="1">
      <alignment horizontal="left" vertical="center" wrapText="1"/>
    </xf>
    <xf numFmtId="0" fontId="13" fillId="0" borderId="0" xfId="0" applyNumberFormat="1" applyFont="1" applyFill="1" applyBorder="1" applyAlignment="1" applyProtection="1">
      <alignment horizontal="center" vertical="center" wrapText="1"/>
    </xf>
    <xf numFmtId="178" fontId="10" fillId="0" borderId="0" xfId="3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 wrapText="1"/>
    </xf>
    <xf numFmtId="0" fontId="13" fillId="0" borderId="0" xfId="0" applyNumberFormat="1" applyFont="1" applyFill="1" applyBorder="1" applyAlignment="1" applyProtection="1">
      <alignment horizontal="left" vertical="center" wrapText="1"/>
    </xf>
    <xf numFmtId="0" fontId="11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13" fillId="6" borderId="0" xfId="0" applyNumberFormat="1" applyFont="1" applyFill="1" applyBorder="1" applyAlignment="1" applyProtection="1">
      <alignment horizontal="center" vertical="center" wrapText="1"/>
    </xf>
    <xf numFmtId="0" fontId="13" fillId="6" borderId="0" xfId="0" applyNumberFormat="1" applyFont="1" applyFill="1" applyBorder="1" applyAlignment="1" applyProtection="1">
      <alignment horizontal="center" vertical="center"/>
    </xf>
    <xf numFmtId="0" fontId="10" fillId="6" borderId="0" xfId="0" applyNumberFormat="1" applyFont="1" applyFill="1" applyBorder="1" applyAlignment="1" applyProtection="1">
      <alignment horizontal="center" vertical="center"/>
    </xf>
    <xf numFmtId="0" fontId="14" fillId="6" borderId="0" xfId="0" applyNumberFormat="1" applyFont="1" applyFill="1" applyBorder="1" applyAlignment="1" applyProtection="1">
      <alignment horizontal="center" vertical="center" wrapText="1"/>
    </xf>
    <xf numFmtId="0" fontId="11" fillId="6" borderId="0" xfId="0" applyNumberFormat="1" applyFont="1" applyFill="1" applyBorder="1" applyAlignment="1" applyProtection="1">
      <alignment horizontal="center" vertical="center" wrapText="1"/>
    </xf>
    <xf numFmtId="0" fontId="11" fillId="6" borderId="0" xfId="0" applyNumberFormat="1" applyFont="1" applyFill="1" applyBorder="1" applyAlignment="1" applyProtection="1">
      <alignment horizontal="left" vertical="center"/>
    </xf>
    <xf numFmtId="0" fontId="13" fillId="6" borderId="0" xfId="0" applyNumberFormat="1" applyFont="1" applyFill="1" applyBorder="1" applyAlignment="1" applyProtection="1">
      <alignment horizontal="left" vertical="center" wrapText="1"/>
    </xf>
    <xf numFmtId="0" fontId="9" fillId="0" borderId="0" xfId="0" applyNumberFormat="1" applyFont="1" applyFill="1" applyBorder="1" applyAlignment="1" applyProtection="1">
      <alignment horizontal="left" vertical="center" wrapText="1"/>
    </xf>
    <xf numFmtId="0" fontId="9" fillId="6" borderId="0" xfId="0" applyNumberFormat="1" applyFont="1" applyFill="1" applyBorder="1" applyAlignment="1" applyProtection="1">
      <alignment horizontal="center" vertical="center"/>
    </xf>
    <xf numFmtId="9" fontId="10" fillId="0" borderId="0" xfId="0" applyNumberFormat="1" applyFont="1" applyFill="1" applyBorder="1" applyAlignment="1" applyProtection="1">
      <alignment horizontal="center" vertical="center"/>
    </xf>
    <xf numFmtId="0" fontId="10" fillId="7" borderId="0" xfId="0" applyNumberFormat="1" applyFont="1" applyFill="1" applyBorder="1" applyAlignment="1" applyProtection="1">
      <alignment horizontal="center" vertical="center"/>
    </xf>
    <xf numFmtId="0" fontId="10" fillId="6" borderId="0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0" fontId="10" fillId="6" borderId="0" xfId="0" applyNumberFormat="1" applyFont="1" applyFill="1" applyBorder="1" applyAlignment="1" applyProtection="1">
      <alignment horizontal="left" vertical="center" wrapText="1"/>
    </xf>
    <xf numFmtId="178" fontId="10" fillId="4" borderId="0" xfId="3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Fill="1" applyBorder="1" applyAlignment="1" applyProtection="1">
      <alignment horizontal="left" vertical="center" wrapText="1"/>
    </xf>
    <xf numFmtId="178" fontId="10" fillId="8" borderId="0" xfId="3" applyNumberFormat="1" applyFont="1" applyFill="1" applyBorder="1" applyAlignment="1" applyProtection="1">
      <alignment horizontal="center" vertical="center"/>
    </xf>
    <xf numFmtId="178" fontId="10" fillId="9" borderId="0" xfId="3" applyNumberFormat="1" applyFont="1" applyFill="1" applyBorder="1" applyAlignment="1" applyProtection="1">
      <alignment horizontal="center" vertical="center"/>
    </xf>
    <xf numFmtId="0" fontId="10" fillId="1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/>
    <xf numFmtId="0" fontId="15" fillId="0" borderId="0" xfId="0" applyNumberFormat="1" applyFont="1" applyFill="1" applyBorder="1" applyAlignment="1" applyProtection="1">
      <alignment horizont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76" fontId="17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176" fontId="17" fillId="0" borderId="5" xfId="0" applyNumberFormat="1" applyFont="1" applyBorder="1" applyAlignment="1">
      <alignment horizontal="center" vertical="center"/>
    </xf>
    <xf numFmtId="9" fontId="4" fillId="0" borderId="0" xfId="3" applyFont="1" applyAlignment="1">
      <alignment horizontal="center" vertical="center"/>
    </xf>
    <xf numFmtId="178" fontId="17" fillId="0" borderId="0" xfId="3" applyNumberFormat="1" applyFont="1" applyAlignment="1">
      <alignment horizontal="center" vertical="center"/>
    </xf>
    <xf numFmtId="9" fontId="17" fillId="0" borderId="0" xfId="3" applyFont="1" applyAlignment="1">
      <alignment horizontal="center" vertical="center"/>
    </xf>
    <xf numFmtId="9" fontId="17" fillId="0" borderId="0" xfId="0" applyNumberFormat="1" applyFont="1" applyAlignment="1">
      <alignment horizontal="left" vertical="center"/>
    </xf>
    <xf numFmtId="0" fontId="4" fillId="11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178" fontId="4" fillId="11" borderId="0" xfId="3" applyNumberFormat="1" applyFont="1" applyFill="1" applyAlignment="1">
      <alignment horizontal="center" vertical="center"/>
    </xf>
    <xf numFmtId="178" fontId="4" fillId="9" borderId="0" xfId="3" applyNumberFormat="1" applyFont="1" applyFill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0" fontId="0" fillId="0" borderId="0" xfId="0">
      <alignment vertical="center"/>
    </xf>
    <xf numFmtId="179" fontId="4" fillId="0" borderId="0" xfId="0" applyNumberFormat="1" applyFont="1" applyAlignment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84">
    <dxf>
      <font>
        <name val="微软雅黑"/>
        <scheme val="none"/>
        <charset val="134"/>
        <family val="0"/>
        <b val="0"/>
        <i val="0"/>
        <strike val="0"/>
        <u val="none"/>
        <sz val="9"/>
        <color auto="1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auto="1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auto="1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alignment vertical="center"/>
    </dxf>
    <dxf>
      <alignment vertical="center"/>
    </dxf>
    <dxf>
      <alignment vertical="center"/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auto="1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auto="1"/>
      </font>
      <numFmt numFmtId="0" formatCode="General"/>
      <fill>
        <patternFill patternType="none"/>
      </fill>
      <alignment horizontal="left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9"/>
        <color indexed="8"/>
      </font>
      <numFmt numFmtId="0" formatCode="General"/>
      <fill>
        <patternFill patternType="none"/>
      </fill>
      <alignment horizontal="center" vertical="center" wrapText="1"/>
      <border>
        <left/>
        <right/>
        <top/>
        <bottom/>
      </border>
    </dxf>
    <dxf>
      <alignment vertical="center"/>
    </dxf>
    <dxf>
      <numFmt numFmtId="0" formatCode="General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0" formatCode="General"/>
      <fill>
        <patternFill patternType="none"/>
      </fill>
      <alignment horizontal="center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0" formatCode="General"/>
      <fill>
        <patternFill patternType="none"/>
      </fill>
      <alignment horizontal="center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0" formatCode="General"/>
      <fill>
        <patternFill patternType="none"/>
      </fill>
      <alignment horizontal="center"/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2"/>
        <color rgb="FF000000"/>
      </font>
      <numFmt numFmtId="0" formatCode="General"/>
      <fill>
        <patternFill patternType="none"/>
      </fill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2"/>
        <color rgb="FF000000"/>
      </font>
      <numFmt numFmtId="0" formatCode="General"/>
      <fill>
        <patternFill patternType="none"/>
      </fill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2"/>
        <color rgb="FF000000"/>
      </font>
      <numFmt numFmtId="0" formatCode="General"/>
      <fill>
        <patternFill patternType="none"/>
      </fill>
      <border>
        <left/>
        <right/>
        <top/>
        <bottom/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0" formatCode="General"/>
      <fill>
        <patternFill patternType="none"/>
      </fill>
      <alignment horizontal="center"/>
      <border>
        <left/>
        <right/>
        <top/>
        <bottom/>
      </border>
    </dxf>
    <dxf>
      <alignment vertical="center"/>
    </dxf>
    <dxf>
      <alignment vertical="center"/>
    </dxf>
    <dxf>
      <numFmt numFmtId="0" formatCode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ill>
        <patternFill patternType="solid">
          <fgColor theme="1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4" tint="-0.249977111117893"/>
      </font>
    </dxf>
    <dxf>
      <font>
        <b val="1"/>
        <color theme="4" tint="-0.249977111117893"/>
      </font>
    </dxf>
    <dxf>
      <font>
        <b val="1"/>
        <color theme="4" tint="-0.249977111117893"/>
      </font>
      <border>
        <top style="thin">
          <color theme="4"/>
        </top>
      </border>
    </dxf>
    <dxf>
      <font>
        <b val="1"/>
        <color theme="4" tint="-0.249977111117893"/>
      </font>
      <border>
        <top style="thin">
          <color theme="4"/>
        </top>
        <bottom style="medium">
          <color theme="4"/>
        </bottom>
      </border>
    </dxf>
    <dxf>
      <font>
        <color theme="4" tint="-0.499984740745262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</dxfs>
  <tableStyles count="2" defaultTableStyle="TableStyleMedium2" defaultPivotStyle="PivotStyleLight16">
    <tableStyle name="TableStylePreset1_Accent1" pivot="0" count="7" xr9:uid="{A98CE15B-0617-44FD-AA09-9F3C88052951}">
      <tableStyleElement type="wholeTable" dxfId="76"/>
      <tableStyleElement type="headerRow" dxfId="75"/>
      <tableStyleElement type="totalRow" dxfId="74"/>
      <tableStyleElement type="firstColumn" dxfId="73"/>
      <tableStyleElement type="lastColumn" dxfId="72"/>
      <tableStyleElement type="firstRowStripe" dxfId="71"/>
      <tableStyleElement type="firstColumnStripe" dxfId="70"/>
    </tableStyle>
    <tableStyle name="TableStylePreset3_Accent1" pivot="0" count="7" xr9:uid="{59DB682C-5494-4EDE-A608-00C9E5F0F923}">
      <tableStyleElement type="wholeTable" dxfId="83"/>
      <tableStyleElement type="headerRow" dxfId="82"/>
      <tableStyleElement type="totalRow" dxfId="81"/>
      <tableStyleElement type="firstColumn" dxfId="80"/>
      <tableStyleElement type="lastColumn" dxfId="79"/>
      <tableStyleElement type="firstRowStripe" dxfId="78"/>
      <tableStyleElement type="firstColumnStripe" dxfId="7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eetMetadata" Target="metadata.xml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符文模块" displayName="符文模块" ref="A2:AP794" totalsRowShown="0">
  <autoFilter xmlns:etc="http://www.wps.cn/officeDocument/2017/etCustomData" ref="A2:AP794" etc:filterBottomFollowUsedRange="0"/>
  <tableColumns count="42">
    <tableColumn id="1" name="rune_id" dataDxfId="0"/>
    <tableColumn id="3" name="effect_type" dataDxfId="1"/>
    <tableColumn id="4" name="quality" dataDxfId="2"/>
    <tableColumn id="5" name="列2" dataDxfId="3"/>
    <tableColumn id="6" name="part_list" dataDxfId="4"/>
    <tableColumn id="7" name="列3" dataDxfId="5"/>
    <tableColumn id="8" name="列4" dataDxfId="6"/>
    <tableColumn id="9" name="列5" dataDxfId="7"/>
    <tableColumn id="10" name="列6" dataDxfId="8"/>
    <tableColumn id="11" name="列7" dataDxfId="9"/>
    <tableColumn id="12" name="列8" dataDxfId="10"/>
    <tableColumn id="13" name="列9" dataDxfId="11"/>
    <tableColumn id="14" name="列10" dataDxfId="12"/>
    <tableColumn id="15" name="列11" dataDxfId="13"/>
    <tableColumn id="16" name="列12" dataDxfId="14"/>
    <tableColumn id="17" name="列13" dataDxfId="15"/>
    <tableColumn id="18" name="列14" dataDxfId="16"/>
    <tableColumn id="19" name="affect_type" dataDxfId="17"/>
    <tableColumn id="20" name="affect_list" dataDxfId="18"/>
    <tableColumn id="21" name="base_attr_list" dataDxfId="19"/>
    <tableColumn id="22" name="effect_list" dataDxfId="20"/>
    <tableColumn id="23" name="attr_list" dataDxfId="21"/>
    <tableColumn id="24" name="power" dataDxfId="22"/>
    <tableColumn id="25" name="weight" dataDxfId="23"/>
    <tableColumn id="26" name="condition" dataDxfId="24"/>
    <tableColumn id="27" name="name" dataDxfId="25"/>
    <tableColumn id="28" name="desc" dataDxfId="26"/>
    <tableColumn id="40" name="列18" dataDxfId="27"/>
    <tableColumn id="2" name="power_type" dataDxfId="28"/>
    <tableColumn id="39" name="power_value" dataDxfId="29"/>
    <tableColumn id="29" name="effec_desc_type" dataDxfId="30"/>
    <tableColumn id="30" name="effect_attr_list" dataDxfId="31"/>
    <tableColumn id="31" name="grade" dataDxfId="32"/>
    <tableColumn id="32" name="rare_tag" dataDxfId="33"/>
    <tableColumn id="33" name="show_in_rune" dataDxfId="34"/>
    <tableColumn id="34" name="intercept" dataDxfId="35"/>
    <tableColumn id="35" name="列15" dataDxfId="36"/>
    <tableColumn id="36" name="列16" dataDxfId="37"/>
    <tableColumn id="37" name="列17" dataDxfId="38"/>
    <tableColumn id="38" name="列1" dataDxfId="39"/>
    <tableColumn id="42" name="type" dataDxfId="40"/>
    <tableColumn id="41" name="display_priority" dataDxfId="41">
      <calculatedColumnFormula>COUNTA($A3:A$6)</calculatedColumnFormula>
    </tableColumn>
  </tableColumns>
  <tableStyleInfo name="TableStylePreset3_Accent1" showFirstColumn="0" showLastColumn="0" showRowStripes="0" showColumnStripes="0"/>
</table>
</file>

<file path=xl/tables/table2.xml><?xml version="1.0" encoding="utf-8"?>
<table xmlns="http://schemas.openxmlformats.org/spreadsheetml/2006/main" id="3" name="洗练模块" displayName="洗练模块" ref="A2:J42" totalsRowShown="0">
  <autoFilter xmlns:etc="http://www.wps.cn/officeDocument/2017/etCustomData" ref="A2:J42" etc:filterBottomFollowUsedRange="0"/>
  <tableColumns count="10">
    <tableColumn id="1" name="quality" dataDxfId="42"/>
    <tableColumn id="2" name="part_list" dataDxfId="43"/>
    <tableColumn id="3" name="grade" dataDxfId="44"/>
    <tableColumn id="4" name="weight" dataDxfId="45"/>
    <tableColumn id="5" name="guaranteed" dataDxfId="46"/>
    <tableColumn id="6" name="compose_weight" dataDxfId="47"/>
    <tableColumn id="7" name="compose_guaranteed" dataDxfId="48"/>
    <tableColumn id="8" name="improve_threshold_floor" dataDxfId="49"/>
    <tableColumn id="9" name="graduate_cost_per_floor" dataDxfId="50"/>
    <tableColumn id="10" name="grade_display_order" dataDxfId="51">
      <calculatedColumnFormula>1</calculatedColumnFormula>
    </tableColumn>
  </tableColumns>
  <tableStyleInfo name="TableStylePreset1_Accent1" showFirstColumn="0" showLastColumn="0" showRowStripes="0" showColumnStripes="0"/>
</table>
</file>

<file path=xl/tables/table3.xml><?xml version="1.0" encoding="utf-8"?>
<table xmlns="http://schemas.openxmlformats.org/spreadsheetml/2006/main" id="1" name="常量模块" displayName="常量模块" ref="A4:D6" totalsRowShown="0">
  <tableColumns count="4">
    <tableColumn id="1" name="job_type" dataDxfId="52"/>
    <tableColumn id="5" name="floor_ratio" dataDxfId="53"/>
    <tableColumn id="6" name="improve_threshold_floor" dataDxfId="54"/>
    <tableColumn id="7" name="graduate_cost_per_floor" dataDxfId="55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id="4" name="状态模块" displayName="状态模块" ref="A11:F882" totalsRowShown="0">
  <tableColumns count="6">
    <tableColumn id="1" name="quality" dataDxfId="56"/>
    <tableColumn id="2" name="part" dataDxfId="57"/>
    <tableColumn id="3" name="slot_index" dataDxfId="58"/>
    <tableColumn id="4" name="rune_id" dataDxfId="59"/>
    <tableColumn id="5" name="grade" dataDxfId="60"/>
    <tableColumn id="6" name="enabled" dataDxfId="61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id="5" name="计数模块" displayName="计数模块" ref="A884:E893" totalsRowShown="0">
  <tableColumns count="5">
    <tableColumn id="1" name="quality" dataDxfId="62"/>
    <tableColumn id="2" name="grade" dataDxfId="63"/>
    <tableColumn id="3" name="miss_count" dataDxfId="64"/>
    <tableColumn id="4" name="miss_upgrade_count" dataDxfId="65"/>
    <tableColumn id="5" name="列1" dataDxfId="66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id="6" name="控制模块" displayName="控制模块" ref="A897:C903" totalsRowShown="0">
  <autoFilter xmlns:etc="http://www.wps.cn/officeDocument/2017/etCustomData" ref="A897:C903" etc:filterBottomFollowUsedRange="0"/>
  <tableColumns count="3">
    <tableColumn id="1" name="quality" dataDxfId="67"/>
    <tableColumn id="2" name="part" dataDxfId="68"/>
    <tableColumn id="3" name="wash_count" dataDxfId="69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table" Target="../tables/table6.xml"/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AA2061"/>
  <sheetViews>
    <sheetView showGridLines="0" tabSelected="1" zoomScale="120" zoomScaleNormal="120" topLeftCell="A40" workbookViewId="0">
      <selection activeCell="G49" sqref="G49:M56"/>
    </sheetView>
  </sheetViews>
  <sheetFormatPr defaultColWidth="9" defaultRowHeight="16.5"/>
  <cols>
    <col min="1" max="2" width="9" style="67"/>
    <col min="3" max="3" width="12.625" style="67"/>
    <col min="4" max="4" width="8.95" style="67" customWidth="1"/>
    <col min="5" max="5" width="9.05833333333333" style="67" customWidth="1"/>
    <col min="6" max="13" width="8.95833333333333" style="67" customWidth="1"/>
    <col min="14" max="14" width="12.625" style="67"/>
    <col min="15" max="15" width="8.11666666666667" style="67" customWidth="1"/>
    <col min="16" max="16" width="12.625" style="67"/>
    <col min="17" max="17" width="11.6666666666667" style="67" customWidth="1"/>
    <col min="18" max="20" width="12.625" style="67"/>
    <col min="21" max="21" width="18.3333333333333" style="67" customWidth="1"/>
    <col min="22" max="22" width="12.625" style="67"/>
    <col min="23" max="23" width="9" style="67"/>
    <col min="24" max="24" width="12.625" style="67"/>
    <col min="25" max="25" width="9" style="67"/>
    <col min="26" max="26" width="12.625" style="67"/>
    <col min="27" max="16384" width="9" style="67"/>
  </cols>
  <sheetData>
    <row r="1" s="65" customFormat="1" ht="24.75" spans="1:27">
      <c r="A1" s="65" t="s">
        <v>0</v>
      </c>
      <c r="N1" s="66"/>
    </row>
    <row r="2" s="66" customFormat="1"/>
    <row r="3" s="66" customFormat="1" spans="1:27">
      <c r="B3" s="68" t="s">
        <v>1</v>
      </c>
      <c r="C3" s="69" t="s">
        <v>2</v>
      </c>
      <c r="D3" s="69" t="s">
        <v>3</v>
      </c>
      <c r="E3" s="69" t="s">
        <v>4</v>
      </c>
      <c r="I3" s="66">
        <f>432000/60</f>
        <v>7200</v>
      </c>
      <c r="W3" s="66" t="s">
        <v>5</v>
      </c>
      <c r="Y3" s="66">
        <f>1000*1000</f>
        <v>1000000</v>
      </c>
      <c r="AA3" s="66" t="e">
        <f>LOG(Y3/1000,)</f>
        <v>#NUM!</v>
      </c>
    </row>
    <row r="4" s="66" customFormat="1" spans="1:27">
      <c r="B4" s="70" t="s">
        <v>6</v>
      </c>
      <c r="C4" s="71">
        <f>1/SUMIFS(符文总览!$L:$L,符文总览!$AN:$AN,5,符文总览!$C:$C,$D4)*COUNTIFS(符文总览!$L:$L,"&gt;="&amp;0,符文总览!$AN:$AN,5,符文总览!$C:$C,$D4)*_xlfn.XLOOKUP($D4,$R$14:$R$18,$S$14:$S$18)*3/(1-C12)</f>
        <v>321493.440968718</v>
      </c>
      <c r="D4" s="67">
        <v>5</v>
      </c>
      <c r="E4" s="71">
        <f>C4/360</f>
        <v>893.037336024218</v>
      </c>
      <c r="F4" s="72" t="s">
        <v>7</v>
      </c>
      <c r="W4" s="66" t="s">
        <v>8</v>
      </c>
    </row>
    <row r="5" s="66" customFormat="1" spans="1:27">
      <c r="B5" s="70" t="s">
        <v>9</v>
      </c>
      <c r="C5" s="71">
        <f>1/SUMIFS(符文总览!$L:$L,符文总览!$AN:$AN,8,符文总览!$C:$C,$D5)*COUNTIFS(符文总览!$L:$L,"&gt;="&amp;0,符文总览!$AN:$AN,8,符文总览!$C:$C,$D5)*_xlfn.XLOOKUP($D5,$R$14:$R$18,$S$14:$S$18)*6/(1-C12)</f>
        <v>1837105.37696411</v>
      </c>
      <c r="D5" s="67">
        <v>6</v>
      </c>
      <c r="E5" s="71">
        <f>C5/720</f>
        <v>2551.53524578348</v>
      </c>
      <c r="F5" s="72" t="s">
        <v>10</v>
      </c>
      <c r="N5" s="66" t="s">
        <v>11</v>
      </c>
      <c r="O5" s="66" t="s">
        <v>12</v>
      </c>
      <c r="Q5" s="66" t="s">
        <v>13</v>
      </c>
      <c r="R5" s="66" t="s">
        <v>11</v>
      </c>
      <c r="S5" s="66" t="s">
        <v>14</v>
      </c>
      <c r="T5" s="66" t="s">
        <v>15</v>
      </c>
    </row>
    <row r="6" s="66" customFormat="1" spans="1:27">
      <c r="B6" s="70" t="s">
        <v>16</v>
      </c>
      <c r="C6" s="71">
        <f>1/SUMIFS(符文总览!$L:$L,符文总览!$AN:$AN,6,符文总览!$C:$C,$D6)*COUNTIFS(符文总览!$L:$L,"&gt;="&amp;0,符文总览!$AN:$AN,6,符文总览!$C:$C,$D6)*_xlfn.XLOOKUP($D6,$R$14:$R$18,$S$14:$S$18)*6/(1-C12)</f>
        <v>6889145.1636154</v>
      </c>
      <c r="D6" s="67">
        <v>7</v>
      </c>
      <c r="E6" s="71">
        <f>C6/1440</f>
        <v>4784.12858584402</v>
      </c>
      <c r="F6" s="72" t="s">
        <v>17</v>
      </c>
      <c r="M6" s="66" t="s">
        <v>18</v>
      </c>
      <c r="N6" s="66">
        <v>16384</v>
      </c>
      <c r="O6" s="73">
        <f>N6*0.4</f>
        <v>6553.6</v>
      </c>
      <c r="Q6" s="66" t="s">
        <v>19</v>
      </c>
      <c r="R6" s="66">
        <f>O6</f>
        <v>6553.6</v>
      </c>
      <c r="X6" s="66">
        <f>51060/51000</f>
        <v>1.00117647058824</v>
      </c>
      <c r="Z6" s="66">
        <f>10*1.07^300</f>
        <v>6533310601.44793</v>
      </c>
    </row>
    <row r="7" s="66" customFormat="1" spans="1:27">
      <c r="B7" s="74"/>
      <c r="C7" s="75"/>
      <c r="D7" s="74"/>
      <c r="E7" s="75"/>
      <c r="M7" s="66" t="s">
        <v>20</v>
      </c>
      <c r="N7" s="66">
        <v>65536</v>
      </c>
      <c r="O7" s="73">
        <f>N7*0.4</f>
        <v>26214.4</v>
      </c>
      <c r="Q7" s="66" t="s">
        <v>21</v>
      </c>
      <c r="R7" s="66">
        <f>O6+O9</f>
        <v>16553.6</v>
      </c>
      <c r="Z7" s="66">
        <f>1000*1.07^300</f>
        <v>653331060144.793</v>
      </c>
    </row>
    <row r="8" s="66" customFormat="1" spans="1:27">
      <c r="B8" s="68" t="s">
        <v>22</v>
      </c>
      <c r="C8" s="76" t="s">
        <v>23</v>
      </c>
      <c r="D8" s="74"/>
      <c r="E8" s="75"/>
      <c r="O8" s="66" t="s">
        <v>24</v>
      </c>
      <c r="Z8" s="66">
        <f>LOG(Z7/Z6,1.07)</f>
        <v>68.0647676219896</v>
      </c>
    </row>
    <row r="9" s="66" customFormat="1" spans="1:27">
      <c r="B9" s="70" t="s">
        <v>25</v>
      </c>
      <c r="C9" s="77">
        <f>E13*(1-$C$12)</f>
        <v>0.208705543361016</v>
      </c>
      <c r="D9" s="74"/>
      <c r="E9" s="75"/>
      <c r="M9" s="66" t="s">
        <v>26</v>
      </c>
      <c r="N9" s="66">
        <v>10000</v>
      </c>
      <c r="O9" s="66">
        <v>10000</v>
      </c>
      <c r="Q9" s="66" t="s">
        <v>27</v>
      </c>
      <c r="R9" s="66">
        <f>O7</f>
        <v>26214.4</v>
      </c>
      <c r="S9" s="66">
        <v>7000</v>
      </c>
      <c r="T9" s="66" cm="1">
        <f t="array" ref="T9">SUMPRODUCT(R9:R10,S9:S10)/10000</f>
        <v>32214.4</v>
      </c>
    </row>
    <row r="10" s="66" customFormat="1" spans="1:27">
      <c r="B10" s="70" t="s">
        <v>28</v>
      </c>
      <c r="C10" s="77">
        <f>F13*(1-$C$12)</f>
        <v>0.119602030579379</v>
      </c>
      <c r="D10" s="74"/>
      <c r="E10" s="75"/>
      <c r="M10" s="66" t="s">
        <v>29</v>
      </c>
      <c r="N10" s="66">
        <v>20000</v>
      </c>
      <c r="O10" s="66">
        <v>20000</v>
      </c>
      <c r="Q10" s="66" t="s">
        <v>30</v>
      </c>
      <c r="R10" s="66">
        <f>O10+O7</f>
        <v>46214.4</v>
      </c>
      <c r="S10" s="66">
        <v>3000</v>
      </c>
    </row>
    <row r="11" s="66" customFormat="1" spans="1:27">
      <c r="B11" s="70" t="s">
        <v>31</v>
      </c>
      <c r="C11" s="77">
        <f>G13*(1-$C$12)</f>
        <v>0.119602030579379</v>
      </c>
      <c r="D11" s="74"/>
      <c r="E11" s="75"/>
    </row>
    <row r="12" s="66" customFormat="1" spans="1:27">
      <c r="B12" s="70" t="s">
        <v>32</v>
      </c>
      <c r="C12" s="77">
        <f>1-SUM(E15:G15)/I15</f>
        <v>0.552090395480226</v>
      </c>
      <c r="D12" s="74"/>
      <c r="E12" s="75"/>
    </row>
    <row r="13" s="66" customFormat="1" spans="1:27">
      <c r="D13" s="78">
        <f>SUM($D$26:$D$29)</f>
        <v>0.0429734125927898</v>
      </c>
      <c r="E13" s="79">
        <f>SUM(E26:E29)/SUM($D26:$D29)</f>
        <v>0.465954606141522</v>
      </c>
      <c r="F13" s="79">
        <f>SUM(F26:F29)/SUM($D26:$D29)</f>
        <v>0.267022696929239</v>
      </c>
      <c r="G13" s="79">
        <f>SUM(G26:G29)/SUM($D26:$D29)</f>
        <v>0.267022696929239</v>
      </c>
      <c r="O13" s="77">
        <f>1/4</f>
        <v>0.25</v>
      </c>
      <c r="W13" s="74">
        <v>1</v>
      </c>
      <c r="X13" s="80">
        <v>0.1</v>
      </c>
    </row>
    <row r="14" spans="1:27">
      <c r="B14" s="67" t="s">
        <v>33</v>
      </c>
      <c r="C14" s="67" t="s">
        <v>34</v>
      </c>
      <c r="D14" s="81" t="s">
        <v>35</v>
      </c>
      <c r="E14" s="81" t="s">
        <v>25</v>
      </c>
      <c r="F14" s="81" t="s">
        <v>28</v>
      </c>
      <c r="G14" s="81" t="s">
        <v>31</v>
      </c>
      <c r="H14" s="81" t="s">
        <v>32</v>
      </c>
      <c r="I14" s="82" t="s">
        <v>36</v>
      </c>
      <c r="J14" s="82" t="s">
        <v>37</v>
      </c>
      <c r="K14" s="82" t="s">
        <v>38</v>
      </c>
      <c r="L14" s="82" t="s">
        <v>39</v>
      </c>
      <c r="M14" s="82" t="s">
        <v>40</v>
      </c>
      <c r="N14" s="82" t="s">
        <v>41</v>
      </c>
      <c r="O14" s="67" t="s">
        <v>42</v>
      </c>
      <c r="P14" s="67" t="s">
        <v>43</v>
      </c>
      <c r="R14" s="67" t="s">
        <v>44</v>
      </c>
      <c r="S14" s="67" t="s">
        <v>45</v>
      </c>
      <c r="W14" s="67">
        <v>2</v>
      </c>
    </row>
    <row r="15" spans="1:27">
      <c r="B15" s="67">
        <v>4</v>
      </c>
      <c r="C15" s="67">
        <v>1</v>
      </c>
      <c r="D15" s="83">
        <f>IF(B15="","",I15*(SUMIFS(符文总览!X:X,符文总览!C:C,B15)-SUMIFS(符文总览!X:X,符文总览!C:C,B15,符文总览!AO:AO,"无效属性"))/SUMIFS(符文总览!X:X,符文总览!C:C,B15))</f>
        <v>0.140195706214689</v>
      </c>
      <c r="E15" s="83">
        <f>IF($B15="","",$I15*(SUMIFS(符文总览!$X:$X,符文总览!$C:$C,$B15,符文总览!$AO:$AO,E$14))/SUMIFS(符文总览!$X:$X,符文总览!$C:$C,$B15))</f>
        <v>0.0668087005649717</v>
      </c>
      <c r="F15" s="83">
        <f>IF($B15="","",$I15*(SUMIFS(符文总览!$X:$X,符文总览!$C:$C,$B15,符文总览!$AO:$AO,F$14))/SUMIFS(符文总览!$X:$X,符文总览!$C:$C,$B15))</f>
        <v>0.0364989830508474</v>
      </c>
      <c r="G15" s="83">
        <f>IF($B15="","",$I15*(SUMIFS(符文总览!$X:$X,符文总览!$C:$C,$B15,符文总览!$AO:$AO,G$14))/SUMIFS(符文总览!$X:$X,符文总览!$C:$C,$B15))</f>
        <v>0.0368880225988701</v>
      </c>
      <c r="H15" s="83">
        <f>I15-G15-F15-E15</f>
        <v>0.172804293785311</v>
      </c>
      <c r="I15" s="84">
        <f>IF($B15="","",SUMIFS(符文总览!N:N,符文总览!$C:$C,$B15,符文总览!$AN:$AN,$C15))</f>
        <v>0.313</v>
      </c>
      <c r="J15" s="84">
        <f>IF($B15="","",SUMIFS(符文总览!M:M,符文总览!$C:$C,$B15,符文总览!$AN:$AN,$C15))</f>
        <v>0.313</v>
      </c>
      <c r="K15" s="84">
        <f>IF($B15="","",SUMIFS(符文总览!N:N,符文总览!$C:$C,$B15,符文总览!$AN:$AN,$C15))</f>
        <v>0.313</v>
      </c>
      <c r="L15" s="84">
        <f>IF($B15="","",SUMIFS(符文总览!O:O,符文总览!$C:$C,$B15,符文总览!$AN:$AN,$C15))</f>
        <v>0.313</v>
      </c>
      <c r="M15" s="84">
        <f>IF($B15="","",SUMIFS(符文总览!P:P,符文总览!$C:$C,$B15,符文总览!$AN:$AN,$C15))</f>
        <v>0.313</v>
      </c>
      <c r="N15" s="84">
        <f>IF($B15="","",SUMIFS(符文总览!Q:Q,符文总览!$C:$C,$B15,符文总览!$AN:$AN,$C15))</f>
        <v>0.313</v>
      </c>
      <c r="O15" s="85">
        <f t="shared" ref="O15:O20" si="0">1/I15*_xlfn.XLOOKUP(B15,$R$14:$R$21,$S$14:$S$21)*O$13</f>
        <v>319.488817891374</v>
      </c>
      <c r="P15" s="67" cm="1">
        <f t="array" ref="P15">SUMPRODUCT(O15:O21,I15:I21)</f>
        <v>500</v>
      </c>
      <c r="R15" s="67">
        <v>4</v>
      </c>
      <c r="S15" s="67">
        <f>80*5</f>
        <v>400</v>
      </c>
      <c r="U15" s="67" t="s">
        <v>46</v>
      </c>
      <c r="W15" s="67">
        <v>3</v>
      </c>
      <c r="X15" s="86">
        <v>0.3</v>
      </c>
    </row>
    <row r="16" spans="1:27">
      <c r="B16" s="67">
        <v>4</v>
      </c>
      <c r="C16" s="67">
        <v>2</v>
      </c>
      <c r="D16" s="83">
        <f>IF(B16="","",I16*(SUMIFS(符文总览!X:X,符文总览!C:C,B16)-SUMIFS(符文总览!X:X,符文总览!C:C,B16,符文总览!AO:AO,"无效属性"))/SUMIFS(符文总览!X:X,符文总览!C:C,B16))</f>
        <v>0.140195706214689</v>
      </c>
      <c r="E16" s="83">
        <f>IF($B16="","",$I16*(SUMIFS(符文总览!$X:$X,符文总览!$C:$C,$B16,符文总览!$AO:$AO,E$14))/SUMIFS(符文总览!$X:$X,符文总览!$C:$C,$B16))</f>
        <v>0.0668087005649717</v>
      </c>
      <c r="F16" s="83">
        <f>IF($B16="","",$I16*(SUMIFS(符文总览!$X:$X,符文总览!$C:$C,$B16,符文总览!$AO:$AO,F$14))/SUMIFS(符文总览!$X:$X,符文总览!$C:$C,$B16))</f>
        <v>0.0364989830508475</v>
      </c>
      <c r="G16" s="83">
        <f>IF($B16="","",$I16*(SUMIFS(符文总览!$X:$X,符文总览!$C:$C,$B16,符文总览!$AO:$AO,G$14))/SUMIFS(符文总览!$X:$X,符文总览!$C:$C,$B16))</f>
        <v>0.0368880225988701</v>
      </c>
      <c r="H16" s="83">
        <f>I16-G16-F16-E16</f>
        <v>0.172804293785311</v>
      </c>
      <c r="I16" s="84">
        <f>IF($B16="","",SUMIFS(符文总览!N:N,符文总览!$C:$C,$B16,符文总览!$AN:$AN,$C16))</f>
        <v>0.313</v>
      </c>
      <c r="J16" s="84">
        <f>IF($B16="","",SUMIFS(符文总览!M:M,符文总览!$C:$C,$B16,符文总览!$AN:$AN,$C16))</f>
        <v>0.313</v>
      </c>
      <c r="K16" s="84">
        <f>IF($B16="","",SUMIFS(符文总览!N:N,符文总览!$C:$C,$B16,符文总览!$AN:$AN,$C16))</f>
        <v>0.313</v>
      </c>
      <c r="L16" s="84">
        <f>IF($B16="","",SUMIFS(符文总览!O:O,符文总览!$C:$C,$B16,符文总览!$AN:$AN,$C16))</f>
        <v>0.313</v>
      </c>
      <c r="M16" s="84">
        <f>IF($B16="","",SUMIFS(符文总览!P:P,符文总览!$C:$C,$B16,符文总览!$AN:$AN,$C16))</f>
        <v>0.313</v>
      </c>
      <c r="N16" s="84">
        <f>IF($B16="","",SUMIFS(符文总览!Q:Q,符文总览!$C:$C,$B16,符文总览!$AN:$AN,$C16))</f>
        <v>0.313</v>
      </c>
      <c r="O16" s="85">
        <f t="shared" si="0"/>
        <v>319.488817891374</v>
      </c>
      <c r="P16" s="71"/>
      <c r="R16" s="67">
        <v>5</v>
      </c>
      <c r="S16" s="67">
        <f>60*6</f>
        <v>360</v>
      </c>
      <c r="W16" s="67">
        <v>4</v>
      </c>
    </row>
    <row r="17" spans="2:27">
      <c r="B17" s="67">
        <v>4</v>
      </c>
      <c r="C17" s="67">
        <v>3</v>
      </c>
      <c r="D17" s="83">
        <f>IF(B17="","",I17*(SUMIFS(符文总览!X:X,符文总览!C:C,B17)-SUMIFS(符文总览!X:X,符文总览!C:C,B17,符文总览!AO:AO,"无效属性"))/SUMIFS(符文总览!X:X,符文总览!C:C,B17))</f>
        <v>0.13793448514671</v>
      </c>
      <c r="E17" s="83">
        <f>IF($B17="","",$I17*(SUMIFS(符文总览!$X:$X,符文总览!$C:$C,$B17,符文总览!$AO:$AO,E$14))/SUMIFS(符文总览!$X:$X,符文总览!$C:$C,$B17))</f>
        <v>0.0657311408784399</v>
      </c>
      <c r="F17" s="83">
        <f>IF($B17="","",$I17*(SUMIFS(符文总览!$X:$X,符文总览!$C:$C,$B17,符文总览!$AO:$AO,F$14))/SUMIFS(符文总览!$X:$X,符文总览!$C:$C,$B17))</f>
        <v>0.0359102897758338</v>
      </c>
      <c r="G17" s="83">
        <f>IF($B17="","",$I17*(SUMIFS(符文总览!$X:$X,符文总览!$C:$C,$B17,符文总览!$AO:$AO,G$14))/SUMIFS(符文总览!$X:$X,符文总览!$C:$C,$B17))</f>
        <v>0.0362930544924367</v>
      </c>
      <c r="H17" s="83">
        <f>I17-G17-F17-E17</f>
        <v>0.170017127756515</v>
      </c>
      <c r="I17" s="84">
        <f>IF($B17="","",SUMIFS(符文总览!N:N,符文总览!$C:$C,$B17,符文总览!$AN:$AN,$C17))</f>
        <v>0.307951612903226</v>
      </c>
      <c r="J17" s="84">
        <f>IF($B17="","",SUMIFS(符文总览!M:M,符文总览!$C:$C,$B17,符文总览!$AN:$AN,$C17))</f>
        <v>0.308257575757576</v>
      </c>
      <c r="K17" s="84">
        <f>IF($B17="","",SUMIFS(符文总览!N:N,符文总览!$C:$C,$B17,符文总览!$AN:$AN,$C17))</f>
        <v>0.307951612903226</v>
      </c>
      <c r="L17" s="84">
        <f>IF($B17="","",SUMIFS(符文总览!O:O,符文总览!$C:$C,$B17,符文总览!$AN:$AN,$C17))</f>
        <v>0.308257575757576</v>
      </c>
      <c r="M17" s="84">
        <f>IF($B17="","",SUMIFS(符文总览!P:P,符文总览!$C:$C,$B17,符文总览!$AN:$AN,$C17))</f>
        <v>0.307951612903226</v>
      </c>
      <c r="N17" s="84">
        <f>IF($B17="","",SUMIFS(符文总览!Q:Q,符文总览!$C:$C,$B17,符文总览!$AN:$AN,$C17))</f>
        <v>0.308257575757576</v>
      </c>
      <c r="O17" s="85">
        <f t="shared" si="0"/>
        <v>324.726339496151</v>
      </c>
      <c r="P17" s="71"/>
      <c r="R17" s="67">
        <v>6</v>
      </c>
      <c r="S17" s="67">
        <f>12*60</f>
        <v>720</v>
      </c>
    </row>
    <row r="18" spans="2:27">
      <c r="B18" s="67">
        <v>4</v>
      </c>
      <c r="C18" s="67">
        <v>4</v>
      </c>
      <c r="D18" s="83">
        <f>IF($B18="","",$I18*(SUMIFS(符文总览!$X:$X,符文总览!$C:$C,$B18)-SUMIFS(符文总览!$X:$X,符文总览!$C:$C,$B18,符文总览!$AO:$AO,"无效属性"))/SUMIFS(符文总览!$X:$X,符文总览!$C:$C,$B18))</f>
        <v>0.0258081248318536</v>
      </c>
      <c r="E18" s="83">
        <f>IF($B18="","",$I18*(SUMIFS(符文总览!$X:$X,符文总览!$C:$C,$B18,符文总览!$AO:$AO,E$14))/SUMIFS(符文总览!$X:$X,符文总览!$C:$C,$B18))</f>
        <v>0.0122985741189131</v>
      </c>
      <c r="F18" s="83">
        <f>IF($B18="","",$I18*(SUMIFS(符文总览!$X:$X,符文总览!$C:$C,$B18,符文总览!$AO:$AO,F$14))/SUMIFS(符文总览!$X:$X,符文总览!$C:$C,$B18))</f>
        <v>0.00671896690879742</v>
      </c>
      <c r="G18" s="83">
        <f>IF($B18="","",$I18*(SUMIFS(符文总览!$X:$X,符文总览!$C:$C,$B18,符文总览!$AO:$AO,G$14))/SUMIFS(符文总览!$X:$X,符文总览!$C:$C,$B18))</f>
        <v>0.00679058380414313</v>
      </c>
      <c r="H18" s="83">
        <f t="shared" ref="H18:H28" si="1">I18-G18-F18-E18</f>
        <v>0.031810922787194</v>
      </c>
      <c r="I18" s="84">
        <f>IF($B18="","",SUMIFS(符文总览!N:N,符文总览!$C:$C,$B18,符文总览!$AN:$AN,$C18))</f>
        <v>0.0576190476190476</v>
      </c>
      <c r="J18" s="84">
        <f>IF($B18="","",SUMIFS(符文总览!M:M,符文总览!$C:$C,$B18,符文总览!$AN:$AN,$C18))</f>
        <v>0.04125</v>
      </c>
      <c r="K18" s="84">
        <f>IF($B18="","",SUMIFS(符文总览!N:N,符文总览!$C:$C,$B18,符文总览!$AN:$AN,$C18))</f>
        <v>0.0576190476190476</v>
      </c>
      <c r="L18" s="84">
        <f>IF($B18="","",SUMIFS(符文总览!O:O,符文总览!$C:$C,$B18,符文总览!$AN:$AN,$C18))</f>
        <v>0.0576190476190476</v>
      </c>
      <c r="M18" s="84">
        <f>IF($B18="","",SUMIFS(符文总览!P:P,符文总览!$C:$C,$B18,符文总览!$AN:$AN,$C18))</f>
        <v>0.0457142857142857</v>
      </c>
      <c r="N18" s="84">
        <f>IF($B18="","",SUMIFS(符文总览!Q:Q,符文总览!$C:$C,$B18,符文总览!$AN:$AN,$C18))</f>
        <v>0.056875</v>
      </c>
      <c r="O18" s="85">
        <f t="shared" si="0"/>
        <v>1735.53719008264</v>
      </c>
      <c r="P18" s="71"/>
      <c r="R18" s="67">
        <v>7</v>
      </c>
      <c r="S18" s="67">
        <f>20*60</f>
        <v>1200</v>
      </c>
    </row>
    <row r="19" spans="2:27">
      <c r="B19" s="67">
        <v>4</v>
      </c>
      <c r="C19" s="67">
        <v>5</v>
      </c>
      <c r="D19" s="83">
        <f>IF($B19="","",$I19*(SUMIFS(符文总览!$X:$X,符文总览!$C:$C,$B19)-SUMIFS(符文总览!$X:$X,符文总览!$C:$C,$B19,符文总览!$AO:$AO,"无效属性"))/SUMIFS(符文总览!$X:$X,符文总览!$C:$C,$B19))</f>
        <v>0.00226122106797886</v>
      </c>
      <c r="E19" s="83">
        <f>IF($B19="","",$I19*(SUMIFS(符文总览!$X:$X,符文总览!$C:$C,$B19,符文总览!$AO:$AO,E$14))/SUMIFS(符文总览!$X:$X,符文总览!$C:$C,$B19))</f>
        <v>0.0010775596865318</v>
      </c>
      <c r="F19" s="83">
        <f>IF($B19="","",$I19*(SUMIFS(符文总览!$X:$X,符文总览!$C:$C,$B19,符文总览!$AO:$AO,F$14))/SUMIFS(符文总览!$X:$X,符文总览!$C:$C,$B19))</f>
        <v>0.000588693275013669</v>
      </c>
      <c r="G19" s="83">
        <f>IF($B19="","",$I19*(SUMIFS(符文总览!$X:$X,符文总览!$C:$C,$B19,符文总览!$AO:$AO,G$14))/SUMIFS(符文总览!$X:$X,符文总览!$C:$C,$B19))</f>
        <v>0.000594968106433388</v>
      </c>
      <c r="H19" s="83">
        <f t="shared" si="1"/>
        <v>0.00278716602879533</v>
      </c>
      <c r="I19" s="84">
        <f>IF($B19="","",SUMIFS(符文总览!N:N,符文总览!$C:$C,$B19,符文总览!$AN:$AN,$C19))</f>
        <v>0.00504838709677419</v>
      </c>
      <c r="J19" s="84">
        <v>0.02</v>
      </c>
      <c r="K19" s="84">
        <f>IF($B19="","",SUMIFS(符文总览!N:N,符文总览!$C:$C,$B19,符文总览!$AN:$AN,$C19))</f>
        <v>0.00504838709677419</v>
      </c>
      <c r="L19" s="84">
        <f>IF($B19="","",SUMIFS(符文总览!O:O,符文总览!$C:$C,$B19,符文总览!$AN:$AN,$C19))</f>
        <v>0.00474242424242424</v>
      </c>
      <c r="M19" s="84">
        <f>IF($B19="","",SUMIFS(符文总览!P:P,符文总览!$C:$C,$B19,符文总览!$AN:$AN,$C19))</f>
        <v>0.0169531490015361</v>
      </c>
      <c r="N19" s="84">
        <f>IF($B19="","",SUMIFS(符文总览!Q:Q,符文总览!$C:$C,$B19,符文总览!$AN:$AN,$C19))</f>
        <v>0.00474242424242424</v>
      </c>
      <c r="O19" s="85"/>
      <c r="P19" s="71"/>
    </row>
    <row r="20" spans="2:27">
      <c r="B20" s="67">
        <v>4</v>
      </c>
      <c r="C20" s="67">
        <v>6</v>
      </c>
      <c r="D20" s="83">
        <f>IF($B20="","",$I20*(SUMIFS(符文总览!$X:$X,符文总览!$C:$C,$B20)-SUMIFS(符文总览!$X:$X,符文总览!$C:$C,$B20,符文总览!$AO:$AO,"无效属性"))/SUMIFS(符文总览!$X:$X,符文总览!$C:$C,$B20))</f>
        <v>0.00151436104385257</v>
      </c>
      <c r="E20" s="83">
        <f>IF($B20="","",$I20*(SUMIFS(符文总览!$X:$X,符文总览!$C:$C,$B20,符文总览!$AO:$AO,E$14))/SUMIFS(符文总览!$X:$X,符文总览!$C:$C,$B20))</f>
        <v>0.000721651869787463</v>
      </c>
      <c r="F20" s="83">
        <f>IF($B20="","",$I20*(SUMIFS(符文总览!$X:$X,符文总览!$C:$C,$B20,符文总览!$AO:$AO,F$14))/SUMIFS(符文总览!$X:$X,符文总览!$C:$C,$B20))</f>
        <v>0.000394253430185634</v>
      </c>
      <c r="G20" s="83">
        <f>IF($B20="","",$I20*(SUMIFS(符文总览!$X:$X,符文总览!$C:$C,$B20,符文总览!$AO:$AO,G$14))/SUMIFS(符文总览!$X:$X,符文总览!$C:$C,$B20))</f>
        <v>0.000398455743879473</v>
      </c>
      <c r="H20" s="83">
        <f t="shared" si="1"/>
        <v>0.00186659133709981</v>
      </c>
      <c r="I20" s="84">
        <f>IF($B20="","",SUMIFS(符文总览!N:N,符文总览!$C:$C,$B20,符文总览!$AN:$AN,$C20))</f>
        <v>0.00338095238095238</v>
      </c>
      <c r="J20" s="84">
        <f>IF($B20="","",SUMIFS(符文总览!M:M,符文总览!$C:$C,$B20,符文总览!$AN:$AN,$C20))</f>
        <v>0.004125</v>
      </c>
      <c r="K20" s="84">
        <f>IF($B20="","",SUMIFS(符文总览!N:N,符文总览!$C:$C,$B20,符文总览!$AN:$AN,$C20))</f>
        <v>0.00338095238095238</v>
      </c>
      <c r="L20" s="84">
        <f>IF($B20="","",SUMIFS(符文总览!O:O,符文总览!$C:$C,$B20,符文总览!$AN:$AN,$C20))</f>
        <v>0.00338095238095238</v>
      </c>
      <c r="M20" s="84">
        <f>IF($B20="","",SUMIFS(符文总览!P:P,符文总览!$C:$C,$B20,符文总览!$AN:$AN,$C20))</f>
        <v>0.00338095238095238</v>
      </c>
      <c r="N20" s="84">
        <f>IF($B20="","",SUMIFS(符文总览!Q:Q,符文总览!$C:$C,$B20,符文总览!$AN:$AN,$C20))</f>
        <v>0.004125</v>
      </c>
      <c r="O20" s="85">
        <f t="shared" si="0"/>
        <v>29577.4647887324</v>
      </c>
      <c r="P20" s="71"/>
      <c r="W20" s="67">
        <f>65000*0.4</f>
        <v>26000</v>
      </c>
    </row>
    <row r="21" spans="2:27">
      <c r="D21" s="83"/>
      <c r="E21" s="81"/>
      <c r="F21" s="81"/>
      <c r="G21" s="81"/>
      <c r="H21" s="81"/>
      <c r="I21" s="84"/>
      <c r="J21" s="84"/>
      <c r="K21" s="84"/>
      <c r="L21" s="84"/>
      <c r="M21" s="84"/>
      <c r="N21" s="84"/>
      <c r="O21" s="85"/>
      <c r="P21" s="71"/>
    </row>
    <row r="22" spans="2:27">
      <c r="D22" s="81" t="s">
        <v>35</v>
      </c>
      <c r="E22" s="81" t="s">
        <v>25</v>
      </c>
      <c r="F22" s="81" t="s">
        <v>28</v>
      </c>
      <c r="G22" s="81" t="s">
        <v>31</v>
      </c>
      <c r="H22" s="81" t="s">
        <v>32</v>
      </c>
      <c r="I22" s="82"/>
      <c r="J22" s="82"/>
      <c r="K22" s="82"/>
      <c r="L22" s="82"/>
      <c r="M22" s="82"/>
      <c r="N22" s="82"/>
    </row>
    <row r="23" spans="2:27">
      <c r="B23" s="67">
        <v>5</v>
      </c>
      <c r="C23" s="67">
        <v>1</v>
      </c>
      <c r="D23" s="83">
        <f>IF(B23="","",I23*(SUMIFS(符文总览!X:X,符文总览!C:C,B23)-SUMIFS(符文总览!X:X,符文总览!C:C,B23,符文总览!AO:AO,"无效属性"))/SUMIFS(符文总览!X:X,符文总览!C:C,B23))</f>
        <v>0.169900038446751</v>
      </c>
      <c r="E23" s="83">
        <f>IF($B23="","",$I23*(SUMIFS(符文总览!$X:$X,符文总览!$C:$C,$B23,符文总览!$AO:$AO,E$14))/SUMIFS(符文总览!$X:$X,符文总览!$C:$C,$B23))</f>
        <v>0.0791657054978854</v>
      </c>
      <c r="F23" s="83">
        <f>IF($B23="","",$I23*(SUMIFS(符文总览!$X:$X,符文总览!$C:$C,$B23,符文总览!$AO:$AO,F$14))/SUMIFS(符文总览!$X:$X,符文总览!$C:$C,$B23))</f>
        <v>0.0453671664744329</v>
      </c>
      <c r="G23" s="83">
        <f>IF($B23="","",$I23*(SUMIFS(符文总览!$X:$X,符文总览!$C:$C,$B23,符文总览!$AO:$AO,G$14))/SUMIFS(符文总览!$X:$X,符文总览!$C:$C,$B23))</f>
        <v>0.0453671664744329</v>
      </c>
      <c r="H23" s="83">
        <f t="shared" si="1"/>
        <v>0.125099961553249</v>
      </c>
      <c r="I23" s="84">
        <f>IF($B23="","",SUMIFS(符文总览!N:N,符文总览!$C:$C,$B23,符文总览!$AN:$AN,$C23))</f>
        <v>0.295</v>
      </c>
      <c r="J23" s="84">
        <f>IF($B23="","",SUMIFS(符文总览!M:M,符文总览!$C:$C,$B23,符文总览!$AN:$AN,$C23))</f>
        <v>0.295</v>
      </c>
      <c r="K23" s="84">
        <f>IF($B23="","",SUMIFS(符文总览!N:N,符文总览!$C:$C,$B23,符文总览!$AN:$AN,$C23))</f>
        <v>0.295</v>
      </c>
      <c r="L23" s="84">
        <f>IF($B23="","",SUMIFS(符文总览!O:O,符文总览!$C:$C,$B23,符文总览!$AN:$AN,$C23))</f>
        <v>0.295</v>
      </c>
      <c r="M23" s="84">
        <f>IF($B23="","",SUMIFS(符文总览!P:P,符文总览!$C:$C,$B23,符文总览!$AN:$AN,$C23))</f>
        <v>0.295</v>
      </c>
      <c r="N23" s="84">
        <f>IF($B23="","",SUMIFS(符文总览!Q:Q,符文总览!$C:$C,$B23,符文总览!$AN:$AN,$C23))</f>
        <v>0.295</v>
      </c>
      <c r="O23" s="85">
        <f>1/I23*_xlfn.XLOOKUP(B23,$R$14:$R$21,$S$14:$S$21)*O$13</f>
        <v>305.084745762712</v>
      </c>
      <c r="P23" s="67" cm="1">
        <f t="array" ref="P23">SUMPRODUCT(O23:O29,I23:I29)</f>
        <v>630</v>
      </c>
      <c r="T23" s="87"/>
      <c r="V23" s="67" t="s">
        <v>11</v>
      </c>
      <c r="W23" s="67" t="s">
        <v>47</v>
      </c>
      <c r="Y23" s="67" t="s">
        <v>42</v>
      </c>
    </row>
    <row r="24" spans="2:27">
      <c r="B24" s="67">
        <v>5</v>
      </c>
      <c r="C24" s="67">
        <v>2</v>
      </c>
      <c r="D24" s="83">
        <f>IF(B24="","",I24*(SUMIFS(符文总览!X:X,符文总览!C:C,B24)-SUMIFS(符文总览!X:X,符文总览!C:C,B24,符文总览!AO:AO,"无效属性"))/SUMIFS(符文总览!X:X,符文总览!C:C,B24))</f>
        <v>0.169900038446751</v>
      </c>
      <c r="E24" s="83">
        <f>IF($B24="","",$I24*(SUMIFS(符文总览!$X:$X,符文总览!$C:$C,$B24,符文总览!$AO:$AO,E$14))/SUMIFS(符文总览!$X:$X,符文总览!$C:$C,$B24))</f>
        <v>0.0791657054978854</v>
      </c>
      <c r="F24" s="83">
        <f>IF($B24="","",$I24*(SUMIFS(符文总览!$X:$X,符文总览!$C:$C,$B24,符文总览!$AO:$AO,F$14))/SUMIFS(符文总览!$X:$X,符文总览!$C:$C,$B24))</f>
        <v>0.0453671664744329</v>
      </c>
      <c r="G24" s="83">
        <f>IF($B24="","",$I24*(SUMIFS(符文总览!$X:$X,符文总览!$C:$C,$B24,符文总览!$AO:$AO,G$14))/SUMIFS(符文总览!$X:$X,符文总览!$C:$C,$B24))</f>
        <v>0.0453671664744329</v>
      </c>
      <c r="H24" s="83">
        <f t="shared" si="1"/>
        <v>0.125099961553249</v>
      </c>
      <c r="I24" s="84">
        <f>IF($B24="","",SUMIFS(符文总览!N:N,符文总览!$C:$C,$B24,符文总览!$AN:$AN,$C24))</f>
        <v>0.295</v>
      </c>
      <c r="J24" s="84">
        <f>IF($B24="","",SUMIFS(符文总览!M:M,符文总览!$C:$C,$B24,符文总览!$AN:$AN,$C24))</f>
        <v>0.295</v>
      </c>
      <c r="K24" s="84">
        <f>IF($B24="","",SUMIFS(符文总览!N:N,符文总览!$C:$C,$B24,符文总览!$AN:$AN,$C24))</f>
        <v>0.295</v>
      </c>
      <c r="L24" s="84">
        <f>IF($B24="","",SUMIFS(符文总览!O:O,符文总览!$C:$C,$B24,符文总览!$AN:$AN,$C24))</f>
        <v>0.295</v>
      </c>
      <c r="M24" s="84">
        <f>IF($B24="","",SUMIFS(符文总览!P:P,符文总览!$C:$C,$B24,符文总览!$AN:$AN,$C24))</f>
        <v>0.295</v>
      </c>
      <c r="N24" s="84">
        <f>IF($B24="","",SUMIFS(符文总览!Q:Q,符文总览!$C:$C,$B24,符文总览!$AN:$AN,$C24))</f>
        <v>0.295</v>
      </c>
      <c r="O24" s="85">
        <f t="shared" ref="O24:O29" si="2">1/I24*_xlfn.XLOOKUP(B24,$R$14:$R$21,$S$14:$S$21)*O$13</f>
        <v>305.084745762712</v>
      </c>
      <c r="P24" s="71"/>
      <c r="T24" s="67" t="s">
        <v>48</v>
      </c>
      <c r="V24" s="67">
        <f>16384/4</f>
        <v>4096</v>
      </c>
      <c r="W24" s="67">
        <f>V24*0.4</f>
        <v>1638.4</v>
      </c>
      <c r="X24" s="87"/>
      <c r="Y24" s="87"/>
    </row>
    <row r="25" spans="2:27">
      <c r="B25" s="67">
        <v>5</v>
      </c>
      <c r="C25" s="67">
        <v>3</v>
      </c>
      <c r="D25" s="83">
        <f>IF(B25="","",I25*(SUMIFS(符文总览!X:X,符文总览!C:C,B25)-SUMIFS(符文总览!X:X,符文总览!C:C,B25,符文总览!AO:AO,"无效属性"))/SUMIFS(符文总览!X:X,符文总览!C:C,B25))</f>
        <v>0.193158844231509</v>
      </c>
      <c r="E25" s="83">
        <f>IF($B25="","",$I25*(SUMIFS(符文总览!$X:$X,符文总览!$C:$C,$B25,符文总览!$AO:$AO,E$14))/SUMIFS(符文总览!$X:$X,符文总览!$C:$C,$B25))</f>
        <v>0.0900032531866442</v>
      </c>
      <c r="F25" s="83">
        <f>IF($B25="","",$I25*(SUMIFS(符文总览!$X:$X,符文总览!$C:$C,$B25,符文总览!$AO:$AO,F$14))/SUMIFS(符文总览!$X:$X,符文总览!$C:$C,$B25))</f>
        <v>0.0515777955224322</v>
      </c>
      <c r="G25" s="83">
        <f>IF($B25="","",$I25*(SUMIFS(符文总览!$X:$X,符文总览!$C:$C,$B25,符文总览!$AO:$AO,G$14))/SUMIFS(符文总览!$X:$X,符文总览!$C:$C,$B25))</f>
        <v>0.0515777955224322</v>
      </c>
      <c r="H25" s="83">
        <f t="shared" si="1"/>
        <v>0.142225771153107</v>
      </c>
      <c r="I25" s="84">
        <f>IF($B25="","",SUMIFS(符文总览!N:N,符文总览!$C:$C,$B25,符文总览!$AN:$AN,$C25))</f>
        <v>0.335384615384615</v>
      </c>
      <c r="J25" s="84">
        <f>IF($B25="","",SUMIFS(符文总览!M:M,符文总览!$C:$C,$B25,符文总览!$AN:$AN,$C25))</f>
        <v>0.3325</v>
      </c>
      <c r="K25" s="84">
        <f>IF($B25="","",SUMIFS(符文总览!N:N,符文总览!$C:$C,$B25,符文总览!$AN:$AN,$C25))</f>
        <v>0.335384615384615</v>
      </c>
      <c r="L25" s="84">
        <f>IF($B25="","",SUMIFS(符文总览!O:O,符文总览!$C:$C,$B25,符文总览!$AN:$AN,$C25))</f>
        <v>0.3325</v>
      </c>
      <c r="M25" s="84">
        <f>IF($B25="","",SUMIFS(符文总览!P:P,符文总览!$C:$C,$B25,符文总览!$AN:$AN,$C25))</f>
        <v>0.327142857142857</v>
      </c>
      <c r="N25" s="84">
        <f>IF($B25="","",SUMIFS(符文总览!Q:Q,符文总览!$C:$C,$B25,符文总览!$AN:$AN,$C25))</f>
        <v>0.3325</v>
      </c>
      <c r="O25" s="85">
        <f t="shared" si="2"/>
        <v>268.348623853211</v>
      </c>
      <c r="P25" s="71"/>
      <c r="S25" s="67" t="s">
        <v>49</v>
      </c>
      <c r="T25" s="67" t="s">
        <v>18</v>
      </c>
      <c r="V25" s="67">
        <f>V24*4</f>
        <v>16384</v>
      </c>
      <c r="W25" s="67">
        <f>V25*0.4</f>
        <v>6553.6</v>
      </c>
    </row>
    <row r="26" spans="2:27">
      <c r="B26" s="67">
        <v>5</v>
      </c>
      <c r="C26" s="67">
        <v>4</v>
      </c>
      <c r="D26" s="83">
        <f>IF($B26="","",$I26*(SUMIFS(符文总览!$X:$X,符文总览!$C:$C,$B26)-SUMIFS(符文总览!$X:$X,符文总览!$C:$C,$B26,符文总览!$AO:$AO,"无效属性"))/SUMIFS(符文总览!$X:$X,符文总览!$C:$C,$B26))</f>
        <v>0.0199361192440777</v>
      </c>
      <c r="E26" s="83">
        <f>IF($B26="","",$I26*(SUMIFS(符文总览!$X:$X,符文总览!$C:$C,$B26,符文总览!$AO:$AO,E$14))/SUMIFS(符文总览!$X:$X,符文总览!$C:$C,$B26))</f>
        <v>0.00928932659036465</v>
      </c>
      <c r="F26" s="83">
        <f>IF($B26="","",$I26*(SUMIFS(符文总览!$X:$X,符文总览!$C:$C,$B26,符文总览!$AO:$AO,F$14))/SUMIFS(符文总览!$X:$X,符文总览!$C:$C,$B26))</f>
        <v>0.00532339632685654</v>
      </c>
      <c r="G26" s="83">
        <f>IF($B26="","",$I26*(SUMIFS(符文总览!$X:$X,符文总览!$C:$C,$B26,符文总览!$AO:$AO,G$14))/SUMIFS(符文总览!$X:$X,符文总览!$C:$C,$B26))</f>
        <v>0.00532339632685654</v>
      </c>
      <c r="H26" s="83">
        <f t="shared" si="1"/>
        <v>0.0146792653713069</v>
      </c>
      <c r="I26" s="84">
        <f>IF($B26="","",SUMIFS(符文总览!N:N,符文总览!$C:$C,$B26,符文总览!$AN:$AN,$C26))</f>
        <v>0.0346153846153846</v>
      </c>
      <c r="J26" s="84">
        <f>IF($B26="","",SUMIFS(符文总览!M:M,符文总览!$C:$C,$B26,符文总览!$AN:$AN,$C26))</f>
        <v>0.0375</v>
      </c>
      <c r="K26" s="84">
        <f>IF($B26="","",SUMIFS(符文总览!N:N,符文总览!$C:$C,$B26,符文总览!$AN:$AN,$C26))</f>
        <v>0.0346153846153846</v>
      </c>
      <c r="L26" s="84">
        <f>IF($B26="","",SUMIFS(符文总览!O:O,符文总览!$C:$C,$B26,符文总览!$AN:$AN,$C26))</f>
        <v>0.0375</v>
      </c>
      <c r="M26" s="84">
        <f>IF($B26="","",SUMIFS(符文总览!P:P,符文总览!$C:$C,$B26,符文总览!$AN:$AN,$C26))</f>
        <v>0.0428571428571429</v>
      </c>
      <c r="N26" s="84">
        <f>IF($B26="","",SUMIFS(符文总览!Q:Q,符文总览!$C:$C,$B26,符文总览!$AN:$AN,$C26))</f>
        <v>0.0375</v>
      </c>
      <c r="O26" s="85">
        <f t="shared" si="2"/>
        <v>2600</v>
      </c>
      <c r="P26" s="71"/>
      <c r="T26" s="67" t="s">
        <v>20</v>
      </c>
      <c r="V26" s="67">
        <f>V25*4</f>
        <v>65536</v>
      </c>
      <c r="W26" s="67">
        <f>V26*0.4</f>
        <v>26214.4</v>
      </c>
    </row>
    <row r="27" spans="2:27">
      <c r="B27" s="67">
        <v>5</v>
      </c>
      <c r="C27" s="67">
        <v>5</v>
      </c>
      <c r="D27" s="83">
        <f>IF($B27="","",$I27*(SUMIFS(符文总览!$X:$X,符文总览!$C:$C,$B27)-SUMIFS(符文总览!$X:$X,符文总览!$C:$C,$B27,符文总览!$AO:$AO,"无效属性"))/SUMIFS(符文总览!$X:$X,符文总览!$C:$C,$B27))</f>
        <v>0.0129584775086505</v>
      </c>
      <c r="E27" s="83">
        <f>IF($B27="","",$I27*(SUMIFS(符文总览!$X:$X,符文总览!$C:$C,$B27,符文总览!$AO:$AO,E$14))/SUMIFS(符文总览!$X:$X,符文总览!$C:$C,$B27))</f>
        <v>0.00603806228373702</v>
      </c>
      <c r="F27" s="83">
        <f>IF($B27="","",$I27*(SUMIFS(符文总览!$X:$X,符文总览!$C:$C,$B27,符文总览!$AO:$AO,F$14))/SUMIFS(符文总览!$X:$X,符文总览!$C:$C,$B27))</f>
        <v>0.00346020761245675</v>
      </c>
      <c r="G27" s="83">
        <f>IF($B27="","",$I27*(SUMIFS(符文总览!$X:$X,符文总览!$C:$C,$B27,符文总览!$AO:$AO,G$14))/SUMIFS(符文总览!$X:$X,符文总览!$C:$C,$B27))</f>
        <v>0.00346020761245675</v>
      </c>
      <c r="H27" s="83">
        <f t="shared" ref="H27:H37" si="3">I27-G27-F27-E27</f>
        <v>0.00954152249134948</v>
      </c>
      <c r="I27" s="84">
        <f>IF($B27="","",SUMIFS(符文总览!N:N,符文总览!$C:$C,$B27,符文总览!$AN:$AN,$C27))</f>
        <v>0.0225</v>
      </c>
      <c r="J27" s="84">
        <f>IF($B27="","",SUMIFS(符文总览!M:M,符文总览!$C:$C,$B27,符文总览!$AN:$AN,$C27))</f>
        <v>0.0225</v>
      </c>
      <c r="K27" s="84">
        <f>IF($B27="","",SUMIFS(符文总览!N:N,符文总览!$C:$C,$B27,符文总览!$AN:$AN,$C27))</f>
        <v>0.0225</v>
      </c>
      <c r="L27" s="84">
        <f>IF($B27="","",SUMIFS(符文总览!O:O,符文总览!$C:$C,$B27,符文总览!$AN:$AN,$C27))</f>
        <v>0.0225</v>
      </c>
      <c r="M27" s="84">
        <f>IF($B27="","",SUMIFS(符文总览!P:P,符文总览!$C:$C,$B27,符文总览!$AN:$AN,$C27))</f>
        <v>0.0225</v>
      </c>
      <c r="N27" s="84">
        <f>IF($B27="","",SUMIFS(符文总览!Q:Q,符文总览!$C:$C,$B27,符文总览!$AN:$AN,$C27))</f>
        <v>0.0225</v>
      </c>
      <c r="O27" s="85">
        <f t="shared" si="2"/>
        <v>4000</v>
      </c>
      <c r="P27" s="71"/>
    </row>
    <row r="28" spans="2:27">
      <c r="B28" s="67">
        <v>5</v>
      </c>
      <c r="C28" s="67">
        <v>6</v>
      </c>
      <c r="D28" s="83">
        <f>IF($B28="","",$I28*(SUMIFS(符文总览!$X:$X,符文总览!$C:$C,$B28)-SUMIFS(符文总览!$X:$X,符文总览!$C:$C,$B28,符文总览!$AO:$AO,"无效属性"))/SUMIFS(符文总览!$X:$X,符文总览!$C:$C,$B28))</f>
        <v>0.00403152633602461</v>
      </c>
      <c r="E28" s="83">
        <f>IF($B28="","",$I28*(SUMIFS(符文总览!$X:$X,符文总览!$C:$C,$B28,符文总览!$AO:$AO,E$14))/SUMIFS(符文总览!$X:$X,符文总览!$C:$C,$B28))</f>
        <v>0.00187850826605152</v>
      </c>
      <c r="F28" s="83">
        <f>IF($B28="","",$I28*(SUMIFS(符文总览!$X:$X,符文总览!$C:$C,$B28,符文总览!$AO:$AO,F$14))/SUMIFS(符文总览!$X:$X,符文总览!$C:$C,$B28))</f>
        <v>0.00107650903498654</v>
      </c>
      <c r="G28" s="83">
        <f>IF($B28="","",$I28*(SUMIFS(符文总览!$X:$X,符文总览!$C:$C,$B28,符文总览!$AO:$AO,G$14))/SUMIFS(符文总览!$X:$X,符文总览!$C:$C,$B28))</f>
        <v>0.00107650903498654</v>
      </c>
      <c r="H28" s="83">
        <f t="shared" si="3"/>
        <v>0.00296847366397539</v>
      </c>
      <c r="I28" s="84">
        <f>IF($B28="","",SUMIFS(符文总览!N:N,符文总览!$C:$C,$B28,符文总览!$AN:$AN,$C28))</f>
        <v>0.007</v>
      </c>
      <c r="J28" s="84">
        <f>IF($B28="","",SUMIFS(符文总览!M:M,符文总览!$C:$C,$B28,符文总览!$AN:$AN,$C28))</f>
        <v>0.007</v>
      </c>
      <c r="K28" s="84">
        <f>IF($B28="","",SUMIFS(符文总览!N:N,符文总览!$C:$C,$B28,符文总览!$AN:$AN,$C28))</f>
        <v>0.007</v>
      </c>
      <c r="L28" s="84">
        <f>IF($B28="","",SUMIFS(符文总览!O:O,符文总览!$C:$C,$B28,符文总览!$AN:$AN,$C28))</f>
        <v>0.007</v>
      </c>
      <c r="M28" s="84">
        <f>IF($B28="","",SUMIFS(符文总览!P:P,符文总览!$C:$C,$B28,符文总览!$AN:$AN,$C28))</f>
        <v>0.007</v>
      </c>
      <c r="N28" s="84">
        <f>IF($B28="","",SUMIFS(符文总览!Q:Q,符文总览!$C:$C,$B28,符文总览!$AN:$AN,$C28))</f>
        <v>0.007</v>
      </c>
      <c r="O28" s="85">
        <f t="shared" si="2"/>
        <v>12857.1428571429</v>
      </c>
      <c r="P28" s="71"/>
      <c r="T28" s="87"/>
      <c r="V28" s="87"/>
      <c r="W28" s="87"/>
      <c r="X28" s="87"/>
      <c r="Y28" s="87"/>
    </row>
    <row r="29" spans="2:27">
      <c r="B29" s="67">
        <v>5</v>
      </c>
      <c r="C29" s="67">
        <v>8</v>
      </c>
      <c r="D29" s="83">
        <f>IF($B29="","",$I29*(SUMIFS(符文总览!$X:$X,符文总览!$C:$C,$B29)-SUMIFS(符文总览!$X:$X,符文总览!$C:$C,$B29,符文总览!$AO:$AO,"无效属性"))/SUMIFS(符文总览!$X:$X,符文总览!$C:$C,$B29))</f>
        <v>0.00604728950403691</v>
      </c>
      <c r="E29" s="83">
        <f>IF($B29="","",$I29*(SUMIFS(符文总览!$X:$X,符文总览!$C:$C,$B29,符文总览!$AO:$AO,E$14))/SUMIFS(符文总览!$X:$X,符文总览!$C:$C,$B29))</f>
        <v>0.00281776239907728</v>
      </c>
      <c r="F29" s="83">
        <f>IF($B29="","",$I29*(SUMIFS(符文总览!$X:$X,符文总览!$C:$C,$B29,符文总览!$AO:$AO,F$14))/SUMIFS(符文总览!$X:$X,符文总览!$C:$C,$B29))</f>
        <v>0.00161476355247982</v>
      </c>
      <c r="G29" s="83">
        <f>IF($B29="","",$I29*(SUMIFS(符文总览!$X:$X,符文总览!$C:$C,$B29,符文总览!$AO:$AO,G$14))/SUMIFS(符文总览!$X:$X,符文总览!$C:$C,$B29))</f>
        <v>0.00161476355247982</v>
      </c>
      <c r="H29" s="83">
        <f t="shared" si="3"/>
        <v>0.00445271049596309</v>
      </c>
      <c r="I29" s="84">
        <f>IF($B29="","",SUMIFS(符文总览!N:N,符文总览!$C:$C,$B29,符文总览!$AN:$AN,$C29))</f>
        <v>0.0105</v>
      </c>
      <c r="J29" s="84">
        <f>IF($B29="","",SUMIFS(符文总览!M:M,符文总览!$C:$C,$B29,符文总览!$AN:$AN,$C29))</f>
        <v>0.0105</v>
      </c>
      <c r="K29" s="84">
        <f>IF($B29="","",SUMIFS(符文总览!N:N,符文总览!$C:$C,$B29,符文总览!$AN:$AN,$C29))</f>
        <v>0.0105</v>
      </c>
      <c r="L29" s="84">
        <f>IF($B29="","",SUMIFS(符文总览!O:O,符文总览!$C:$C,$B29,符文总览!$AN:$AN,$C29))</f>
        <v>0.0105</v>
      </c>
      <c r="M29" s="84">
        <f>IF($B29="","",SUMIFS(符文总览!P:P,符文总览!$C:$C,$B29,符文总览!$AN:$AN,$C29))</f>
        <v>0.0105</v>
      </c>
      <c r="N29" s="84">
        <f>IF($B29="","",SUMIFS(符文总览!Q:Q,符文总览!$C:$C,$B29,符文总览!$AN:$AN,$C29))</f>
        <v>0.0105</v>
      </c>
      <c r="O29" s="85">
        <f t="shared" si="2"/>
        <v>8571.42857142857</v>
      </c>
      <c r="P29" s="71"/>
      <c r="T29" s="87"/>
      <c r="V29" s="4" t="s">
        <v>11</v>
      </c>
      <c r="W29" s="67" t="s">
        <v>50</v>
      </c>
      <c r="X29" s="87"/>
      <c r="Y29" s="87"/>
      <c r="AA29" s="67">
        <f>9000/2.5</f>
        <v>3600</v>
      </c>
    </row>
    <row r="30" spans="2:27">
      <c r="D30" s="83" t="str">
        <f ca="1">IF(C30="","",I30*OFFSET($E$60,0,MATCH(C30,$C$23:$C$29,0)))</f>
        <v/>
      </c>
      <c r="E30" s="81"/>
      <c r="F30" s="81"/>
      <c r="G30" s="81"/>
      <c r="H30" s="81"/>
      <c r="I30" s="84" t="str">
        <f>IF($B30="","",SUMIFS(符文总览!N:N,符文总览!$C:$C,$B30,符文总览!$AN:$AN,$C30))</f>
        <v/>
      </c>
      <c r="J30" s="84" t="str">
        <f>IF($B30="","",SUMIFS(符文总览!M:M,符文总览!$C:$C,$B30,符文总览!$AN:$AN,$C30))</f>
        <v/>
      </c>
      <c r="K30" s="84" t="str">
        <f>IF($B30="","",SUMIFS(符文总览!N:N,符文总览!$C:$C,$B30,符文总览!$AN:$AN,$C30))</f>
        <v/>
      </c>
      <c r="L30" s="84" t="str">
        <f>IF($B30="","",SUMIFS(符文总览!O:O,符文总览!$C:$C,$B30,符文总览!$AN:$AN,$C30))</f>
        <v/>
      </c>
      <c r="M30" s="84" t="str">
        <f>IF($B30="","",SUMIFS(符文总览!P:P,符文总览!$C:$C,$B30,符文总览!$AN:$AN,$C30))</f>
        <v/>
      </c>
      <c r="N30" s="84" t="str">
        <f>IF($B30="","",SUMIFS(符文总览!Q:Q,符文总览!$C:$C,$B30,符文总览!$AN:$AN,$C30))</f>
        <v/>
      </c>
      <c r="O30" s="88"/>
      <c r="P30" s="88"/>
      <c r="T30" s="67" t="s">
        <v>51</v>
      </c>
      <c r="U30" s="67" t="s">
        <v>52</v>
      </c>
      <c r="V30" s="67">
        <v>6000</v>
      </c>
      <c r="W30" s="67">
        <f>O26*0.5</f>
        <v>1300</v>
      </c>
      <c r="X30" s="67">
        <f>W24/V30</f>
        <v>0.273066666666667</v>
      </c>
      <c r="Y30" s="71">
        <f>W30+W24</f>
        <v>2938.4</v>
      </c>
    </row>
    <row r="31" spans="2:27">
      <c r="B31" s="67">
        <f t="shared" ref="B31:B36" si="4">B23+1</f>
        <v>6</v>
      </c>
      <c r="C31" s="67">
        <f t="shared" ref="C31:C36" si="5">C23</f>
        <v>1</v>
      </c>
      <c r="D31" s="83">
        <f>IF(B31="","",I31*(SUMIFS(符文总览!X:X,符文总览!C:C,B31)-SUMIFS(符文总览!X:X,符文总览!C:C,B31,符文总览!AO:AO,"无效属性"))/SUMIFS(符文总览!X:X,符文总览!C:C,B31))</f>
        <v>0.169900038446751</v>
      </c>
      <c r="E31" s="83">
        <f>IF($B31="","",$I31*(SUMIFS(符文总览!$X:$X,符文总览!$C:$C,$B31,符文总览!$AO:$AO,E$14))/SUMIFS(符文总览!$X:$X,符文总览!$C:$C,$B31))</f>
        <v>0.0791657054978854</v>
      </c>
      <c r="F31" s="83">
        <f>IF($B31="","",$I31*(SUMIFS(符文总览!$X:$X,符文总览!$C:$C,$B31,符文总览!$AO:$AO,F$14))/SUMIFS(符文总览!$X:$X,符文总览!$C:$C,$B31))</f>
        <v>0.0453671664744329</v>
      </c>
      <c r="G31" s="83">
        <f>IF($B31="","",$I31*(SUMIFS(符文总览!$X:$X,符文总览!$C:$C,$B31,符文总览!$AO:$AO,G$14))/SUMIFS(符文总览!$X:$X,符文总览!$C:$C,$B31))</f>
        <v>0.0453671664744329</v>
      </c>
      <c r="H31" s="83">
        <f t="shared" si="3"/>
        <v>0.125099961553249</v>
      </c>
      <c r="I31" s="84">
        <f>IF($B31="","",SUMIFS(符文总览!N:N,符文总览!$C:$C,$B31,符文总览!$AN:$AN,$C31))</f>
        <v>0.295</v>
      </c>
      <c r="J31" s="84">
        <f>IF($B31="","",SUMIFS(符文总览!M:M,符文总览!$C:$C,$B31,符文总览!$AN:$AN,$C31))</f>
        <v>0.295</v>
      </c>
      <c r="K31" s="84">
        <f>IF($B31="","",SUMIFS(符文总览!N:N,符文总览!$C:$C,$B31,符文总览!$AN:$AN,$C31))</f>
        <v>0.295</v>
      </c>
      <c r="L31" s="84">
        <f>IF($B31="","",SUMIFS(符文总览!O:O,符文总览!$C:$C,$B31,符文总览!$AN:$AN,$C31))</f>
        <v>0.295</v>
      </c>
      <c r="M31" s="84">
        <f>IF($B31="","",SUMIFS(符文总览!P:P,符文总览!$C:$C,$B31,符文总览!$AN:$AN,$C31))</f>
        <v>0.295</v>
      </c>
      <c r="N31" s="84">
        <f>IF($B31="","",SUMIFS(符文总览!Q:Q,符文总览!$C:$C,$B31,符文总览!$AN:$AN,$C31))</f>
        <v>0.295</v>
      </c>
      <c r="O31" s="85">
        <f>1/I31*_xlfn.XLOOKUP(B31,$R$14:$R$21,$S$14:$S$21)*O$13</f>
        <v>610.169491525424</v>
      </c>
      <c r="P31" s="67" cm="1">
        <f t="array" ref="P31">SUMPRODUCT(O31:O37,I31:I37)</f>
        <v>1260</v>
      </c>
      <c r="T31" s="67" t="s">
        <v>53</v>
      </c>
      <c r="U31" s="67" t="s">
        <v>52</v>
      </c>
      <c r="V31" s="67">
        <v>18000</v>
      </c>
      <c r="W31" s="67">
        <f>O34*0.5</f>
        <v>2600</v>
      </c>
      <c r="X31" s="67">
        <f>W25/V31</f>
        <v>0.364088888888889</v>
      </c>
      <c r="Y31" s="71">
        <f>W31+W25</f>
        <v>9153.6</v>
      </c>
    </row>
    <row r="32" spans="2:27">
      <c r="B32" s="67">
        <f t="shared" si="4"/>
        <v>6</v>
      </c>
      <c r="C32" s="67">
        <f t="shared" si="5"/>
        <v>2</v>
      </c>
      <c r="D32" s="83">
        <f>IF(B32="","",I32*(SUMIFS(符文总览!X:X,符文总览!C:C,B32)-SUMIFS(符文总览!X:X,符文总览!C:C,B32,符文总览!AO:AO,"无效属性"))/SUMIFS(符文总览!X:X,符文总览!C:C,B32))</f>
        <v>0.169900038446751</v>
      </c>
      <c r="E32" s="83">
        <f>IF($B32="","",$I32*(SUMIFS(符文总览!$X:$X,符文总览!$C:$C,$B32,符文总览!$AO:$AO,E$14))/SUMIFS(符文总览!$X:$X,符文总览!$C:$C,$B32))</f>
        <v>0.0791657054978854</v>
      </c>
      <c r="F32" s="83">
        <f>IF($B32="","",$I32*(SUMIFS(符文总览!$X:$X,符文总览!$C:$C,$B32,符文总览!$AO:$AO,F$14))/SUMIFS(符文总览!$X:$X,符文总览!$C:$C,$B32))</f>
        <v>0.0453671664744329</v>
      </c>
      <c r="G32" s="83">
        <f>IF($B32="","",$I32*(SUMIFS(符文总览!$X:$X,符文总览!$C:$C,$B32,符文总览!$AO:$AO,G$14))/SUMIFS(符文总览!$X:$X,符文总览!$C:$C,$B32))</f>
        <v>0.0453671664744329</v>
      </c>
      <c r="H32" s="83">
        <f t="shared" si="3"/>
        <v>0.125099961553249</v>
      </c>
      <c r="I32" s="84">
        <f>IF($B32="","",SUMIFS(符文总览!N:N,符文总览!$C:$C,$B32,符文总览!$AN:$AN,$C32))</f>
        <v>0.295</v>
      </c>
      <c r="J32" s="84">
        <f>IF($B32="","",SUMIFS(符文总览!M:M,符文总览!$C:$C,$B32,符文总览!$AN:$AN,$C32))</f>
        <v>0.295</v>
      </c>
      <c r="K32" s="84">
        <f>IF($B32="","",SUMIFS(符文总览!N:N,符文总览!$C:$C,$B32,符文总览!$AN:$AN,$C32))</f>
        <v>0.295</v>
      </c>
      <c r="L32" s="84">
        <f>IF($B32="","",SUMIFS(符文总览!O:O,符文总览!$C:$C,$B32,符文总览!$AN:$AN,$C32))</f>
        <v>0.295</v>
      </c>
      <c r="M32" s="84">
        <f>IF($B32="","",SUMIFS(符文总览!P:P,符文总览!$C:$C,$B32,符文总览!$AN:$AN,$C32))</f>
        <v>0.295</v>
      </c>
      <c r="N32" s="84">
        <f>IF($B32="","",SUMIFS(符文总览!Q:Q,符文总览!$C:$C,$B32,符文总览!$AN:$AN,$C32))</f>
        <v>0.295</v>
      </c>
      <c r="O32" s="85">
        <f t="shared" ref="O31:O37" si="6">1/I32*_xlfn.XLOOKUP(B32,$R$14:$R$21,$S$14:$S$21)*O$13</f>
        <v>610.169491525424</v>
      </c>
      <c r="P32" s="71"/>
      <c r="T32" s="67" t="s">
        <v>54</v>
      </c>
      <c r="U32" s="67" t="s">
        <v>52</v>
      </c>
      <c r="V32" s="67">
        <f>54000</f>
        <v>54000</v>
      </c>
      <c r="W32" s="71">
        <f>O42*0.5</f>
        <v>4333.33333333333</v>
      </c>
      <c r="X32" s="67">
        <f>W26/V32</f>
        <v>0.485451851851852</v>
      </c>
      <c r="Y32" s="71">
        <f>W32+W26</f>
        <v>30547.7333333333</v>
      </c>
    </row>
    <row r="33" spans="1:26">
      <c r="B33" s="67">
        <f t="shared" si="4"/>
        <v>6</v>
      </c>
      <c r="C33" s="67">
        <f t="shared" si="5"/>
        <v>3</v>
      </c>
      <c r="D33" s="83">
        <f>IF(B33="","",I33*(SUMIFS(符文总览!X:X,符文总览!C:C,B33)-SUMIFS(符文总览!X:X,符文总览!C:C,B33,符文总览!AO:AO,"无效属性"))/SUMIFS(符文总览!X:X,符文总览!C:C,B33))</f>
        <v>0.193158844231509</v>
      </c>
      <c r="E33" s="83">
        <f>IF($B33="","",$I33*(SUMIFS(符文总览!$X:$X,符文总览!$C:$C,$B33,符文总览!$AO:$AO,E$14))/SUMIFS(符文总览!$X:$X,符文总览!$C:$C,$B33))</f>
        <v>0.0900032531866442</v>
      </c>
      <c r="F33" s="83">
        <f>IF($B33="","",$I33*(SUMIFS(符文总览!$X:$X,符文总览!$C:$C,$B33,符文总览!$AO:$AO,F$14))/SUMIFS(符文总览!$X:$X,符文总览!$C:$C,$B33))</f>
        <v>0.0515777955224322</v>
      </c>
      <c r="G33" s="83">
        <f>IF($B33="","",$I33*(SUMIFS(符文总览!$X:$X,符文总览!$C:$C,$B33,符文总览!$AO:$AO,G$14))/SUMIFS(符文总览!$X:$X,符文总览!$C:$C,$B33))</f>
        <v>0.0515777955224322</v>
      </c>
      <c r="H33" s="83">
        <f t="shared" si="3"/>
        <v>0.142225771153107</v>
      </c>
      <c r="I33" s="84">
        <f>IF($B33="","",SUMIFS(符文总览!N:N,符文总览!$C:$C,$B33,符文总览!$AN:$AN,$C33))</f>
        <v>0.335384615384615</v>
      </c>
      <c r="J33" s="84">
        <f>IF($B33="","",SUMIFS(符文总览!M:M,符文总览!$C:$C,$B33,符文总览!$AN:$AN,$C33))</f>
        <v>0.3325</v>
      </c>
      <c r="K33" s="84">
        <f>IF($B33="","",SUMIFS(符文总览!N:N,符文总览!$C:$C,$B33,符文总览!$AN:$AN,$C33))</f>
        <v>0.335384615384615</v>
      </c>
      <c r="L33" s="84">
        <f>IF($B33="","",SUMIFS(符文总览!O:O,符文总览!$C:$C,$B33,符文总览!$AN:$AN,$C33))</f>
        <v>0.3325</v>
      </c>
      <c r="M33" s="84">
        <f>IF($B33="","",SUMIFS(符文总览!P:P,符文总览!$C:$C,$B33,符文总览!$AN:$AN,$C33))</f>
        <v>0.327142857142857</v>
      </c>
      <c r="N33" s="84">
        <f>IF($B33="","",SUMIFS(符文总览!Q:Q,符文总览!$C:$C,$B33,符文总览!$AN:$AN,$C33))</f>
        <v>0.3325</v>
      </c>
      <c r="O33" s="85">
        <f t="shared" si="6"/>
        <v>536.697247706422</v>
      </c>
      <c r="P33" s="71"/>
      <c r="W33" s="71"/>
      <c r="Y33" s="71"/>
    </row>
    <row r="34" spans="1:26">
      <c r="B34" s="67">
        <f t="shared" si="4"/>
        <v>6</v>
      </c>
      <c r="C34" s="67">
        <f t="shared" si="5"/>
        <v>4</v>
      </c>
      <c r="D34" s="83">
        <f>IF(B34="","",I34*(SUMIFS(符文总览!X:X,符文总览!C:C,B34)-SUMIFS(符文总览!X:X,符文总览!C:C,B34,符文总览!AO:AO,"无效属性"))/SUMIFS(符文总览!X:X,符文总览!C:C,B34))</f>
        <v>0.0199361192440777</v>
      </c>
      <c r="E34" s="83">
        <f>IF($B34="","",$I34*(SUMIFS(符文总览!$X:$X,符文总览!$C:$C,$B34,符文总览!$AO:$AO,E$14))/SUMIFS(符文总览!$X:$X,符文总览!$C:$C,$B34))</f>
        <v>0.00928932659036465</v>
      </c>
      <c r="F34" s="83">
        <f>IF($B34="","",$I34*(SUMIFS(符文总览!$X:$X,符文总览!$C:$C,$B34,符文总览!$AO:$AO,F$14))/SUMIFS(符文总览!$X:$X,符文总览!$C:$C,$B34))</f>
        <v>0.00532339632685654</v>
      </c>
      <c r="G34" s="83">
        <f>IF($B34="","",$I34*(SUMIFS(符文总览!$X:$X,符文总览!$C:$C,$B34,符文总览!$AO:$AO,G$14))/SUMIFS(符文总览!$X:$X,符文总览!$C:$C,$B34))</f>
        <v>0.00532339632685654</v>
      </c>
      <c r="H34" s="83">
        <f t="shared" si="3"/>
        <v>0.0146792653713069</v>
      </c>
      <c r="I34" s="84">
        <f>IF($B34="","",SUMIFS(符文总览!N:N,符文总览!$C:$C,$B34,符文总览!$AN:$AN,$C34))</f>
        <v>0.0346153846153846</v>
      </c>
      <c r="J34" s="84">
        <f>IF($B34="","",SUMIFS(符文总览!M:M,符文总览!$C:$C,$B34,符文总览!$AN:$AN,$C34))</f>
        <v>0.0375</v>
      </c>
      <c r="K34" s="84">
        <f>IF($B34="","",SUMIFS(符文总览!N:N,符文总览!$C:$C,$B34,符文总览!$AN:$AN,$C34))</f>
        <v>0.0346153846153846</v>
      </c>
      <c r="L34" s="84">
        <f>IF($B34="","",SUMIFS(符文总览!O:O,符文总览!$C:$C,$B34,符文总览!$AN:$AN,$C34))</f>
        <v>0.0375</v>
      </c>
      <c r="M34" s="84">
        <f>IF($B34="","",SUMIFS(符文总览!P:P,符文总览!$C:$C,$B34,符文总览!$AN:$AN,$C34))</f>
        <v>0.0428571428571429</v>
      </c>
      <c r="N34" s="84">
        <f>IF($B34="","",SUMIFS(符文总览!Q:Q,符文总览!$C:$C,$B34,符文总览!$AN:$AN,$C34))</f>
        <v>0.0375</v>
      </c>
      <c r="O34" s="85">
        <f t="shared" si="6"/>
        <v>5200</v>
      </c>
      <c r="P34" s="71"/>
      <c r="T34" s="67" t="s">
        <v>51</v>
      </c>
      <c r="U34" s="67" t="s">
        <v>55</v>
      </c>
      <c r="V34" s="67">
        <f>12000</f>
        <v>12000</v>
      </c>
      <c r="W34" s="71">
        <f>O29*0.5</f>
        <v>4285.71428571429</v>
      </c>
      <c r="X34" s="67">
        <f>W24/V34</f>
        <v>0.136533333333333</v>
      </c>
      <c r="Y34" s="71">
        <f t="shared" ref="Y34:Y40" si="7">W34+W24</f>
        <v>5924.11428571429</v>
      </c>
      <c r="Z34" s="67">
        <f>V34*0.3+V30*0.7</f>
        <v>7800</v>
      </c>
    </row>
    <row r="35" spans="1:26">
      <c r="B35" s="67">
        <f t="shared" si="4"/>
        <v>6</v>
      </c>
      <c r="C35" s="67">
        <f t="shared" si="5"/>
        <v>5</v>
      </c>
      <c r="D35" s="83">
        <f>IF(B35="","",I35*(SUMIFS(符文总览!X:X,符文总览!C:C,B35)-SUMIFS(符文总览!X:X,符文总览!C:C,B35,符文总览!AO:AO,"无效属性"))/SUMIFS(符文总览!X:X,符文总览!C:C,B35))</f>
        <v>0.0129584775086505</v>
      </c>
      <c r="E35" s="83">
        <f>IF($B35="","",$I35*(SUMIFS(符文总览!$X:$X,符文总览!$C:$C,$B35,符文总览!$AO:$AO,E$14))/SUMIFS(符文总览!$X:$X,符文总览!$C:$C,$B35))</f>
        <v>0.00603806228373702</v>
      </c>
      <c r="F35" s="83">
        <f>IF($B35="","",$I35*(SUMIFS(符文总览!$X:$X,符文总览!$C:$C,$B35,符文总览!$AO:$AO,F$14))/SUMIFS(符文总览!$X:$X,符文总览!$C:$C,$B35))</f>
        <v>0.00346020761245675</v>
      </c>
      <c r="G35" s="83">
        <f>IF($B35="","",$I35*(SUMIFS(符文总览!$X:$X,符文总览!$C:$C,$B35,符文总览!$AO:$AO,G$14))/SUMIFS(符文总览!$X:$X,符文总览!$C:$C,$B35))</f>
        <v>0.00346020761245675</v>
      </c>
      <c r="H35" s="83">
        <f t="shared" si="3"/>
        <v>0.00954152249134948</v>
      </c>
      <c r="I35" s="84">
        <f>J35</f>
        <v>0.0225</v>
      </c>
      <c r="J35" s="84">
        <f>IF($B35="","",SUMIFS(符文总览!M:M,符文总览!$C:$C,$B35,符文总览!$AN:$AN,$C35))</f>
        <v>0.0225</v>
      </c>
      <c r="K35" s="84">
        <f>IF($B35="","",SUMIFS(符文总览!N:N,符文总览!$C:$C,$B35,符文总览!$AN:$AN,$C35))</f>
        <v>0.0225</v>
      </c>
      <c r="L35" s="84">
        <f>IF($B35="","",SUMIFS(符文总览!O:O,符文总览!$C:$C,$B35,符文总览!$AN:$AN,$C35))</f>
        <v>0.0225</v>
      </c>
      <c r="M35" s="84">
        <f>IF($B35="","",SUMIFS(符文总览!P:P,符文总览!$C:$C,$B35,符文总览!$AN:$AN,$C35))</f>
        <v>0.0225</v>
      </c>
      <c r="N35" s="84">
        <f>IF($B35="","",SUMIFS(符文总览!Q:Q,符文总览!$C:$C,$B35,符文总览!$AN:$AN,$C35))</f>
        <v>0.0225</v>
      </c>
      <c r="O35" s="85">
        <f t="shared" si="6"/>
        <v>8000</v>
      </c>
      <c r="P35" s="71"/>
      <c r="T35" s="67" t="s">
        <v>53</v>
      </c>
      <c r="U35" s="67" t="s">
        <v>55</v>
      </c>
      <c r="V35" s="89">
        <f>30000</f>
        <v>30000</v>
      </c>
      <c r="W35" s="71">
        <f>O37*0.5</f>
        <v>8571.42857142857</v>
      </c>
      <c r="X35" s="67">
        <f>W25/V35</f>
        <v>0.218453333333333</v>
      </c>
      <c r="Y35" s="71">
        <f t="shared" si="7"/>
        <v>15125.0285714286</v>
      </c>
    </row>
    <row r="36" spans="1:26">
      <c r="B36" s="67">
        <f t="shared" si="4"/>
        <v>6</v>
      </c>
      <c r="C36" s="67">
        <f t="shared" si="5"/>
        <v>6</v>
      </c>
      <c r="D36" s="83">
        <f>IF(B36="","",I36*(SUMIFS(符文总览!X:X,符文总览!C:C,B36)-SUMIFS(符文总览!X:X,符文总览!C:C,B36,符文总览!AO:AO,"无效属性"))/SUMIFS(符文总览!X:X,符文总览!C:C,B36))</f>
        <v>0.00403152633602461</v>
      </c>
      <c r="E36" s="83">
        <f>IF($B36="","",$I36*(SUMIFS(符文总览!$X:$X,符文总览!$C:$C,$B36,符文总览!$AO:$AO,E$14))/SUMIFS(符文总览!$X:$X,符文总览!$C:$C,$B36))</f>
        <v>0.00187850826605152</v>
      </c>
      <c r="F36" s="83">
        <f>IF($B36="","",$I36*(SUMIFS(符文总览!$X:$X,符文总览!$C:$C,$B36,符文总览!$AO:$AO,F$14))/SUMIFS(符文总览!$X:$X,符文总览!$C:$C,$B36))</f>
        <v>0.00107650903498654</v>
      </c>
      <c r="G36" s="83">
        <f>IF($B36="","",$I36*(SUMIFS(符文总览!$X:$X,符文总览!$C:$C,$B36,符文总览!$AO:$AO,G$14))/SUMIFS(符文总览!$X:$X,符文总览!$C:$C,$B36))</f>
        <v>0.00107650903498654</v>
      </c>
      <c r="H36" s="83">
        <f t="shared" si="3"/>
        <v>0.00296847366397539</v>
      </c>
      <c r="I36" s="84">
        <f>IF($B36="","",SUMIFS(符文总览!N:N,符文总览!$C:$C,$B36,符文总览!$AN:$AN,$C36))</f>
        <v>0.007</v>
      </c>
      <c r="J36" s="84">
        <f>IF($B36="","",SUMIFS(符文总览!M:M,符文总览!$C:$C,$B36,符文总览!$AN:$AN,$C36))</f>
        <v>0.007</v>
      </c>
      <c r="K36" s="84">
        <f>IF($B36="","",SUMIFS(符文总览!N:N,符文总览!$C:$C,$B36,符文总览!$AN:$AN,$C36))</f>
        <v>0.007</v>
      </c>
      <c r="L36" s="84">
        <f>IF($B36="","",SUMIFS(符文总览!O:O,符文总览!$C:$C,$B36,符文总览!$AN:$AN,$C36))</f>
        <v>0.007</v>
      </c>
      <c r="M36" s="84">
        <f>IF($B36="","",SUMIFS(符文总览!P:P,符文总览!$C:$C,$B36,符文总览!$AN:$AN,$C36))</f>
        <v>0.007</v>
      </c>
      <c r="N36" s="84">
        <f>IF($B36="","",SUMIFS(符文总览!Q:Q,符文总览!$C:$C,$B36,符文总览!$AN:$AN,$C36))</f>
        <v>0.007</v>
      </c>
      <c r="O36" s="85">
        <f t="shared" si="6"/>
        <v>25714.2857142857</v>
      </c>
      <c r="P36" s="71"/>
      <c r="T36" s="67" t="s">
        <v>54</v>
      </c>
      <c r="U36" s="67" t="s">
        <v>55</v>
      </c>
      <c r="V36" s="67">
        <f>90000</f>
        <v>90000</v>
      </c>
      <c r="W36" s="71">
        <f>O45*0.5</f>
        <v>14285.7142857143</v>
      </c>
      <c r="X36" s="67">
        <f>W26/V36</f>
        <v>0.291271111111111</v>
      </c>
      <c r="Y36" s="71">
        <f t="shared" si="7"/>
        <v>40500.1142857143</v>
      </c>
    </row>
    <row r="37" spans="1:26">
      <c r="B37" s="67">
        <v>6</v>
      </c>
      <c r="C37" s="67">
        <v>8</v>
      </c>
      <c r="D37" s="83">
        <f>IF(B37="","",I37*(SUMIFS(符文总览!X:X,符文总览!C:C,B37)-SUMIFS(符文总览!X:X,符文总览!C:C,B37,符文总览!AO:AO,"无效属性"))/SUMIFS(符文总览!X:X,符文总览!C:C,B37))</f>
        <v>0.00604728950403691</v>
      </c>
      <c r="E37" s="83">
        <f>IF($B37="","",$I37*(SUMIFS(符文总览!$X:$X,符文总览!$C:$C,$B37,符文总览!$AO:$AO,E$14))/SUMIFS(符文总览!$X:$X,符文总览!$C:$C,$B37))</f>
        <v>0.00281776239907728</v>
      </c>
      <c r="F37" s="83">
        <f>IF($B37="","",$I37*(SUMIFS(符文总览!$X:$X,符文总览!$C:$C,$B37,符文总览!$AO:$AO,F$14))/SUMIFS(符文总览!$X:$X,符文总览!$C:$C,$B37))</f>
        <v>0.00161476355247982</v>
      </c>
      <c r="G37" s="83">
        <f>IF($B37="","",$I37*(SUMIFS(符文总览!$X:$X,符文总览!$C:$C,$B37,符文总览!$AO:$AO,G$14))/SUMIFS(符文总览!$X:$X,符文总览!$C:$C,$B37))</f>
        <v>0.00161476355247982</v>
      </c>
      <c r="H37" s="83">
        <f t="shared" si="3"/>
        <v>0.00445271049596309</v>
      </c>
      <c r="I37" s="84">
        <f>IF($B37="","",SUMIFS(符文总览!N:N,符文总览!$C:$C,$B37,符文总览!$AN:$AN,$C37))</f>
        <v>0.0105</v>
      </c>
      <c r="J37" s="84">
        <f>IF($B37="","",SUMIFS(符文总览!M:M,符文总览!$C:$C,$B37,符文总览!$AN:$AN,$C37))</f>
        <v>0.0105</v>
      </c>
      <c r="K37" s="84">
        <f>IF($B37="","",SUMIFS(符文总览!N:N,符文总览!$C:$C,$B37,符文总览!$AN:$AN,$C37))</f>
        <v>0.0105</v>
      </c>
      <c r="L37" s="84">
        <f>IF($B37="","",SUMIFS(符文总览!O:O,符文总览!$C:$C,$B37,符文总览!$AN:$AN,$C37))</f>
        <v>0.0105</v>
      </c>
      <c r="M37" s="84">
        <f>IF($B37="","",SUMIFS(符文总览!P:P,符文总览!$C:$C,$B37,符文总览!$AN:$AN,$C37))</f>
        <v>0.0105</v>
      </c>
      <c r="N37" s="84">
        <f>IF($B37="","",SUMIFS(符文总览!Q:Q,符文总览!$C:$C,$B37,符文总览!$AN:$AN,$C37))</f>
        <v>0.0105</v>
      </c>
      <c r="O37" s="85">
        <f t="shared" si="6"/>
        <v>17142.8571428571</v>
      </c>
      <c r="P37" s="71"/>
    </row>
    <row r="38" spans="1:26">
      <c r="D38" s="83" t="str">
        <f ca="1">IF(C38="","",I38*OFFSET($E$60,0,MATCH(C38,$C$23:$C$29,0)))</f>
        <v/>
      </c>
      <c r="E38" s="81"/>
      <c r="F38" s="81"/>
      <c r="G38" s="81"/>
      <c r="H38" s="81"/>
      <c r="I38" s="84" t="str">
        <f>IF($B38="","",SUMIFS(符文总览!N:N,符文总览!$C:$C,$B38,符文总览!$AN:$AN,$C38))</f>
        <v/>
      </c>
      <c r="J38" s="84" t="str">
        <f>IF($B38="","",SUMIFS(符文总览!M:M,符文总览!$C:$C,$B38,符文总览!$AN:$AN,$C38))</f>
        <v/>
      </c>
      <c r="K38" s="84" t="str">
        <f>IF($B38="","",SUMIFS(符文总览!N:N,符文总览!$C:$C,$B38,符文总览!$AN:$AN,$C38))</f>
        <v/>
      </c>
      <c r="L38" s="84" t="str">
        <f>IF($B38="","",SUMIFS(符文总览!O:O,符文总览!$C:$C,$B38,符文总览!$AN:$AN,$C38))</f>
        <v/>
      </c>
      <c r="M38" s="84" t="str">
        <f>IF($B38="","",SUMIFS(符文总览!P:P,符文总览!$C:$C,$B38,符文总览!$AN:$AN,$C38))</f>
        <v/>
      </c>
      <c r="N38" s="84" t="str">
        <f>IF($B38="","",SUMIFS(符文总览!Q:Q,符文总览!$C:$C,$B38,符文总览!$AN:$AN,$C38))</f>
        <v/>
      </c>
      <c r="T38" s="67" t="s">
        <v>51</v>
      </c>
      <c r="U38" s="67" t="s">
        <v>56</v>
      </c>
      <c r="V38" s="67">
        <f>V34</f>
        <v>12000</v>
      </c>
      <c r="W38" s="71"/>
      <c r="Y38" s="71"/>
    </row>
    <row r="39" spans="1:26">
      <c r="B39" s="67">
        <f t="shared" ref="B39:B44" si="8">B31+1</f>
        <v>7</v>
      </c>
      <c r="C39" s="67">
        <f t="shared" ref="C39:C44" si="9">C31</f>
        <v>1</v>
      </c>
      <c r="D39" s="83">
        <f>IF(B39="","",I39*(SUMIFS(符文总览!X:X,符文总览!C:C,B39)-SUMIFS(符文总览!X:X,符文总览!C:C,B39,符文总览!AO:AO,"无效属性"))/SUMIFS(符文总览!X:X,符文总览!C:C,B39))</f>
        <v>0.169900038446751</v>
      </c>
      <c r="E39" s="83">
        <f>IF($B39="","",$I39*(SUMIFS(符文总览!$X:$X,符文总览!$C:$C,$B39,符文总览!$AO:$AO,E$14))/SUMIFS(符文总览!$X:$X,符文总览!$C:$C,$B39))</f>
        <v>0.0791657054978854</v>
      </c>
      <c r="F39" s="83">
        <f>IF($B39="","",$I39*(SUMIFS(符文总览!$X:$X,符文总览!$C:$C,$B39,符文总览!$AO:$AO,F$14))/SUMIFS(符文总览!$X:$X,符文总览!$C:$C,$B39))</f>
        <v>0.0453671664744329</v>
      </c>
      <c r="G39" s="83">
        <f>IF($B39="","",$I39*(SUMIFS(符文总览!$X:$X,符文总览!$C:$C,$B39,符文总览!$AO:$AO,G$14))/SUMIFS(符文总览!$X:$X,符文总览!$C:$C,$B39))</f>
        <v>0.0453671664744329</v>
      </c>
      <c r="H39" s="83">
        <f t="shared" ref="H39:H45" si="10">I39-G39-F39-E39</f>
        <v>0.125099961553249</v>
      </c>
      <c r="I39" s="84">
        <f>IF($B39="","",SUMIFS(符文总览!N:N,符文总览!$C:$C,$B39,符文总览!$AN:$AN,$C39))</f>
        <v>0.295</v>
      </c>
      <c r="J39" s="84">
        <f>IF($B39="","",SUMIFS(符文总览!M:M,符文总览!$C:$C,$B39,符文总览!$AN:$AN,$C39))</f>
        <v>0.295</v>
      </c>
      <c r="K39" s="84">
        <f>IF($B39="","",SUMIFS(符文总览!N:N,符文总览!$C:$C,$B39,符文总览!$AN:$AN,$C39))</f>
        <v>0.295</v>
      </c>
      <c r="L39" s="84">
        <f>IF($B39="","",SUMIFS(符文总览!O:O,符文总览!$C:$C,$B39,符文总览!$AN:$AN,$C39))</f>
        <v>0.295</v>
      </c>
      <c r="M39" s="84">
        <f>IF($B39="","",SUMIFS(符文总览!P:P,符文总览!$C:$C,$B39,符文总览!$AN:$AN,$C39))</f>
        <v>0.295</v>
      </c>
      <c r="N39" s="84">
        <f>IF($B39="","",SUMIFS(符文总览!Q:Q,符文总览!$C:$C,$B39,符文总览!$AN:$AN,$C39))</f>
        <v>0.295</v>
      </c>
      <c r="O39" s="85">
        <f t="shared" ref="O39:O45" si="11">1/I39*_xlfn.XLOOKUP(B39,$R$14:$R$21,$S$14:$S$21)*O$13</f>
        <v>1016.94915254237</v>
      </c>
      <c r="P39" s="67" cm="1">
        <f t="array" ref="P39">SUMPRODUCT(O39:O45,I39:I45)</f>
        <v>2100</v>
      </c>
      <c r="T39" s="67" t="s">
        <v>53</v>
      </c>
      <c r="U39" s="67" t="s">
        <v>56</v>
      </c>
      <c r="V39" s="67">
        <f>V35</f>
        <v>30000</v>
      </c>
      <c r="W39" s="71"/>
      <c r="Y39" s="71"/>
    </row>
    <row r="40" spans="1:26">
      <c r="B40" s="67">
        <f t="shared" si="8"/>
        <v>7</v>
      </c>
      <c r="C40" s="67">
        <f t="shared" si="9"/>
        <v>2</v>
      </c>
      <c r="D40" s="83">
        <f>IF(B40="","",I40*(SUMIFS(符文总览!X:X,符文总览!C:C,B40)-SUMIFS(符文总览!X:X,符文总览!C:C,B40,符文总览!AO:AO,"无效属性"))/SUMIFS(符文总览!X:X,符文总览!C:C,B40))</f>
        <v>0.169900038446751</v>
      </c>
      <c r="E40" s="83">
        <f>IF($B40="","",$I40*(SUMIFS(符文总览!$X:$X,符文总览!$C:$C,$B40,符文总览!$AO:$AO,E$14))/SUMIFS(符文总览!$X:$X,符文总览!$C:$C,$B40))</f>
        <v>0.0791657054978854</v>
      </c>
      <c r="F40" s="83">
        <f>IF($B40="","",$I40*(SUMIFS(符文总览!$X:$X,符文总览!$C:$C,$B40,符文总览!$AO:$AO,F$14))/SUMIFS(符文总览!$X:$X,符文总览!$C:$C,$B40))</f>
        <v>0.0453671664744329</v>
      </c>
      <c r="G40" s="83">
        <f>IF($B40="","",$I40*(SUMIFS(符文总览!$X:$X,符文总览!$C:$C,$B40,符文总览!$AO:$AO,G$14))/SUMIFS(符文总览!$X:$X,符文总览!$C:$C,$B40))</f>
        <v>0.0453671664744329</v>
      </c>
      <c r="H40" s="83">
        <f t="shared" si="10"/>
        <v>0.125099961553249</v>
      </c>
      <c r="I40" s="84">
        <f>IF($B40="","",SUMIFS(符文总览!N:N,符文总览!$C:$C,$B40,符文总览!$AN:$AN,$C40))</f>
        <v>0.295</v>
      </c>
      <c r="J40" s="84">
        <f>IF($B40="","",SUMIFS(符文总览!M:M,符文总览!$C:$C,$B40,符文总览!$AN:$AN,$C40))</f>
        <v>0.295</v>
      </c>
      <c r="K40" s="84">
        <f>IF($B40="","",SUMIFS(符文总览!N:N,符文总览!$C:$C,$B40,符文总览!$AN:$AN,$C40))</f>
        <v>0.295</v>
      </c>
      <c r="L40" s="84">
        <f>IF($B40="","",SUMIFS(符文总览!O:O,符文总览!$C:$C,$B40,符文总览!$AN:$AN,$C40))</f>
        <v>0.295</v>
      </c>
      <c r="M40" s="84">
        <f>IF($B40="","",SUMIFS(符文总览!P:P,符文总览!$C:$C,$B40,符文总览!$AN:$AN,$C40))</f>
        <v>0.295</v>
      </c>
      <c r="N40" s="84">
        <f>IF($B40="","",SUMIFS(符文总览!Q:Q,符文总览!$C:$C,$B40,符文总览!$AN:$AN,$C40))</f>
        <v>0.295</v>
      </c>
      <c r="O40" s="85">
        <f t="shared" si="11"/>
        <v>1016.94915254237</v>
      </c>
      <c r="P40" s="71"/>
      <c r="T40" s="67" t="s">
        <v>54</v>
      </c>
      <c r="U40" s="67" t="s">
        <v>56</v>
      </c>
      <c r="V40" s="67">
        <f>V36</f>
        <v>90000</v>
      </c>
      <c r="W40" s="71"/>
      <c r="Y40" s="71"/>
    </row>
    <row r="41" spans="1:26">
      <c r="B41" s="67">
        <f t="shared" si="8"/>
        <v>7</v>
      </c>
      <c r="C41" s="67">
        <f t="shared" si="9"/>
        <v>3</v>
      </c>
      <c r="D41" s="83">
        <f>IF(B41="","",I41*(SUMIFS(符文总览!X:X,符文总览!C:C,B41)-SUMIFS(符文总览!X:X,符文总览!C:C,B41,符文总览!AO:AO,"无效属性"))/SUMIFS(符文总览!X:X,符文总览!C:C,B41))</f>
        <v>0.193158844231509</v>
      </c>
      <c r="E41" s="83">
        <f>IF($B41="","",$I41*(SUMIFS(符文总览!$X:$X,符文总览!$C:$C,$B41,符文总览!$AO:$AO,E$14))/SUMIFS(符文总览!$X:$X,符文总览!$C:$C,$B41))</f>
        <v>0.0900032531866442</v>
      </c>
      <c r="F41" s="83">
        <f>IF($B41="","",$I41*(SUMIFS(符文总览!$X:$X,符文总览!$C:$C,$B41,符文总览!$AO:$AO,F$14))/SUMIFS(符文总览!$X:$X,符文总览!$C:$C,$B41))</f>
        <v>0.0515777955224322</v>
      </c>
      <c r="G41" s="83">
        <f>IF($B41="","",$I41*(SUMIFS(符文总览!$X:$X,符文总览!$C:$C,$B41,符文总览!$AO:$AO,G$14))/SUMIFS(符文总览!$X:$X,符文总览!$C:$C,$B41))</f>
        <v>0.0515777955224322</v>
      </c>
      <c r="H41" s="83">
        <f t="shared" si="10"/>
        <v>0.142225771153107</v>
      </c>
      <c r="I41" s="84">
        <f>IF($B41="","",SUMIFS(符文总览!N:N,符文总览!$C:$C,$B41,符文总览!$AN:$AN,$C41))</f>
        <v>0.335384615384615</v>
      </c>
      <c r="J41" s="84">
        <f>IF($B41="","",SUMIFS(符文总览!M:M,符文总览!$C:$C,$B41,符文总览!$AN:$AN,$C41))</f>
        <v>0.3325</v>
      </c>
      <c r="K41" s="84">
        <f>IF($B41="","",SUMIFS(符文总览!N:N,符文总览!$C:$C,$B41,符文总览!$AN:$AN,$C41))</f>
        <v>0.335384615384615</v>
      </c>
      <c r="L41" s="84">
        <f>IF($B41="","",SUMIFS(符文总览!O:O,符文总览!$C:$C,$B41,符文总览!$AN:$AN,$C41))</f>
        <v>0.3325</v>
      </c>
      <c r="M41" s="84">
        <f>IF($B41="","",SUMIFS(符文总览!P:P,符文总览!$C:$C,$B41,符文总览!$AN:$AN,$C41))</f>
        <v>0.327142857142857</v>
      </c>
      <c r="N41" s="84">
        <f>IF($B41="","",SUMIFS(符文总览!Q:Q,符文总览!$C:$C,$B41,符文总览!$AN:$AN,$C41))</f>
        <v>0.3325</v>
      </c>
      <c r="O41" s="85">
        <f t="shared" si="11"/>
        <v>894.495412844037</v>
      </c>
      <c r="P41" s="71"/>
    </row>
    <row r="42" spans="1:26">
      <c r="B42" s="67">
        <f t="shared" si="8"/>
        <v>7</v>
      </c>
      <c r="C42" s="67">
        <f t="shared" si="9"/>
        <v>4</v>
      </c>
      <c r="D42" s="83">
        <f>IF(B42="","",I42*(SUMIFS(符文总览!X:X,符文总览!C:C,B42)-SUMIFS(符文总览!X:X,符文总览!C:C,B42,符文总览!AO:AO,"无效属性"))/SUMIFS(符文总览!X:X,符文总览!C:C,B42))</f>
        <v>0.0199361192440777</v>
      </c>
      <c r="E42" s="83">
        <f>IF($B42="","",$I42*(SUMIFS(符文总览!$X:$X,符文总览!$C:$C,$B42,符文总览!$AO:$AO,E$14))/SUMIFS(符文总览!$X:$X,符文总览!$C:$C,$B42))</f>
        <v>0.00928932659036465</v>
      </c>
      <c r="F42" s="83">
        <f>IF($B42="","",$I42*(SUMIFS(符文总览!$X:$X,符文总览!$C:$C,$B42,符文总览!$AO:$AO,F$14))/SUMIFS(符文总览!$X:$X,符文总览!$C:$C,$B42))</f>
        <v>0.00532339632685654</v>
      </c>
      <c r="G42" s="83">
        <f>IF($B42="","",$I42*(SUMIFS(符文总览!$X:$X,符文总览!$C:$C,$B42,符文总览!$AO:$AO,G$14))/SUMIFS(符文总览!$X:$X,符文总览!$C:$C,$B42))</f>
        <v>0.00532339632685654</v>
      </c>
      <c r="H42" s="83">
        <f t="shared" si="10"/>
        <v>0.0146792653713069</v>
      </c>
      <c r="I42" s="84">
        <f>IF($B42="","",SUMIFS(符文总览!N:N,符文总览!$C:$C,$B42,符文总览!$AN:$AN,$C42))</f>
        <v>0.0346153846153846</v>
      </c>
      <c r="J42" s="84">
        <f>IF($B42="","",SUMIFS(符文总览!M:M,符文总览!$C:$C,$B42,符文总览!$AN:$AN,$C42))</f>
        <v>0.0375</v>
      </c>
      <c r="K42" s="84">
        <f>IF($B42="","",SUMIFS(符文总览!N:N,符文总览!$C:$C,$B42,符文总览!$AN:$AN,$C42))</f>
        <v>0.0346153846153846</v>
      </c>
      <c r="L42" s="84">
        <f>IF($B42="","",SUMIFS(符文总览!O:O,符文总览!$C:$C,$B42,符文总览!$AN:$AN,$C42))</f>
        <v>0.0375</v>
      </c>
      <c r="M42" s="84">
        <f>IF($B42="","",SUMIFS(符文总览!P:P,符文总览!$C:$C,$B42,符文总览!$AN:$AN,$C42))</f>
        <v>0.0428571428571429</v>
      </c>
      <c r="N42" s="84">
        <f>IF($B42="","",SUMIFS(符文总览!Q:Q,符文总览!$C:$C,$B42,符文总览!$AN:$AN,$C42))</f>
        <v>0.0375</v>
      </c>
      <c r="O42" s="85">
        <f t="shared" si="11"/>
        <v>8666.66666666667</v>
      </c>
      <c r="P42" s="71"/>
    </row>
    <row r="43" spans="1:26">
      <c r="B43" s="67">
        <f t="shared" si="8"/>
        <v>7</v>
      </c>
      <c r="C43" s="67">
        <f t="shared" si="9"/>
        <v>5</v>
      </c>
      <c r="D43" s="83">
        <f>IF(B43="","",I43*(SUMIFS(符文总览!X:X,符文总览!C:C,B43)-SUMIFS(符文总览!X:X,符文总览!C:C,B43,符文总览!AO:AO,"无效属性"))/SUMIFS(符文总览!X:X,符文总览!C:C,B43))</f>
        <v>0.0129584775086505</v>
      </c>
      <c r="E43" s="83">
        <f>IF($B43="","",$I43*(SUMIFS(符文总览!$X:$X,符文总览!$C:$C,$B43,符文总览!$AO:$AO,E$14))/SUMIFS(符文总览!$X:$X,符文总览!$C:$C,$B43))</f>
        <v>0.00603806228373702</v>
      </c>
      <c r="F43" s="83">
        <f>IF($B43="","",$I43*(SUMIFS(符文总览!$X:$X,符文总览!$C:$C,$B43,符文总览!$AO:$AO,F$14))/SUMIFS(符文总览!$X:$X,符文总览!$C:$C,$B43))</f>
        <v>0.00346020761245675</v>
      </c>
      <c r="G43" s="83">
        <f>IF($B43="","",$I43*(SUMIFS(符文总览!$X:$X,符文总览!$C:$C,$B43,符文总览!$AO:$AO,G$14))/SUMIFS(符文总览!$X:$X,符文总览!$C:$C,$B43))</f>
        <v>0.00346020761245675</v>
      </c>
      <c r="H43" s="83">
        <f t="shared" si="10"/>
        <v>0.00954152249134948</v>
      </c>
      <c r="I43" s="84">
        <f>IF($B43="","",SUMIFS(符文总览!N:N,符文总览!$C:$C,$B43,符文总览!$AN:$AN,$C43))</f>
        <v>0.0225</v>
      </c>
      <c r="J43" s="84">
        <f>IF($B43="","",SUMIFS(符文总览!M:M,符文总览!$C:$C,$B43,符文总览!$AN:$AN,$C43))</f>
        <v>0.0225</v>
      </c>
      <c r="K43" s="84">
        <f>IF($B43="","",SUMIFS(符文总览!N:N,符文总览!$C:$C,$B43,符文总览!$AN:$AN,$C43))</f>
        <v>0.0225</v>
      </c>
      <c r="L43" s="84">
        <f>IF($B43="","",SUMIFS(符文总览!O:O,符文总览!$C:$C,$B43,符文总览!$AN:$AN,$C43))</f>
        <v>0.0225</v>
      </c>
      <c r="M43" s="84">
        <f>IF($B43="","",SUMIFS(符文总览!P:P,符文总览!$C:$C,$B43,符文总览!$AN:$AN,$C43))</f>
        <v>0.0225</v>
      </c>
      <c r="N43" s="84">
        <f>IF($B43="","",SUMIFS(符文总览!Q:Q,符文总览!$C:$C,$B43,符文总览!$AN:$AN,$C43))</f>
        <v>0.0225</v>
      </c>
      <c r="O43" s="85">
        <f t="shared" si="11"/>
        <v>13333.3333333333</v>
      </c>
      <c r="P43" s="71"/>
    </row>
    <row r="44" spans="1:26">
      <c r="B44" s="67">
        <f t="shared" si="8"/>
        <v>7</v>
      </c>
      <c r="C44" s="67">
        <f t="shared" si="9"/>
        <v>6</v>
      </c>
      <c r="D44" s="83">
        <f>IF(B44="","",I44*(SUMIFS(符文总览!X:X,符文总览!C:C,B44)-SUMIFS(符文总览!X:X,符文总览!C:C,B44,符文总览!AO:AO,"无效属性"))/SUMIFS(符文总览!X:X,符文总览!C:C,B44))</f>
        <v>0.00403152633602461</v>
      </c>
      <c r="E44" s="83">
        <f>IF($B44="","",$I44*(SUMIFS(符文总览!$X:$X,符文总览!$C:$C,$B44,符文总览!$AO:$AO,E$14))/SUMIFS(符文总览!$X:$X,符文总览!$C:$C,$B44))</f>
        <v>0.00187850826605152</v>
      </c>
      <c r="F44" s="83">
        <f>IF($B44="","",$I44*(SUMIFS(符文总览!$X:$X,符文总览!$C:$C,$B44,符文总览!$AO:$AO,F$14))/SUMIFS(符文总览!$X:$X,符文总览!$C:$C,$B44))</f>
        <v>0.00107650903498654</v>
      </c>
      <c r="G44" s="83">
        <f>IF($B44="","",$I44*(SUMIFS(符文总览!$X:$X,符文总览!$C:$C,$B44,符文总览!$AO:$AO,G$14))/SUMIFS(符文总览!$X:$X,符文总览!$C:$C,$B44))</f>
        <v>0.00107650903498654</v>
      </c>
      <c r="H44" s="83">
        <f t="shared" si="10"/>
        <v>0.00296847366397539</v>
      </c>
      <c r="I44" s="84">
        <f>IF($B44="","",SUMIFS(符文总览!N:N,符文总览!$C:$C,$B44,符文总览!$AN:$AN,$C44))</f>
        <v>0.007</v>
      </c>
      <c r="J44" s="84">
        <f>IF($B44="","",SUMIFS(符文总览!M:M,符文总览!$C:$C,$B44,符文总览!$AN:$AN,$C44))</f>
        <v>0.007</v>
      </c>
      <c r="K44" s="84">
        <f>IF($B44="","",SUMIFS(符文总览!N:N,符文总览!$C:$C,$B44,符文总览!$AN:$AN,$C44))</f>
        <v>0.007</v>
      </c>
      <c r="L44" s="84">
        <f>IF($B44="","",SUMIFS(符文总览!O:O,符文总览!$C:$C,$B44,符文总览!$AN:$AN,$C44))</f>
        <v>0.007</v>
      </c>
      <c r="M44" s="84">
        <f>IF($B44="","",SUMIFS(符文总览!P:P,符文总览!$C:$C,$B44,符文总览!$AN:$AN,$C44))</f>
        <v>0.007</v>
      </c>
      <c r="N44" s="84">
        <f>IF($B44="","",SUMIFS(符文总览!Q:Q,符文总览!$C:$C,$B44,符文总览!$AN:$AN,$C44))</f>
        <v>0.007</v>
      </c>
      <c r="O44" s="85">
        <f t="shared" si="11"/>
        <v>42857.1428571429</v>
      </c>
      <c r="P44" s="71"/>
      <c r="Q44" s="67">
        <f>1/D44</f>
        <v>248.045012397482</v>
      </c>
      <c r="R44" s="67">
        <f>24*60</f>
        <v>1440</v>
      </c>
      <c r="S44" s="67">
        <f>R44*Q44</f>
        <v>357184.817852375</v>
      </c>
    </row>
    <row r="45" spans="1:26">
      <c r="B45" s="67">
        <v>7</v>
      </c>
      <c r="C45" s="67">
        <v>8</v>
      </c>
      <c r="D45" s="83">
        <f>IF(B45="","",I45*(SUMIFS(符文总览!X:X,符文总览!C:C,B45)-SUMIFS(符文总览!X:X,符文总览!C:C,B45,符文总览!AO:AO,"无效属性"))/SUMIFS(符文总览!X:X,符文总览!C:C,B45))</f>
        <v>0.00604728950403691</v>
      </c>
      <c r="E45" s="83">
        <f>IF($B45="","",$I45*(SUMIFS(符文总览!$X:$X,符文总览!$C:$C,$B45,符文总览!$AO:$AO,E$14))/SUMIFS(符文总览!$X:$X,符文总览!$C:$C,$B45))</f>
        <v>0.00281776239907728</v>
      </c>
      <c r="F45" s="83">
        <f>IF($B45="","",$I45*(SUMIFS(符文总览!$X:$X,符文总览!$C:$C,$B45,符文总览!$AO:$AO,F$14))/SUMIFS(符文总览!$X:$X,符文总览!$C:$C,$B45))</f>
        <v>0.00161476355247982</v>
      </c>
      <c r="G45" s="83">
        <f>IF($B45="","",$I45*(SUMIFS(符文总览!$X:$X,符文总览!$C:$C,$B45,符文总览!$AO:$AO,G$14))/SUMIFS(符文总览!$X:$X,符文总览!$C:$C,$B45))</f>
        <v>0.00161476355247982</v>
      </c>
      <c r="H45" s="83">
        <f t="shared" si="10"/>
        <v>0.00445271049596309</v>
      </c>
      <c r="I45" s="84">
        <f>IF($B45="","",SUMIFS(符文总览!N:N,符文总览!$C:$C,$B45,符文总览!$AN:$AN,$C45))</f>
        <v>0.0105</v>
      </c>
      <c r="J45" s="84">
        <f>IF($B45="","",SUMIFS(符文总览!M:M,符文总览!$C:$C,$B45,符文总览!$AN:$AN,$C45))</f>
        <v>0.0105</v>
      </c>
      <c r="K45" s="84">
        <f>IF($B45="","",SUMIFS(符文总览!N:N,符文总览!$C:$C,$B45,符文总览!$AN:$AN,$C45))</f>
        <v>0.0105</v>
      </c>
      <c r="L45" s="84">
        <f>IF($B45="","",SUMIFS(符文总览!O:O,符文总览!$C:$C,$B45,符文总览!$AN:$AN,$C45))</f>
        <v>0.0105</v>
      </c>
      <c r="M45" s="84">
        <f>IF($B45="","",SUMIFS(符文总览!P:P,符文总览!$C:$C,$B45,符文总览!$AN:$AN,$C45))</f>
        <v>0.0105</v>
      </c>
      <c r="N45" s="84">
        <f>IF($B45="","",SUMIFS(符文总览!Q:Q,符文总览!$C:$C,$B45,符文总览!$AN:$AN,$C45))</f>
        <v>0.0105</v>
      </c>
      <c r="O45" s="85">
        <f t="shared" si="11"/>
        <v>28571.4285714286</v>
      </c>
      <c r="P45" s="71"/>
    </row>
    <row r="47" s="65" customFormat="1" ht="24.75" spans="1:26">
      <c r="A47" s="65" t="s">
        <v>57</v>
      </c>
    </row>
    <row r="48" spans="1:26">
      <c r="E48" s="90"/>
      <c r="G48" s="67" t="s">
        <v>58</v>
      </c>
    </row>
    <row r="49" spans="2:19">
      <c r="B49" s="67" t="s">
        <v>59</v>
      </c>
      <c r="C49" s="67" t="s">
        <v>44</v>
      </c>
      <c r="E49" s="67" t="s">
        <v>60</v>
      </c>
      <c r="F49" s="67" t="s">
        <v>61</v>
      </c>
      <c r="G49" s="67">
        <v>1</v>
      </c>
      <c r="H49" s="67">
        <v>2</v>
      </c>
      <c r="I49" s="67" t="s">
        <v>62</v>
      </c>
      <c r="J49" s="67">
        <v>4</v>
      </c>
      <c r="K49" s="67">
        <v>5</v>
      </c>
      <c r="L49" s="67">
        <v>6</v>
      </c>
      <c r="M49" s="67">
        <v>8</v>
      </c>
      <c r="N49" s="67" t="s">
        <v>63</v>
      </c>
      <c r="O49" s="67" t="s">
        <v>64</v>
      </c>
    </row>
    <row r="50" spans="2:19">
      <c r="B50" s="67" t="s">
        <v>65</v>
      </c>
      <c r="C50" s="67">
        <v>5</v>
      </c>
      <c r="E50" s="67" t="s">
        <v>66</v>
      </c>
      <c r="F50" s="67">
        <v>4</v>
      </c>
      <c r="G50" s="67">
        <v>0.02</v>
      </c>
      <c r="H50" s="67">
        <v>0.04</v>
      </c>
      <c r="I50" s="67">
        <v>0.08</v>
      </c>
      <c r="J50" s="67">
        <v>0.1</v>
      </c>
      <c r="K50" s="67">
        <v>0.06</v>
      </c>
      <c r="L50" s="67">
        <v>0.08</v>
      </c>
      <c r="N50" s="67">
        <v>0.03</v>
      </c>
      <c r="Q50" s="67">
        <v>1</v>
      </c>
    </row>
    <row r="51" spans="2:19">
      <c r="B51" s="67" t="s">
        <v>67</v>
      </c>
      <c r="C51" s="67">
        <v>5</v>
      </c>
      <c r="E51" s="67" t="s">
        <v>68</v>
      </c>
      <c r="F51" s="67">
        <v>8</v>
      </c>
      <c r="G51" s="67">
        <v>0.03</v>
      </c>
      <c r="H51" s="67">
        <v>0.06</v>
      </c>
      <c r="I51" s="67">
        <v>0.1</v>
      </c>
      <c r="J51" s="67">
        <v>0.13</v>
      </c>
      <c r="K51" s="67">
        <v>0.08</v>
      </c>
      <c r="L51" s="67">
        <v>0.1</v>
      </c>
      <c r="N51" s="67">
        <v>0.05</v>
      </c>
      <c r="Q51" s="67">
        <f t="shared" ref="Q51:Q56" si="12">Q50*4</f>
        <v>4</v>
      </c>
    </row>
    <row r="52" spans="2:19">
      <c r="B52" s="67" t="s">
        <v>69</v>
      </c>
      <c r="C52" s="67">
        <v>6</v>
      </c>
      <c r="E52" s="67" t="s">
        <v>70</v>
      </c>
      <c r="F52" s="67">
        <v>12</v>
      </c>
      <c r="G52" s="67">
        <v>0.04</v>
      </c>
      <c r="H52" s="67">
        <v>0.08</v>
      </c>
      <c r="I52" s="67">
        <v>0.12</v>
      </c>
      <c r="J52" s="67">
        <v>0.16</v>
      </c>
      <c r="K52" s="67">
        <v>0.1</v>
      </c>
      <c r="L52" s="67">
        <v>0.12</v>
      </c>
      <c r="M52" s="67">
        <v>0.2</v>
      </c>
      <c r="N52" s="67">
        <v>0.06</v>
      </c>
      <c r="O52" s="67">
        <v>0.19</v>
      </c>
      <c r="Q52" s="67">
        <f t="shared" si="12"/>
        <v>16</v>
      </c>
    </row>
    <row r="53" spans="2:19">
      <c r="B53" s="67" t="s">
        <v>71</v>
      </c>
      <c r="C53" s="67">
        <v>6</v>
      </c>
      <c r="E53" s="67" t="s">
        <v>72</v>
      </c>
      <c r="F53" s="67">
        <v>16</v>
      </c>
      <c r="G53" s="67">
        <v>0.05</v>
      </c>
      <c r="H53" s="67">
        <v>0.1</v>
      </c>
      <c r="I53" s="67">
        <f>I52+0.04</f>
        <v>0.16</v>
      </c>
      <c r="J53" s="67">
        <v>0.2</v>
      </c>
      <c r="K53" s="67">
        <v>0.13</v>
      </c>
      <c r="L53" s="67">
        <v>0.15</v>
      </c>
      <c r="M53" s="67">
        <v>0.25</v>
      </c>
      <c r="N53" s="67">
        <v>0.08</v>
      </c>
      <c r="O53" s="67">
        <v>0.25</v>
      </c>
      <c r="Q53" s="67">
        <f t="shared" si="12"/>
        <v>64</v>
      </c>
      <c r="R53" s="67">
        <v>30</v>
      </c>
    </row>
    <row r="54" spans="2:19">
      <c r="B54" s="67" t="s">
        <v>73</v>
      </c>
      <c r="C54" s="67">
        <v>7</v>
      </c>
      <c r="E54" s="67" t="s">
        <v>74</v>
      </c>
      <c r="F54" s="67">
        <v>20</v>
      </c>
      <c r="G54" s="67">
        <v>0.06</v>
      </c>
      <c r="H54" s="67">
        <v>0.12</v>
      </c>
      <c r="I54" s="67">
        <f>I53+0.04</f>
        <v>0.2</v>
      </c>
      <c r="J54" s="67">
        <v>0.25</v>
      </c>
      <c r="K54" s="67">
        <v>0.32</v>
      </c>
      <c r="L54" s="67">
        <v>0.2</v>
      </c>
      <c r="M54" s="67">
        <v>0.32</v>
      </c>
      <c r="N54" s="67">
        <v>0.1</v>
      </c>
      <c r="O54" s="67">
        <v>0.31</v>
      </c>
      <c r="Q54" s="67">
        <f t="shared" si="12"/>
        <v>256</v>
      </c>
      <c r="R54" s="67">
        <v>30</v>
      </c>
    </row>
    <row r="55" spans="2:19">
      <c r="E55" s="67" t="s">
        <v>75</v>
      </c>
      <c r="F55" s="67">
        <v>24</v>
      </c>
      <c r="G55" s="67">
        <v>0.08</v>
      </c>
      <c r="H55" s="67">
        <v>0.16</v>
      </c>
      <c r="I55" s="67">
        <f>I54+0.02</f>
        <v>0.22</v>
      </c>
      <c r="J55" s="67">
        <v>0.32</v>
      </c>
      <c r="K55" s="67">
        <v>0.4</v>
      </c>
      <c r="L55" s="67">
        <v>0.25</v>
      </c>
      <c r="M55" s="67">
        <v>0.4</v>
      </c>
      <c r="N55" s="67">
        <v>0.13</v>
      </c>
      <c r="O55" s="67">
        <v>0.4</v>
      </c>
      <c r="Q55" s="67">
        <f t="shared" si="12"/>
        <v>1024</v>
      </c>
      <c r="R55" s="67">
        <f>30+30*4</f>
        <v>150</v>
      </c>
    </row>
    <row r="56" spans="2:19">
      <c r="E56" s="67" t="s">
        <v>76</v>
      </c>
      <c r="F56" s="67">
        <v>28</v>
      </c>
      <c r="G56" s="67">
        <v>0.1</v>
      </c>
      <c r="H56" s="67">
        <v>0.2</v>
      </c>
      <c r="I56" s="67">
        <f>I55+0.02</f>
        <v>0.24</v>
      </c>
      <c r="J56" s="67">
        <v>0.4</v>
      </c>
      <c r="K56" s="67">
        <v>0.5</v>
      </c>
      <c r="L56" s="67">
        <v>0.32</v>
      </c>
      <c r="M56" s="67">
        <v>0.5</v>
      </c>
      <c r="N56" s="67">
        <v>0.16</v>
      </c>
      <c r="O56" s="67">
        <v>0.5</v>
      </c>
      <c r="Q56" s="67">
        <f t="shared" si="12"/>
        <v>4096</v>
      </c>
      <c r="R56" s="67">
        <f>30+30*4</f>
        <v>150</v>
      </c>
    </row>
    <row r="58" spans="2:19">
      <c r="L58" s="67">
        <f>1/1+2/1+3/1</f>
        <v>6</v>
      </c>
      <c r="N58" s="67">
        <v>1</v>
      </c>
      <c r="O58" s="67">
        <f>3/2</f>
        <v>1.5</v>
      </c>
      <c r="P58" s="67">
        <f>3</f>
        <v>3</v>
      </c>
    </row>
    <row r="59" spans="2:19">
      <c r="I59" s="67" t="s">
        <v>77</v>
      </c>
      <c r="J59" s="67" t="s">
        <v>78</v>
      </c>
      <c r="K59" s="67" t="s">
        <v>79</v>
      </c>
      <c r="L59" s="67" t="s">
        <v>80</v>
      </c>
    </row>
    <row r="60" spans="2:19">
      <c r="E60" s="67" t="s">
        <v>81</v>
      </c>
      <c r="F60" s="67">
        <f>G60</f>
        <v>1</v>
      </c>
      <c r="G60" s="86">
        <v>1</v>
      </c>
      <c r="H60" s="86">
        <v>1</v>
      </c>
      <c r="I60" s="86">
        <v>0.33</v>
      </c>
      <c r="J60" s="86">
        <v>0.5</v>
      </c>
      <c r="K60" s="86">
        <v>0.4</v>
      </c>
      <c r="L60" s="86">
        <v>0.5</v>
      </c>
    </row>
    <row r="61" spans="2:19">
      <c r="B61" s="67" t="s">
        <v>82</v>
      </c>
      <c r="C61" s="67" t="s">
        <v>83</v>
      </c>
      <c r="D61" s="67" t="s">
        <v>84</v>
      </c>
      <c r="E61" s="67" t="s">
        <v>85</v>
      </c>
      <c r="F61" s="67">
        <v>1</v>
      </c>
      <c r="G61" s="67">
        <v>2</v>
      </c>
      <c r="H61" s="67">
        <v>3</v>
      </c>
      <c r="I61" s="67">
        <v>4</v>
      </c>
      <c r="J61" s="67">
        <v>5</v>
      </c>
      <c r="K61" s="67">
        <v>6</v>
      </c>
      <c r="L61" s="67">
        <v>8</v>
      </c>
      <c r="M61" s="67" t="s">
        <v>86</v>
      </c>
      <c r="N61" s="67" t="s">
        <v>87</v>
      </c>
    </row>
    <row r="62" spans="2:19">
      <c r="B62" s="67">
        <v>1</v>
      </c>
      <c r="C62" s="67">
        <v>360</v>
      </c>
      <c r="D62" s="67">
        <f>_xlfn.XLOOKUP("非R",$B$49:$B$54,$C$49:$C$54)</f>
        <v>5</v>
      </c>
      <c r="E62" s="67">
        <f ca="1">INT(C62/_xlfn.XLOOKUP(D62,$R$14:$R$21,$S$14:$S$21))+OFFSET($R$49,D62,0)</f>
        <v>31</v>
      </c>
      <c r="F62" s="67">
        <f ca="1">30-SUM(G62:L62)</f>
        <v>0</v>
      </c>
      <c r="G62" s="67">
        <f ca="1">30-SUM(H62:L62)</f>
        <v>22.6799000384467</v>
      </c>
      <c r="H62" s="67" cm="1">
        <f ca="1" t="array" ref="H62">MIN(30-SUM(I62:L62),_xlfn.XLOOKUP($D62&amp;"_"&amp;H$61,$B$23:$B$45&amp;"_"&amp;$C$23:$C$45,$D$23:$D$45)*$E62,18)</f>
        <v>5.98792417117678</v>
      </c>
      <c r="I62" s="67" cm="1">
        <f ca="1" t="array" ref="I62">MIN(30-SUM(J62:L62),6-L62,_xlfn.XLOOKUP($D62&amp;"_"&amp;I$61,$B$23:$B$45&amp;"_"&amp;$C$23:$C$45,$D$23:$D$45)*$E62)</f>
        <v>0.618019696566409</v>
      </c>
      <c r="J62" s="67" cm="1">
        <f ca="1" t="array" ref="J62">MIN(8,_xlfn.XLOOKUP($D62&amp;"_"&amp;J$61,$B$23:$B$45&amp;"_"&amp;$C$23:$C$45,$D$23:$D$45)*$E62)</f>
        <v>0.401712802768166</v>
      </c>
      <c r="K62" s="67" cm="1">
        <f ca="1" t="array" ref="K62">MIN(18,_xlfn.XLOOKUP($D62&amp;"_"&amp;K$61,$B$23:$B$45&amp;"_"&amp;$C$23:$C$45,$D$23:$D$45)*$E62)</f>
        <v>0.124977316416763</v>
      </c>
      <c r="L62" s="67" cm="1">
        <f ca="1" t="array" ref="L62">MIN(6,_xlfn.XLOOKUP($D62&amp;"_"&amp;L$61,$B$23:$B$45&amp;"_"&amp;$C$23:$C$45,$D$23:$D$45)*$E62)</f>
        <v>0.187465974625144</v>
      </c>
      <c r="M62" s="67" cm="1">
        <f ca="1" t="array" ref="M62">(1+SUMPRODUCT(G62:H62,OFFSET($H$49:$I$49,D62,0)))*(1+I62*OFFSET($J$49,D62,0))*(1+J62*OFFSET($K$49,D62,0))*(1+K62*OFFSET($L$49,D62,0))*(1+L62*OFFSET($M$49,D62,0))</f>
        <v>6.96355951717512</v>
      </c>
      <c r="N62" s="67">
        <f ca="1">OFFSET($C$61,MATCH(M62*1.07,$M$62:$M$2061,1),0)-C62</f>
        <v>2520</v>
      </c>
      <c r="Q62" s="67">
        <v>30</v>
      </c>
      <c r="R62" s="67">
        <v>12</v>
      </c>
      <c r="S62" s="67">
        <f ca="1">E62/Q62*R62</f>
        <v>12.4</v>
      </c>
    </row>
    <row r="63" spans="2:19">
      <c r="B63" s="67">
        <v>2</v>
      </c>
      <c r="C63" s="67">
        <f t="shared" ref="C63:C73" si="13">C62+360</f>
        <v>720</v>
      </c>
      <c r="D63" s="67">
        <f t="shared" ref="D63:D126" si="14">_xlfn.XLOOKUP("非R",$B$49:$B$54,$C$49:$C$54)</f>
        <v>5</v>
      </c>
      <c r="E63" s="67">
        <f ca="1" t="shared" ref="E63:E126" si="15">INT(C63/_xlfn.XLOOKUP(D63,$R$14:$R$21,$S$14:$S$21))+OFFSET($R$49,D63,0)</f>
        <v>32</v>
      </c>
      <c r="F63" s="67">
        <f ca="1">30-SUM(G63:L63)</f>
        <v>0</v>
      </c>
      <c r="G63" s="67">
        <f ca="1">30-SUM(H63:L63)</f>
        <v>22.4437677816224</v>
      </c>
      <c r="H63" s="67" cm="1">
        <f ca="1" t="array" ref="H63">MIN(30-SUM(I63:L63),_xlfn.XLOOKUP($D63&amp;"_"&amp;H$61,$B$23:$B$45&amp;"_"&amp;$C$23:$C$45,$D$23:$D$45)*$E63,18)</f>
        <v>6.18108301540829</v>
      </c>
      <c r="I63" s="67" cm="1">
        <f ca="1" t="array" ref="I63">MIN(30-SUM(J63:L63),6-L63,_xlfn.XLOOKUP($D63&amp;"_"&amp;I$61,$B$23:$B$45&amp;"_"&amp;$C$23:$C$45,$D$23:$D$45)*$E63)</f>
        <v>0.637955815810486</v>
      </c>
      <c r="J63" s="67" cm="1">
        <f ca="1" t="array" ref="J63">MIN(8,_xlfn.XLOOKUP($D63&amp;"_"&amp;J$61,$B$23:$B$45&amp;"_"&amp;$C$23:$C$45,$D$23:$D$45)*$E63)</f>
        <v>0.414671280276816</v>
      </c>
      <c r="K63" s="67" cm="1">
        <f ca="1" t="array" ref="K63">MIN(18,_xlfn.XLOOKUP($D63&amp;"_"&amp;K$61,$B$23:$B$45&amp;"_"&amp;$C$23:$C$45,$D$23:$D$45)*$E63)</f>
        <v>0.129008842752788</v>
      </c>
      <c r="L63" s="67" cm="1">
        <f ca="1" t="array" ref="L63">MIN(6,_xlfn.XLOOKUP($D63&amp;"_"&amp;L$61,$B$23:$B$45&amp;"_"&amp;$C$23:$C$45,$D$23:$D$45)*$E63)</f>
        <v>0.193513264129181</v>
      </c>
      <c r="M63" s="67" cm="1">
        <f ca="1" t="array" ref="M63">(1+SUMPRODUCT(G63:H63,OFFSET($H$49:$I$49,D63,0)))*(1+OFFSET($J$49,D63,0))^I63*(1+OFFSET($K$49,D63,0))^J63*(1+OFFSET($L$49,D63,0))^K63*(1+OFFSET($M$49,D63,0))^L63</f>
        <v>6.8892303373055</v>
      </c>
      <c r="N63" s="67">
        <f ca="1">MAX(MAX($N$62:N62),OFFSET($C$61,MATCH(M63*1.07,$M$62:$M$2061,1),0)-C63)</f>
        <v>2520</v>
      </c>
    </row>
    <row r="64" spans="2:19">
      <c r="B64" s="67">
        <v>3</v>
      </c>
      <c r="C64" s="67">
        <f t="shared" si="13"/>
        <v>1080</v>
      </c>
      <c r="D64" s="67">
        <f t="shared" si="14"/>
        <v>5</v>
      </c>
      <c r="E64" s="67">
        <f ca="1" t="shared" si="15"/>
        <v>33</v>
      </c>
      <c r="F64" s="67">
        <f ca="1" t="shared" ref="F64:F127" si="16">30-SUM(G64:L64)</f>
        <v>0</v>
      </c>
      <c r="G64" s="67">
        <f ca="1" t="shared" ref="G64:G127" si="17">30-SUM(H64:L64)</f>
        <v>22.2076355247981</v>
      </c>
      <c r="H64" s="67" cm="1">
        <f ca="1" t="array" ref="H64">MIN(30-SUM(I64:L64),_xlfn.XLOOKUP($D64&amp;"_"&amp;H$61,$B$23:$B$45&amp;"_"&amp;$C$23:$C$45,$D$23:$D$45)*$E64,18)</f>
        <v>6.3742418596398</v>
      </c>
      <c r="I64" s="67" cm="1">
        <f ca="1" t="array" ref="I64">MIN(30-SUM(J64:L64),6-L64,_xlfn.XLOOKUP($D64&amp;"_"&amp;I$61,$B$23:$B$45&amp;"_"&amp;$C$23:$C$45,$D$23:$D$45)*$E64)</f>
        <v>0.657891935054564</v>
      </c>
      <c r="J64" s="67" cm="1">
        <f ca="1" t="array" ref="J64">MIN(8,_xlfn.XLOOKUP($D64&amp;"_"&amp;J$61,$B$23:$B$45&amp;"_"&amp;$C$23:$C$45,$D$23:$D$45)*$E64)</f>
        <v>0.427629757785466</v>
      </c>
      <c r="K64" s="67" cm="1">
        <f ca="1" t="array" ref="K64">MIN(18,_xlfn.XLOOKUP($D64&amp;"_"&amp;K$61,$B$23:$B$45&amp;"_"&amp;$C$23:$C$45,$D$23:$D$45)*$E64)</f>
        <v>0.133040369088812</v>
      </c>
      <c r="L64" s="67" cm="1">
        <f ca="1" t="array" ref="L64">MIN(6,_xlfn.XLOOKUP($D64&amp;"_"&amp;L$61,$B$23:$B$45&amp;"_"&amp;$C$23:$C$45,$D$23:$D$45)*$E64)</f>
        <v>0.199560553633218</v>
      </c>
      <c r="M64" s="67" cm="1">
        <f ca="1" t="array" ref="M64">(1+SUMPRODUCT(G64:H64,OFFSET($H$49:$I$49,D64,0)))*(1+OFFSET($J$49,D64,0))^I64*(1+OFFSET($K$49,D64,0))^J64*(1+OFFSET($L$49,D64,0))^K64*(1+OFFSET($M$49,D64,0))^L64</f>
        <v>6.97621210164227</v>
      </c>
      <c r="N64" s="67">
        <f ca="1">MAX(MAX($N$62:N63),OFFSET($C$61,MATCH(M64*1.07,$M$62:$M$2061,1),0)-C64)</f>
        <v>2520</v>
      </c>
    </row>
    <row r="65" spans="2:14">
      <c r="B65" s="67">
        <v>4</v>
      </c>
      <c r="C65" s="67">
        <f t="shared" si="13"/>
        <v>1440</v>
      </c>
      <c r="D65" s="67">
        <f t="shared" si="14"/>
        <v>5</v>
      </c>
      <c r="E65" s="67">
        <f ca="1" t="shared" si="15"/>
        <v>34</v>
      </c>
      <c r="F65" s="67">
        <f ca="1" t="shared" si="16"/>
        <v>0</v>
      </c>
      <c r="G65" s="67">
        <f ca="1" t="shared" si="17"/>
        <v>21.9715032679738</v>
      </c>
      <c r="H65" s="67" cm="1">
        <f ca="1" t="array" ref="H65">MIN(30-SUM(I65:L65),_xlfn.XLOOKUP($D65&amp;"_"&amp;H$61,$B$23:$B$45&amp;"_"&amp;$C$23:$C$45,$D$23:$D$45)*$E65,18)</f>
        <v>6.56740070387131</v>
      </c>
      <c r="I65" s="67" cm="1">
        <f ca="1" t="array" ref="I65">MIN(30-SUM(J65:L65),6-L65,_xlfn.XLOOKUP($D65&amp;"_"&amp;I$61,$B$23:$B$45&amp;"_"&amp;$C$23:$C$45,$D$23:$D$45)*$E65)</f>
        <v>0.677828054298642</v>
      </c>
      <c r="J65" s="67" cm="1">
        <f ca="1" t="array" ref="J65">MIN(8,_xlfn.XLOOKUP($D65&amp;"_"&amp;J$61,$B$23:$B$45&amp;"_"&amp;$C$23:$C$45,$D$23:$D$45)*$E65)</f>
        <v>0.440588235294117</v>
      </c>
      <c r="K65" s="67" cm="1">
        <f ca="1" t="array" ref="K65">MIN(18,_xlfn.XLOOKUP($D65&amp;"_"&amp;K$61,$B$23:$B$45&amp;"_"&amp;$C$23:$C$45,$D$23:$D$45)*$E65)</f>
        <v>0.137071895424837</v>
      </c>
      <c r="L65" s="67" cm="1">
        <f ca="1" t="array" ref="L65">MIN(6,_xlfn.XLOOKUP($D65&amp;"_"&amp;L$61,$B$23:$B$45&amp;"_"&amp;$C$23:$C$45,$D$23:$D$45)*$E65)</f>
        <v>0.205607843137255</v>
      </c>
      <c r="M65" s="67" cm="1">
        <f ca="1" t="array" ref="M65">(1+SUMPRODUCT(G65:H65,OFFSET($H$49:$I$49,D65,0)))*(1+OFFSET($J$49,D65,0))^I65*(1+OFFSET($K$49,D65,0))^J65*(1+OFFSET($L$49,D65,0))^K65*(1+OFFSET($M$49,D65,0))^L65</f>
        <v>7.0642613876717</v>
      </c>
      <c r="N65" s="67">
        <f ca="1">MAX(MAX($N$62:N64),OFFSET($C$61,MATCH(M65*1.07,$M$62:$M$2061,1),0)-C65)</f>
        <v>2520</v>
      </c>
    </row>
    <row r="66" spans="2:14">
      <c r="B66" s="67">
        <v>5</v>
      </c>
      <c r="C66" s="67">
        <f t="shared" si="13"/>
        <v>1800</v>
      </c>
      <c r="D66" s="67">
        <f t="shared" si="14"/>
        <v>5</v>
      </c>
      <c r="E66" s="67">
        <f ca="1" t="shared" si="15"/>
        <v>35</v>
      </c>
      <c r="F66" s="67">
        <f ca="1" t="shared" si="16"/>
        <v>0</v>
      </c>
      <c r="G66" s="67">
        <f ca="1" t="shared" si="17"/>
        <v>21.7353710111495</v>
      </c>
      <c r="H66" s="67" cm="1">
        <f ca="1" t="array" ref="H66">MIN(30-SUM(I66:L66),_xlfn.XLOOKUP($D66&amp;"_"&amp;H$61,$B$23:$B$45&amp;"_"&amp;$C$23:$C$45,$D$23:$D$45)*$E66,18)</f>
        <v>6.76055954810282</v>
      </c>
      <c r="I66" s="67" cm="1">
        <f ca="1" t="array" ref="I66">MIN(30-SUM(J66:L66),6-L66,_xlfn.XLOOKUP($D66&amp;"_"&amp;I$61,$B$23:$B$45&amp;"_"&amp;$C$23:$C$45,$D$23:$D$45)*$E66)</f>
        <v>0.69776417354272</v>
      </c>
      <c r="J66" s="67" cm="1">
        <f ca="1" t="array" ref="J66">MIN(8,_xlfn.XLOOKUP($D66&amp;"_"&amp;J$61,$B$23:$B$45&amp;"_"&amp;$C$23:$C$45,$D$23:$D$45)*$E66)</f>
        <v>0.453546712802767</v>
      </c>
      <c r="K66" s="67" cm="1">
        <f ca="1" t="array" ref="K66">MIN(18,_xlfn.XLOOKUP($D66&amp;"_"&amp;K$61,$B$23:$B$45&amp;"_"&amp;$C$23:$C$45,$D$23:$D$45)*$E66)</f>
        <v>0.141103421760861</v>
      </c>
      <c r="L66" s="67" cm="1">
        <f ca="1" t="array" ref="L66">MIN(6,_xlfn.XLOOKUP($D66&amp;"_"&amp;L$61,$B$23:$B$45&amp;"_"&amp;$C$23:$C$45,$D$23:$D$45)*$E66)</f>
        <v>0.211655132641292</v>
      </c>
      <c r="M66" s="67" cm="1">
        <f ca="1" t="array" ref="M66">(1+SUMPRODUCT(G66:H66,OFFSET($H$49:$I$49,D66,0)))*(1+OFFSET($J$49,D66,0))^I66*(1+OFFSET($K$49,D66,0))^J66*(1+OFFSET($L$49,D66,0))^K66*(1+OFFSET($M$49,D66,0))^L66</f>
        <v>7.15339102826389</v>
      </c>
      <c r="N66" s="67">
        <f ca="1">MAX(MAX($N$62:N65),OFFSET($C$61,MATCH(M66*1.07,$M$62:$M$2061,1),0)-C66)</f>
        <v>2520</v>
      </c>
    </row>
    <row r="67" spans="2:14">
      <c r="B67" s="67">
        <v>6</v>
      </c>
      <c r="C67" s="67">
        <f t="shared" si="13"/>
        <v>2160</v>
      </c>
      <c r="D67" s="67">
        <f t="shared" si="14"/>
        <v>5</v>
      </c>
      <c r="E67" s="67">
        <f ca="1" t="shared" si="15"/>
        <v>36</v>
      </c>
      <c r="F67" s="67">
        <f ca="1" t="shared" si="16"/>
        <v>0</v>
      </c>
      <c r="G67" s="67">
        <f ca="1" t="shared" si="17"/>
        <v>21.4992387543252</v>
      </c>
      <c r="H67" s="67" cm="1">
        <f ca="1" t="array" ref="H67">MIN(30-SUM(I67:L67),_xlfn.XLOOKUP($D67&amp;"_"&amp;H$61,$B$23:$B$45&amp;"_"&amp;$C$23:$C$45,$D$23:$D$45)*$E67,18)</f>
        <v>6.95371839233432</v>
      </c>
      <c r="I67" s="67" cm="1">
        <f ca="1" t="array" ref="I67">MIN(30-SUM(J67:L67),6-L67,_xlfn.XLOOKUP($D67&amp;"_"&amp;I$61,$B$23:$B$45&amp;"_"&amp;$C$23:$C$45,$D$23:$D$45)*$E67)</f>
        <v>0.717700292786797</v>
      </c>
      <c r="J67" s="67" cm="1">
        <f ca="1" t="array" ref="J67">MIN(8,_xlfn.XLOOKUP($D67&amp;"_"&amp;J$61,$B$23:$B$45&amp;"_"&amp;$C$23:$C$45,$D$23:$D$45)*$E67)</f>
        <v>0.466505190311418</v>
      </c>
      <c r="K67" s="67" cm="1">
        <f ca="1" t="array" ref="K67">MIN(18,_xlfn.XLOOKUP($D67&amp;"_"&amp;K$61,$B$23:$B$45&amp;"_"&amp;$C$23:$C$45,$D$23:$D$45)*$E67)</f>
        <v>0.145134948096886</v>
      </c>
      <c r="L67" s="67" cm="1">
        <f ca="1" t="array" ref="L67">MIN(6,_xlfn.XLOOKUP($D67&amp;"_"&amp;L$61,$B$23:$B$45&amp;"_"&amp;$C$23:$C$45,$D$23:$D$45)*$E67)</f>
        <v>0.217702422145329</v>
      </c>
      <c r="M67" s="67" cm="1">
        <f ca="1" t="array" ref="M67">(1+SUMPRODUCT(G67:H67,OFFSET($H$49:$I$49,D67,0)))*(1+OFFSET($J$49,D67,0))^I67*(1+OFFSET($K$49,D67,0))^J67*(1+OFFSET($L$49,D67,0))^K67*(1+OFFSET($M$49,D67,0))^L67</f>
        <v>7.24361400813389</v>
      </c>
      <c r="N67" s="67">
        <f ca="1">MAX(MAX($N$62:N66),OFFSET($C$61,MATCH(M67*1.07,$M$62:$M$2061,1),0)-C67)</f>
        <v>2520</v>
      </c>
    </row>
    <row r="68" spans="2:14">
      <c r="B68" s="67">
        <v>7</v>
      </c>
      <c r="C68" s="67">
        <f t="shared" si="13"/>
        <v>2520</v>
      </c>
      <c r="D68" s="67">
        <f t="shared" si="14"/>
        <v>5</v>
      </c>
      <c r="E68" s="67">
        <f ca="1" t="shared" si="15"/>
        <v>37</v>
      </c>
      <c r="F68" s="67">
        <f ca="1" t="shared" si="16"/>
        <v>0</v>
      </c>
      <c r="G68" s="67">
        <f ca="1" t="shared" si="17"/>
        <v>21.2631064975009</v>
      </c>
      <c r="H68" s="67" cm="1">
        <f ca="1" t="array" ref="H68">MIN(30-SUM(I68:L68),_xlfn.XLOOKUP($D68&amp;"_"&amp;H$61,$B$23:$B$45&amp;"_"&amp;$C$23:$C$45,$D$23:$D$45)*$E68,18)</f>
        <v>7.14687723656583</v>
      </c>
      <c r="I68" s="67" cm="1">
        <f ca="1" t="array" ref="I68">MIN(30-SUM(J68:L68),6-L68,_xlfn.XLOOKUP($D68&amp;"_"&amp;I$61,$B$23:$B$45&amp;"_"&amp;$C$23:$C$45,$D$23:$D$45)*$E68)</f>
        <v>0.737636412030875</v>
      </c>
      <c r="J68" s="67" cm="1">
        <f ca="1" t="array" ref="J68">MIN(8,_xlfn.XLOOKUP($D68&amp;"_"&amp;J$61,$B$23:$B$45&amp;"_"&amp;$C$23:$C$45,$D$23:$D$45)*$E68)</f>
        <v>0.479463667820068</v>
      </c>
      <c r="K68" s="67" cm="1">
        <f ca="1" t="array" ref="K68">MIN(18,_xlfn.XLOOKUP($D68&amp;"_"&amp;K$61,$B$23:$B$45&amp;"_"&amp;$C$23:$C$45,$D$23:$D$45)*$E68)</f>
        <v>0.149166474432911</v>
      </c>
      <c r="L68" s="67" cm="1">
        <f ca="1" t="array" ref="L68">MIN(6,_xlfn.XLOOKUP($D68&amp;"_"&amp;L$61,$B$23:$B$45&amp;"_"&amp;$C$23:$C$45,$D$23:$D$45)*$E68)</f>
        <v>0.223749711649366</v>
      </c>
      <c r="M68" s="67" cm="1">
        <f ca="1" t="array" ref="M68">(1+SUMPRODUCT(G68:H68,OFFSET($H$49:$I$49,D68,0)))*(1+OFFSET($J$49,D68,0))^I68*(1+OFFSET($K$49,D68,0))^J68*(1+OFFSET($L$49,D68,0))^K68*(1+OFFSET($M$49,D68,0))^L68</f>
        <v>7.33494346561615</v>
      </c>
      <c r="N68" s="67">
        <f ca="1">MAX(MAX($N$62:N67),OFFSET($C$61,MATCH(M68*1.07,$M$62:$M$2061,1),0)-C68)</f>
        <v>2520</v>
      </c>
    </row>
    <row r="69" spans="2:14">
      <c r="B69" s="67">
        <v>8</v>
      </c>
      <c r="C69" s="67">
        <f t="shared" si="13"/>
        <v>2880</v>
      </c>
      <c r="D69" s="67">
        <f t="shared" si="14"/>
        <v>5</v>
      </c>
      <c r="E69" s="67">
        <f ca="1" t="shared" si="15"/>
        <v>38</v>
      </c>
      <c r="F69" s="67">
        <f ca="1" t="shared" si="16"/>
        <v>0</v>
      </c>
      <c r="G69" s="67">
        <f ca="1" t="shared" si="17"/>
        <v>21.0269742406767</v>
      </c>
      <c r="H69" s="67" cm="1">
        <f ca="1" t="array" ref="H69">MIN(30-SUM(I69:L69),_xlfn.XLOOKUP($D69&amp;"_"&amp;H$61,$B$23:$B$45&amp;"_"&amp;$C$23:$C$45,$D$23:$D$45)*$E69,18)</f>
        <v>7.34003608079734</v>
      </c>
      <c r="I69" s="67" cm="1">
        <f ca="1" t="array" ref="I69">MIN(30-SUM(J69:L69),6-L69,_xlfn.XLOOKUP($D69&amp;"_"&amp;I$61,$B$23:$B$45&amp;"_"&amp;$C$23:$C$45,$D$23:$D$45)*$E69)</f>
        <v>0.757572531274953</v>
      </c>
      <c r="J69" s="67" cm="1">
        <f ca="1" t="array" ref="J69">MIN(8,_xlfn.XLOOKUP($D69&amp;"_"&amp;J$61,$B$23:$B$45&amp;"_"&amp;$C$23:$C$45,$D$23:$D$45)*$E69)</f>
        <v>0.492422145328719</v>
      </c>
      <c r="K69" s="67" cm="1">
        <f ca="1" t="array" ref="K69">MIN(18,_xlfn.XLOOKUP($D69&amp;"_"&amp;K$61,$B$23:$B$45&amp;"_"&amp;$C$23:$C$45,$D$23:$D$45)*$E69)</f>
        <v>0.153198000768935</v>
      </c>
      <c r="L69" s="67" cm="1">
        <f ca="1" t="array" ref="L69">MIN(6,_xlfn.XLOOKUP($D69&amp;"_"&amp;L$61,$B$23:$B$45&amp;"_"&amp;$C$23:$C$45,$D$23:$D$45)*$E69)</f>
        <v>0.229797001153403</v>
      </c>
      <c r="M69" s="67" cm="1">
        <f ca="1" t="array" ref="M69">(1+SUMPRODUCT(G69:H69,OFFSET($H$49:$I$49,D69,0)))*(1+OFFSET($J$49,D69,0))^I69*(1+OFFSET($K$49,D69,0))^J69*(1+OFFSET($L$49,D69,0))^K69*(1+OFFSET($M$49,D69,0))^L69</f>
        <v>7.42739269445954</v>
      </c>
      <c r="N69" s="67">
        <f ca="1">MAX(MAX($N$62:N68),OFFSET($C$61,MATCH(M69*1.07,$M$62:$M$2061,1),0)-C69)</f>
        <v>2520</v>
      </c>
    </row>
    <row r="70" spans="2:14">
      <c r="B70" s="67">
        <v>9</v>
      </c>
      <c r="C70" s="67">
        <f t="shared" si="13"/>
        <v>3240</v>
      </c>
      <c r="D70" s="67">
        <f t="shared" si="14"/>
        <v>5</v>
      </c>
      <c r="E70" s="67">
        <f ca="1" t="shared" si="15"/>
        <v>39</v>
      </c>
      <c r="F70" s="67">
        <f ca="1" t="shared" si="16"/>
        <v>0</v>
      </c>
      <c r="G70" s="67">
        <f ca="1" t="shared" si="17"/>
        <v>20.7908419838523</v>
      </c>
      <c r="H70" s="67" cm="1">
        <f ca="1" t="array" ref="H70">MIN(30-SUM(I70:L70),_xlfn.XLOOKUP($D70&amp;"_"&amp;H$61,$B$23:$B$45&amp;"_"&amp;$C$23:$C$45,$D$23:$D$45)*$E70,18)</f>
        <v>7.53319492502885</v>
      </c>
      <c r="I70" s="67" cm="1">
        <f ca="1" t="array" ref="I70">MIN(30-SUM(J70:L70),6-L70,_xlfn.XLOOKUP($D70&amp;"_"&amp;I$61,$B$23:$B$45&amp;"_"&amp;$C$23:$C$45,$D$23:$D$45)*$E70)</f>
        <v>0.77750865051903</v>
      </c>
      <c r="J70" s="67" cm="1">
        <f ca="1" t="array" ref="J70">MIN(8,_xlfn.XLOOKUP($D70&amp;"_"&amp;J$61,$B$23:$B$45&amp;"_"&amp;$C$23:$C$45,$D$23:$D$45)*$E70)</f>
        <v>0.50538062283737</v>
      </c>
      <c r="K70" s="67" cm="1">
        <f ca="1" t="array" ref="K70">MIN(18,_xlfn.XLOOKUP($D70&amp;"_"&amp;K$61,$B$23:$B$45&amp;"_"&amp;$C$23:$C$45,$D$23:$D$45)*$E70)</f>
        <v>0.15722952710496</v>
      </c>
      <c r="L70" s="67" cm="1">
        <f ca="1" t="array" ref="L70">MIN(6,_xlfn.XLOOKUP($D70&amp;"_"&amp;L$61,$B$23:$B$45&amp;"_"&amp;$C$23:$C$45,$D$23:$D$45)*$E70)</f>
        <v>0.23584429065744</v>
      </c>
      <c r="M70" s="67" cm="1">
        <f ca="1" t="array" ref="M70">(1+SUMPRODUCT(G70:H70,OFFSET($H$49:$I$49,D70,0)))*(1+OFFSET($J$49,D70,0))^I70*(1+OFFSET($K$49,D70,0))^J70*(1+OFFSET($L$49,D70,0))^K70*(1+OFFSET($M$49,D70,0))^L70</f>
        <v>7.52097514564299</v>
      </c>
      <c r="N70" s="67">
        <f ca="1">MAX(MAX($N$62:N69),OFFSET($C$61,MATCH(M70*1.07,$M$62:$M$2061,1),0)-C70)</f>
        <v>2520</v>
      </c>
    </row>
    <row r="71" spans="2:14">
      <c r="B71" s="67">
        <v>10</v>
      </c>
      <c r="C71" s="67">
        <f t="shared" si="13"/>
        <v>3600</v>
      </c>
      <c r="D71" s="67">
        <f t="shared" si="14"/>
        <v>5</v>
      </c>
      <c r="E71" s="67">
        <f ca="1" t="shared" si="15"/>
        <v>40</v>
      </c>
      <c r="F71" s="67">
        <f ca="1" t="shared" si="16"/>
        <v>0</v>
      </c>
      <c r="G71" s="67">
        <f ca="1" t="shared" si="17"/>
        <v>20.554709727028</v>
      </c>
      <c r="H71" s="67" cm="1">
        <f ca="1" t="array" ref="H71">MIN(30-SUM(I71:L71),_xlfn.XLOOKUP($D71&amp;"_"&amp;H$61,$B$23:$B$45&amp;"_"&amp;$C$23:$C$45,$D$23:$D$45)*$E71,18)</f>
        <v>7.72635376926036</v>
      </c>
      <c r="I71" s="67" cm="1">
        <f ca="1" t="array" ref="I71">MIN(30-SUM(J71:L71),6-L71,_xlfn.XLOOKUP($D71&amp;"_"&amp;I$61,$B$23:$B$45&amp;"_"&amp;$C$23:$C$45,$D$23:$D$45)*$E71)</f>
        <v>0.797444769763108</v>
      </c>
      <c r="J71" s="67" cm="1">
        <f ca="1" t="array" ref="J71">MIN(8,_xlfn.XLOOKUP($D71&amp;"_"&amp;J$61,$B$23:$B$45&amp;"_"&amp;$C$23:$C$45,$D$23:$D$45)*$E71)</f>
        <v>0.51833910034602</v>
      </c>
      <c r="K71" s="67" cm="1">
        <f ca="1" t="array" ref="K71">MIN(18,_xlfn.XLOOKUP($D71&amp;"_"&amp;K$61,$B$23:$B$45&amp;"_"&amp;$C$23:$C$45,$D$23:$D$45)*$E71)</f>
        <v>0.161261053440984</v>
      </c>
      <c r="L71" s="67" cm="1">
        <f ca="1" t="array" ref="L71">MIN(6,_xlfn.XLOOKUP($D71&amp;"_"&amp;L$61,$B$23:$B$45&amp;"_"&amp;$C$23:$C$45,$D$23:$D$45)*$E71)</f>
        <v>0.241891580161476</v>
      </c>
      <c r="M71" s="67" cm="1">
        <f ca="1" t="array" ref="M71">(1+SUMPRODUCT(G71:H71,OFFSET($H$49:$I$49,D71,0)))*(1+OFFSET($J$49,D71,0))^I71*(1+OFFSET($K$49,D71,0))^J71*(1+OFFSET($L$49,D71,0))^K71*(1+OFFSET($M$49,D71,0))^L71</f>
        <v>7.6157044292123</v>
      </c>
      <c r="N71" s="67">
        <f ca="1">MAX(MAX($N$62:N70),OFFSET($C$61,MATCH(M71*1.07,$M$62:$M$2061,1),0)-C71)</f>
        <v>2520</v>
      </c>
    </row>
    <row r="72" spans="2:14">
      <c r="B72" s="67">
        <v>11</v>
      </c>
      <c r="C72" s="67">
        <f t="shared" si="13"/>
        <v>3960</v>
      </c>
      <c r="D72" s="67">
        <f t="shared" si="14"/>
        <v>5</v>
      </c>
      <c r="E72" s="67">
        <f ca="1" t="shared" si="15"/>
        <v>41</v>
      </c>
      <c r="F72" s="67">
        <f ca="1" t="shared" si="16"/>
        <v>0</v>
      </c>
      <c r="G72" s="67">
        <f ca="1" t="shared" si="17"/>
        <v>20.3185774702038</v>
      </c>
      <c r="H72" s="67" cm="1">
        <f ca="1" t="array" ref="H72">MIN(30-SUM(I72:L72),_xlfn.XLOOKUP($D72&amp;"_"&amp;H$61,$B$23:$B$45&amp;"_"&amp;$C$23:$C$45,$D$23:$D$45)*$E72,18)</f>
        <v>7.91951261349187</v>
      </c>
      <c r="I72" s="67" cm="1">
        <f ca="1" t="array" ref="I72">MIN(30-SUM(J72:L72),6-L72,_xlfn.XLOOKUP($D72&amp;"_"&amp;I$61,$B$23:$B$45&amp;"_"&amp;$C$23:$C$45,$D$23:$D$45)*$E72)</f>
        <v>0.817380889007186</v>
      </c>
      <c r="J72" s="67" cm="1">
        <f ca="1" t="array" ref="J72">MIN(8,_xlfn.XLOOKUP($D72&amp;"_"&amp;J$61,$B$23:$B$45&amp;"_"&amp;$C$23:$C$45,$D$23:$D$45)*$E72)</f>
        <v>0.53129757785467</v>
      </c>
      <c r="K72" s="67" cm="1">
        <f ca="1" t="array" ref="K72">MIN(18,_xlfn.XLOOKUP($D72&amp;"_"&amp;K$61,$B$23:$B$45&amp;"_"&amp;$C$23:$C$45,$D$23:$D$45)*$E72)</f>
        <v>0.165292579777009</v>
      </c>
      <c r="L72" s="67" cm="1">
        <f ca="1" t="array" ref="L72">MIN(6,_xlfn.XLOOKUP($D72&amp;"_"&amp;L$61,$B$23:$B$45&amp;"_"&amp;$C$23:$C$45,$D$23:$D$45)*$E72)</f>
        <v>0.247938869665513</v>
      </c>
      <c r="M72" s="67" cm="1">
        <f ca="1" t="array" ref="M72">(1+SUMPRODUCT(G72:H72,OFFSET($H$49:$I$49,D72,0)))*(1+OFFSET($J$49,D72,0))^I72*(1+OFFSET($K$49,D72,0))^J72*(1+OFFSET($L$49,D72,0))^K72*(1+OFFSET($M$49,D72,0))^L72</f>
        <v>7.71159431613805</v>
      </c>
      <c r="N72" s="67">
        <f ca="1">MAX(MAX($N$62:N71),OFFSET($C$61,MATCH(M72*1.07,$M$62:$M$2061,1),0)-C72)</f>
        <v>2520</v>
      </c>
    </row>
    <row r="73" spans="2:14">
      <c r="B73" s="67">
        <v>12</v>
      </c>
      <c r="C73" s="67">
        <f t="shared" si="13"/>
        <v>4320</v>
      </c>
      <c r="D73" s="67">
        <f t="shared" si="14"/>
        <v>5</v>
      </c>
      <c r="E73" s="67">
        <f ca="1" t="shared" si="15"/>
        <v>42</v>
      </c>
      <c r="F73" s="67">
        <f ca="1" t="shared" si="16"/>
        <v>0</v>
      </c>
      <c r="G73" s="67">
        <f ca="1" t="shared" si="17"/>
        <v>20.0824452133795</v>
      </c>
      <c r="H73" s="67" cm="1">
        <f ca="1" t="array" ref="H73">MIN(30-SUM(I73:L73),_xlfn.XLOOKUP($D73&amp;"_"&amp;H$61,$B$23:$B$45&amp;"_"&amp;$C$23:$C$45,$D$23:$D$45)*$E73,18)</f>
        <v>8.11267145772338</v>
      </c>
      <c r="I73" s="67" cm="1">
        <f ca="1" t="array" ref="I73">MIN(30-SUM(J73:L73),6-L73,_xlfn.XLOOKUP($D73&amp;"_"&amp;I$61,$B$23:$B$45&amp;"_"&amp;$C$23:$C$45,$D$23:$D$45)*$E73)</f>
        <v>0.837317008251263</v>
      </c>
      <c r="J73" s="67" cm="1">
        <f ca="1" t="array" ref="J73">MIN(8,_xlfn.XLOOKUP($D73&amp;"_"&amp;J$61,$B$23:$B$45&amp;"_"&amp;$C$23:$C$45,$D$23:$D$45)*$E73)</f>
        <v>0.544256055363321</v>
      </c>
      <c r="K73" s="67" cm="1">
        <f ca="1" t="array" ref="K73">MIN(18,_xlfn.XLOOKUP($D73&amp;"_"&amp;K$61,$B$23:$B$45&amp;"_"&amp;$C$23:$C$45,$D$23:$D$45)*$E73)</f>
        <v>0.169324106113034</v>
      </c>
      <c r="L73" s="67" cm="1">
        <f ca="1" t="array" ref="L73">MIN(6,_xlfn.XLOOKUP($D73&amp;"_"&amp;L$61,$B$23:$B$45&amp;"_"&amp;$C$23:$C$45,$D$23:$D$45)*$E73)</f>
        <v>0.25398615916955</v>
      </c>
      <c r="M73" s="67" cm="1">
        <f ca="1" t="array" ref="M73">(1+SUMPRODUCT(G73:H73,OFFSET($H$49:$I$49,D73,0)))*(1+OFFSET($J$49,D73,0))^I73*(1+OFFSET($K$49,D73,0))^J73*(1+OFFSET($L$49,D73,0))^K73*(1+OFFSET($M$49,D73,0))^L73</f>
        <v>7.80865874019508</v>
      </c>
      <c r="N73" s="67">
        <f ca="1">MAX(MAX($N$62:N72),OFFSET($C$61,MATCH(M73*1.07,$M$62:$M$2061,1),0)-C73)</f>
        <v>2520</v>
      </c>
    </row>
    <row r="74" spans="2:14">
      <c r="B74" s="67">
        <v>13</v>
      </c>
      <c r="C74" s="67">
        <f t="shared" ref="C74:C137" si="18">C73+360</f>
        <v>4680</v>
      </c>
      <c r="D74" s="67">
        <f t="shared" si="14"/>
        <v>5</v>
      </c>
      <c r="E74" s="67">
        <f ca="1" t="shared" si="15"/>
        <v>43</v>
      </c>
      <c r="F74" s="67">
        <f ca="1" t="shared" si="16"/>
        <v>0</v>
      </c>
      <c r="G74" s="67">
        <f ca="1" t="shared" si="17"/>
        <v>19.8463129565552</v>
      </c>
      <c r="H74" s="67" cm="1">
        <f ca="1" t="array" ref="H74">MIN(30-SUM(I74:L74),_xlfn.XLOOKUP($D74&amp;"_"&amp;H$61,$B$23:$B$45&amp;"_"&amp;$C$23:$C$45,$D$23:$D$45)*$E74,18)</f>
        <v>8.30583030195489</v>
      </c>
      <c r="I74" s="67" cm="1">
        <f ca="1" t="array" ref="I74">MIN(30-SUM(J74:L74),6-L74,_xlfn.XLOOKUP($D74&amp;"_"&amp;I$61,$B$23:$B$45&amp;"_"&amp;$C$23:$C$45,$D$23:$D$45)*$E74)</f>
        <v>0.857253127495341</v>
      </c>
      <c r="J74" s="67" cm="1">
        <f ca="1" t="array" ref="J74">MIN(8,_xlfn.XLOOKUP($D74&amp;"_"&amp;J$61,$B$23:$B$45&amp;"_"&amp;$C$23:$C$45,$D$23:$D$45)*$E74)</f>
        <v>0.557214532871972</v>
      </c>
      <c r="K74" s="67" cm="1">
        <f ca="1" t="array" ref="K74">MIN(18,_xlfn.XLOOKUP($D74&amp;"_"&amp;K$61,$B$23:$B$45&amp;"_"&amp;$C$23:$C$45,$D$23:$D$45)*$E74)</f>
        <v>0.173355632449058</v>
      </c>
      <c r="L74" s="67" cm="1">
        <f ca="1" t="array" ref="L74">MIN(6,_xlfn.XLOOKUP($D74&amp;"_"&amp;L$61,$B$23:$B$45&amp;"_"&amp;$C$23:$C$45,$D$23:$D$45)*$E74)</f>
        <v>0.260033448673587</v>
      </c>
      <c r="M74" s="67" cm="1">
        <f ca="1" t="array" ref="M74">(1+SUMPRODUCT(G74:H74,OFFSET($H$49:$I$49,D74,0)))*(1+OFFSET($J$49,D74,0))^I74*(1+OFFSET($K$49,D74,0))^J74*(1+OFFSET($L$49,D74,0))^K74*(1+OFFSET($M$49,D74,0))^L74</f>
        <v>7.90691179986369</v>
      </c>
      <c r="N74" s="67">
        <f ca="1">MAX(MAX($N$62:N73),OFFSET($C$61,MATCH(M74*1.07,$M$62:$M$2061,1),0)-C74)</f>
        <v>2520</v>
      </c>
    </row>
    <row r="75" spans="2:14">
      <c r="B75" s="67">
        <v>14</v>
      </c>
      <c r="C75" s="67">
        <f t="shared" si="18"/>
        <v>5040</v>
      </c>
      <c r="D75" s="67">
        <f t="shared" si="14"/>
        <v>5</v>
      </c>
      <c r="E75" s="67">
        <f ca="1" t="shared" si="15"/>
        <v>44</v>
      </c>
      <c r="F75" s="67">
        <f ca="1" t="shared" si="16"/>
        <v>0</v>
      </c>
      <c r="G75" s="67">
        <f ca="1" t="shared" si="17"/>
        <v>19.6101806997309</v>
      </c>
      <c r="H75" s="67" cm="1">
        <f ca="1" t="array" ref="H75">MIN(30-SUM(I75:L75),_xlfn.XLOOKUP($D75&amp;"_"&amp;H$61,$B$23:$B$45&amp;"_"&amp;$C$23:$C$45,$D$23:$D$45)*$E75,18)</f>
        <v>8.4989891461864</v>
      </c>
      <c r="I75" s="67" cm="1">
        <f ca="1" t="array" ref="I75">MIN(30-SUM(J75:L75),6-L75,_xlfn.XLOOKUP($D75&amp;"_"&amp;I$61,$B$23:$B$45&amp;"_"&amp;$C$23:$C$45,$D$23:$D$45)*$E75)</f>
        <v>0.877189246739419</v>
      </c>
      <c r="J75" s="67" cm="1">
        <f ca="1" t="array" ref="J75">MIN(8,_xlfn.XLOOKUP($D75&amp;"_"&amp;J$61,$B$23:$B$45&amp;"_"&amp;$C$23:$C$45,$D$23:$D$45)*$E75)</f>
        <v>0.570173010380622</v>
      </c>
      <c r="K75" s="67" cm="1">
        <f ca="1" t="array" ref="K75">MIN(18,_xlfn.XLOOKUP($D75&amp;"_"&amp;K$61,$B$23:$B$45&amp;"_"&amp;$C$23:$C$45,$D$23:$D$45)*$E75)</f>
        <v>0.177387158785083</v>
      </c>
      <c r="L75" s="67" cm="1">
        <f ca="1" t="array" ref="L75">MIN(6,_xlfn.XLOOKUP($D75&amp;"_"&amp;L$61,$B$23:$B$45&amp;"_"&amp;$C$23:$C$45,$D$23:$D$45)*$E75)</f>
        <v>0.266080738177624</v>
      </c>
      <c r="M75" s="67" cm="1">
        <f ca="1" t="array" ref="M75">(1+SUMPRODUCT(G75:H75,OFFSET($H$49:$I$49,D75,0)))*(1+OFFSET($J$49,D75,0))^I75*(1+OFFSET($K$49,D75,0))^J75*(1+OFFSET($L$49,D75,0))^K75*(1+OFFSET($M$49,D75,0))^L75</f>
        <v>8.00636776025278</v>
      </c>
      <c r="N75" s="67">
        <f ca="1">MAX(MAX($N$62:N74),OFFSET($C$61,MATCH(M75*1.07,$M$62:$M$2061,1),0)-C75)</f>
        <v>2520</v>
      </c>
    </row>
    <row r="76" spans="2:14">
      <c r="B76" s="67">
        <v>15</v>
      </c>
      <c r="C76" s="67">
        <f t="shared" si="18"/>
        <v>5400</v>
      </c>
      <c r="D76" s="67">
        <f t="shared" si="14"/>
        <v>5</v>
      </c>
      <c r="E76" s="67">
        <f ca="1" t="shared" si="15"/>
        <v>45</v>
      </c>
      <c r="F76" s="67">
        <f ca="1" t="shared" si="16"/>
        <v>0</v>
      </c>
      <c r="G76" s="67">
        <f ca="1" t="shared" si="17"/>
        <v>19.3740484429066</v>
      </c>
      <c r="H76" s="67" cm="1">
        <f ca="1" t="array" ref="H76">MIN(30-SUM(I76:L76),_xlfn.XLOOKUP($D76&amp;"_"&amp;H$61,$B$23:$B$45&amp;"_"&amp;$C$23:$C$45,$D$23:$D$45)*$E76,18)</f>
        <v>8.6921479904179</v>
      </c>
      <c r="I76" s="67" cm="1">
        <f ca="1" t="array" ref="I76">MIN(30-SUM(J76:L76),6-L76,_xlfn.XLOOKUP($D76&amp;"_"&amp;I$61,$B$23:$B$45&amp;"_"&amp;$C$23:$C$45,$D$23:$D$45)*$E76)</f>
        <v>0.897125365983497</v>
      </c>
      <c r="J76" s="67" cm="1">
        <f ca="1" t="array" ref="J76">MIN(8,_xlfn.XLOOKUP($D76&amp;"_"&amp;J$61,$B$23:$B$45&amp;"_"&amp;$C$23:$C$45,$D$23:$D$45)*$E76)</f>
        <v>0.583131487889272</v>
      </c>
      <c r="K76" s="67" cm="1">
        <f ca="1" t="array" ref="K76">MIN(18,_xlfn.XLOOKUP($D76&amp;"_"&amp;K$61,$B$23:$B$45&amp;"_"&amp;$C$23:$C$45,$D$23:$D$45)*$E76)</f>
        <v>0.181418685121107</v>
      </c>
      <c r="L76" s="67" cm="1">
        <f ca="1" t="array" ref="L76">MIN(6,_xlfn.XLOOKUP($D76&amp;"_"&amp;L$61,$B$23:$B$45&amp;"_"&amp;$C$23:$C$45,$D$23:$D$45)*$E76)</f>
        <v>0.272128027681661</v>
      </c>
      <c r="M76" s="67" cm="1">
        <f ca="1" t="array" ref="M76">(1+SUMPRODUCT(G76:H76,OFFSET($H$49:$I$49,D76,0)))*(1+OFFSET($J$49,D76,0))^I76*(1+OFFSET($K$49,D76,0))^J76*(1+OFFSET($L$49,D76,0))^K76*(1+OFFSET($M$49,D76,0))^L76</f>
        <v>8.1070410550453</v>
      </c>
      <c r="N76" s="67">
        <f ca="1">MAX(MAX($N$62:N75),OFFSET($C$61,MATCH(M76*1.07,$M$62:$M$2061,1),0)-C76)</f>
        <v>2520</v>
      </c>
    </row>
    <row r="77" spans="2:14">
      <c r="B77" s="67">
        <v>16</v>
      </c>
      <c r="C77" s="67">
        <f t="shared" si="18"/>
        <v>5760</v>
      </c>
      <c r="D77" s="67">
        <f t="shared" si="14"/>
        <v>5</v>
      </c>
      <c r="E77" s="67">
        <f ca="1" t="shared" si="15"/>
        <v>46</v>
      </c>
      <c r="F77" s="67">
        <f ca="1" t="shared" si="16"/>
        <v>0</v>
      </c>
      <c r="G77" s="67">
        <f ca="1" t="shared" si="17"/>
        <v>19.1379161860823</v>
      </c>
      <c r="H77" s="67" cm="1">
        <f ca="1" t="array" ref="H77">MIN(30-SUM(I77:L77),_xlfn.XLOOKUP($D77&amp;"_"&amp;H$61,$B$23:$B$45&amp;"_"&amp;$C$23:$C$45,$D$23:$D$45)*$E77,18)</f>
        <v>8.88530683464941</v>
      </c>
      <c r="I77" s="67" cm="1">
        <f ca="1" t="array" ref="I77">MIN(30-SUM(J77:L77),6-L77,_xlfn.XLOOKUP($D77&amp;"_"&amp;I$61,$B$23:$B$45&amp;"_"&amp;$C$23:$C$45,$D$23:$D$45)*$E77)</f>
        <v>0.917061485227574</v>
      </c>
      <c r="J77" s="67" cm="1">
        <f ca="1" t="array" ref="J77">MIN(8,_xlfn.XLOOKUP($D77&amp;"_"&amp;J$61,$B$23:$B$45&amp;"_"&amp;$C$23:$C$45,$D$23:$D$45)*$E77)</f>
        <v>0.596089965397923</v>
      </c>
      <c r="K77" s="67" cm="1">
        <f ca="1" t="array" ref="K77">MIN(18,_xlfn.XLOOKUP($D77&amp;"_"&amp;K$61,$B$23:$B$45&amp;"_"&amp;$C$23:$C$45,$D$23:$D$45)*$E77)</f>
        <v>0.185450211457132</v>
      </c>
      <c r="L77" s="67" cm="1">
        <f ca="1" t="array" ref="L77">MIN(6,_xlfn.XLOOKUP($D77&amp;"_"&amp;L$61,$B$23:$B$45&amp;"_"&amp;$C$23:$C$45,$D$23:$D$45)*$E77)</f>
        <v>0.278175317185698</v>
      </c>
      <c r="M77" s="67" cm="1">
        <f ca="1" t="array" ref="M77">(1+SUMPRODUCT(G77:H77,OFFSET($H$49:$I$49,D77,0)))*(1+OFFSET($J$49,D77,0))^I77*(1+OFFSET($K$49,D77,0))^J77*(1+OFFSET($L$49,D77,0))^K77*(1+OFFSET($M$49,D77,0))^L77</f>
        <v>8.20894628846609</v>
      </c>
      <c r="N77" s="67">
        <f ca="1">MAX(MAX($N$62:N76),OFFSET($C$61,MATCH(M77*1.07,$M$62:$M$2061,1),0)-C77)</f>
        <v>2520</v>
      </c>
    </row>
    <row r="78" spans="2:14">
      <c r="B78" s="67">
        <v>17</v>
      </c>
      <c r="C78" s="67">
        <f t="shared" si="18"/>
        <v>6120</v>
      </c>
      <c r="D78" s="67">
        <f t="shared" si="14"/>
        <v>5</v>
      </c>
      <c r="E78" s="67">
        <f ca="1" t="shared" si="15"/>
        <v>47</v>
      </c>
      <c r="F78" s="67">
        <f ca="1" t="shared" si="16"/>
        <v>0</v>
      </c>
      <c r="G78" s="67">
        <f ca="1" t="shared" si="17"/>
        <v>18.901783929258</v>
      </c>
      <c r="H78" s="67" cm="1">
        <f ca="1" t="array" ref="H78">MIN(30-SUM(I78:L78),_xlfn.XLOOKUP($D78&amp;"_"&amp;H$61,$B$23:$B$45&amp;"_"&amp;$C$23:$C$45,$D$23:$D$45)*$E78,18)</f>
        <v>9.07846567888092</v>
      </c>
      <c r="I78" s="67" cm="1">
        <f ca="1" t="array" ref="I78">MIN(30-SUM(J78:L78),6-L78,_xlfn.XLOOKUP($D78&amp;"_"&amp;I$61,$B$23:$B$45&amp;"_"&amp;$C$23:$C$45,$D$23:$D$45)*$E78)</f>
        <v>0.936997604471652</v>
      </c>
      <c r="J78" s="67" cm="1">
        <f ca="1" t="array" ref="J78">MIN(8,_xlfn.XLOOKUP($D78&amp;"_"&amp;J$61,$B$23:$B$45&amp;"_"&amp;$C$23:$C$45,$D$23:$D$45)*$E78)</f>
        <v>0.609048442906573</v>
      </c>
      <c r="K78" s="67" cm="1">
        <f ca="1" t="array" ref="K78">MIN(18,_xlfn.XLOOKUP($D78&amp;"_"&amp;K$61,$B$23:$B$45&amp;"_"&amp;$C$23:$C$45,$D$23:$D$45)*$E78)</f>
        <v>0.189481737793157</v>
      </c>
      <c r="L78" s="67" cm="1">
        <f ca="1" t="array" ref="L78">MIN(6,_xlfn.XLOOKUP($D78&amp;"_"&amp;L$61,$B$23:$B$45&amp;"_"&amp;$C$23:$C$45,$D$23:$D$45)*$E78)</f>
        <v>0.284222606689735</v>
      </c>
      <c r="M78" s="67" cm="1">
        <f ca="1" t="array" ref="M78">(1+SUMPRODUCT(G78:H78,OFFSET($H$49:$I$49,D78,0)))*(1+OFFSET($J$49,D78,0))^I78*(1+OFFSET($K$49,D78,0))^J78*(1+OFFSET($L$49,D78,0))^K78*(1+OFFSET($M$49,D78,0))^L78</f>
        <v>8.31209823727256</v>
      </c>
      <c r="N78" s="67">
        <f ca="1">MAX(MAX($N$62:N77),OFFSET($C$61,MATCH(M78*1.07,$M$62:$M$2061,1),0)-C78)</f>
        <v>2520</v>
      </c>
    </row>
    <row r="79" spans="2:14">
      <c r="B79" s="67">
        <v>18</v>
      </c>
      <c r="C79" s="67">
        <f t="shared" si="18"/>
        <v>6480</v>
      </c>
      <c r="D79" s="67">
        <f t="shared" si="14"/>
        <v>5</v>
      </c>
      <c r="E79" s="67">
        <f ca="1" t="shared" si="15"/>
        <v>48</v>
      </c>
      <c r="F79" s="67">
        <f ca="1" t="shared" si="16"/>
        <v>0</v>
      </c>
      <c r="G79" s="67">
        <f ca="1" t="shared" si="17"/>
        <v>18.6656516724337</v>
      </c>
      <c r="H79" s="67" cm="1">
        <f ca="1" t="array" ref="H79">MIN(30-SUM(I79:L79),_xlfn.XLOOKUP($D79&amp;"_"&amp;H$61,$B$23:$B$45&amp;"_"&amp;$C$23:$C$45,$D$23:$D$45)*$E79,18)</f>
        <v>9.27162452311243</v>
      </c>
      <c r="I79" s="67" cm="1">
        <f ca="1" t="array" ref="I79">MIN(30-SUM(J79:L79),6-L79,_xlfn.XLOOKUP($D79&amp;"_"&amp;I$61,$B$23:$B$45&amp;"_"&amp;$C$23:$C$45,$D$23:$D$45)*$E79)</f>
        <v>0.95693372371573</v>
      </c>
      <c r="J79" s="67" cm="1">
        <f ca="1" t="array" ref="J79">MIN(8,_xlfn.XLOOKUP($D79&amp;"_"&amp;J$61,$B$23:$B$45&amp;"_"&amp;$C$23:$C$45,$D$23:$D$45)*$E79)</f>
        <v>0.622006920415224</v>
      </c>
      <c r="K79" s="67" cm="1">
        <f ca="1" t="array" ref="K79">MIN(18,_xlfn.XLOOKUP($D79&amp;"_"&amp;K$61,$B$23:$B$45&amp;"_"&amp;$C$23:$C$45,$D$23:$D$45)*$E79)</f>
        <v>0.193513264129181</v>
      </c>
      <c r="L79" s="67" cm="1">
        <f ca="1" t="array" ref="L79">MIN(6,_xlfn.XLOOKUP($D79&amp;"_"&amp;L$61,$B$23:$B$45&amp;"_"&amp;$C$23:$C$45,$D$23:$D$45)*$E79)</f>
        <v>0.290269896193772</v>
      </c>
      <c r="M79" s="67" cm="1">
        <f ca="1" t="array" ref="M79">(1+SUMPRODUCT(G79:H79,OFFSET($H$49:$I$49,D79,0)))*(1+OFFSET($J$49,D79,0))^I79*(1+OFFSET($K$49,D79,0))^J79*(1+OFFSET($L$49,D79,0))^K79*(1+OFFSET($M$49,D79,0))^L79</f>
        <v>8.4165118527683</v>
      </c>
      <c r="N79" s="67">
        <f ca="1">MAX(MAX($N$62:N78),OFFSET($C$61,MATCH(M79*1.07,$M$62:$M$2061,1),0)-C79)</f>
        <v>2520</v>
      </c>
    </row>
    <row r="80" spans="2:14">
      <c r="B80" s="67">
        <v>19</v>
      </c>
      <c r="C80" s="67">
        <f t="shared" si="18"/>
        <v>6840</v>
      </c>
      <c r="D80" s="67">
        <f t="shared" si="14"/>
        <v>5</v>
      </c>
      <c r="E80" s="67">
        <f ca="1" t="shared" si="15"/>
        <v>49</v>
      </c>
      <c r="F80" s="67">
        <f ca="1" t="shared" si="16"/>
        <v>0</v>
      </c>
      <c r="G80" s="67">
        <f ca="1" t="shared" si="17"/>
        <v>18.4295194156094</v>
      </c>
      <c r="H80" s="67" cm="1">
        <f ca="1" t="array" ref="H80">MIN(30-SUM(I80:L80),_xlfn.XLOOKUP($D80&amp;"_"&amp;H$61,$B$23:$B$45&amp;"_"&amp;$C$23:$C$45,$D$23:$D$45)*$E80,18)</f>
        <v>9.46478336734394</v>
      </c>
      <c r="I80" s="67" cm="1">
        <f ca="1" t="array" ref="I80">MIN(30-SUM(J80:L80),6-L80,_xlfn.XLOOKUP($D80&amp;"_"&amp;I$61,$B$23:$B$45&amp;"_"&amp;$C$23:$C$45,$D$23:$D$45)*$E80)</f>
        <v>0.976869842959807</v>
      </c>
      <c r="J80" s="67" cm="1">
        <f ca="1" t="array" ref="J80">MIN(8,_xlfn.XLOOKUP($D80&amp;"_"&amp;J$61,$B$23:$B$45&amp;"_"&amp;$C$23:$C$45,$D$23:$D$45)*$E80)</f>
        <v>0.634965397923875</v>
      </c>
      <c r="K80" s="67" cm="1">
        <f ca="1" t="array" ref="K80">MIN(18,_xlfn.XLOOKUP($D80&amp;"_"&amp;K$61,$B$23:$B$45&amp;"_"&amp;$C$23:$C$45,$D$23:$D$45)*$E80)</f>
        <v>0.197544790465206</v>
      </c>
      <c r="L80" s="67" cm="1">
        <f ca="1" t="array" ref="L80">MIN(6,_xlfn.XLOOKUP($D80&amp;"_"&amp;L$61,$B$23:$B$45&amp;"_"&amp;$C$23:$C$45,$D$23:$D$45)*$E80)</f>
        <v>0.296317185697809</v>
      </c>
      <c r="M80" s="67" cm="1">
        <f ca="1" t="array" ref="M80">(1+SUMPRODUCT(G80:H80,OFFSET($H$49:$I$49,D80,0)))*(1+OFFSET($J$49,D80,0))^I80*(1+OFFSET($K$49,D80,0))^J80*(1+OFFSET($L$49,D80,0))^K80*(1+OFFSET($M$49,D80,0))^L80</f>
        <v>8.52220226284003</v>
      </c>
      <c r="N80" s="67">
        <f ca="1">MAX(MAX($N$62:N79),OFFSET($C$61,MATCH(M80*1.07,$M$62:$M$2061,1),0)-C80)</f>
        <v>2520</v>
      </c>
    </row>
    <row r="81" spans="2:14">
      <c r="B81" s="67">
        <v>20</v>
      </c>
      <c r="C81" s="67">
        <f t="shared" si="18"/>
        <v>7200</v>
      </c>
      <c r="D81" s="67">
        <f t="shared" si="14"/>
        <v>5</v>
      </c>
      <c r="E81" s="67">
        <f ca="1" t="shared" si="15"/>
        <v>50</v>
      </c>
      <c r="F81" s="67">
        <f ca="1" t="shared" si="16"/>
        <v>0</v>
      </c>
      <c r="G81" s="67">
        <f ca="1" t="shared" si="17"/>
        <v>18.1933871587851</v>
      </c>
      <c r="H81" s="67" cm="1">
        <f ca="1" t="array" ref="H81">MIN(30-SUM(I81:L81),_xlfn.XLOOKUP($D81&amp;"_"&amp;H$61,$B$23:$B$45&amp;"_"&amp;$C$23:$C$45,$D$23:$D$45)*$E81,18)</f>
        <v>9.65794221157545</v>
      </c>
      <c r="I81" s="67" cm="1">
        <f ca="1" t="array" ref="I81">MIN(30-SUM(J81:L81),6-L81,_xlfn.XLOOKUP($D81&amp;"_"&amp;I$61,$B$23:$B$45&amp;"_"&amp;$C$23:$C$45,$D$23:$D$45)*$E81)</f>
        <v>0.996805962203885</v>
      </c>
      <c r="J81" s="67" cm="1">
        <f ca="1" t="array" ref="J81">MIN(8,_xlfn.XLOOKUP($D81&amp;"_"&amp;J$61,$B$23:$B$45&amp;"_"&amp;$C$23:$C$45,$D$23:$D$45)*$E81)</f>
        <v>0.647923875432525</v>
      </c>
      <c r="K81" s="67" cm="1">
        <f ca="1" t="array" ref="K81">MIN(18,_xlfn.XLOOKUP($D81&amp;"_"&amp;K$61,$B$23:$B$45&amp;"_"&amp;$C$23:$C$45,$D$23:$D$45)*$E81)</f>
        <v>0.20157631680123</v>
      </c>
      <c r="L81" s="67" cm="1">
        <f ca="1" t="array" ref="L81">MIN(6,_xlfn.XLOOKUP($D81&amp;"_"&amp;L$61,$B$23:$B$45&amp;"_"&amp;$C$23:$C$45,$D$23:$D$45)*$E81)</f>
        <v>0.302364475201846</v>
      </c>
      <c r="M81" s="67" cm="1">
        <f ca="1" t="array" ref="M81">(1+SUMPRODUCT(G81:H81,OFFSET($H$49:$I$49,D81,0)))*(1+OFFSET($J$49,D81,0))^I81*(1+OFFSET($K$49,D81,0))^J81*(1+OFFSET($L$49,D81,0))^K81*(1+OFFSET($M$49,D81,0))^L81</f>
        <v>8.62918477401805</v>
      </c>
      <c r="N81" s="67">
        <f ca="1">MAX(MAX($N$62:N80),OFFSET($C$61,MATCH(M81*1.07,$M$62:$M$2061,1),0)-C81)</f>
        <v>2520</v>
      </c>
    </row>
    <row r="82" spans="2:14">
      <c r="B82" s="67">
        <v>21</v>
      </c>
      <c r="C82" s="67">
        <f t="shared" si="18"/>
        <v>7560</v>
      </c>
      <c r="D82" s="67">
        <f t="shared" si="14"/>
        <v>5</v>
      </c>
      <c r="E82" s="67">
        <f ca="1" t="shared" si="15"/>
        <v>51</v>
      </c>
      <c r="F82" s="67">
        <f ca="1" t="shared" si="16"/>
        <v>0</v>
      </c>
      <c r="G82" s="67">
        <f ca="1" t="shared" si="17"/>
        <v>17.9572549019608</v>
      </c>
      <c r="H82" s="67" cm="1">
        <f ca="1" t="array" ref="H82">MIN(30-SUM(I82:L82),_xlfn.XLOOKUP($D82&amp;"_"&amp;H$61,$B$23:$B$45&amp;"_"&amp;$C$23:$C$45,$D$23:$D$45)*$E82,18)</f>
        <v>9.85110105580696</v>
      </c>
      <c r="I82" s="67" cm="1">
        <f ca="1" t="array" ref="I82">MIN(30-SUM(J82:L82),6-L82,_xlfn.XLOOKUP($D82&amp;"_"&amp;I$61,$B$23:$B$45&amp;"_"&amp;$C$23:$C$45,$D$23:$D$45)*$E82)</f>
        <v>1.01674208144796</v>
      </c>
      <c r="J82" s="67" cm="1">
        <f ca="1" t="array" ref="J82">MIN(8,_xlfn.XLOOKUP($D82&amp;"_"&amp;J$61,$B$23:$B$45&amp;"_"&amp;$C$23:$C$45,$D$23:$D$45)*$E82)</f>
        <v>0.660882352941175</v>
      </c>
      <c r="K82" s="67" cm="1">
        <f ca="1" t="array" ref="K82">MIN(18,_xlfn.XLOOKUP($D82&amp;"_"&amp;K$61,$B$23:$B$45&amp;"_"&amp;$C$23:$C$45,$D$23:$D$45)*$E82)</f>
        <v>0.205607843137255</v>
      </c>
      <c r="L82" s="67" cm="1">
        <f ca="1" t="array" ref="L82">MIN(6,_xlfn.XLOOKUP($D82&amp;"_"&amp;L$61,$B$23:$B$45&amp;"_"&amp;$C$23:$C$45,$D$23:$D$45)*$E82)</f>
        <v>0.308411764705882</v>
      </c>
      <c r="M82" s="67" cm="1">
        <f ca="1" t="array" ref="M82">(1+SUMPRODUCT(G82:H82,OFFSET($H$49:$I$49,D82,0)))*(1+OFFSET($J$49,D82,0))^I82*(1+OFFSET($K$49,D82,0))^J82*(1+OFFSET($L$49,D82,0))^K82*(1+OFFSET($M$49,D82,0))^L82</f>
        <v>8.73747487356047</v>
      </c>
      <c r="N82" s="67">
        <f ca="1">MAX(MAX($N$62:N81),OFFSET($C$61,MATCH(M82*1.07,$M$62:$M$2061,1),0)-C82)</f>
        <v>2520</v>
      </c>
    </row>
    <row r="83" spans="2:14">
      <c r="B83" s="67">
        <v>22</v>
      </c>
      <c r="C83" s="67">
        <f t="shared" si="18"/>
        <v>7920</v>
      </c>
      <c r="D83" s="67">
        <f t="shared" si="14"/>
        <v>5</v>
      </c>
      <c r="E83" s="67">
        <f ca="1" t="shared" si="15"/>
        <v>52</v>
      </c>
      <c r="F83" s="67">
        <f ca="1" t="shared" si="16"/>
        <v>0</v>
      </c>
      <c r="G83" s="67">
        <f ca="1" t="shared" si="17"/>
        <v>17.7211226451365</v>
      </c>
      <c r="H83" s="67" cm="1">
        <f ca="1" t="array" ref="H83">MIN(30-SUM(I83:L83),_xlfn.XLOOKUP($D83&amp;"_"&amp;H$61,$B$23:$B$45&amp;"_"&amp;$C$23:$C$45,$D$23:$D$45)*$E83,18)</f>
        <v>10.0442599000385</v>
      </c>
      <c r="I83" s="67" cm="1">
        <f ca="1" t="array" ref="I83">MIN(30-SUM(J83:L83),6-L83,_xlfn.XLOOKUP($D83&amp;"_"&amp;I$61,$B$23:$B$45&amp;"_"&amp;$C$23:$C$45,$D$23:$D$45)*$E83)</f>
        <v>1.03667820069204</v>
      </c>
      <c r="J83" s="67" cm="1">
        <f ca="1" t="array" ref="J83">MIN(8,_xlfn.XLOOKUP($D83&amp;"_"&amp;J$61,$B$23:$B$45&amp;"_"&amp;$C$23:$C$45,$D$23:$D$45)*$E83)</f>
        <v>0.673840830449826</v>
      </c>
      <c r="K83" s="67" cm="1">
        <f ca="1" t="array" ref="K83">MIN(18,_xlfn.XLOOKUP($D83&amp;"_"&amp;K$61,$B$23:$B$45&amp;"_"&amp;$C$23:$C$45,$D$23:$D$45)*$E83)</f>
        <v>0.20963936947328</v>
      </c>
      <c r="L83" s="67" cm="1">
        <f ca="1" t="array" ref="L83">MIN(6,_xlfn.XLOOKUP($D83&amp;"_"&amp;L$61,$B$23:$B$45&amp;"_"&amp;$C$23:$C$45,$D$23:$D$45)*$E83)</f>
        <v>0.314459054209919</v>
      </c>
      <c r="M83" s="67" cm="1">
        <f ca="1" t="array" ref="M83">(1+SUMPRODUCT(G83:H83,OFFSET($H$49:$I$49,D83,0)))*(1+OFFSET($J$49,D83,0))^I83*(1+OFFSET($K$49,D83,0))^J83*(1+OFFSET($L$49,D83,0))^K83*(1+OFFSET($M$49,D83,0))^L83</f>
        <v>8.8470882315616</v>
      </c>
      <c r="N83" s="67">
        <f ca="1">MAX(MAX($N$62:N82),OFFSET($C$61,MATCH(M83*1.07,$M$62:$M$2061,1),0)-C83)</f>
        <v>2520</v>
      </c>
    </row>
    <row r="84" spans="2:14">
      <c r="B84" s="67">
        <v>23</v>
      </c>
      <c r="C84" s="67">
        <f t="shared" si="18"/>
        <v>8280</v>
      </c>
      <c r="D84" s="67">
        <f t="shared" si="14"/>
        <v>5</v>
      </c>
      <c r="E84" s="67">
        <f ca="1" t="shared" si="15"/>
        <v>53</v>
      </c>
      <c r="F84" s="67">
        <f ca="1" t="shared" si="16"/>
        <v>0</v>
      </c>
      <c r="G84" s="67">
        <f ca="1" t="shared" si="17"/>
        <v>17.4849903883122</v>
      </c>
      <c r="H84" s="67" cm="1">
        <f ca="1" t="array" ref="H84">MIN(30-SUM(I84:L84),_xlfn.XLOOKUP($D84&amp;"_"&amp;H$61,$B$23:$B$45&amp;"_"&amp;$C$23:$C$45,$D$23:$D$45)*$E84,18)</f>
        <v>10.23741874427</v>
      </c>
      <c r="I84" s="67" cm="1">
        <f ca="1" t="array" ref="I84">MIN(30-SUM(J84:L84),6-L84,_xlfn.XLOOKUP($D84&amp;"_"&amp;I$61,$B$23:$B$45&amp;"_"&amp;$C$23:$C$45,$D$23:$D$45)*$E84)</f>
        <v>1.05661431993612</v>
      </c>
      <c r="J84" s="67" cm="1">
        <f ca="1" t="array" ref="J84">MIN(8,_xlfn.XLOOKUP($D84&amp;"_"&amp;J$61,$B$23:$B$45&amp;"_"&amp;$C$23:$C$45,$D$23:$D$45)*$E84)</f>
        <v>0.686799307958476</v>
      </c>
      <c r="K84" s="67" cm="1">
        <f ca="1" t="array" ref="K84">MIN(18,_xlfn.XLOOKUP($D84&amp;"_"&amp;K$61,$B$23:$B$45&amp;"_"&amp;$C$23:$C$45,$D$23:$D$45)*$E84)</f>
        <v>0.213670895809304</v>
      </c>
      <c r="L84" s="67" cm="1">
        <f ca="1" t="array" ref="L84">MIN(6,_xlfn.XLOOKUP($D84&amp;"_"&amp;L$61,$B$23:$B$45&amp;"_"&amp;$C$23:$C$45,$D$23:$D$45)*$E84)</f>
        <v>0.320506343713956</v>
      </c>
      <c r="M84" s="67" cm="1">
        <f ca="1" t="array" ref="M84">(1+SUMPRODUCT(G84:H84,OFFSET($H$49:$I$49,D84,0)))*(1+OFFSET($J$49,D84,0))^I84*(1+OFFSET($K$49,D84,0))^J84*(1+OFFSET($L$49,D84,0))^K84*(1+OFFSET($M$49,D84,0))^L84</f>
        <v>8.9580407030846</v>
      </c>
      <c r="N84" s="67">
        <f ca="1">MAX(MAX($N$62:N83),OFFSET($C$61,MATCH(M84*1.07,$M$62:$M$2061,1),0)-C84)</f>
        <v>2520</v>
      </c>
    </row>
    <row r="85" spans="2:14">
      <c r="B85" s="67">
        <v>24</v>
      </c>
      <c r="C85" s="67">
        <f t="shared" si="18"/>
        <v>8640</v>
      </c>
      <c r="D85" s="67">
        <f t="shared" si="14"/>
        <v>5</v>
      </c>
      <c r="E85" s="67">
        <f ca="1" t="shared" si="15"/>
        <v>54</v>
      </c>
      <c r="F85" s="67">
        <f ca="1" t="shared" si="16"/>
        <v>0</v>
      </c>
      <c r="G85" s="67">
        <f ca="1" t="shared" si="17"/>
        <v>17.2488581314879</v>
      </c>
      <c r="H85" s="67" cm="1">
        <f ca="1" t="array" ref="H85">MIN(30-SUM(I85:L85),_xlfn.XLOOKUP($D85&amp;"_"&amp;H$61,$B$23:$B$45&amp;"_"&amp;$C$23:$C$45,$D$23:$D$45)*$E85,18)</f>
        <v>10.4305775885015</v>
      </c>
      <c r="I85" s="67" cm="1">
        <f ca="1" t="array" ref="I85">MIN(30-SUM(J85:L85),6-L85,_xlfn.XLOOKUP($D85&amp;"_"&amp;I$61,$B$23:$B$45&amp;"_"&amp;$C$23:$C$45,$D$23:$D$45)*$E85)</f>
        <v>1.0765504391802</v>
      </c>
      <c r="J85" s="67" cm="1">
        <f ca="1" t="array" ref="J85">MIN(8,_xlfn.XLOOKUP($D85&amp;"_"&amp;J$61,$B$23:$B$45&amp;"_"&amp;$C$23:$C$45,$D$23:$D$45)*$E85)</f>
        <v>0.699757785467127</v>
      </c>
      <c r="K85" s="67" cm="1">
        <f ca="1" t="array" ref="K85">MIN(18,_xlfn.XLOOKUP($D85&amp;"_"&amp;K$61,$B$23:$B$45&amp;"_"&amp;$C$23:$C$45,$D$23:$D$45)*$E85)</f>
        <v>0.217702422145329</v>
      </c>
      <c r="L85" s="67" cm="1">
        <f ca="1" t="array" ref="L85">MIN(6,_xlfn.XLOOKUP($D85&amp;"_"&amp;L$61,$B$23:$B$45&amp;"_"&amp;$C$23:$C$45,$D$23:$D$45)*$E85)</f>
        <v>0.326553633217993</v>
      </c>
      <c r="M85" s="67" cm="1">
        <f ca="1" t="array" ref="M85">(1+SUMPRODUCT(G85:H85,OFFSET($H$49:$I$49,D85,0)))*(1+OFFSET($J$49,D85,0))^I85*(1+OFFSET($K$49,D85,0))^J85*(1+OFFSET($L$49,D85,0))^K85*(1+OFFSET($M$49,D85,0))^L85</f>
        <v>9.07034833031885</v>
      </c>
      <c r="N85" s="67">
        <f ca="1">MAX(MAX($N$62:N84),OFFSET($C$61,MATCH(M85*1.07,$M$62:$M$2061,1),0)-C85)</f>
        <v>2520</v>
      </c>
    </row>
    <row r="86" spans="2:14">
      <c r="B86" s="67">
        <v>25</v>
      </c>
      <c r="C86" s="67">
        <f t="shared" si="18"/>
        <v>9000</v>
      </c>
      <c r="D86" s="67">
        <f t="shared" si="14"/>
        <v>5</v>
      </c>
      <c r="E86" s="67">
        <f ca="1" t="shared" si="15"/>
        <v>55</v>
      </c>
      <c r="F86" s="67">
        <f ca="1" t="shared" si="16"/>
        <v>0</v>
      </c>
      <c r="G86" s="67">
        <f ca="1" t="shared" si="17"/>
        <v>17.0127258746636</v>
      </c>
      <c r="H86" s="67" cm="1">
        <f ca="1" t="array" ref="H86">MIN(30-SUM(I86:L86),_xlfn.XLOOKUP($D86&amp;"_"&amp;H$61,$B$23:$B$45&amp;"_"&amp;$C$23:$C$45,$D$23:$D$45)*$E86,18)</f>
        <v>10.623736432733</v>
      </c>
      <c r="I86" s="67" cm="1">
        <f ca="1" t="array" ref="I86">MIN(30-SUM(J86:L86),6-L86,_xlfn.XLOOKUP($D86&amp;"_"&amp;I$61,$B$23:$B$45&amp;"_"&amp;$C$23:$C$45,$D$23:$D$45)*$E86)</f>
        <v>1.09648655842427</v>
      </c>
      <c r="J86" s="67" cm="1">
        <f ca="1" t="array" ref="J86">MIN(8,_xlfn.XLOOKUP($D86&amp;"_"&amp;J$61,$B$23:$B$45&amp;"_"&amp;$C$23:$C$45,$D$23:$D$45)*$E86)</f>
        <v>0.712716262975778</v>
      </c>
      <c r="K86" s="67" cm="1">
        <f ca="1" t="array" ref="K86">MIN(18,_xlfn.XLOOKUP($D86&amp;"_"&amp;K$61,$B$23:$B$45&amp;"_"&amp;$C$23:$C$45,$D$23:$D$45)*$E86)</f>
        <v>0.221733948481354</v>
      </c>
      <c r="L86" s="67" cm="1">
        <f ca="1" t="array" ref="L86">MIN(6,_xlfn.XLOOKUP($D86&amp;"_"&amp;L$61,$B$23:$B$45&amp;"_"&amp;$C$23:$C$45,$D$23:$D$45)*$E86)</f>
        <v>0.33260092272203</v>
      </c>
      <c r="M86" s="67" cm="1">
        <f ca="1" t="array" ref="M86">(1+SUMPRODUCT(G86:H86,OFFSET($H$49:$I$49,D86,0)))*(1+OFFSET($J$49,D86,0))^I86*(1+OFFSET($K$49,D86,0))^J86*(1+OFFSET($L$49,D86,0))^K86*(1+OFFSET($M$49,D86,0))^L86</f>
        <v>9.18402734476221</v>
      </c>
      <c r="N86" s="67">
        <f ca="1">MAX(MAX($N$62:N85),OFFSET($C$61,MATCH(M86*1.07,$M$62:$M$2061,1),0)-C86)</f>
        <v>2520</v>
      </c>
    </row>
    <row r="87" spans="2:14">
      <c r="B87" s="67">
        <v>26</v>
      </c>
      <c r="C87" s="67">
        <f t="shared" si="18"/>
        <v>9360</v>
      </c>
      <c r="D87" s="67">
        <f t="shared" si="14"/>
        <v>5</v>
      </c>
      <c r="E87" s="67">
        <f ca="1" t="shared" si="15"/>
        <v>56</v>
      </c>
      <c r="F87" s="67">
        <f ca="1" t="shared" si="16"/>
        <v>0</v>
      </c>
      <c r="G87" s="67">
        <f ca="1" t="shared" si="17"/>
        <v>16.7765936178393</v>
      </c>
      <c r="H87" s="67" cm="1">
        <f ca="1" t="array" ref="H87">MIN(30-SUM(I87:L87),_xlfn.XLOOKUP($D87&amp;"_"&amp;H$61,$B$23:$B$45&amp;"_"&amp;$C$23:$C$45,$D$23:$D$45)*$E87,18)</f>
        <v>10.8168952769645</v>
      </c>
      <c r="I87" s="67" cm="1">
        <f ca="1" t="array" ref="I87">MIN(30-SUM(J87:L87),6-L87,_xlfn.XLOOKUP($D87&amp;"_"&amp;I$61,$B$23:$B$45&amp;"_"&amp;$C$23:$C$45,$D$23:$D$45)*$E87)</f>
        <v>1.11642267766835</v>
      </c>
      <c r="J87" s="67" cm="1">
        <f ca="1" t="array" ref="J87">MIN(8,_xlfn.XLOOKUP($D87&amp;"_"&amp;J$61,$B$23:$B$45&amp;"_"&amp;$C$23:$C$45,$D$23:$D$45)*$E87)</f>
        <v>0.725674740484428</v>
      </c>
      <c r="K87" s="67" cm="1">
        <f ca="1" t="array" ref="K87">MIN(18,_xlfn.XLOOKUP($D87&amp;"_"&amp;K$61,$B$23:$B$45&amp;"_"&amp;$C$23:$C$45,$D$23:$D$45)*$E87)</f>
        <v>0.225765474817378</v>
      </c>
      <c r="L87" s="67" cm="1">
        <f ca="1" t="array" ref="L87">MIN(6,_xlfn.XLOOKUP($D87&amp;"_"&amp;L$61,$B$23:$B$45&amp;"_"&amp;$C$23:$C$45,$D$23:$D$45)*$E87)</f>
        <v>0.338648212226067</v>
      </c>
      <c r="M87" s="67" cm="1">
        <f ca="1" t="array" ref="M87">(1+SUMPRODUCT(G87:H87,OFFSET($H$49:$I$49,D87,0)))*(1+OFFSET($J$49,D87,0))^I87*(1+OFFSET($K$49,D87,0))^J87*(1+OFFSET($L$49,D87,0))^K87*(1+OFFSET($M$49,D87,0))^L87</f>
        <v>9.29909416942843</v>
      </c>
      <c r="N87" s="67">
        <f ca="1">MAX(MAX($N$62:N86),OFFSET($C$61,MATCH(M87*1.07,$M$62:$M$2061,1),0)-C87)</f>
        <v>2520</v>
      </c>
    </row>
    <row r="88" spans="2:14">
      <c r="B88" s="67">
        <v>27</v>
      </c>
      <c r="C88" s="67">
        <f t="shared" si="18"/>
        <v>9720</v>
      </c>
      <c r="D88" s="67">
        <f t="shared" si="14"/>
        <v>5</v>
      </c>
      <c r="E88" s="67">
        <f ca="1" t="shared" si="15"/>
        <v>57</v>
      </c>
      <c r="F88" s="67">
        <f ca="1" t="shared" si="16"/>
        <v>0</v>
      </c>
      <c r="G88" s="67">
        <f ca="1" t="shared" si="17"/>
        <v>16.540461361015</v>
      </c>
      <c r="H88" s="67" cm="1">
        <f ca="1" t="array" ref="H88">MIN(30-SUM(I88:L88),_xlfn.XLOOKUP($D88&amp;"_"&amp;H$61,$B$23:$B$45&amp;"_"&amp;$C$23:$C$45,$D$23:$D$45)*$E88,18)</f>
        <v>11.010054121196</v>
      </c>
      <c r="I88" s="67" cm="1">
        <f ca="1" t="array" ref="I88">MIN(30-SUM(J88:L88),6-L88,_xlfn.XLOOKUP($D88&amp;"_"&amp;I$61,$B$23:$B$45&amp;"_"&amp;$C$23:$C$45,$D$23:$D$45)*$E88)</f>
        <v>1.13635879691243</v>
      </c>
      <c r="J88" s="67" cm="1">
        <f ca="1" t="array" ref="J88">MIN(8,_xlfn.XLOOKUP($D88&amp;"_"&amp;J$61,$B$23:$B$45&amp;"_"&amp;$C$23:$C$45,$D$23:$D$45)*$E88)</f>
        <v>0.738633217993078</v>
      </c>
      <c r="K88" s="67" cm="1">
        <f ca="1" t="array" ref="K88">MIN(18,_xlfn.XLOOKUP($D88&amp;"_"&amp;K$61,$B$23:$B$45&amp;"_"&amp;$C$23:$C$45,$D$23:$D$45)*$E88)</f>
        <v>0.229797001153403</v>
      </c>
      <c r="L88" s="67" cm="1">
        <f ca="1" t="array" ref="L88">MIN(6,_xlfn.XLOOKUP($D88&amp;"_"&amp;L$61,$B$23:$B$45&amp;"_"&amp;$C$23:$C$45,$D$23:$D$45)*$E88)</f>
        <v>0.344695501730104</v>
      </c>
      <c r="M88" s="67" cm="1">
        <f ca="1" t="array" ref="M88">(1+SUMPRODUCT(G88:H88,OFFSET($H$49:$I$49,D88,0)))*(1+OFFSET($J$49,D88,0))^I88*(1+OFFSET($K$49,D88,0))^J88*(1+OFFSET($L$49,D88,0))^K88*(1+OFFSET($M$49,D88,0))^L88</f>
        <v>9.41556542108012</v>
      </c>
      <c r="N88" s="67">
        <f ca="1">MAX(MAX($N$62:N87),OFFSET($C$61,MATCH(M88*1.07,$M$62:$M$2061,1),0)-C88)</f>
        <v>2520</v>
      </c>
    </row>
    <row r="89" spans="2:14">
      <c r="B89" s="67">
        <v>28</v>
      </c>
      <c r="C89" s="67">
        <f t="shared" si="18"/>
        <v>10080</v>
      </c>
      <c r="D89" s="67">
        <f t="shared" si="14"/>
        <v>5</v>
      </c>
      <c r="E89" s="67">
        <f ca="1" t="shared" si="15"/>
        <v>58</v>
      </c>
      <c r="F89" s="67">
        <f ca="1" t="shared" si="16"/>
        <v>0</v>
      </c>
      <c r="G89" s="67">
        <f ca="1" t="shared" si="17"/>
        <v>16.3043291041907</v>
      </c>
      <c r="H89" s="67" cm="1">
        <f ca="1" t="array" ref="H89">MIN(30-SUM(I89:L89),_xlfn.XLOOKUP($D89&amp;"_"&amp;H$61,$B$23:$B$45&amp;"_"&amp;$C$23:$C$45,$D$23:$D$45)*$E89,18)</f>
        <v>11.2032129654275</v>
      </c>
      <c r="I89" s="67" cm="1">
        <f ca="1" t="array" ref="I89">MIN(30-SUM(J89:L89),6-L89,_xlfn.XLOOKUP($D89&amp;"_"&amp;I$61,$B$23:$B$45&amp;"_"&amp;$C$23:$C$45,$D$23:$D$45)*$E89)</f>
        <v>1.15629491615651</v>
      </c>
      <c r="J89" s="67" cm="1">
        <f ca="1" t="array" ref="J89">MIN(8,_xlfn.XLOOKUP($D89&amp;"_"&amp;J$61,$B$23:$B$45&amp;"_"&amp;$C$23:$C$45,$D$23:$D$45)*$E89)</f>
        <v>0.751591695501729</v>
      </c>
      <c r="K89" s="67" cm="1">
        <f ca="1" t="array" ref="K89">MIN(18,_xlfn.XLOOKUP($D89&amp;"_"&amp;K$61,$B$23:$B$45&amp;"_"&amp;$C$23:$C$45,$D$23:$D$45)*$E89)</f>
        <v>0.233828527489427</v>
      </c>
      <c r="L89" s="67" cm="1">
        <f ca="1" t="array" ref="L89">MIN(6,_xlfn.XLOOKUP($D89&amp;"_"&amp;L$61,$B$23:$B$45&amp;"_"&amp;$C$23:$C$45,$D$23:$D$45)*$E89)</f>
        <v>0.350742791234141</v>
      </c>
      <c r="M89" s="67" cm="1">
        <f ca="1" t="array" ref="M89">(1+SUMPRODUCT(G89:H89,OFFSET($H$49:$I$49,D89,0)))*(1+OFFSET($J$49,D89,0))^I89*(1+OFFSET($K$49,D89,0))^J89*(1+OFFSET($L$49,D89,0))^K89*(1+OFFSET($M$49,D89,0))^L89</f>
        <v>9.53345791248751</v>
      </c>
      <c r="N89" s="67">
        <f ca="1">MAX(MAX($N$62:N88),OFFSET($C$61,MATCH(M89*1.07,$M$62:$M$2061,1),0)-C89)</f>
        <v>2520</v>
      </c>
    </row>
    <row r="90" spans="2:14">
      <c r="B90" s="67">
        <v>29</v>
      </c>
      <c r="C90" s="67">
        <f t="shared" si="18"/>
        <v>10440</v>
      </c>
      <c r="D90" s="67">
        <f t="shared" si="14"/>
        <v>5</v>
      </c>
      <c r="E90" s="67">
        <f ca="1" t="shared" si="15"/>
        <v>59</v>
      </c>
      <c r="F90" s="67">
        <f ca="1" t="shared" si="16"/>
        <v>0</v>
      </c>
      <c r="G90" s="67">
        <f ca="1" t="shared" si="17"/>
        <v>16.0681968473664</v>
      </c>
      <c r="H90" s="67" cm="1">
        <f ca="1" t="array" ref="H90">MIN(30-SUM(I90:L90),_xlfn.XLOOKUP($D90&amp;"_"&amp;H$61,$B$23:$B$45&amp;"_"&amp;$C$23:$C$45,$D$23:$D$45)*$E90,18)</f>
        <v>11.396371809659</v>
      </c>
      <c r="I90" s="67" cm="1">
        <f ca="1" t="array" ref="I90">MIN(30-SUM(J90:L90),6-L90,_xlfn.XLOOKUP($D90&amp;"_"&amp;I$61,$B$23:$B$45&amp;"_"&amp;$C$23:$C$45,$D$23:$D$45)*$E90)</f>
        <v>1.17623103540058</v>
      </c>
      <c r="J90" s="67" cm="1">
        <f ca="1" t="array" ref="J90">MIN(8,_xlfn.XLOOKUP($D90&amp;"_"&amp;J$61,$B$23:$B$45&amp;"_"&amp;$C$23:$C$45,$D$23:$D$45)*$E90)</f>
        <v>0.76455017301038</v>
      </c>
      <c r="K90" s="67" cm="1">
        <f ca="1" t="array" ref="K90">MIN(18,_xlfn.XLOOKUP($D90&amp;"_"&amp;K$61,$B$23:$B$45&amp;"_"&amp;$C$23:$C$45,$D$23:$D$45)*$E90)</f>
        <v>0.237860053825452</v>
      </c>
      <c r="L90" s="67" cm="1">
        <f ca="1" t="array" ref="L90">MIN(6,_xlfn.XLOOKUP($D90&amp;"_"&amp;L$61,$B$23:$B$45&amp;"_"&amp;$C$23:$C$45,$D$23:$D$45)*$E90)</f>
        <v>0.356790080738178</v>
      </c>
      <c r="M90" s="67" cm="1">
        <f ca="1" t="array" ref="M90">(1+SUMPRODUCT(G90:H90,OFFSET($H$49:$I$49,D90,0)))*(1+OFFSET($J$49,D90,0))^I90*(1+OFFSET($K$49,D90,0))^J90*(1+OFFSET($L$49,D90,0))^K90*(1+OFFSET($M$49,D90,0))^L90</f>
        <v>9.65278865471321</v>
      </c>
      <c r="N90" s="67">
        <f ca="1">MAX(MAX($N$62:N89),OFFSET($C$61,MATCH(M90*1.07,$M$62:$M$2061,1),0)-C90)</f>
        <v>2520</v>
      </c>
    </row>
    <row r="91" spans="2:14">
      <c r="B91" s="67">
        <v>30</v>
      </c>
      <c r="C91" s="67">
        <f t="shared" si="18"/>
        <v>10800</v>
      </c>
      <c r="D91" s="67">
        <f t="shared" si="14"/>
        <v>5</v>
      </c>
      <c r="E91" s="67">
        <f ca="1" t="shared" si="15"/>
        <v>60</v>
      </c>
      <c r="F91" s="67">
        <f ca="1" t="shared" si="16"/>
        <v>0</v>
      </c>
      <c r="G91" s="67">
        <f ca="1" t="shared" si="17"/>
        <v>15.8320645905421</v>
      </c>
      <c r="H91" s="67" cm="1">
        <f ca="1" t="array" ref="H91">MIN(30-SUM(I91:L91),_xlfn.XLOOKUP($D91&amp;"_"&amp;H$61,$B$23:$B$45&amp;"_"&amp;$C$23:$C$45,$D$23:$D$45)*$E91,18)</f>
        <v>11.5895306538905</v>
      </c>
      <c r="I91" s="67" cm="1">
        <f ca="1" t="array" ref="I91">MIN(30-SUM(J91:L91),6-L91,_xlfn.XLOOKUP($D91&amp;"_"&amp;I$61,$B$23:$B$45&amp;"_"&amp;$C$23:$C$45,$D$23:$D$45)*$E91)</f>
        <v>1.19616715464466</v>
      </c>
      <c r="J91" s="67" cm="1">
        <f ca="1" t="array" ref="J91">MIN(8,_xlfn.XLOOKUP($D91&amp;"_"&amp;J$61,$B$23:$B$45&amp;"_"&amp;$C$23:$C$45,$D$23:$D$45)*$E91)</f>
        <v>0.77750865051903</v>
      </c>
      <c r="K91" s="67" cm="1">
        <f ca="1" t="array" ref="K91">MIN(18,_xlfn.XLOOKUP($D91&amp;"_"&amp;K$61,$B$23:$B$45&amp;"_"&amp;$C$23:$C$45,$D$23:$D$45)*$E91)</f>
        <v>0.241891580161477</v>
      </c>
      <c r="L91" s="67" cm="1">
        <f ca="1" t="array" ref="L91">MIN(6,_xlfn.XLOOKUP($D91&amp;"_"&amp;L$61,$B$23:$B$45&amp;"_"&amp;$C$23:$C$45,$D$23:$D$45)*$E91)</f>
        <v>0.362837370242215</v>
      </c>
      <c r="M91" s="67" cm="1">
        <f ca="1" t="array" ref="M91">(1+SUMPRODUCT(G91:H91,OFFSET($H$49:$I$49,D91,0)))*(1+OFFSET($J$49,D91,0))^I91*(1+OFFSET($K$49,D91,0))^J91*(1+OFFSET($L$49,D91,0))^K91*(1+OFFSET($M$49,D91,0))^L91</f>
        <v>9.77357485942342</v>
      </c>
      <c r="N91" s="67">
        <f ca="1">MAX(MAX($N$62:N90),OFFSET($C$61,MATCH(M91*1.07,$M$62:$M$2061,1),0)-C91)</f>
        <v>2520</v>
      </c>
    </row>
    <row r="92" spans="2:14">
      <c r="B92" s="67">
        <v>31</v>
      </c>
      <c r="C92" s="67">
        <f t="shared" si="18"/>
        <v>11160</v>
      </c>
      <c r="D92" s="67">
        <f t="shared" si="14"/>
        <v>5</v>
      </c>
      <c r="E92" s="67">
        <f ca="1" t="shared" si="15"/>
        <v>61</v>
      </c>
      <c r="F92" s="67">
        <f ca="1" t="shared" si="16"/>
        <v>0</v>
      </c>
      <c r="G92" s="67">
        <f ca="1" t="shared" si="17"/>
        <v>15.5959323337178</v>
      </c>
      <c r="H92" s="67" cm="1">
        <f ca="1" t="array" ref="H92">MIN(30-SUM(I92:L92),_xlfn.XLOOKUP($D92&amp;"_"&amp;H$61,$B$23:$B$45&amp;"_"&amp;$C$23:$C$45,$D$23:$D$45)*$E92,18)</f>
        <v>11.782689498122</v>
      </c>
      <c r="I92" s="67" cm="1">
        <f ca="1" t="array" ref="I92">MIN(30-SUM(J92:L92),6-L92,_xlfn.XLOOKUP($D92&amp;"_"&amp;I$61,$B$23:$B$45&amp;"_"&amp;$C$23:$C$45,$D$23:$D$45)*$E92)</f>
        <v>1.21610327388874</v>
      </c>
      <c r="J92" s="67" cm="1">
        <f ca="1" t="array" ref="J92">MIN(8,_xlfn.XLOOKUP($D92&amp;"_"&amp;J$61,$B$23:$B$45&amp;"_"&amp;$C$23:$C$45,$D$23:$D$45)*$E92)</f>
        <v>0.79046712802768</v>
      </c>
      <c r="K92" s="67" cm="1">
        <f ca="1" t="array" ref="K92">MIN(18,_xlfn.XLOOKUP($D92&amp;"_"&amp;K$61,$B$23:$B$45&amp;"_"&amp;$C$23:$C$45,$D$23:$D$45)*$E92)</f>
        <v>0.245923106497501</v>
      </c>
      <c r="L92" s="67" cm="1">
        <f ca="1" t="array" ref="L92">MIN(6,_xlfn.XLOOKUP($D92&amp;"_"&amp;L$61,$B$23:$B$45&amp;"_"&amp;$C$23:$C$45,$D$23:$D$45)*$E92)</f>
        <v>0.368884659746252</v>
      </c>
      <c r="M92" s="67" cm="1">
        <f ca="1" t="array" ref="M92">(1+SUMPRODUCT(G92:H92,OFFSET($H$49:$I$49,D92,0)))*(1+OFFSET($J$49,D92,0))^I92*(1+OFFSET($K$49,D92,0))^J92*(1+OFFSET($L$49,D92,0))^K92*(1+OFFSET($M$49,D92,0))^L92</f>
        <v>9.89583394122583</v>
      </c>
      <c r="N92" s="67">
        <f ca="1">MAX(MAX($N$62:N91),OFFSET($C$61,MATCH(M92*1.07,$M$62:$M$2061,1),0)-C92)</f>
        <v>2520</v>
      </c>
    </row>
    <row r="93" spans="2:14">
      <c r="B93" s="67">
        <v>32</v>
      </c>
      <c r="C93" s="67">
        <f t="shared" si="18"/>
        <v>11520</v>
      </c>
      <c r="D93" s="67">
        <f t="shared" si="14"/>
        <v>5</v>
      </c>
      <c r="E93" s="67">
        <f ca="1" t="shared" si="15"/>
        <v>62</v>
      </c>
      <c r="F93" s="67">
        <f ca="1" t="shared" si="16"/>
        <v>0</v>
      </c>
      <c r="G93" s="67">
        <f ca="1" t="shared" si="17"/>
        <v>15.3598000768935</v>
      </c>
      <c r="H93" s="67" cm="1">
        <f ca="1" t="array" ref="H93">MIN(30-SUM(I93:L93),_xlfn.XLOOKUP($D93&amp;"_"&amp;H$61,$B$23:$B$45&amp;"_"&amp;$C$23:$C$45,$D$23:$D$45)*$E93,18)</f>
        <v>11.9758483423536</v>
      </c>
      <c r="I93" s="67" cm="1">
        <f ca="1" t="array" ref="I93">MIN(30-SUM(J93:L93),6-L93,_xlfn.XLOOKUP($D93&amp;"_"&amp;I$61,$B$23:$B$45&amp;"_"&amp;$C$23:$C$45,$D$23:$D$45)*$E93)</f>
        <v>1.23603939313282</v>
      </c>
      <c r="J93" s="67" cm="1">
        <f ca="1" t="array" ref="J93">MIN(8,_xlfn.XLOOKUP($D93&amp;"_"&amp;J$61,$B$23:$B$45&amp;"_"&amp;$C$23:$C$45,$D$23:$D$45)*$E93)</f>
        <v>0.803425605536331</v>
      </c>
      <c r="K93" s="67" cm="1">
        <f ca="1" t="array" ref="K93">MIN(18,_xlfn.XLOOKUP($D93&amp;"_"&amp;K$61,$B$23:$B$45&amp;"_"&amp;$C$23:$C$45,$D$23:$D$45)*$E93)</f>
        <v>0.249954632833526</v>
      </c>
      <c r="L93" s="67" cm="1">
        <f ca="1" t="array" ref="L93">MIN(6,_xlfn.XLOOKUP($D93&amp;"_"&amp;L$61,$B$23:$B$45&amp;"_"&amp;$C$23:$C$45,$D$23:$D$45)*$E93)</f>
        <v>0.374931949250288</v>
      </c>
      <c r="M93" s="67" cm="1">
        <f ca="1" t="array" ref="M93">(1+SUMPRODUCT(G93:H93,OFFSET($H$49:$I$49,D93,0)))*(1+OFFSET($J$49,D93,0))^I93*(1+OFFSET($K$49,D93,0))^J93*(1+OFFSET($L$49,D93,0))^K93*(1+OFFSET($M$49,D93,0))^L93</f>
        <v>10.0195835200344</v>
      </c>
      <c r="N93" s="67">
        <f ca="1">MAX(MAX($N$62:N92),OFFSET($C$61,MATCH(M93*1.07,$M$62:$M$2061,1),0)-C93)</f>
        <v>2520</v>
      </c>
    </row>
    <row r="94" spans="2:14">
      <c r="B94" s="67">
        <v>33</v>
      </c>
      <c r="C94" s="67">
        <f t="shared" si="18"/>
        <v>11880</v>
      </c>
      <c r="D94" s="67">
        <f t="shared" si="14"/>
        <v>5</v>
      </c>
      <c r="E94" s="67">
        <f ca="1" t="shared" si="15"/>
        <v>63</v>
      </c>
      <c r="F94" s="67">
        <f ca="1" t="shared" si="16"/>
        <v>0</v>
      </c>
      <c r="G94" s="67">
        <f ca="1" t="shared" si="17"/>
        <v>15.1236678200692</v>
      </c>
      <c r="H94" s="67" cm="1">
        <f ca="1" t="array" ref="H94">MIN(30-SUM(I94:L94),_xlfn.XLOOKUP($D94&amp;"_"&amp;H$61,$B$23:$B$45&amp;"_"&amp;$C$23:$C$45,$D$23:$D$45)*$E94,18)</f>
        <v>12.1690071865851</v>
      </c>
      <c r="I94" s="67" cm="1">
        <f ca="1" t="array" ref="I94">MIN(30-SUM(J94:L94),6-L94,_xlfn.XLOOKUP($D94&amp;"_"&amp;I$61,$B$23:$B$45&amp;"_"&amp;$C$23:$C$45,$D$23:$D$45)*$E94)</f>
        <v>1.2559755123769</v>
      </c>
      <c r="J94" s="67" cm="1">
        <f ca="1" t="array" ref="J94">MIN(8,_xlfn.XLOOKUP($D94&amp;"_"&amp;J$61,$B$23:$B$45&amp;"_"&amp;$C$23:$C$45,$D$23:$D$45)*$E94)</f>
        <v>0.816384083044981</v>
      </c>
      <c r="K94" s="67" cm="1">
        <f ca="1" t="array" ref="K94">MIN(18,_xlfn.XLOOKUP($D94&amp;"_"&amp;K$61,$B$23:$B$45&amp;"_"&amp;$C$23:$C$45,$D$23:$D$45)*$E94)</f>
        <v>0.25398615916955</v>
      </c>
      <c r="L94" s="67" cm="1">
        <f ca="1" t="array" ref="L94">MIN(6,_xlfn.XLOOKUP($D94&amp;"_"&amp;L$61,$B$23:$B$45&amp;"_"&amp;$C$23:$C$45,$D$23:$D$45)*$E94)</f>
        <v>0.380979238754325</v>
      </c>
      <c r="M94" s="67" cm="1">
        <f ca="1" t="array" ref="M94">(1+SUMPRODUCT(G94:H94,OFFSET($H$49:$I$49,D94,0)))*(1+OFFSET($J$49,D94,0))^I94*(1+OFFSET($K$49,D94,0))^J94*(1+OFFSET($L$49,D94,0))^K94*(1+OFFSET($M$49,D94,0))^L94</f>
        <v>10.1448414234616</v>
      </c>
      <c r="N94" s="67">
        <f ca="1">MAX(MAX($N$62:N93),OFFSET($C$61,MATCH(M94*1.07,$M$62:$M$2061,1),0)-C94)</f>
        <v>2520</v>
      </c>
    </row>
    <row r="95" spans="2:14">
      <c r="B95" s="67">
        <v>34</v>
      </c>
      <c r="C95" s="67">
        <f t="shared" si="18"/>
        <v>12240</v>
      </c>
      <c r="D95" s="67">
        <f t="shared" si="14"/>
        <v>5</v>
      </c>
      <c r="E95" s="67">
        <f ca="1" t="shared" si="15"/>
        <v>64</v>
      </c>
      <c r="F95" s="67">
        <f ca="1" t="shared" si="16"/>
        <v>0</v>
      </c>
      <c r="G95" s="67">
        <f ca="1" t="shared" si="17"/>
        <v>14.8875355632449</v>
      </c>
      <c r="H95" s="67" cm="1">
        <f ca="1" t="array" ref="H95">MIN(30-SUM(I95:L95),_xlfn.XLOOKUP($D95&amp;"_"&amp;H$61,$B$23:$B$45&amp;"_"&amp;$C$23:$C$45,$D$23:$D$45)*$E95,18)</f>
        <v>12.3621660308166</v>
      </c>
      <c r="I95" s="67" cm="1">
        <f ca="1" t="array" ref="I95">MIN(30-SUM(J95:L95),6-L95,_xlfn.XLOOKUP($D95&amp;"_"&amp;I$61,$B$23:$B$45&amp;"_"&amp;$C$23:$C$45,$D$23:$D$45)*$E95)</f>
        <v>1.27591163162097</v>
      </c>
      <c r="J95" s="67" cm="1">
        <f ca="1" t="array" ref="J95">MIN(8,_xlfn.XLOOKUP($D95&amp;"_"&amp;J$61,$B$23:$B$45&amp;"_"&amp;$C$23:$C$45,$D$23:$D$45)*$E95)</f>
        <v>0.829342560553632</v>
      </c>
      <c r="K95" s="67" cm="1">
        <f ca="1" t="array" ref="K95">MIN(18,_xlfn.XLOOKUP($D95&amp;"_"&amp;K$61,$B$23:$B$45&amp;"_"&amp;$C$23:$C$45,$D$23:$D$45)*$E95)</f>
        <v>0.258017685505575</v>
      </c>
      <c r="L95" s="67" cm="1">
        <f ca="1" t="array" ref="L95">MIN(6,_xlfn.XLOOKUP($D95&amp;"_"&amp;L$61,$B$23:$B$45&amp;"_"&amp;$C$23:$C$45,$D$23:$D$45)*$E95)</f>
        <v>0.387026528258362</v>
      </c>
      <c r="M95" s="67" cm="1">
        <f ca="1" t="array" ref="M95">(1+SUMPRODUCT(G95:H95,OFFSET($H$49:$I$49,D95,0)))*(1+OFFSET($J$49,D95,0))^I95*(1+OFFSET($K$49,D95,0))^J95*(1+OFFSET($L$49,D95,0))^K95*(1+OFFSET($M$49,D95,0))^L95</f>
        <v>10.2716256892381</v>
      </c>
      <c r="N95" s="67">
        <f ca="1">MAX(MAX($N$62:N94),OFFSET($C$61,MATCH(M95*1.07,$M$62:$M$2061,1),0)-C95)</f>
        <v>2520</v>
      </c>
    </row>
    <row r="96" spans="2:14">
      <c r="B96" s="67">
        <v>35</v>
      </c>
      <c r="C96" s="67">
        <f t="shared" si="18"/>
        <v>12600</v>
      </c>
      <c r="D96" s="67">
        <f t="shared" si="14"/>
        <v>5</v>
      </c>
      <c r="E96" s="67">
        <f ca="1" t="shared" si="15"/>
        <v>65</v>
      </c>
      <c r="F96" s="67">
        <f ca="1" t="shared" si="16"/>
        <v>0</v>
      </c>
      <c r="G96" s="67">
        <f ca="1" t="shared" si="17"/>
        <v>14.6514033064206</v>
      </c>
      <c r="H96" s="67" cm="1">
        <f ca="1" t="array" ref="H96">MIN(30-SUM(I96:L96),_xlfn.XLOOKUP($D96&amp;"_"&amp;H$61,$B$23:$B$45&amp;"_"&amp;$C$23:$C$45,$D$23:$D$45)*$E96,18)</f>
        <v>12.5553248750481</v>
      </c>
      <c r="I96" s="67" cm="1">
        <f ca="1" t="array" ref="I96">MIN(30-SUM(J96:L96),6-L96,_xlfn.XLOOKUP($D96&amp;"_"&amp;I$61,$B$23:$B$45&amp;"_"&amp;$C$23:$C$45,$D$23:$D$45)*$E96)</f>
        <v>1.29584775086505</v>
      </c>
      <c r="J96" s="67" cm="1">
        <f ca="1" t="array" ref="J96">MIN(8,_xlfn.XLOOKUP($D96&amp;"_"&amp;J$61,$B$23:$B$45&amp;"_"&amp;$C$23:$C$45,$D$23:$D$45)*$E96)</f>
        <v>0.842301038062283</v>
      </c>
      <c r="K96" s="67" cm="1">
        <f ca="1" t="array" ref="K96">MIN(18,_xlfn.XLOOKUP($D96&amp;"_"&amp;K$61,$B$23:$B$45&amp;"_"&amp;$C$23:$C$45,$D$23:$D$45)*$E96)</f>
        <v>0.2620492118416</v>
      </c>
      <c r="L96" s="67" cm="1">
        <f ca="1" t="array" ref="L96">MIN(6,_xlfn.XLOOKUP($D96&amp;"_"&amp;L$61,$B$23:$B$45&amp;"_"&amp;$C$23:$C$45,$D$23:$D$45)*$E96)</f>
        <v>0.393073817762399</v>
      </c>
      <c r="M96" s="67" cm="1">
        <f ca="1" t="array" ref="M96">(1+SUMPRODUCT(G96:H96,OFFSET($H$49:$I$49,D96,0)))*(1+OFFSET($J$49,D96,0))^I96*(1+OFFSET($K$49,D96,0))^J96*(1+OFFSET($L$49,D96,0))^K96*(1+OFFSET($M$49,D96,0))^L96</f>
        <v>10.3999545676604</v>
      </c>
      <c r="N96" s="67">
        <f ca="1">MAX(MAX($N$62:N95),OFFSET($C$61,MATCH(M96*1.07,$M$62:$M$2061,1),0)-C96)</f>
        <v>2520</v>
      </c>
    </row>
    <row r="97" spans="2:14">
      <c r="B97" s="67">
        <v>36</v>
      </c>
      <c r="C97" s="67">
        <f t="shared" si="18"/>
        <v>12960</v>
      </c>
      <c r="D97" s="67">
        <f t="shared" si="14"/>
        <v>5</v>
      </c>
      <c r="E97" s="67">
        <f ca="1" t="shared" si="15"/>
        <v>66</v>
      </c>
      <c r="F97" s="67">
        <f ca="1" t="shared" si="16"/>
        <v>0</v>
      </c>
      <c r="G97" s="67">
        <f ca="1" t="shared" si="17"/>
        <v>14.4152710495963</v>
      </c>
      <c r="H97" s="67" cm="1">
        <f ca="1" t="array" ref="H97">MIN(30-SUM(I97:L97),_xlfn.XLOOKUP($D97&amp;"_"&amp;H$61,$B$23:$B$45&amp;"_"&amp;$C$23:$C$45,$D$23:$D$45)*$E97,18)</f>
        <v>12.7484837192796</v>
      </c>
      <c r="I97" s="67" cm="1">
        <f ca="1" t="array" ref="I97">MIN(30-SUM(J97:L97),6-L97,_xlfn.XLOOKUP($D97&amp;"_"&amp;I$61,$B$23:$B$45&amp;"_"&amp;$C$23:$C$45,$D$23:$D$45)*$E97)</f>
        <v>1.31578387010913</v>
      </c>
      <c r="J97" s="67" cm="1">
        <f ca="1" t="array" ref="J97">MIN(8,_xlfn.XLOOKUP($D97&amp;"_"&amp;J$61,$B$23:$B$45&amp;"_"&amp;$C$23:$C$45,$D$23:$D$45)*$E97)</f>
        <v>0.855259515570933</v>
      </c>
      <c r="K97" s="67" cm="1">
        <f ca="1" t="array" ref="K97">MIN(18,_xlfn.XLOOKUP($D97&amp;"_"&amp;K$61,$B$23:$B$45&amp;"_"&amp;$C$23:$C$45,$D$23:$D$45)*$E97)</f>
        <v>0.266080738177624</v>
      </c>
      <c r="L97" s="67" cm="1">
        <f ca="1" t="array" ref="L97">MIN(6,_xlfn.XLOOKUP($D97&amp;"_"&amp;L$61,$B$23:$B$45&amp;"_"&amp;$C$23:$C$45,$D$23:$D$45)*$E97)</f>
        <v>0.399121107266436</v>
      </c>
      <c r="M97" s="67" cm="1">
        <f ca="1" t="array" ref="M97">(1+SUMPRODUCT(G97:H97,OFFSET($H$49:$I$49,D97,0)))*(1+OFFSET($J$49,D97,0))^I97*(1+OFFSET($K$49,D97,0))^J97*(1+OFFSET($L$49,D97,0))^K97*(1+OFFSET($M$49,D97,0))^L97</f>
        <v>10.529846524067</v>
      </c>
      <c r="N97" s="67">
        <f ca="1">MAX(MAX($N$62:N96),OFFSET($C$61,MATCH(M97*1.07,$M$62:$M$2061,1),0)-C97)</f>
        <v>2520</v>
      </c>
    </row>
    <row r="98" spans="2:14">
      <c r="B98" s="67">
        <v>37</v>
      </c>
      <c r="C98" s="67">
        <f t="shared" si="18"/>
        <v>13320</v>
      </c>
      <c r="D98" s="67">
        <f t="shared" si="14"/>
        <v>5</v>
      </c>
      <c r="E98" s="67">
        <f ca="1" t="shared" si="15"/>
        <v>67</v>
      </c>
      <c r="F98" s="67">
        <f ca="1" t="shared" si="16"/>
        <v>0</v>
      </c>
      <c r="G98" s="67">
        <f ca="1" t="shared" si="17"/>
        <v>14.179138792772</v>
      </c>
      <c r="H98" s="67" cm="1">
        <f ca="1" t="array" ref="H98">MIN(30-SUM(I98:L98),_xlfn.XLOOKUP($D98&amp;"_"&amp;H$61,$B$23:$B$45&amp;"_"&amp;$C$23:$C$45,$D$23:$D$45)*$E98,18)</f>
        <v>12.9416425635111</v>
      </c>
      <c r="I98" s="67" cm="1">
        <f ca="1" t="array" ref="I98">MIN(30-SUM(J98:L98),6-L98,_xlfn.XLOOKUP($D98&amp;"_"&amp;I$61,$B$23:$B$45&amp;"_"&amp;$C$23:$C$45,$D$23:$D$45)*$E98)</f>
        <v>1.33571998935321</v>
      </c>
      <c r="J98" s="67" cm="1">
        <f ca="1" t="array" ref="J98">MIN(8,_xlfn.XLOOKUP($D98&amp;"_"&amp;J$61,$B$23:$B$45&amp;"_"&amp;$C$23:$C$45,$D$23:$D$45)*$E98)</f>
        <v>0.868217993079583</v>
      </c>
      <c r="K98" s="67" cm="1">
        <f ca="1" t="array" ref="K98">MIN(18,_xlfn.XLOOKUP($D98&amp;"_"&amp;K$61,$B$23:$B$45&amp;"_"&amp;$C$23:$C$45,$D$23:$D$45)*$E98)</f>
        <v>0.270112264513649</v>
      </c>
      <c r="L98" s="67" cm="1">
        <f ca="1" t="array" ref="L98">MIN(6,_xlfn.XLOOKUP($D98&amp;"_"&amp;L$61,$B$23:$B$45&amp;"_"&amp;$C$23:$C$45,$D$23:$D$45)*$E98)</f>
        <v>0.405168396770473</v>
      </c>
      <c r="M98" s="67" cm="1">
        <f ca="1" t="array" ref="M98">(1+SUMPRODUCT(G98:H98,OFFSET($H$49:$I$49,D98,0)))*(1+OFFSET($J$49,D98,0))^I98*(1+OFFSET($K$49,D98,0))^J98*(1+OFFSET($L$49,D98,0))^K98*(1+OFFSET($M$49,D98,0))^L98</f>
        <v>10.6613202413424</v>
      </c>
      <c r="N98" s="67">
        <f ca="1">MAX(MAX($N$62:N97),OFFSET($C$61,MATCH(M98*1.07,$M$62:$M$2061,1),0)-C98)</f>
        <v>2520</v>
      </c>
    </row>
    <row r="99" spans="2:14">
      <c r="B99" s="67">
        <v>38</v>
      </c>
      <c r="C99" s="67">
        <f t="shared" si="18"/>
        <v>13680</v>
      </c>
      <c r="D99" s="67">
        <f t="shared" si="14"/>
        <v>5</v>
      </c>
      <c r="E99" s="67">
        <f ca="1" t="shared" si="15"/>
        <v>68</v>
      </c>
      <c r="F99" s="67">
        <f ca="1" t="shared" si="16"/>
        <v>0</v>
      </c>
      <c r="G99" s="67">
        <f ca="1" t="shared" si="17"/>
        <v>13.9430065359477</v>
      </c>
      <c r="H99" s="67" cm="1">
        <f ca="1" t="array" ref="H99">MIN(30-SUM(I99:L99),_xlfn.XLOOKUP($D99&amp;"_"&amp;H$61,$B$23:$B$45&amp;"_"&amp;$C$23:$C$45,$D$23:$D$45)*$E99,18)</f>
        <v>13.1348014077426</v>
      </c>
      <c r="I99" s="67" cm="1">
        <f ca="1" t="array" ref="I99">MIN(30-SUM(J99:L99),6-L99,_xlfn.XLOOKUP($D99&amp;"_"&amp;I$61,$B$23:$B$45&amp;"_"&amp;$C$23:$C$45,$D$23:$D$45)*$E99)</f>
        <v>1.35565610859728</v>
      </c>
      <c r="J99" s="67" cm="1">
        <f ca="1" t="array" ref="J99">MIN(8,_xlfn.XLOOKUP($D99&amp;"_"&amp;J$61,$B$23:$B$45&amp;"_"&amp;$C$23:$C$45,$D$23:$D$45)*$E99)</f>
        <v>0.881176470588234</v>
      </c>
      <c r="K99" s="67" cm="1">
        <f ca="1" t="array" ref="K99">MIN(18,_xlfn.XLOOKUP($D99&amp;"_"&amp;K$61,$B$23:$B$45&amp;"_"&amp;$C$23:$C$45,$D$23:$D$45)*$E99)</f>
        <v>0.274143790849673</v>
      </c>
      <c r="L99" s="67" cm="1">
        <f ca="1" t="array" ref="L99">MIN(6,_xlfn.XLOOKUP($D99&amp;"_"&amp;L$61,$B$23:$B$45&amp;"_"&amp;$C$23:$C$45,$D$23:$D$45)*$E99)</f>
        <v>0.41121568627451</v>
      </c>
      <c r="M99" s="67" cm="1">
        <f ca="1" t="array" ref="M99">(1+SUMPRODUCT(G99:H99,OFFSET($H$49:$I$49,D99,0)))*(1+OFFSET($J$49,D99,0))^I99*(1+OFFSET($K$49,D99,0))^J99*(1+OFFSET($L$49,D99,0))^K99*(1+OFFSET($M$49,D99,0))^L99</f>
        <v>10.7943946224512</v>
      </c>
      <c r="N99" s="67">
        <f ca="1">MAX(MAX($N$62:N98),OFFSET($C$61,MATCH(M99*1.07,$M$62:$M$2061,1),0)-C99)</f>
        <v>2520</v>
      </c>
    </row>
    <row r="100" spans="2:14">
      <c r="B100" s="67">
        <v>39</v>
      </c>
      <c r="C100" s="67">
        <f t="shared" si="18"/>
        <v>14040</v>
      </c>
      <c r="D100" s="67">
        <f t="shared" si="14"/>
        <v>5</v>
      </c>
      <c r="E100" s="67">
        <f ca="1" t="shared" si="15"/>
        <v>69</v>
      </c>
      <c r="F100" s="67">
        <f ca="1" t="shared" si="16"/>
        <v>0</v>
      </c>
      <c r="G100" s="67">
        <f ca="1" t="shared" si="17"/>
        <v>13.7068742791234</v>
      </c>
      <c r="H100" s="67" cm="1">
        <f ca="1" t="array" ref="H100">MIN(30-SUM(I100:L100),_xlfn.XLOOKUP($D100&amp;"_"&amp;H$61,$B$23:$B$45&amp;"_"&amp;$C$23:$C$45,$D$23:$D$45)*$E100,18)</f>
        <v>13.3279602519741</v>
      </c>
      <c r="I100" s="67" cm="1">
        <f ca="1" t="array" ref="I100">MIN(30-SUM(J100:L100),6-L100,_xlfn.XLOOKUP($D100&amp;"_"&amp;I$61,$B$23:$B$45&amp;"_"&amp;$C$23:$C$45,$D$23:$D$45)*$E100)</f>
        <v>1.37559222784136</v>
      </c>
      <c r="J100" s="67" cm="1">
        <f ca="1" t="array" ref="J100">MIN(8,_xlfn.XLOOKUP($D100&amp;"_"&amp;J$61,$B$23:$B$45&amp;"_"&amp;$C$23:$C$45,$D$23:$D$45)*$E100)</f>
        <v>0.894134948096884</v>
      </c>
      <c r="K100" s="67" cm="1">
        <f ca="1" t="array" ref="K100">MIN(18,_xlfn.XLOOKUP($D100&amp;"_"&amp;K$61,$B$23:$B$45&amp;"_"&amp;$C$23:$C$45,$D$23:$D$45)*$E100)</f>
        <v>0.278175317185698</v>
      </c>
      <c r="L100" s="67" cm="1">
        <f ca="1" t="array" ref="L100">MIN(6,_xlfn.XLOOKUP($D100&amp;"_"&amp;L$61,$B$23:$B$45&amp;"_"&amp;$C$23:$C$45,$D$23:$D$45)*$E100)</f>
        <v>0.417262975778547</v>
      </c>
      <c r="M100" s="67" cm="1">
        <f ca="1" t="array" ref="M100">(1+SUMPRODUCT(G100:H100,OFFSET($H$49:$I$49,D100,0)))*(1+OFFSET($J$49,D100,0))^I100*(1+OFFSET($K$49,D100,0))^J100*(1+OFFSET($L$49,D100,0))^K100*(1+OFFSET($M$49,D100,0))^L100</f>
        <v>10.9290887929999</v>
      </c>
      <c r="N100" s="67">
        <f ca="1">MAX(MAX($N$62:N99),OFFSET($C$61,MATCH(M100*1.07,$M$62:$M$2061,1),0)-C100)</f>
        <v>2520</v>
      </c>
    </row>
    <row r="101" spans="2:14">
      <c r="B101" s="67">
        <v>40</v>
      </c>
      <c r="C101" s="67">
        <f t="shared" si="18"/>
        <v>14400</v>
      </c>
      <c r="D101" s="67">
        <f t="shared" si="14"/>
        <v>5</v>
      </c>
      <c r="E101" s="67">
        <f ca="1" t="shared" si="15"/>
        <v>70</v>
      </c>
      <c r="F101" s="67">
        <f ca="1" t="shared" si="16"/>
        <v>0</v>
      </c>
      <c r="G101" s="67">
        <f ca="1" t="shared" si="17"/>
        <v>13.4707420222991</v>
      </c>
      <c r="H101" s="67" cm="1">
        <f ca="1" t="array" ref="H101">MIN(30-SUM(I101:L101),_xlfn.XLOOKUP($D101&amp;"_"&amp;H$61,$B$23:$B$45&amp;"_"&amp;$C$23:$C$45,$D$23:$D$45)*$E101,18)</f>
        <v>13.5211190962056</v>
      </c>
      <c r="I101" s="67" cm="1">
        <f ca="1" t="array" ref="I101">MIN(30-SUM(J101:L101),6-L101,_xlfn.XLOOKUP($D101&amp;"_"&amp;I$61,$B$23:$B$45&amp;"_"&amp;$C$23:$C$45,$D$23:$D$45)*$E101)</f>
        <v>1.39552834708544</v>
      </c>
      <c r="J101" s="67" cm="1">
        <f ca="1" t="array" ref="J101">MIN(8,_xlfn.XLOOKUP($D101&amp;"_"&amp;J$61,$B$23:$B$45&amp;"_"&amp;$C$23:$C$45,$D$23:$D$45)*$E101)</f>
        <v>0.907093425605535</v>
      </c>
      <c r="K101" s="67" cm="1">
        <f ca="1" t="array" ref="K101">MIN(18,_xlfn.XLOOKUP($D101&amp;"_"&amp;K$61,$B$23:$B$45&amp;"_"&amp;$C$23:$C$45,$D$23:$D$45)*$E101)</f>
        <v>0.282206843521723</v>
      </c>
      <c r="L101" s="67" cm="1">
        <f ca="1" t="array" ref="L101">MIN(6,_xlfn.XLOOKUP($D101&amp;"_"&amp;L$61,$B$23:$B$45&amp;"_"&amp;$C$23:$C$45,$D$23:$D$45)*$E101)</f>
        <v>0.423310265282584</v>
      </c>
      <c r="M101" s="67" cm="1">
        <f ca="1" t="array" ref="M101">(1+SUMPRODUCT(G101:H101,OFFSET($H$49:$I$49,D101,0)))*(1+OFFSET($J$49,D101,0))^I101*(1+OFFSET($K$49,D101,0))^J101*(1+OFFSET($L$49,D101,0))^K101*(1+OFFSET($M$49,D101,0))^L101</f>
        <v>11.0654221038297</v>
      </c>
      <c r="N101" s="67">
        <f ca="1">MAX(MAX($N$62:N100),OFFSET($C$61,MATCH(M101*1.07,$M$62:$M$2061,1),0)-C101)</f>
        <v>2520</v>
      </c>
    </row>
    <row r="102" spans="2:14">
      <c r="B102" s="67">
        <v>41</v>
      </c>
      <c r="C102" s="67">
        <f t="shared" si="18"/>
        <v>14760</v>
      </c>
      <c r="D102" s="67">
        <f t="shared" si="14"/>
        <v>5</v>
      </c>
      <c r="E102" s="67">
        <f ca="1" t="shared" si="15"/>
        <v>71</v>
      </c>
      <c r="F102" s="67">
        <f ca="1" t="shared" si="16"/>
        <v>0</v>
      </c>
      <c r="G102" s="67">
        <f ca="1" t="shared" si="17"/>
        <v>13.2346097654748</v>
      </c>
      <c r="H102" s="67" cm="1">
        <f ca="1" t="array" ref="H102">MIN(30-SUM(I102:L102),_xlfn.XLOOKUP($D102&amp;"_"&amp;H$61,$B$23:$B$45&amp;"_"&amp;$C$23:$C$45,$D$23:$D$45)*$E102,18)</f>
        <v>13.7142779404371</v>
      </c>
      <c r="I102" s="67" cm="1">
        <f ca="1" t="array" ref="I102">MIN(30-SUM(J102:L102),6-L102,_xlfn.XLOOKUP($D102&amp;"_"&amp;I$61,$B$23:$B$45&amp;"_"&amp;$C$23:$C$45,$D$23:$D$45)*$E102)</f>
        <v>1.41546446632952</v>
      </c>
      <c r="J102" s="67" cm="1">
        <f ca="1" t="array" ref="J102">MIN(8,_xlfn.XLOOKUP($D102&amp;"_"&amp;J$61,$B$23:$B$45&amp;"_"&amp;$C$23:$C$45,$D$23:$D$45)*$E102)</f>
        <v>0.920051903114185</v>
      </c>
      <c r="K102" s="67" cm="1">
        <f ca="1" t="array" ref="K102">MIN(18,_xlfn.XLOOKUP($D102&amp;"_"&amp;K$61,$B$23:$B$45&amp;"_"&amp;$C$23:$C$45,$D$23:$D$45)*$E102)</f>
        <v>0.286238369857747</v>
      </c>
      <c r="L102" s="67" cm="1">
        <f ca="1" t="array" ref="L102">MIN(6,_xlfn.XLOOKUP($D102&amp;"_"&amp;L$61,$B$23:$B$45&amp;"_"&amp;$C$23:$C$45,$D$23:$D$45)*$E102)</f>
        <v>0.429357554786621</v>
      </c>
      <c r="M102" s="67" cm="1">
        <f ca="1" t="array" ref="M102">(1+SUMPRODUCT(G102:H102,OFFSET($H$49:$I$49,D102,0)))*(1+OFFSET($J$49,D102,0))^I102*(1+OFFSET($K$49,D102,0))^J102*(1+OFFSET($L$49,D102,0))^K102*(1+OFFSET($M$49,D102,0))^L102</f>
        <v>11.2034141336383</v>
      </c>
      <c r="N102" s="67">
        <f ca="1">MAX(MAX($N$62:N101),OFFSET($C$61,MATCH(M102*1.07,$M$62:$M$2061,1),0)-C102)</f>
        <v>2520</v>
      </c>
    </row>
    <row r="103" spans="2:14">
      <c r="B103" s="67">
        <v>42</v>
      </c>
      <c r="C103" s="67">
        <f t="shared" si="18"/>
        <v>15120</v>
      </c>
      <c r="D103" s="67">
        <f t="shared" si="14"/>
        <v>5</v>
      </c>
      <c r="E103" s="67">
        <f ca="1" t="shared" si="15"/>
        <v>72</v>
      </c>
      <c r="F103" s="67">
        <f ca="1" t="shared" si="16"/>
        <v>0</v>
      </c>
      <c r="G103" s="67">
        <f ca="1" t="shared" si="17"/>
        <v>12.9984775086505</v>
      </c>
      <c r="H103" s="67" cm="1">
        <f ca="1" t="array" ref="H103">MIN(30-SUM(I103:L103),_xlfn.XLOOKUP($D103&amp;"_"&amp;H$61,$B$23:$B$45&amp;"_"&amp;$C$23:$C$45,$D$23:$D$45)*$E103,18)</f>
        <v>13.9074367846686</v>
      </c>
      <c r="I103" s="67" cm="1">
        <f ca="1" t="array" ref="I103">MIN(30-SUM(J103:L103),6-L103,_xlfn.XLOOKUP($D103&amp;"_"&amp;I$61,$B$23:$B$45&amp;"_"&amp;$C$23:$C$45,$D$23:$D$45)*$E103)</f>
        <v>1.43540058557359</v>
      </c>
      <c r="J103" s="67" cm="1">
        <f ca="1" t="array" ref="J103">MIN(8,_xlfn.XLOOKUP($D103&amp;"_"&amp;J$61,$B$23:$B$45&amp;"_"&amp;$C$23:$C$45,$D$23:$D$45)*$E103)</f>
        <v>0.933010380622836</v>
      </c>
      <c r="K103" s="67" cm="1">
        <f ca="1" t="array" ref="K103">MIN(18,_xlfn.XLOOKUP($D103&amp;"_"&amp;K$61,$B$23:$B$45&amp;"_"&amp;$C$23:$C$45,$D$23:$D$45)*$E103)</f>
        <v>0.290269896193772</v>
      </c>
      <c r="L103" s="67" cm="1">
        <f ca="1" t="array" ref="L103">MIN(6,_xlfn.XLOOKUP($D103&amp;"_"&amp;L$61,$B$23:$B$45&amp;"_"&amp;$C$23:$C$45,$D$23:$D$45)*$E103)</f>
        <v>0.435404844290658</v>
      </c>
      <c r="M103" s="67" cm="1">
        <f ca="1" t="array" ref="M103">(1+SUMPRODUCT(G103:H103,OFFSET($H$49:$I$49,D103,0)))*(1+OFFSET($J$49,D103,0))^I103*(1+OFFSET($K$49,D103,0))^J103*(1+OFFSET($L$49,D103,0))^K103*(1+OFFSET($M$49,D103,0))^L103</f>
        <v>11.3430846916322</v>
      </c>
      <c r="N103" s="67">
        <f ca="1">MAX(MAX($N$62:N102),OFFSET($C$61,MATCH(M103*1.07,$M$62:$M$2061,1),0)-C103)</f>
        <v>2520</v>
      </c>
    </row>
    <row r="104" spans="2:14">
      <c r="B104" s="67">
        <v>43</v>
      </c>
      <c r="C104" s="67">
        <f t="shared" si="18"/>
        <v>15480</v>
      </c>
      <c r="D104" s="67">
        <f t="shared" si="14"/>
        <v>5</v>
      </c>
      <c r="E104" s="67">
        <f ca="1" t="shared" si="15"/>
        <v>73</v>
      </c>
      <c r="F104" s="67">
        <f ca="1" t="shared" si="16"/>
        <v>0</v>
      </c>
      <c r="G104" s="67">
        <f ca="1" t="shared" si="17"/>
        <v>12.7623452518262</v>
      </c>
      <c r="H104" s="67" cm="1">
        <f ca="1" t="array" ref="H104">MIN(30-SUM(I104:L104),_xlfn.XLOOKUP($D104&amp;"_"&amp;H$61,$B$23:$B$45&amp;"_"&amp;$C$23:$C$45,$D$23:$D$45)*$E104,18)</f>
        <v>14.1005956289002</v>
      </c>
      <c r="I104" s="67" cm="1">
        <f ca="1" t="array" ref="I104">MIN(30-SUM(J104:L104),6-L104,_xlfn.XLOOKUP($D104&amp;"_"&amp;I$61,$B$23:$B$45&amp;"_"&amp;$C$23:$C$45,$D$23:$D$45)*$E104)</f>
        <v>1.45533670481767</v>
      </c>
      <c r="J104" s="67" cm="1">
        <f ca="1" t="array" ref="J104">MIN(8,_xlfn.XLOOKUP($D104&amp;"_"&amp;J$61,$B$23:$B$45&amp;"_"&amp;$C$23:$C$45,$D$23:$D$45)*$E104)</f>
        <v>0.945968858131486</v>
      </c>
      <c r="K104" s="67" cm="1">
        <f ca="1" t="array" ref="K104">MIN(18,_xlfn.XLOOKUP($D104&amp;"_"&amp;K$61,$B$23:$B$45&amp;"_"&amp;$C$23:$C$45,$D$23:$D$45)*$E104)</f>
        <v>0.294301422529797</v>
      </c>
      <c r="L104" s="67" cm="1">
        <f ca="1" t="array" ref="L104">MIN(6,_xlfn.XLOOKUP($D104&amp;"_"&amp;L$61,$B$23:$B$45&amp;"_"&amp;$C$23:$C$45,$D$23:$D$45)*$E104)</f>
        <v>0.441452133794694</v>
      </c>
      <c r="M104" s="67" cm="1">
        <f ca="1" t="array" ref="M104">(1+SUMPRODUCT(G104:H104,OFFSET($H$49:$I$49,D104,0)))*(1+OFFSET($J$49,D104,0))^I104*(1+OFFSET($K$49,D104,0))^J104*(1+OFFSET($L$49,D104,0))^K104*(1+OFFSET($M$49,D104,0))^L104</f>
        <v>11.4844538202095</v>
      </c>
      <c r="N104" s="67">
        <f ca="1">MAX(MAX($N$62:N103),OFFSET($C$61,MATCH(M104*1.07,$M$62:$M$2061,1),0)-C104)</f>
        <v>2520</v>
      </c>
    </row>
    <row r="105" spans="2:14">
      <c r="B105" s="67">
        <v>44</v>
      </c>
      <c r="C105" s="67">
        <f t="shared" si="18"/>
        <v>15840</v>
      </c>
      <c r="D105" s="67">
        <f t="shared" si="14"/>
        <v>5</v>
      </c>
      <c r="E105" s="67">
        <f ca="1" t="shared" si="15"/>
        <v>74</v>
      </c>
      <c r="F105" s="67">
        <f ca="1" t="shared" si="16"/>
        <v>0</v>
      </c>
      <c r="G105" s="67">
        <f ca="1" t="shared" si="17"/>
        <v>12.5262129950019</v>
      </c>
      <c r="H105" s="67" cm="1">
        <f ca="1" t="array" ref="H105">MIN(30-SUM(I105:L105),_xlfn.XLOOKUP($D105&amp;"_"&amp;H$61,$B$23:$B$45&amp;"_"&amp;$C$23:$C$45,$D$23:$D$45)*$E105,18)</f>
        <v>14.2937544731317</v>
      </c>
      <c r="I105" s="67" cm="1">
        <f ca="1" t="array" ref="I105">MIN(30-SUM(J105:L105),6-L105,_xlfn.XLOOKUP($D105&amp;"_"&amp;I$61,$B$23:$B$45&amp;"_"&amp;$C$23:$C$45,$D$23:$D$45)*$E105)</f>
        <v>1.47527282406175</v>
      </c>
      <c r="J105" s="67" cm="1">
        <f ca="1" t="array" ref="J105">MIN(8,_xlfn.XLOOKUP($D105&amp;"_"&amp;J$61,$B$23:$B$45&amp;"_"&amp;$C$23:$C$45,$D$23:$D$45)*$E105)</f>
        <v>0.958927335640137</v>
      </c>
      <c r="K105" s="67" cm="1">
        <f ca="1" t="array" ref="K105">MIN(18,_xlfn.XLOOKUP($D105&amp;"_"&amp;K$61,$B$23:$B$45&amp;"_"&amp;$C$23:$C$45,$D$23:$D$45)*$E105)</f>
        <v>0.298332948865821</v>
      </c>
      <c r="L105" s="67" cm="1">
        <f ca="1" t="array" ref="L105">MIN(6,_xlfn.XLOOKUP($D105&amp;"_"&amp;L$61,$B$23:$B$45&amp;"_"&amp;$C$23:$C$45,$D$23:$D$45)*$E105)</f>
        <v>0.447499423298731</v>
      </c>
      <c r="M105" s="67" cm="1">
        <f ca="1" t="array" ref="M105">(1+SUMPRODUCT(G105:H105,OFFSET($H$49:$I$49,D105,0)))*(1+OFFSET($J$49,D105,0))^I105*(1+OFFSET($K$49,D105,0))^J105*(1+OFFSET($L$49,D105,0))^K105*(1+OFFSET($M$49,D105,0))^L105</f>
        <v>11.6275417976739</v>
      </c>
      <c r="N105" s="67">
        <f ca="1">MAX(MAX($N$62:N104),OFFSET($C$61,MATCH(M105*1.07,$M$62:$M$2061,1),0)-C105)</f>
        <v>2520</v>
      </c>
    </row>
    <row r="106" spans="2:14">
      <c r="B106" s="67">
        <v>45</v>
      </c>
      <c r="C106" s="67">
        <f t="shared" si="18"/>
        <v>16200</v>
      </c>
      <c r="D106" s="67">
        <f t="shared" si="14"/>
        <v>5</v>
      </c>
      <c r="E106" s="67">
        <f ca="1" t="shared" si="15"/>
        <v>75</v>
      </c>
      <c r="F106" s="67">
        <f ca="1" t="shared" si="16"/>
        <v>0</v>
      </c>
      <c r="G106" s="67">
        <f ca="1" t="shared" si="17"/>
        <v>12.2900807381776</v>
      </c>
      <c r="H106" s="67" cm="1">
        <f ca="1" t="array" ref="H106">MIN(30-SUM(I106:L106),_xlfn.XLOOKUP($D106&amp;"_"&amp;H$61,$B$23:$B$45&amp;"_"&amp;$C$23:$C$45,$D$23:$D$45)*$E106,18)</f>
        <v>14.4869133173632</v>
      </c>
      <c r="I106" s="67" cm="1">
        <f ca="1" t="array" ref="I106">MIN(30-SUM(J106:L106),6-L106,_xlfn.XLOOKUP($D106&amp;"_"&amp;I$61,$B$23:$B$45&amp;"_"&amp;$C$23:$C$45,$D$23:$D$45)*$E106)</f>
        <v>1.49520894330583</v>
      </c>
      <c r="J106" s="67" cm="1">
        <f ca="1" t="array" ref="J106">MIN(8,_xlfn.XLOOKUP($D106&amp;"_"&amp;J$61,$B$23:$B$45&amp;"_"&amp;$C$23:$C$45,$D$23:$D$45)*$E106)</f>
        <v>0.971885813148788</v>
      </c>
      <c r="K106" s="67" cm="1">
        <f ca="1" t="array" ref="K106">MIN(18,_xlfn.XLOOKUP($D106&amp;"_"&amp;K$61,$B$23:$B$45&amp;"_"&amp;$C$23:$C$45,$D$23:$D$45)*$E106)</f>
        <v>0.302364475201846</v>
      </c>
      <c r="L106" s="67" cm="1">
        <f ca="1" t="array" ref="L106">MIN(6,_xlfn.XLOOKUP($D106&amp;"_"&amp;L$61,$B$23:$B$45&amp;"_"&amp;$C$23:$C$45,$D$23:$D$45)*$E106)</f>
        <v>0.453546712802768</v>
      </c>
      <c r="M106" s="67" cm="1">
        <f ca="1" t="array" ref="M106">(1+SUMPRODUCT(G106:H106,OFFSET($H$49:$I$49,D106,0)))*(1+OFFSET($J$49,D106,0))^I106*(1+OFFSET($K$49,D106,0))^J106*(1+OFFSET($L$49,D106,0))^K106*(1+OFFSET($M$49,D106,0))^L106</f>
        <v>11.7723691409798</v>
      </c>
      <c r="N106" s="67">
        <f ca="1">MAX(MAX($N$62:N105),OFFSET($C$61,MATCH(M106*1.07,$M$62:$M$2061,1),0)-C106)</f>
        <v>2520</v>
      </c>
    </row>
    <row r="107" spans="2:14">
      <c r="B107" s="67">
        <v>46</v>
      </c>
      <c r="C107" s="67">
        <f t="shared" si="18"/>
        <v>16560</v>
      </c>
      <c r="D107" s="67">
        <f t="shared" si="14"/>
        <v>5</v>
      </c>
      <c r="E107" s="67">
        <f ca="1" t="shared" si="15"/>
        <v>76</v>
      </c>
      <c r="F107" s="67">
        <f ca="1" t="shared" si="16"/>
        <v>0</v>
      </c>
      <c r="G107" s="67">
        <f ca="1" t="shared" si="17"/>
        <v>12.0539484813533</v>
      </c>
      <c r="H107" s="67" cm="1">
        <f ca="1" t="array" ref="H107">MIN(30-SUM(I107:L107),_xlfn.XLOOKUP($D107&amp;"_"&amp;H$61,$B$23:$B$45&amp;"_"&amp;$C$23:$C$45,$D$23:$D$45)*$E107,18)</f>
        <v>14.6800721615947</v>
      </c>
      <c r="I107" s="67" cm="1">
        <f ca="1" t="array" ref="I107">MIN(30-SUM(J107:L107),6-L107,_xlfn.XLOOKUP($D107&amp;"_"&amp;I$61,$B$23:$B$45&amp;"_"&amp;$C$23:$C$45,$D$23:$D$45)*$E107)</f>
        <v>1.51514506254991</v>
      </c>
      <c r="J107" s="67" cm="1">
        <f ca="1" t="array" ref="J107">MIN(8,_xlfn.XLOOKUP($D107&amp;"_"&amp;J$61,$B$23:$B$45&amp;"_"&amp;$C$23:$C$45,$D$23:$D$45)*$E107)</f>
        <v>0.984844290657438</v>
      </c>
      <c r="K107" s="67" cm="1">
        <f ca="1" t="array" ref="K107">MIN(18,_xlfn.XLOOKUP($D107&amp;"_"&amp;K$61,$B$23:$B$45&amp;"_"&amp;$C$23:$C$45,$D$23:$D$45)*$E107)</f>
        <v>0.30639600153787</v>
      </c>
      <c r="L107" s="67" cm="1">
        <f ca="1" t="array" ref="L107">MIN(6,_xlfn.XLOOKUP($D107&amp;"_"&amp;L$61,$B$23:$B$45&amp;"_"&amp;$C$23:$C$45,$D$23:$D$45)*$E107)</f>
        <v>0.459594002306805</v>
      </c>
      <c r="M107" s="67" cm="1">
        <f ca="1" t="array" ref="M107">(1+SUMPRODUCT(G107:H107,OFFSET($H$49:$I$49,D107,0)))*(1+OFFSET($J$49,D107,0))^I107*(1+OFFSET($K$49,D107,0))^J107*(1+OFFSET($L$49,D107,0))^K107*(1+OFFSET($M$49,D107,0))^L107</f>
        <v>11.9189566085089</v>
      </c>
      <c r="N107" s="67">
        <f ca="1">MAX(MAX($N$62:N106),OFFSET($C$61,MATCH(M107*1.07,$M$62:$M$2061,1),0)-C107)</f>
        <v>2520</v>
      </c>
    </row>
    <row r="108" spans="2:14">
      <c r="B108" s="67">
        <v>47</v>
      </c>
      <c r="C108" s="67">
        <f t="shared" si="18"/>
        <v>16920</v>
      </c>
      <c r="D108" s="67">
        <f t="shared" si="14"/>
        <v>5</v>
      </c>
      <c r="E108" s="67">
        <f ca="1" t="shared" si="15"/>
        <v>77</v>
      </c>
      <c r="F108" s="67">
        <f ca="1" t="shared" si="16"/>
        <v>0</v>
      </c>
      <c r="G108" s="67">
        <f ca="1" t="shared" si="17"/>
        <v>11.817816224529</v>
      </c>
      <c r="H108" s="67" cm="1">
        <f ca="1" t="array" ref="H108">MIN(30-SUM(I108:L108),_xlfn.XLOOKUP($D108&amp;"_"&amp;H$61,$B$23:$B$45&amp;"_"&amp;$C$23:$C$45,$D$23:$D$45)*$E108,18)</f>
        <v>14.8732310058262</v>
      </c>
      <c r="I108" s="67" cm="1">
        <f ca="1" t="array" ref="I108">MIN(30-SUM(J108:L108),6-L108,_xlfn.XLOOKUP($D108&amp;"_"&amp;I$61,$B$23:$B$45&amp;"_"&amp;$C$23:$C$45,$D$23:$D$45)*$E108)</f>
        <v>1.53508118179398</v>
      </c>
      <c r="J108" s="67" cm="1">
        <f ca="1" t="array" ref="J108">MIN(8,_xlfn.XLOOKUP($D108&amp;"_"&amp;J$61,$B$23:$B$45&amp;"_"&amp;$C$23:$C$45,$D$23:$D$45)*$E108)</f>
        <v>0.997802768166088</v>
      </c>
      <c r="K108" s="67" cm="1">
        <f ca="1" t="array" ref="K108">MIN(18,_xlfn.XLOOKUP($D108&amp;"_"&amp;K$61,$B$23:$B$45&amp;"_"&amp;$C$23:$C$45,$D$23:$D$45)*$E108)</f>
        <v>0.310427527873895</v>
      </c>
      <c r="L108" s="67" cm="1">
        <f ca="1" t="array" ref="L108">MIN(6,_xlfn.XLOOKUP($D108&amp;"_"&amp;L$61,$B$23:$B$45&amp;"_"&amp;$C$23:$C$45,$D$23:$D$45)*$E108)</f>
        <v>0.465641291810842</v>
      </c>
      <c r="M108" s="67" cm="1">
        <f ca="1" t="array" ref="M108">(1+SUMPRODUCT(G108:H108,OFFSET($H$49:$I$49,D108,0)))*(1+OFFSET($J$49,D108,0))^I108*(1+OFFSET($K$49,D108,0))^J108*(1+OFFSET($L$49,D108,0))^K108*(1+OFFSET($M$49,D108,0))^L108</f>
        <v>12.0673252028791</v>
      </c>
      <c r="N108" s="67">
        <f ca="1">MAX(MAX($N$62:N107),OFFSET($C$61,MATCH(M108*1.07,$M$62:$M$2061,1),0)-C108)</f>
        <v>2520</v>
      </c>
    </row>
    <row r="109" spans="2:14">
      <c r="B109" s="67">
        <v>48</v>
      </c>
      <c r="C109" s="67">
        <f t="shared" si="18"/>
        <v>17280</v>
      </c>
      <c r="D109" s="67">
        <f t="shared" si="14"/>
        <v>5</v>
      </c>
      <c r="E109" s="67">
        <f ca="1" t="shared" si="15"/>
        <v>78</v>
      </c>
      <c r="F109" s="67">
        <f ca="1" t="shared" si="16"/>
        <v>0</v>
      </c>
      <c r="G109" s="67">
        <f ca="1" t="shared" si="17"/>
        <v>11.5816839677047</v>
      </c>
      <c r="H109" s="67" cm="1">
        <f ca="1" t="array" ref="H109">MIN(30-SUM(I109:L109),_xlfn.XLOOKUP($D109&amp;"_"&amp;H$61,$B$23:$B$45&amp;"_"&amp;$C$23:$C$45,$D$23:$D$45)*$E109,18)</f>
        <v>15.0663898500577</v>
      </c>
      <c r="I109" s="67" cm="1">
        <f ca="1" t="array" ref="I109">MIN(30-SUM(J109:L109),6-L109,_xlfn.XLOOKUP($D109&amp;"_"&amp;I$61,$B$23:$B$45&amp;"_"&amp;$C$23:$C$45,$D$23:$D$45)*$E109)</f>
        <v>1.55501730103806</v>
      </c>
      <c r="J109" s="67" cm="1">
        <f ca="1" t="array" ref="J109">MIN(8,_xlfn.XLOOKUP($D109&amp;"_"&amp;J$61,$B$23:$B$45&amp;"_"&amp;$C$23:$C$45,$D$23:$D$45)*$E109)</f>
        <v>1.01076124567474</v>
      </c>
      <c r="K109" s="67" cm="1">
        <f ca="1" t="array" ref="K109">MIN(18,_xlfn.XLOOKUP($D109&amp;"_"&amp;K$61,$B$23:$B$45&amp;"_"&amp;$C$23:$C$45,$D$23:$D$45)*$E109)</f>
        <v>0.31445905420992</v>
      </c>
      <c r="L109" s="67" cm="1">
        <f ca="1" t="array" ref="L109">MIN(6,_xlfn.XLOOKUP($D109&amp;"_"&amp;L$61,$B$23:$B$45&amp;"_"&amp;$C$23:$C$45,$D$23:$D$45)*$E109)</f>
        <v>0.471688581314879</v>
      </c>
      <c r="M109" s="67" cm="1">
        <f ca="1" t="array" ref="M109">(1+SUMPRODUCT(G109:H109,OFFSET($H$49:$I$49,D109,0)))*(1+OFFSET($J$49,D109,0))^I109*(1+OFFSET($K$49,D109,0))^J109*(1+OFFSET($L$49,D109,0))^K109*(1+OFFSET($M$49,D109,0))^L109</f>
        <v>12.2174961737856</v>
      </c>
      <c r="N109" s="67">
        <f ca="1">MAX(MAX($N$62:N108),OFFSET($C$61,MATCH(M109*1.07,$M$62:$M$2061,1),0)-C109)</f>
        <v>2520</v>
      </c>
    </row>
    <row r="110" spans="2:14">
      <c r="B110" s="67">
        <v>49</v>
      </c>
      <c r="C110" s="67">
        <f t="shared" si="18"/>
        <v>17640</v>
      </c>
      <c r="D110" s="67">
        <f t="shared" si="14"/>
        <v>5</v>
      </c>
      <c r="E110" s="67">
        <f ca="1" t="shared" si="15"/>
        <v>79</v>
      </c>
      <c r="F110" s="67">
        <f ca="1" t="shared" si="16"/>
        <v>0</v>
      </c>
      <c r="G110" s="67">
        <f ca="1" t="shared" si="17"/>
        <v>11.3455517108804</v>
      </c>
      <c r="H110" s="67" cm="1">
        <f ca="1" t="array" ref="H110">MIN(30-SUM(I110:L110),_xlfn.XLOOKUP($D110&amp;"_"&amp;H$61,$B$23:$B$45&amp;"_"&amp;$C$23:$C$45,$D$23:$D$45)*$E110,18)</f>
        <v>15.2595486942892</v>
      </c>
      <c r="I110" s="67" cm="1">
        <f ca="1" t="array" ref="I110">MIN(30-SUM(J110:L110),6-L110,_xlfn.XLOOKUP($D110&amp;"_"&amp;I$61,$B$23:$B$45&amp;"_"&amp;$C$23:$C$45,$D$23:$D$45)*$E110)</f>
        <v>1.57495342028214</v>
      </c>
      <c r="J110" s="67" cm="1">
        <f ca="1" t="array" ref="J110">MIN(8,_xlfn.XLOOKUP($D110&amp;"_"&amp;J$61,$B$23:$B$45&amp;"_"&amp;$C$23:$C$45,$D$23:$D$45)*$E110)</f>
        <v>1.02371972318339</v>
      </c>
      <c r="K110" s="67" cm="1">
        <f ca="1" t="array" ref="K110">MIN(18,_xlfn.XLOOKUP($D110&amp;"_"&amp;K$61,$B$23:$B$45&amp;"_"&amp;$C$23:$C$45,$D$23:$D$45)*$E110)</f>
        <v>0.318490580545944</v>
      </c>
      <c r="L110" s="67" cm="1">
        <f ca="1" t="array" ref="L110">MIN(6,_xlfn.XLOOKUP($D110&amp;"_"&amp;L$61,$B$23:$B$45&amp;"_"&amp;$C$23:$C$45,$D$23:$D$45)*$E110)</f>
        <v>0.477735870818916</v>
      </c>
      <c r="M110" s="67" cm="1">
        <f ca="1" t="array" ref="M110">(1+SUMPRODUCT(G110:H110,OFFSET($H$49:$I$49,D110,0)))*(1+OFFSET($J$49,D110,0))^I110*(1+OFFSET($K$49,D110,0))^J110*(1+OFFSET($L$49,D110,0))^K110*(1+OFFSET($M$49,D110,0))^L110</f>
        <v>12.3694910208748</v>
      </c>
      <c r="N110" s="67">
        <f ca="1">MAX(MAX($N$62:N109),OFFSET($C$61,MATCH(M110*1.07,$M$62:$M$2061,1),0)-C110)</f>
        <v>2520</v>
      </c>
    </row>
    <row r="111" spans="2:14">
      <c r="B111" s="67">
        <v>50</v>
      </c>
      <c r="C111" s="67">
        <f t="shared" si="18"/>
        <v>18000</v>
      </c>
      <c r="D111" s="67">
        <f t="shared" si="14"/>
        <v>5</v>
      </c>
      <c r="E111" s="67">
        <f ca="1" t="shared" si="15"/>
        <v>80</v>
      </c>
      <c r="F111" s="67">
        <f ca="1" t="shared" si="16"/>
        <v>0</v>
      </c>
      <c r="G111" s="67">
        <f ca="1" t="shared" si="17"/>
        <v>11.1094194540561</v>
      </c>
      <c r="H111" s="67" cm="1">
        <f ca="1" t="array" ref="H111">MIN(30-SUM(I111:L111),_xlfn.XLOOKUP($D111&amp;"_"&amp;H$61,$B$23:$B$45&amp;"_"&amp;$C$23:$C$45,$D$23:$D$45)*$E111,18)</f>
        <v>15.4527075385207</v>
      </c>
      <c r="I111" s="67" cm="1">
        <f ca="1" t="array" ref="I111">MIN(30-SUM(J111:L111),6-L111,_xlfn.XLOOKUP($D111&amp;"_"&amp;I$61,$B$23:$B$45&amp;"_"&amp;$C$23:$C$45,$D$23:$D$45)*$E111)</f>
        <v>1.59488953952622</v>
      </c>
      <c r="J111" s="67" cm="1">
        <f ca="1" t="array" ref="J111">MIN(8,_xlfn.XLOOKUP($D111&amp;"_"&amp;J$61,$B$23:$B$45&amp;"_"&amp;$C$23:$C$45,$D$23:$D$45)*$E111)</f>
        <v>1.03667820069204</v>
      </c>
      <c r="K111" s="67" cm="1">
        <f ca="1" t="array" ref="K111">MIN(18,_xlfn.XLOOKUP($D111&amp;"_"&amp;K$61,$B$23:$B$45&amp;"_"&amp;$C$23:$C$45,$D$23:$D$45)*$E111)</f>
        <v>0.322522106881969</v>
      </c>
      <c r="L111" s="67" cm="1">
        <f ca="1" t="array" ref="L111">MIN(6,_xlfn.XLOOKUP($D111&amp;"_"&amp;L$61,$B$23:$B$45&amp;"_"&amp;$C$23:$C$45,$D$23:$D$45)*$E111)</f>
        <v>0.483783160322953</v>
      </c>
      <c r="M111" s="67" cm="1">
        <f ca="1" t="array" ref="M111">(1+SUMPRODUCT(G111:H111,OFFSET($H$49:$I$49,D111,0)))*(1+OFFSET($J$49,D111,0))^I111*(1+OFFSET($K$49,D111,0))^J111*(1+OFFSET($L$49,D111,0))^K111*(1+OFFSET($M$49,D111,0))^L111</f>
        <v>12.5233314966512</v>
      </c>
      <c r="N111" s="67">
        <f ca="1">MAX(MAX($N$62:N110),OFFSET($C$61,MATCH(M111*1.07,$M$62:$M$2061,1),0)-C111)</f>
        <v>2520</v>
      </c>
    </row>
    <row r="112" spans="2:14">
      <c r="B112" s="67">
        <v>51</v>
      </c>
      <c r="C112" s="67">
        <f t="shared" si="18"/>
        <v>18360</v>
      </c>
      <c r="D112" s="67">
        <f t="shared" si="14"/>
        <v>5</v>
      </c>
      <c r="E112" s="67">
        <f ca="1" t="shared" si="15"/>
        <v>81</v>
      </c>
      <c r="F112" s="67">
        <f ca="1" t="shared" si="16"/>
        <v>0</v>
      </c>
      <c r="G112" s="67">
        <f ca="1" t="shared" si="17"/>
        <v>10.8732871972318</v>
      </c>
      <c r="H112" s="67" cm="1">
        <f ca="1" t="array" ref="H112">MIN(30-SUM(I112:L112),_xlfn.XLOOKUP($D112&amp;"_"&amp;H$61,$B$23:$B$45&amp;"_"&amp;$C$23:$C$45,$D$23:$D$45)*$E112,18)</f>
        <v>15.6458663827522</v>
      </c>
      <c r="I112" s="67" cm="1">
        <f ca="1" t="array" ref="I112">MIN(30-SUM(J112:L112),6-L112,_xlfn.XLOOKUP($D112&amp;"_"&amp;I$61,$B$23:$B$45&amp;"_"&amp;$C$23:$C$45,$D$23:$D$45)*$E112)</f>
        <v>1.61482565877029</v>
      </c>
      <c r="J112" s="67" cm="1">
        <f ca="1" t="array" ref="J112">MIN(8,_xlfn.XLOOKUP($D112&amp;"_"&amp;J$61,$B$23:$B$45&amp;"_"&amp;$C$23:$C$45,$D$23:$D$45)*$E112)</f>
        <v>1.04963667820069</v>
      </c>
      <c r="K112" s="67" cm="1">
        <f ca="1" t="array" ref="K112">MIN(18,_xlfn.XLOOKUP($D112&amp;"_"&amp;K$61,$B$23:$B$45&amp;"_"&amp;$C$23:$C$45,$D$23:$D$45)*$E112)</f>
        <v>0.326553633217993</v>
      </c>
      <c r="L112" s="67" cm="1">
        <f ca="1" t="array" ref="L112">MIN(6,_xlfn.XLOOKUP($D112&amp;"_"&amp;L$61,$B$23:$B$45&amp;"_"&amp;$C$23:$C$45,$D$23:$D$45)*$E112)</f>
        <v>0.48983044982699</v>
      </c>
      <c r="M112" s="67" cm="1">
        <f ca="1" t="array" ref="M112">(1+SUMPRODUCT(G112:H112,OFFSET($H$49:$I$49,D112,0)))*(1+OFFSET($J$49,D112,0))^I112*(1+OFFSET($K$49,D112,0))^J112*(1+OFFSET($L$49,D112,0))^K112*(1+OFFSET($M$49,D112,0))^L112</f>
        <v>12.6790396094181</v>
      </c>
      <c r="N112" s="67">
        <f ca="1">MAX(MAX($N$62:N111),OFFSET($C$61,MATCH(M112*1.07,$M$62:$M$2061,1),0)-C112)</f>
        <v>2520</v>
      </c>
    </row>
    <row r="113" spans="2:14">
      <c r="B113" s="67">
        <v>52</v>
      </c>
      <c r="C113" s="67">
        <f t="shared" si="18"/>
        <v>18720</v>
      </c>
      <c r="D113" s="67">
        <f t="shared" si="14"/>
        <v>5</v>
      </c>
      <c r="E113" s="67">
        <f ca="1" t="shared" si="15"/>
        <v>82</v>
      </c>
      <c r="F113" s="67">
        <f ca="1" t="shared" si="16"/>
        <v>0</v>
      </c>
      <c r="G113" s="67">
        <f ca="1" t="shared" si="17"/>
        <v>10.6371549404075</v>
      </c>
      <c r="H113" s="67" cm="1">
        <f ca="1" t="array" ref="H113">MIN(30-SUM(I113:L113),_xlfn.XLOOKUP($D113&amp;"_"&amp;H$61,$B$23:$B$45&amp;"_"&amp;$C$23:$C$45,$D$23:$D$45)*$E113,18)</f>
        <v>15.8390252269837</v>
      </c>
      <c r="I113" s="67" cm="1">
        <f ca="1" t="array" ref="I113">MIN(30-SUM(J113:L113),6-L113,_xlfn.XLOOKUP($D113&amp;"_"&amp;I$61,$B$23:$B$45&amp;"_"&amp;$C$23:$C$45,$D$23:$D$45)*$E113)</f>
        <v>1.63476177801437</v>
      </c>
      <c r="J113" s="67" cm="1">
        <f ca="1" t="array" ref="J113">MIN(8,_xlfn.XLOOKUP($D113&amp;"_"&amp;J$61,$B$23:$B$45&amp;"_"&amp;$C$23:$C$45,$D$23:$D$45)*$E113)</f>
        <v>1.06259515570934</v>
      </c>
      <c r="K113" s="67" cm="1">
        <f ca="1" t="array" ref="K113">MIN(18,_xlfn.XLOOKUP($D113&amp;"_"&amp;K$61,$B$23:$B$45&amp;"_"&amp;$C$23:$C$45,$D$23:$D$45)*$E113)</f>
        <v>0.330585159554018</v>
      </c>
      <c r="L113" s="67" cm="1">
        <f ca="1" t="array" ref="L113">MIN(6,_xlfn.XLOOKUP($D113&amp;"_"&amp;L$61,$B$23:$B$45&amp;"_"&amp;$C$23:$C$45,$D$23:$D$45)*$E113)</f>
        <v>0.495877739331027</v>
      </c>
      <c r="M113" s="67" cm="1">
        <f ca="1" t="array" ref="M113">(1+SUMPRODUCT(G113:H113,OFFSET($H$49:$I$49,D113,0)))*(1+OFFSET($J$49,D113,0))^I113*(1+OFFSET($K$49,D113,0))^J113*(1+OFFSET($L$49,D113,0))^K113*(1+OFFSET($M$49,D113,0))^L113</f>
        <v>12.8366376262516</v>
      </c>
      <c r="N113" s="67">
        <f ca="1">MAX(MAX($N$62:N112),OFFSET($C$61,MATCH(M113*1.07,$M$62:$M$2061,1),0)-C113)</f>
        <v>2520</v>
      </c>
    </row>
    <row r="114" spans="2:14">
      <c r="B114" s="67">
        <v>53</v>
      </c>
      <c r="C114" s="67">
        <f t="shared" si="18"/>
        <v>19080</v>
      </c>
      <c r="D114" s="67">
        <f t="shared" si="14"/>
        <v>5</v>
      </c>
      <c r="E114" s="67">
        <f ca="1" t="shared" si="15"/>
        <v>83</v>
      </c>
      <c r="F114" s="67">
        <f ca="1" t="shared" si="16"/>
        <v>0</v>
      </c>
      <c r="G114" s="67">
        <f ca="1" t="shared" si="17"/>
        <v>10.4010226835832</v>
      </c>
      <c r="H114" s="67" cm="1">
        <f ca="1" t="array" ref="H114">MIN(30-SUM(I114:L114),_xlfn.XLOOKUP($D114&amp;"_"&amp;H$61,$B$23:$B$45&amp;"_"&amp;$C$23:$C$45,$D$23:$D$45)*$E114,18)</f>
        <v>16.0321840712152</v>
      </c>
      <c r="I114" s="67" cm="1">
        <f ca="1" t="array" ref="I114">MIN(30-SUM(J114:L114),6-L114,_xlfn.XLOOKUP($D114&amp;"_"&amp;I$61,$B$23:$B$45&amp;"_"&amp;$C$23:$C$45,$D$23:$D$45)*$E114)</f>
        <v>1.65469789725845</v>
      </c>
      <c r="J114" s="67" cm="1">
        <f ca="1" t="array" ref="J114">MIN(8,_xlfn.XLOOKUP($D114&amp;"_"&amp;J$61,$B$23:$B$45&amp;"_"&amp;$C$23:$C$45,$D$23:$D$45)*$E114)</f>
        <v>1.07555363321799</v>
      </c>
      <c r="K114" s="67" cm="1">
        <f ca="1" t="array" ref="K114">MIN(18,_xlfn.XLOOKUP($D114&amp;"_"&amp;K$61,$B$23:$B$45&amp;"_"&amp;$C$23:$C$45,$D$23:$D$45)*$E114)</f>
        <v>0.334616685890043</v>
      </c>
      <c r="L114" s="67" cm="1">
        <f ca="1" t="array" ref="L114">MIN(6,_xlfn.XLOOKUP($D114&amp;"_"&amp;L$61,$B$23:$B$45&amp;"_"&amp;$C$23:$C$45,$D$23:$D$45)*$E114)</f>
        <v>0.501925028835064</v>
      </c>
      <c r="M114" s="67" cm="1">
        <f ca="1" t="array" ref="M114">(1+SUMPRODUCT(G114:H114,OFFSET($H$49:$I$49,D114,0)))*(1+OFFSET($J$49,D114,0))^I114*(1+OFFSET($K$49,D114,0))^J114*(1+OFFSET($L$49,D114,0))^K114*(1+OFFSET($M$49,D114,0))^L114</f>
        <v>12.99614807601</v>
      </c>
      <c r="N114" s="67">
        <f ca="1">MAX(MAX($N$62:N113),OFFSET($C$61,MATCH(M114*1.07,$M$62:$M$2061,1),0)-C114)</f>
        <v>2520</v>
      </c>
    </row>
    <row r="115" spans="2:14">
      <c r="B115" s="67">
        <v>54</v>
      </c>
      <c r="C115" s="67">
        <f t="shared" si="18"/>
        <v>19440</v>
      </c>
      <c r="D115" s="67">
        <f t="shared" si="14"/>
        <v>5</v>
      </c>
      <c r="E115" s="67">
        <f ca="1" t="shared" si="15"/>
        <v>84</v>
      </c>
      <c r="F115" s="67">
        <f ca="1" t="shared" si="16"/>
        <v>0</v>
      </c>
      <c r="G115" s="67">
        <f ca="1" t="shared" si="17"/>
        <v>10.1648904267589</v>
      </c>
      <c r="H115" s="67" cm="1">
        <f ca="1" t="array" ref="H115">MIN(30-SUM(I115:L115),_xlfn.XLOOKUP($D115&amp;"_"&amp;H$61,$B$23:$B$45&amp;"_"&amp;$C$23:$C$45,$D$23:$D$45)*$E115,18)</f>
        <v>16.2253429154468</v>
      </c>
      <c r="I115" s="67" cm="1">
        <f ca="1" t="array" ref="I115">MIN(30-SUM(J115:L115),6-L115,_xlfn.XLOOKUP($D115&amp;"_"&amp;I$61,$B$23:$B$45&amp;"_"&amp;$C$23:$C$45,$D$23:$D$45)*$E115)</f>
        <v>1.67463401650253</v>
      </c>
      <c r="J115" s="67" cm="1">
        <f ca="1" t="array" ref="J115">MIN(8,_xlfn.XLOOKUP($D115&amp;"_"&amp;J$61,$B$23:$B$45&amp;"_"&amp;$C$23:$C$45,$D$23:$D$45)*$E115)</f>
        <v>1.08851211072664</v>
      </c>
      <c r="K115" s="67" cm="1">
        <f ca="1" t="array" ref="K115">MIN(18,_xlfn.XLOOKUP($D115&amp;"_"&amp;K$61,$B$23:$B$45&amp;"_"&amp;$C$23:$C$45,$D$23:$D$45)*$E115)</f>
        <v>0.338648212226067</v>
      </c>
      <c r="L115" s="67" cm="1">
        <f ca="1" t="array" ref="L115">MIN(6,_xlfn.XLOOKUP($D115&amp;"_"&amp;L$61,$B$23:$B$45&amp;"_"&amp;$C$23:$C$45,$D$23:$D$45)*$E115)</f>
        <v>0.507972318339101</v>
      </c>
      <c r="M115" s="67" cm="1">
        <f ca="1" t="array" ref="M115">(1+SUMPRODUCT(G115:H115,OFFSET($H$49:$I$49,D115,0)))*(1+OFFSET($J$49,D115,0))^I115*(1+OFFSET($K$49,D115,0))^J115*(1+OFFSET($L$49,D115,0))^K115*(1+OFFSET($M$49,D115,0))^L115</f>
        <v>13.1575937523762</v>
      </c>
      <c r="N115" s="67">
        <f ca="1">MAX(MAX($N$62:N114),OFFSET($C$61,MATCH(M115*1.07,$M$62:$M$2061,1),0)-C115)</f>
        <v>2520</v>
      </c>
    </row>
    <row r="116" spans="2:14">
      <c r="B116" s="67">
        <v>55</v>
      </c>
      <c r="C116" s="67">
        <f t="shared" si="18"/>
        <v>19800</v>
      </c>
      <c r="D116" s="67">
        <f t="shared" si="14"/>
        <v>5</v>
      </c>
      <c r="E116" s="67">
        <f ca="1" t="shared" si="15"/>
        <v>85</v>
      </c>
      <c r="F116" s="67">
        <f ca="1" t="shared" si="16"/>
        <v>0</v>
      </c>
      <c r="G116" s="67">
        <f ca="1" t="shared" si="17"/>
        <v>9.92875816993461</v>
      </c>
      <c r="H116" s="67" cm="1">
        <f ca="1" t="array" ref="H116">MIN(30-SUM(I116:L116),_xlfn.XLOOKUP($D116&amp;"_"&amp;H$61,$B$23:$B$45&amp;"_"&amp;$C$23:$C$45,$D$23:$D$45)*$E116,18)</f>
        <v>16.4185017596783</v>
      </c>
      <c r="I116" s="67" cm="1">
        <f ca="1" t="array" ref="I116">MIN(30-SUM(J116:L116),6-L116,_xlfn.XLOOKUP($D116&amp;"_"&amp;I$61,$B$23:$B$45&amp;"_"&amp;$C$23:$C$45,$D$23:$D$45)*$E116)</f>
        <v>1.6945701357466</v>
      </c>
      <c r="J116" s="67" cm="1">
        <f ca="1" t="array" ref="J116">MIN(8,_xlfn.XLOOKUP($D116&amp;"_"&amp;J$61,$B$23:$B$45&amp;"_"&amp;$C$23:$C$45,$D$23:$D$45)*$E116)</f>
        <v>1.10147058823529</v>
      </c>
      <c r="K116" s="67" cm="1">
        <f ca="1" t="array" ref="K116">MIN(18,_xlfn.XLOOKUP($D116&amp;"_"&amp;K$61,$B$23:$B$45&amp;"_"&amp;$C$23:$C$45,$D$23:$D$45)*$E116)</f>
        <v>0.342679738562092</v>
      </c>
      <c r="L116" s="67" cm="1">
        <f ca="1" t="array" ref="L116">MIN(6,_xlfn.XLOOKUP($D116&amp;"_"&amp;L$61,$B$23:$B$45&amp;"_"&amp;$C$23:$C$45,$D$23:$D$45)*$E116)</f>
        <v>0.514019607843137</v>
      </c>
      <c r="M116" s="67" cm="1">
        <f ca="1" t="array" ref="M116">(1+SUMPRODUCT(G116:H116,OFFSET($H$49:$I$49,D116,0)))*(1+OFFSET($J$49,D116,0))^I116*(1+OFFSET($K$49,D116,0))^J116*(1+OFFSET($L$49,D116,0))^K116*(1+OFFSET($M$49,D116,0))^L116</f>
        <v>13.3209977169366</v>
      </c>
      <c r="N116" s="67">
        <f ca="1">MAX(MAX($N$62:N115),OFFSET($C$61,MATCH(M116*1.07,$M$62:$M$2061,1),0)-C116)</f>
        <v>2520</v>
      </c>
    </row>
    <row r="117" spans="2:14">
      <c r="B117" s="67">
        <v>56</v>
      </c>
      <c r="C117" s="67">
        <f t="shared" si="18"/>
        <v>20160</v>
      </c>
      <c r="D117" s="67">
        <f t="shared" si="14"/>
        <v>5</v>
      </c>
      <c r="E117" s="67">
        <f ca="1" t="shared" si="15"/>
        <v>86</v>
      </c>
      <c r="F117" s="67">
        <f ca="1" t="shared" si="16"/>
        <v>0</v>
      </c>
      <c r="G117" s="67">
        <f ca="1" t="shared" si="17"/>
        <v>9.69262591311031</v>
      </c>
      <c r="H117" s="67" cm="1">
        <f ca="1" t="array" ref="H117">MIN(30-SUM(I117:L117),_xlfn.XLOOKUP($D117&amp;"_"&amp;H$61,$B$23:$B$45&amp;"_"&amp;$C$23:$C$45,$D$23:$D$45)*$E117,18)</f>
        <v>16.6116606039098</v>
      </c>
      <c r="I117" s="67" cm="1">
        <f ca="1" t="array" ref="I117">MIN(30-SUM(J117:L117),6-L117,_xlfn.XLOOKUP($D117&amp;"_"&amp;I$61,$B$23:$B$45&amp;"_"&amp;$C$23:$C$45,$D$23:$D$45)*$E117)</f>
        <v>1.71450625499068</v>
      </c>
      <c r="J117" s="67" cm="1">
        <f ca="1" t="array" ref="J117">MIN(8,_xlfn.XLOOKUP($D117&amp;"_"&amp;J$61,$B$23:$B$45&amp;"_"&amp;$C$23:$C$45,$D$23:$D$45)*$E117)</f>
        <v>1.11442906574394</v>
      </c>
      <c r="K117" s="67" cm="1">
        <f ca="1" t="array" ref="K117">MIN(18,_xlfn.XLOOKUP($D117&amp;"_"&amp;K$61,$B$23:$B$45&amp;"_"&amp;$C$23:$C$45,$D$23:$D$45)*$E117)</f>
        <v>0.346711264898116</v>
      </c>
      <c r="L117" s="67" cm="1">
        <f ca="1" t="array" ref="L117">MIN(6,_xlfn.XLOOKUP($D117&amp;"_"&amp;L$61,$B$23:$B$45&amp;"_"&amp;$C$23:$C$45,$D$23:$D$45)*$E117)</f>
        <v>0.520066897347174</v>
      </c>
      <c r="M117" s="67" cm="1">
        <f ca="1" t="array" ref="M117">(1+SUMPRODUCT(G117:H117,OFFSET($H$49:$I$49,D117,0)))*(1+OFFSET($J$49,D117,0))^I117*(1+OFFSET($K$49,D117,0))^J117*(1+OFFSET($L$49,D117,0))^K117*(1+OFFSET($M$49,D117,0))^L117</f>
        <v>13.4863833022951</v>
      </c>
      <c r="N117" s="67">
        <f ca="1">MAX(MAX($N$62:N116),OFFSET($C$61,MATCH(M117*1.07,$M$62:$M$2061,1),0)-C117)</f>
        <v>2520</v>
      </c>
    </row>
    <row r="118" spans="2:14">
      <c r="B118" s="67">
        <v>57</v>
      </c>
      <c r="C118" s="67">
        <f t="shared" si="18"/>
        <v>20520</v>
      </c>
      <c r="D118" s="67">
        <f t="shared" si="14"/>
        <v>5</v>
      </c>
      <c r="E118" s="67">
        <f ca="1" t="shared" si="15"/>
        <v>87</v>
      </c>
      <c r="F118" s="67">
        <f ca="1" t="shared" si="16"/>
        <v>0</v>
      </c>
      <c r="G118" s="67">
        <f ca="1" t="shared" si="17"/>
        <v>9.45649365628601</v>
      </c>
      <c r="H118" s="67" cm="1">
        <f ca="1" t="array" ref="H118">MIN(30-SUM(I118:L118),_xlfn.XLOOKUP($D118&amp;"_"&amp;H$61,$B$23:$B$45&amp;"_"&amp;$C$23:$C$45,$D$23:$D$45)*$E118,18)</f>
        <v>16.8048194481413</v>
      </c>
      <c r="I118" s="67" cm="1">
        <f ca="1" t="array" ref="I118">MIN(30-SUM(J118:L118),6-L118,_xlfn.XLOOKUP($D118&amp;"_"&amp;I$61,$B$23:$B$45&amp;"_"&amp;$C$23:$C$45,$D$23:$D$45)*$E118)</f>
        <v>1.73444237423476</v>
      </c>
      <c r="J118" s="67" cm="1">
        <f ca="1" t="array" ref="J118">MIN(8,_xlfn.XLOOKUP($D118&amp;"_"&amp;J$61,$B$23:$B$45&amp;"_"&amp;$C$23:$C$45,$D$23:$D$45)*$E118)</f>
        <v>1.12738754325259</v>
      </c>
      <c r="K118" s="67" cm="1">
        <f ca="1" t="array" ref="K118">MIN(18,_xlfn.XLOOKUP($D118&amp;"_"&amp;K$61,$B$23:$B$45&amp;"_"&amp;$C$23:$C$45,$D$23:$D$45)*$E118)</f>
        <v>0.350742791234141</v>
      </c>
      <c r="L118" s="67" cm="1">
        <f ca="1" t="array" ref="L118">MIN(6,_xlfn.XLOOKUP($D118&amp;"_"&amp;L$61,$B$23:$B$45&amp;"_"&amp;$C$23:$C$45,$D$23:$D$45)*$E118)</f>
        <v>0.526114186851211</v>
      </c>
      <c r="M118" s="67" cm="1">
        <f ca="1" t="array" ref="M118">(1+SUMPRODUCT(G118:H118,OFFSET($H$49:$I$49,D118,0)))*(1+OFFSET($J$49,D118,0))^I118*(1+OFFSET($K$49,D118,0))^J118*(1+OFFSET($L$49,D118,0))^K118*(1+OFFSET($M$49,D118,0))^L118</f>
        <v>13.6537741152222</v>
      </c>
      <c r="N118" s="67">
        <f ca="1">MAX(MAX($N$62:N117),OFFSET($C$61,MATCH(M118*1.07,$M$62:$M$2061,1),0)-C118)</f>
        <v>2520</v>
      </c>
    </row>
    <row r="119" spans="2:14">
      <c r="B119" s="67">
        <v>58</v>
      </c>
      <c r="C119" s="67">
        <f t="shared" si="18"/>
        <v>20880</v>
      </c>
      <c r="D119" s="67">
        <f t="shared" si="14"/>
        <v>5</v>
      </c>
      <c r="E119" s="67">
        <f ca="1" t="shared" si="15"/>
        <v>88</v>
      </c>
      <c r="F119" s="67">
        <f ca="1" t="shared" si="16"/>
        <v>0</v>
      </c>
      <c r="G119" s="67">
        <f ca="1" t="shared" si="17"/>
        <v>9.22036139946171</v>
      </c>
      <c r="H119" s="67" cm="1">
        <f ca="1" t="array" ref="H119">MIN(30-SUM(I119:L119),_xlfn.XLOOKUP($D119&amp;"_"&amp;H$61,$B$23:$B$45&amp;"_"&amp;$C$23:$C$45,$D$23:$D$45)*$E119,18)</f>
        <v>16.9979782923728</v>
      </c>
      <c r="I119" s="67" cm="1">
        <f ca="1" t="array" ref="I119">MIN(30-SUM(J119:L119),6-L119,_xlfn.XLOOKUP($D119&amp;"_"&amp;I$61,$B$23:$B$45&amp;"_"&amp;$C$23:$C$45,$D$23:$D$45)*$E119)</f>
        <v>1.75437849347884</v>
      </c>
      <c r="J119" s="67" cm="1">
        <f ca="1" t="array" ref="J119">MIN(8,_xlfn.XLOOKUP($D119&amp;"_"&amp;J$61,$B$23:$B$45&amp;"_"&amp;$C$23:$C$45,$D$23:$D$45)*$E119)</f>
        <v>1.14034602076124</v>
      </c>
      <c r="K119" s="67" cm="1">
        <f ca="1" t="array" ref="K119">MIN(18,_xlfn.XLOOKUP($D119&amp;"_"&amp;K$61,$B$23:$B$45&amp;"_"&amp;$C$23:$C$45,$D$23:$D$45)*$E119)</f>
        <v>0.354774317570166</v>
      </c>
      <c r="L119" s="67" cm="1">
        <f ca="1" t="array" ref="L119">MIN(6,_xlfn.XLOOKUP($D119&amp;"_"&amp;L$61,$B$23:$B$45&amp;"_"&amp;$C$23:$C$45,$D$23:$D$45)*$E119)</f>
        <v>0.532161476355248</v>
      </c>
      <c r="M119" s="67" cm="1">
        <f ca="1" t="array" ref="M119">(1+SUMPRODUCT(G119:H119,OFFSET($H$49:$I$49,D119,0)))*(1+OFFSET($J$49,D119,0))^I119*(1+OFFSET($K$49,D119,0))^J119*(1+OFFSET($L$49,D119,0))^K119*(1+OFFSET($M$49,D119,0))^L119</f>
        <v>13.8231940398414</v>
      </c>
      <c r="N119" s="67">
        <f ca="1">MAX(MAX($N$62:N118),OFFSET($C$61,MATCH(M119*1.07,$M$62:$M$2061,1),0)-C119)</f>
        <v>2520</v>
      </c>
    </row>
    <row r="120" spans="2:14">
      <c r="B120" s="67">
        <v>59</v>
      </c>
      <c r="C120" s="67">
        <f t="shared" si="18"/>
        <v>21240</v>
      </c>
      <c r="D120" s="67">
        <f t="shared" si="14"/>
        <v>5</v>
      </c>
      <c r="E120" s="67">
        <f ca="1" t="shared" si="15"/>
        <v>89</v>
      </c>
      <c r="F120" s="67">
        <f ca="1" t="shared" si="16"/>
        <v>0</v>
      </c>
      <c r="G120" s="67">
        <f ca="1" t="shared" si="17"/>
        <v>8.98422914263742</v>
      </c>
      <c r="H120" s="67" cm="1">
        <f ca="1" t="array" ref="H120">MIN(30-SUM(I120:L120),_xlfn.XLOOKUP($D120&amp;"_"&amp;H$61,$B$23:$B$45&amp;"_"&amp;$C$23:$C$45,$D$23:$D$45)*$E120,18)</f>
        <v>17.1911371366043</v>
      </c>
      <c r="I120" s="67" cm="1">
        <f ca="1" t="array" ref="I120">MIN(30-SUM(J120:L120),6-L120,_xlfn.XLOOKUP($D120&amp;"_"&amp;I$61,$B$23:$B$45&amp;"_"&amp;$C$23:$C$45,$D$23:$D$45)*$E120)</f>
        <v>1.77431461272292</v>
      </c>
      <c r="J120" s="67" cm="1">
        <f ca="1" t="array" ref="J120">MIN(8,_xlfn.XLOOKUP($D120&amp;"_"&amp;J$61,$B$23:$B$45&amp;"_"&amp;$C$23:$C$45,$D$23:$D$45)*$E120)</f>
        <v>1.15330449826989</v>
      </c>
      <c r="K120" s="67" cm="1">
        <f ca="1" t="array" ref="K120">MIN(18,_xlfn.XLOOKUP($D120&amp;"_"&amp;K$61,$B$23:$B$45&amp;"_"&amp;$C$23:$C$45,$D$23:$D$45)*$E120)</f>
        <v>0.35880584390619</v>
      </c>
      <c r="L120" s="67" cm="1">
        <f ca="1" t="array" ref="L120">MIN(6,_xlfn.XLOOKUP($D120&amp;"_"&amp;L$61,$B$23:$B$45&amp;"_"&amp;$C$23:$C$45,$D$23:$D$45)*$E120)</f>
        <v>0.538208765859285</v>
      </c>
      <c r="M120" s="67" cm="1">
        <f ca="1" t="array" ref="M120">(1+SUMPRODUCT(G120:H120,OFFSET($H$49:$I$49,D120,0)))*(1+OFFSET($J$49,D120,0))^I120*(1+OFFSET($K$49,D120,0))^J120*(1+OFFSET($L$49,D120,0))^K120*(1+OFFSET($M$49,D120,0))^L120</f>
        <v>13.9946672408519</v>
      </c>
      <c r="N120" s="67">
        <f ca="1">MAX(MAX($N$62:N119),OFFSET($C$61,MATCH(M120*1.07,$M$62:$M$2061,1),0)-C120)</f>
        <v>2520</v>
      </c>
    </row>
    <row r="121" spans="2:14">
      <c r="B121" s="67">
        <v>60</v>
      </c>
      <c r="C121" s="67">
        <f t="shared" si="18"/>
        <v>21600</v>
      </c>
      <c r="D121" s="67">
        <f t="shared" si="14"/>
        <v>5</v>
      </c>
      <c r="E121" s="67">
        <f ca="1" t="shared" si="15"/>
        <v>90</v>
      </c>
      <c r="F121" s="67">
        <f ca="1" t="shared" si="16"/>
        <v>0</v>
      </c>
      <c r="G121" s="67">
        <f ca="1" t="shared" si="17"/>
        <v>8.74809688581312</v>
      </c>
      <c r="H121" s="67" cm="1">
        <f ca="1" t="array" ref="H121">MIN(30-SUM(I121:L121),_xlfn.XLOOKUP($D121&amp;"_"&amp;H$61,$B$23:$B$45&amp;"_"&amp;$C$23:$C$45,$D$23:$D$45)*$E121,18)</f>
        <v>17.3842959808358</v>
      </c>
      <c r="I121" s="67" cm="1">
        <f ca="1" t="array" ref="I121">MIN(30-SUM(J121:L121),6-L121,_xlfn.XLOOKUP($D121&amp;"_"&amp;I$61,$B$23:$B$45&amp;"_"&amp;$C$23:$C$45,$D$23:$D$45)*$E121)</f>
        <v>1.79425073196699</v>
      </c>
      <c r="J121" s="67" cm="1">
        <f ca="1" t="array" ref="J121">MIN(8,_xlfn.XLOOKUP($D121&amp;"_"&amp;J$61,$B$23:$B$45&amp;"_"&amp;$C$23:$C$45,$D$23:$D$45)*$E121)</f>
        <v>1.16626297577854</v>
      </c>
      <c r="K121" s="67" cm="1">
        <f ca="1" t="array" ref="K121">MIN(18,_xlfn.XLOOKUP($D121&amp;"_"&amp;K$61,$B$23:$B$45&amp;"_"&amp;$C$23:$C$45,$D$23:$D$45)*$E121)</f>
        <v>0.362837370242215</v>
      </c>
      <c r="L121" s="67" cm="1">
        <f ca="1" t="array" ref="L121">MIN(6,_xlfn.XLOOKUP($D121&amp;"_"&amp;L$61,$B$23:$B$45&amp;"_"&amp;$C$23:$C$45,$D$23:$D$45)*$E121)</f>
        <v>0.544256055363322</v>
      </c>
      <c r="M121" s="67" cm="1">
        <f ca="1" t="array" ref="M121">(1+SUMPRODUCT(G121:H121,OFFSET($H$49:$I$49,D121,0)))*(1+OFFSET($J$49,D121,0))^I121*(1+OFFSET($K$49,D121,0))^J121*(1+OFFSET($L$49,D121,0))^K121*(1+OFFSET($M$49,D121,0))^L121</f>
        <v>14.1682181667879</v>
      </c>
      <c r="N121" s="67">
        <f ca="1">MAX(MAX($N$62:N120),OFFSET($C$61,MATCH(M121*1.07,$M$62:$M$2061,1),0)-C121)</f>
        <v>2520</v>
      </c>
    </row>
    <row r="122" spans="2:14">
      <c r="B122" s="67">
        <v>61</v>
      </c>
      <c r="C122" s="67">
        <f t="shared" si="18"/>
        <v>21960</v>
      </c>
      <c r="D122" s="67">
        <f t="shared" si="14"/>
        <v>5</v>
      </c>
      <c r="E122" s="67">
        <f ca="1" t="shared" si="15"/>
        <v>91</v>
      </c>
      <c r="F122" s="67">
        <f ca="1" t="shared" si="16"/>
        <v>0</v>
      </c>
      <c r="G122" s="67">
        <f ca="1" t="shared" si="17"/>
        <v>8.51196462898882</v>
      </c>
      <c r="H122" s="67" cm="1">
        <f ca="1" t="array" ref="H122">MIN(30-SUM(I122:L122),_xlfn.XLOOKUP($D122&amp;"_"&amp;H$61,$B$23:$B$45&amp;"_"&amp;$C$23:$C$45,$D$23:$D$45)*$E122,18)</f>
        <v>17.5774548250673</v>
      </c>
      <c r="I122" s="67" cm="1">
        <f ca="1" t="array" ref="I122">MIN(30-SUM(J122:L122),6-L122,_xlfn.XLOOKUP($D122&amp;"_"&amp;I$61,$B$23:$B$45&amp;"_"&amp;$C$23:$C$45,$D$23:$D$45)*$E122)</f>
        <v>1.81418685121107</v>
      </c>
      <c r="J122" s="67" cm="1">
        <f ca="1" t="array" ref="J122">MIN(8,_xlfn.XLOOKUP($D122&amp;"_"&amp;J$61,$B$23:$B$45&amp;"_"&amp;$C$23:$C$45,$D$23:$D$45)*$E122)</f>
        <v>1.1792214532872</v>
      </c>
      <c r="K122" s="67" cm="1">
        <f ca="1" t="array" ref="K122">MIN(18,_xlfn.XLOOKUP($D122&amp;"_"&amp;K$61,$B$23:$B$45&amp;"_"&amp;$C$23:$C$45,$D$23:$D$45)*$E122)</f>
        <v>0.36686889657824</v>
      </c>
      <c r="L122" s="67" cm="1">
        <f ca="1" t="array" ref="L122">MIN(6,_xlfn.XLOOKUP($D122&amp;"_"&amp;L$61,$B$23:$B$45&amp;"_"&amp;$C$23:$C$45,$D$23:$D$45)*$E122)</f>
        <v>0.550303344867359</v>
      </c>
      <c r="M122" s="67" cm="1">
        <f ca="1" t="array" ref="M122">(1+SUMPRODUCT(G122:H122,OFFSET($H$49:$I$49,D122,0)))*(1+OFFSET($J$49,D122,0))^I122*(1+OFFSET($K$49,D122,0))^J122*(1+OFFSET($L$49,D122,0))^K122*(1+OFFSET($M$49,D122,0))^L122</f>
        <v>14.3438715533165</v>
      </c>
      <c r="N122" s="67">
        <f ca="1">MAX(MAX($N$62:N121),OFFSET($C$61,MATCH(M122*1.07,$M$62:$M$2061,1),0)-C122)</f>
        <v>2520</v>
      </c>
    </row>
    <row r="123" spans="2:14">
      <c r="B123" s="67">
        <v>62</v>
      </c>
      <c r="C123" s="67">
        <f t="shared" si="18"/>
        <v>22320</v>
      </c>
      <c r="D123" s="67">
        <f t="shared" si="14"/>
        <v>5</v>
      </c>
      <c r="E123" s="67">
        <f ca="1" t="shared" si="15"/>
        <v>92</v>
      </c>
      <c r="F123" s="67">
        <f ca="1" t="shared" si="16"/>
        <v>0</v>
      </c>
      <c r="G123" s="67">
        <f ca="1" t="shared" si="17"/>
        <v>8.27583237216452</v>
      </c>
      <c r="H123" s="67" cm="1">
        <f ca="1" t="array" ref="H123">MIN(30-SUM(I123:L123),_xlfn.XLOOKUP($D123&amp;"_"&amp;H$61,$B$23:$B$45&amp;"_"&amp;$C$23:$C$45,$D$23:$D$45)*$E123,18)</f>
        <v>17.7706136692988</v>
      </c>
      <c r="I123" s="67" cm="1">
        <f ca="1" t="array" ref="I123">MIN(30-SUM(J123:L123),6-L123,_xlfn.XLOOKUP($D123&amp;"_"&amp;I$61,$B$23:$B$45&amp;"_"&amp;$C$23:$C$45,$D$23:$D$45)*$E123)</f>
        <v>1.83412297045515</v>
      </c>
      <c r="J123" s="67" cm="1">
        <f ca="1" t="array" ref="J123">MIN(8,_xlfn.XLOOKUP($D123&amp;"_"&amp;J$61,$B$23:$B$45&amp;"_"&amp;$C$23:$C$45,$D$23:$D$45)*$E123)</f>
        <v>1.19217993079585</v>
      </c>
      <c r="K123" s="67" cm="1">
        <f ca="1" t="array" ref="K123">MIN(18,_xlfn.XLOOKUP($D123&amp;"_"&amp;K$61,$B$23:$B$45&amp;"_"&amp;$C$23:$C$45,$D$23:$D$45)*$E123)</f>
        <v>0.370900422914264</v>
      </c>
      <c r="L123" s="67" cm="1">
        <f ca="1" t="array" ref="L123">MIN(6,_xlfn.XLOOKUP($D123&amp;"_"&amp;L$61,$B$23:$B$45&amp;"_"&amp;$C$23:$C$45,$D$23:$D$45)*$E123)</f>
        <v>0.556350634371396</v>
      </c>
      <c r="M123" s="67" cm="1">
        <f ca="1" t="array" ref="M123">(1+SUMPRODUCT(G123:H123,OFFSET($H$49:$I$49,D123,0)))*(1+OFFSET($J$49,D123,0))^I123*(1+OFFSET($K$49,D123,0))^J123*(1+OFFSET($L$49,D123,0))^K123*(1+OFFSET($M$49,D123,0))^L123</f>
        <v>14.5216524265724</v>
      </c>
      <c r="N123" s="67">
        <f ca="1">MAX(MAX($N$62:N122),OFFSET($C$61,MATCH(M123*1.07,$M$62:$M$2061,1),0)-C123)</f>
        <v>2520</v>
      </c>
    </row>
    <row r="124" spans="2:14">
      <c r="B124" s="67">
        <v>63</v>
      </c>
      <c r="C124" s="67">
        <f t="shared" si="18"/>
        <v>22680</v>
      </c>
      <c r="D124" s="67">
        <f t="shared" si="14"/>
        <v>5</v>
      </c>
      <c r="E124" s="67">
        <f ca="1" t="shared" si="15"/>
        <v>93</v>
      </c>
      <c r="F124" s="67">
        <f ca="1" t="shared" si="16"/>
        <v>0</v>
      </c>
      <c r="G124" s="67">
        <f ca="1" t="shared" si="17"/>
        <v>8.03970011534022</v>
      </c>
      <c r="H124" s="67" cm="1">
        <f ca="1" t="array" ref="H124">MIN(30-SUM(I124:L124),_xlfn.XLOOKUP($D124&amp;"_"&amp;H$61,$B$23:$B$45&amp;"_"&amp;$C$23:$C$45,$D$23:$D$45)*$E124,18)</f>
        <v>17.9637725135303</v>
      </c>
      <c r="I124" s="67" cm="1">
        <f ca="1" t="array" ref="I124">MIN(30-SUM(J124:L124),6-L124,_xlfn.XLOOKUP($D124&amp;"_"&amp;I$61,$B$23:$B$45&amp;"_"&amp;$C$23:$C$45,$D$23:$D$45)*$E124)</f>
        <v>1.85405908969923</v>
      </c>
      <c r="J124" s="67" cm="1">
        <f ca="1" t="array" ref="J124">MIN(8,_xlfn.XLOOKUP($D124&amp;"_"&amp;J$61,$B$23:$B$45&amp;"_"&amp;$C$23:$C$45,$D$23:$D$45)*$E124)</f>
        <v>1.2051384083045</v>
      </c>
      <c r="K124" s="67" cm="1">
        <f ca="1" t="array" ref="K124">MIN(18,_xlfn.XLOOKUP($D124&amp;"_"&amp;K$61,$B$23:$B$45&amp;"_"&amp;$C$23:$C$45,$D$23:$D$45)*$E124)</f>
        <v>0.374931949250289</v>
      </c>
      <c r="L124" s="67" cm="1">
        <f ca="1" t="array" ref="L124">MIN(6,_xlfn.XLOOKUP($D124&amp;"_"&amp;L$61,$B$23:$B$45&amp;"_"&amp;$C$23:$C$45,$D$23:$D$45)*$E124)</f>
        <v>0.562397923875433</v>
      </c>
      <c r="M124" s="67" cm="1">
        <f ca="1" t="array" ref="M124">(1+SUMPRODUCT(G124:H124,OFFSET($H$49:$I$49,D124,0)))*(1+OFFSET($J$49,D124,0))^I124*(1+OFFSET($K$49,D124,0))^J124*(1+OFFSET($L$49,D124,0))^K124*(1+OFFSET($M$49,D124,0))^L124</f>
        <v>14.7015861065321</v>
      </c>
      <c r="N124" s="67">
        <f ca="1">MAX(MAX($N$62:N123),OFFSET($C$61,MATCH(M124*1.07,$M$62:$M$2061,1),0)-C124)</f>
        <v>2520</v>
      </c>
    </row>
    <row r="125" spans="2:14">
      <c r="B125" s="67">
        <v>64</v>
      </c>
      <c r="C125" s="67">
        <f t="shared" si="18"/>
        <v>23040</v>
      </c>
      <c r="D125" s="67">
        <f t="shared" si="14"/>
        <v>5</v>
      </c>
      <c r="E125" s="67">
        <f ca="1" t="shared" si="15"/>
        <v>94</v>
      </c>
      <c r="F125" s="67">
        <f ca="1" t="shared" si="16"/>
        <v>0</v>
      </c>
      <c r="G125" s="67">
        <f ca="1" t="shared" si="17"/>
        <v>7.96049921627777</v>
      </c>
      <c r="H125" s="67" cm="1">
        <f ca="1" t="array" ref="H125">MIN(30-SUM(I125:L125),_xlfn.XLOOKUP($D125&amp;"_"&amp;H$61,$B$23:$B$45&amp;"_"&amp;$C$23:$C$45,$D$23:$D$45)*$E125,18)</f>
        <v>18</v>
      </c>
      <c r="I125" s="67" cm="1">
        <f ca="1" t="array" ref="I125">MIN(30-SUM(J125:L125),6-L125,_xlfn.XLOOKUP($D125&amp;"_"&amp;I$61,$B$23:$B$45&amp;"_"&amp;$C$23:$C$45,$D$23:$D$45)*$E125)</f>
        <v>1.8739952089433</v>
      </c>
      <c r="J125" s="67" cm="1">
        <f ca="1" t="array" ref="J125">MIN(8,_xlfn.XLOOKUP($D125&amp;"_"&amp;J$61,$B$23:$B$45&amp;"_"&amp;$C$23:$C$45,$D$23:$D$45)*$E125)</f>
        <v>1.21809688581315</v>
      </c>
      <c r="K125" s="67" cm="1">
        <f ca="1" t="array" ref="K125">MIN(18,_xlfn.XLOOKUP($D125&amp;"_"&amp;K$61,$B$23:$B$45&amp;"_"&amp;$C$23:$C$45,$D$23:$D$45)*$E125)</f>
        <v>0.378963475586313</v>
      </c>
      <c r="L125" s="67" cm="1">
        <f ca="1" t="array" ref="L125">MIN(6,_xlfn.XLOOKUP($D125&amp;"_"&amp;L$61,$B$23:$B$45&amp;"_"&amp;$C$23:$C$45,$D$23:$D$45)*$E125)</f>
        <v>0.56844521337947</v>
      </c>
      <c r="M125" s="67" cm="1">
        <f ca="1" t="array" ref="M125">(1+SUMPRODUCT(G125:H125,OFFSET($H$49:$I$49,D125,0)))*(1+OFFSET($J$49,D125,0))^I125*(1+OFFSET($K$49,D125,0))^J125*(1+OFFSET($L$49,D125,0))^K125*(1+OFFSET($M$49,D125,0))^L125</f>
        <v>14.8501379112523</v>
      </c>
      <c r="N125" s="67">
        <f ca="1">MAX(MAX($N$62:N124),OFFSET($C$61,MATCH(M125*1.07,$M$62:$M$2061,1),0)-C125)</f>
        <v>2520</v>
      </c>
    </row>
    <row r="126" spans="2:14">
      <c r="B126" s="67">
        <v>65</v>
      </c>
      <c r="C126" s="67">
        <f t="shared" si="18"/>
        <v>23400</v>
      </c>
      <c r="D126" s="67">
        <f t="shared" si="14"/>
        <v>5</v>
      </c>
      <c r="E126" s="67">
        <f ca="1" t="shared" si="15"/>
        <v>95</v>
      </c>
      <c r="F126" s="67">
        <f ca="1" t="shared" si="16"/>
        <v>0</v>
      </c>
      <c r="G126" s="67">
        <f ca="1" t="shared" si="17"/>
        <v>7.91752580368498</v>
      </c>
      <c r="H126" s="67" cm="1">
        <f ca="1" t="array" ref="H126">MIN(30-SUM(I126:L126),_xlfn.XLOOKUP($D126&amp;"_"&amp;H$61,$B$23:$B$45&amp;"_"&amp;$C$23:$C$45,$D$23:$D$45)*$E126,18)</f>
        <v>18</v>
      </c>
      <c r="I126" s="67" cm="1">
        <f ca="1" t="array" ref="I126">MIN(30-SUM(J126:L126),6-L126,_xlfn.XLOOKUP($D126&amp;"_"&amp;I$61,$B$23:$B$45&amp;"_"&amp;$C$23:$C$45,$D$23:$D$45)*$E126)</f>
        <v>1.89393132818738</v>
      </c>
      <c r="J126" s="67" cm="1">
        <f ca="1" t="array" ref="J126">MIN(8,_xlfn.XLOOKUP($D126&amp;"_"&amp;J$61,$B$23:$B$45&amp;"_"&amp;$C$23:$C$45,$D$23:$D$45)*$E126)</f>
        <v>1.2310553633218</v>
      </c>
      <c r="K126" s="67" cm="1">
        <f ca="1" t="array" ref="K126">MIN(18,_xlfn.XLOOKUP($D126&amp;"_"&amp;K$61,$B$23:$B$45&amp;"_"&amp;$C$23:$C$45,$D$23:$D$45)*$E126)</f>
        <v>0.382995001922338</v>
      </c>
      <c r="L126" s="67" cm="1">
        <f ca="1" t="array" ref="L126">MIN(6,_xlfn.XLOOKUP($D126&amp;"_"&amp;L$61,$B$23:$B$45&amp;"_"&amp;$C$23:$C$45,$D$23:$D$45)*$E126)</f>
        <v>0.574492502883507</v>
      </c>
      <c r="M126" s="67" cm="1">
        <f ca="1" t="array" ref="M126">(1+SUMPRODUCT(G126:H126,OFFSET($H$49:$I$49,D126,0)))*(1+OFFSET($J$49,D126,0))^I126*(1+OFFSET($K$49,D126,0))^J126*(1+OFFSET($L$49,D126,0))^K126*(1+OFFSET($M$49,D126,0))^L126</f>
        <v>14.9923594396516</v>
      </c>
      <c r="N126" s="67">
        <f ca="1">MAX(MAX($N$62:N125),OFFSET($C$61,MATCH(M126*1.07,$M$62:$M$2061,1),0)-C126)</f>
        <v>2520</v>
      </c>
    </row>
    <row r="127" spans="2:14">
      <c r="B127" s="67">
        <v>66</v>
      </c>
      <c r="C127" s="67">
        <f t="shared" si="18"/>
        <v>23760</v>
      </c>
      <c r="D127" s="67">
        <f t="shared" ref="D127:D190" si="19">_xlfn.XLOOKUP("非R",$B$49:$B$54,$C$49:$C$54)</f>
        <v>5</v>
      </c>
      <c r="E127" s="67">
        <f ca="1" t="shared" ref="E127:E190" si="20">INT(C127/_xlfn.XLOOKUP(D127,$R$14:$R$21,$S$14:$S$21))+OFFSET($R$49,D127,0)</f>
        <v>96</v>
      </c>
      <c r="F127" s="67">
        <f ca="1" t="shared" si="16"/>
        <v>0</v>
      </c>
      <c r="G127" s="67">
        <f ca="1" t="shared" si="17"/>
        <v>7.87455239109218</v>
      </c>
      <c r="H127" s="67" cm="1">
        <f ca="1" t="array" ref="H127">MIN(30-SUM(I127:L127),_xlfn.XLOOKUP($D127&amp;"_"&amp;H$61,$B$23:$B$45&amp;"_"&amp;$C$23:$C$45,$D$23:$D$45)*$E127,18)</f>
        <v>18</v>
      </c>
      <c r="I127" s="67" cm="1">
        <f ca="1" t="array" ref="I127">MIN(30-SUM(J127:L127),6-L127,_xlfn.XLOOKUP($D127&amp;"_"&amp;I$61,$B$23:$B$45&amp;"_"&amp;$C$23:$C$45,$D$23:$D$45)*$E127)</f>
        <v>1.91386744743146</v>
      </c>
      <c r="J127" s="67" cm="1">
        <f ca="1" t="array" ref="J127">MIN(8,_xlfn.XLOOKUP($D127&amp;"_"&amp;J$61,$B$23:$B$45&amp;"_"&amp;$C$23:$C$45,$D$23:$D$45)*$E127)</f>
        <v>1.24401384083045</v>
      </c>
      <c r="K127" s="67" cm="1">
        <f ca="1" t="array" ref="K127">MIN(18,_xlfn.XLOOKUP($D127&amp;"_"&amp;K$61,$B$23:$B$45&amp;"_"&amp;$C$23:$C$45,$D$23:$D$45)*$E127)</f>
        <v>0.387026528258363</v>
      </c>
      <c r="L127" s="67" cm="1">
        <f ca="1" t="array" ref="L127">MIN(6,_xlfn.XLOOKUP($D127&amp;"_"&amp;L$61,$B$23:$B$45&amp;"_"&amp;$C$23:$C$45,$D$23:$D$45)*$E127)</f>
        <v>0.580539792387543</v>
      </c>
      <c r="M127" s="67" cm="1">
        <f ca="1" t="array" ref="M127">(1+SUMPRODUCT(G127:H127,OFFSET($H$49:$I$49,D127,0)))*(1+OFFSET($J$49,D127,0))^I127*(1+OFFSET($K$49,D127,0))^J127*(1+OFFSET($L$49,D127,0))^K127*(1+OFFSET($M$49,D127,0))^L127</f>
        <v>15.1359299736517</v>
      </c>
      <c r="N127" s="67">
        <f ca="1">MAX(MAX($N$62:N126),OFFSET($C$61,MATCH(M127*1.07,$M$62:$M$2061,1),0)-C127)</f>
        <v>2520</v>
      </c>
    </row>
    <row r="128" spans="2:14">
      <c r="B128" s="67">
        <v>67</v>
      </c>
      <c r="C128" s="67">
        <f t="shared" si="18"/>
        <v>24120</v>
      </c>
      <c r="D128" s="67">
        <f t="shared" si="19"/>
        <v>5</v>
      </c>
      <c r="E128" s="67">
        <f ca="1" t="shared" si="20"/>
        <v>97</v>
      </c>
      <c r="F128" s="67">
        <f ca="1" t="shared" ref="F128:F191" si="21">30-SUM(G128:L128)</f>
        <v>0</v>
      </c>
      <c r="G128" s="67">
        <f ca="1" t="shared" ref="G128:G191" si="22">30-SUM(H128:L128)</f>
        <v>7.8315789784994</v>
      </c>
      <c r="H128" s="67" cm="1">
        <f ca="1" t="array" ref="H128">MIN(30-SUM(I128:L128),_xlfn.XLOOKUP($D128&amp;"_"&amp;H$61,$B$23:$B$45&amp;"_"&amp;$C$23:$C$45,$D$23:$D$45)*$E128,18)</f>
        <v>18</v>
      </c>
      <c r="I128" s="67" cm="1">
        <f ca="1" t="array" ref="I128">MIN(30-SUM(J128:L128),6-L128,_xlfn.XLOOKUP($D128&amp;"_"&amp;I$61,$B$23:$B$45&amp;"_"&amp;$C$23:$C$45,$D$23:$D$45)*$E128)</f>
        <v>1.93380356667554</v>
      </c>
      <c r="J128" s="67" cm="1">
        <f ca="1" t="array" ref="J128">MIN(8,_xlfn.XLOOKUP($D128&amp;"_"&amp;J$61,$B$23:$B$45&amp;"_"&amp;$C$23:$C$45,$D$23:$D$45)*$E128)</f>
        <v>1.2569723183391</v>
      </c>
      <c r="K128" s="67" cm="1">
        <f ca="1" t="array" ref="K128">MIN(18,_xlfn.XLOOKUP($D128&amp;"_"&amp;K$61,$B$23:$B$45&amp;"_"&amp;$C$23:$C$45,$D$23:$D$45)*$E128)</f>
        <v>0.391058054594387</v>
      </c>
      <c r="L128" s="67" cm="1">
        <f ca="1" t="array" ref="L128">MIN(6,_xlfn.XLOOKUP($D128&amp;"_"&amp;L$61,$B$23:$B$45&amp;"_"&amp;$C$23:$C$45,$D$23:$D$45)*$E128)</f>
        <v>0.58658708189158</v>
      </c>
      <c r="M128" s="67" cm="1">
        <f ca="1" t="array" ref="M128">(1+SUMPRODUCT(G128:H128,OFFSET($H$49:$I$49,D128,0)))*(1+OFFSET($J$49,D128,0))^I128*(1+OFFSET($K$49,D128,0))^J128*(1+OFFSET($L$49,D128,0))^K128*(1+OFFSET($M$49,D128,0))^L128</f>
        <v>15.2808621580399</v>
      </c>
      <c r="N128" s="67">
        <f ca="1">MAX(MAX($N$62:N127),OFFSET($C$61,MATCH(M128*1.07,$M$62:$M$2061,1),0)-C128)</f>
        <v>2520</v>
      </c>
    </row>
    <row r="129" spans="2:14">
      <c r="B129" s="67">
        <v>68</v>
      </c>
      <c r="C129" s="67">
        <f t="shared" si="18"/>
        <v>24480</v>
      </c>
      <c r="D129" s="67">
        <f t="shared" si="19"/>
        <v>5</v>
      </c>
      <c r="E129" s="67">
        <f ca="1" t="shared" si="20"/>
        <v>98</v>
      </c>
      <c r="F129" s="67">
        <f ca="1" t="shared" si="21"/>
        <v>0</v>
      </c>
      <c r="G129" s="67">
        <f ca="1" t="shared" si="22"/>
        <v>7.78860556590661</v>
      </c>
      <c r="H129" s="67" cm="1">
        <f ca="1" t="array" ref="H129">MIN(30-SUM(I129:L129),_xlfn.XLOOKUP($D129&amp;"_"&amp;H$61,$B$23:$B$45&amp;"_"&amp;$C$23:$C$45,$D$23:$D$45)*$E129,18)</f>
        <v>18</v>
      </c>
      <c r="I129" s="67" cm="1">
        <f ca="1" t="array" ref="I129">MIN(30-SUM(J129:L129),6-L129,_xlfn.XLOOKUP($D129&amp;"_"&amp;I$61,$B$23:$B$45&amp;"_"&amp;$C$23:$C$45,$D$23:$D$45)*$E129)</f>
        <v>1.95373968591961</v>
      </c>
      <c r="J129" s="67" cm="1">
        <f ca="1" t="array" ref="J129">MIN(8,_xlfn.XLOOKUP($D129&amp;"_"&amp;J$61,$B$23:$B$45&amp;"_"&amp;$C$23:$C$45,$D$23:$D$45)*$E129)</f>
        <v>1.26993079584775</v>
      </c>
      <c r="K129" s="67" cm="1">
        <f ca="1" t="array" ref="K129">MIN(18,_xlfn.XLOOKUP($D129&amp;"_"&amp;K$61,$B$23:$B$45&amp;"_"&amp;$C$23:$C$45,$D$23:$D$45)*$E129)</f>
        <v>0.395089580930412</v>
      </c>
      <c r="L129" s="67" cm="1">
        <f ca="1" t="array" ref="L129">MIN(6,_xlfn.XLOOKUP($D129&amp;"_"&amp;L$61,$B$23:$B$45&amp;"_"&amp;$C$23:$C$45,$D$23:$D$45)*$E129)</f>
        <v>0.592634371395617</v>
      </c>
      <c r="M129" s="67" cm="1">
        <f ca="1" t="array" ref="M129">(1+SUMPRODUCT(G129:H129,OFFSET($H$49:$I$49,D129,0)))*(1+OFFSET($J$49,D129,0))^I129*(1+OFFSET($K$49,D129,0))^J129*(1+OFFSET($L$49,D129,0))^K129*(1+OFFSET($M$49,D129,0))^L129</f>
        <v>15.4271687543698</v>
      </c>
      <c r="N129" s="67">
        <f ca="1">MAX(MAX($N$62:N128),OFFSET($C$61,MATCH(M129*1.07,$M$62:$M$2061,1),0)-C129)</f>
        <v>2520</v>
      </c>
    </row>
    <row r="130" spans="2:14">
      <c r="B130" s="67">
        <v>69</v>
      </c>
      <c r="C130" s="67">
        <f t="shared" si="18"/>
        <v>24840</v>
      </c>
      <c r="D130" s="67">
        <f t="shared" si="19"/>
        <v>5</v>
      </c>
      <c r="E130" s="67">
        <f ca="1" t="shared" si="20"/>
        <v>99</v>
      </c>
      <c r="F130" s="67">
        <f ca="1" t="shared" si="21"/>
        <v>0</v>
      </c>
      <c r="G130" s="67">
        <f ca="1" t="shared" si="22"/>
        <v>7.74563215331382</v>
      </c>
      <c r="H130" s="67" cm="1">
        <f ca="1" t="array" ref="H130">MIN(30-SUM(I130:L130),_xlfn.XLOOKUP($D130&amp;"_"&amp;H$61,$B$23:$B$45&amp;"_"&amp;$C$23:$C$45,$D$23:$D$45)*$E130,18)</f>
        <v>18</v>
      </c>
      <c r="I130" s="67" cm="1">
        <f ca="1" t="array" ref="I130">MIN(30-SUM(J130:L130),6-L130,_xlfn.XLOOKUP($D130&amp;"_"&amp;I$61,$B$23:$B$45&amp;"_"&amp;$C$23:$C$45,$D$23:$D$45)*$E130)</f>
        <v>1.97367580516369</v>
      </c>
      <c r="J130" s="67" cm="1">
        <f ca="1" t="array" ref="J130">MIN(8,_xlfn.XLOOKUP($D130&amp;"_"&amp;J$61,$B$23:$B$45&amp;"_"&amp;$C$23:$C$45,$D$23:$D$45)*$E130)</f>
        <v>1.2828892733564</v>
      </c>
      <c r="K130" s="67" cm="1">
        <f ca="1" t="array" ref="K130">MIN(18,_xlfn.XLOOKUP($D130&amp;"_"&amp;K$61,$B$23:$B$45&amp;"_"&amp;$C$23:$C$45,$D$23:$D$45)*$E130)</f>
        <v>0.399121107266436</v>
      </c>
      <c r="L130" s="67" cm="1">
        <f ca="1" t="array" ref="L130">MIN(6,_xlfn.XLOOKUP($D130&amp;"_"&amp;L$61,$B$23:$B$45&amp;"_"&amp;$C$23:$C$45,$D$23:$D$45)*$E130)</f>
        <v>0.598681660899654</v>
      </c>
      <c r="M130" s="67" cm="1">
        <f ca="1" t="array" ref="M130">(1+SUMPRODUCT(G130:H130,OFFSET($H$49:$I$49,D130,0)))*(1+OFFSET($J$49,D130,0))^I130*(1+OFFSET($K$49,D130,0))^J130*(1+OFFSET($L$49,D130,0))^K130*(1+OFFSET($M$49,D130,0))^L130</f>
        <v>15.5748626420188</v>
      </c>
      <c r="N130" s="67">
        <f ca="1">MAX(MAX($N$62:N129),OFFSET($C$61,MATCH(M130*1.07,$M$62:$M$2061,1),0)-C130)</f>
        <v>2520</v>
      </c>
    </row>
    <row r="131" spans="2:14">
      <c r="B131" s="67">
        <v>70</v>
      </c>
      <c r="C131" s="67">
        <f t="shared" si="18"/>
        <v>25200</v>
      </c>
      <c r="D131" s="67">
        <f t="shared" si="19"/>
        <v>5</v>
      </c>
      <c r="E131" s="67">
        <f ca="1" t="shared" si="20"/>
        <v>100</v>
      </c>
      <c r="F131" s="67">
        <f ca="1" t="shared" si="21"/>
        <v>0</v>
      </c>
      <c r="G131" s="67">
        <f ca="1" t="shared" si="22"/>
        <v>7.70265874072103</v>
      </c>
      <c r="H131" s="67" cm="1">
        <f ca="1" t="array" ref="H131">MIN(30-SUM(I131:L131),_xlfn.XLOOKUP($D131&amp;"_"&amp;H$61,$B$23:$B$45&amp;"_"&amp;$C$23:$C$45,$D$23:$D$45)*$E131,18)</f>
        <v>18</v>
      </c>
      <c r="I131" s="67" cm="1">
        <f ca="1" t="array" ref="I131">MIN(30-SUM(J131:L131),6-L131,_xlfn.XLOOKUP($D131&amp;"_"&amp;I$61,$B$23:$B$45&amp;"_"&amp;$C$23:$C$45,$D$23:$D$45)*$E131)</f>
        <v>1.99361192440777</v>
      </c>
      <c r="J131" s="67" cm="1">
        <f ca="1" t="array" ref="J131">MIN(8,_xlfn.XLOOKUP($D131&amp;"_"&amp;J$61,$B$23:$B$45&amp;"_"&amp;$C$23:$C$45,$D$23:$D$45)*$E131)</f>
        <v>1.29584775086505</v>
      </c>
      <c r="K131" s="67" cm="1">
        <f ca="1" t="array" ref="K131">MIN(18,_xlfn.XLOOKUP($D131&amp;"_"&amp;K$61,$B$23:$B$45&amp;"_"&amp;$C$23:$C$45,$D$23:$D$45)*$E131)</f>
        <v>0.403152633602461</v>
      </c>
      <c r="L131" s="67" cm="1">
        <f ca="1" t="array" ref="L131">MIN(6,_xlfn.XLOOKUP($D131&amp;"_"&amp;L$61,$B$23:$B$45&amp;"_"&amp;$C$23:$C$45,$D$23:$D$45)*$E131)</f>
        <v>0.604728950403691</v>
      </c>
      <c r="M131" s="67" cm="1">
        <f ca="1" t="array" ref="M131">(1+SUMPRODUCT(G131:H131,OFFSET($H$49:$I$49,D131,0)))*(1+OFFSET($J$49,D131,0))^I131*(1+OFFSET($K$49,D131,0))^J131*(1+OFFSET($L$49,D131,0))^K131*(1+OFFSET($M$49,D131,0))^L131</f>
        <v>15.7239568192548</v>
      </c>
      <c r="N131" s="67">
        <f ca="1">MAX(MAX($N$62:N130),OFFSET($C$61,MATCH(M131*1.07,$M$62:$M$2061,1),0)-C131)</f>
        <v>2520</v>
      </c>
    </row>
    <row r="132" spans="2:14">
      <c r="B132" s="67">
        <v>71</v>
      </c>
      <c r="C132" s="67">
        <f t="shared" si="18"/>
        <v>25560</v>
      </c>
      <c r="D132" s="67">
        <f t="shared" si="19"/>
        <v>5</v>
      </c>
      <c r="E132" s="67">
        <f ca="1" t="shared" si="20"/>
        <v>101</v>
      </c>
      <c r="F132" s="67">
        <f ca="1" t="shared" si="21"/>
        <v>0</v>
      </c>
      <c r="G132" s="67">
        <f ca="1" t="shared" si="22"/>
        <v>7.65968532812824</v>
      </c>
      <c r="H132" s="67" cm="1">
        <f ca="1" t="array" ref="H132">MIN(30-SUM(I132:L132),_xlfn.XLOOKUP($D132&amp;"_"&amp;H$61,$B$23:$B$45&amp;"_"&amp;$C$23:$C$45,$D$23:$D$45)*$E132,18)</f>
        <v>18</v>
      </c>
      <c r="I132" s="67" cm="1">
        <f ca="1" t="array" ref="I132">MIN(30-SUM(J132:L132),6-L132,_xlfn.XLOOKUP($D132&amp;"_"&amp;I$61,$B$23:$B$45&amp;"_"&amp;$C$23:$C$45,$D$23:$D$45)*$E132)</f>
        <v>2.01354804365185</v>
      </c>
      <c r="J132" s="67" cm="1">
        <f ca="1" t="array" ref="J132">MIN(8,_xlfn.XLOOKUP($D132&amp;"_"&amp;J$61,$B$23:$B$45&amp;"_"&amp;$C$23:$C$45,$D$23:$D$45)*$E132)</f>
        <v>1.3088062283737</v>
      </c>
      <c r="K132" s="67" cm="1">
        <f ca="1" t="array" ref="K132">MIN(18,_xlfn.XLOOKUP($D132&amp;"_"&amp;K$61,$B$23:$B$45&amp;"_"&amp;$C$23:$C$45,$D$23:$D$45)*$E132)</f>
        <v>0.407184159938486</v>
      </c>
      <c r="L132" s="67" cm="1">
        <f ca="1" t="array" ref="L132">MIN(6,_xlfn.XLOOKUP($D132&amp;"_"&amp;L$61,$B$23:$B$45&amp;"_"&amp;$C$23:$C$45,$D$23:$D$45)*$E132)</f>
        <v>0.610776239907728</v>
      </c>
      <c r="M132" s="67" cm="1">
        <f ca="1" t="array" ref="M132">(1+SUMPRODUCT(G132:H132,OFFSET($H$49:$I$49,D132,0)))*(1+OFFSET($J$49,D132,0))^I132*(1+OFFSET($K$49,D132,0))^J132*(1+OFFSET($L$49,D132,0))^K132*(1+OFFSET($M$49,D132,0))^L132</f>
        <v>15.8744644043129</v>
      </c>
      <c r="N132" s="67">
        <f ca="1">MAX(MAX($N$62:N131),OFFSET($C$61,MATCH(M132*1.07,$M$62:$M$2061,1),0)-C132)</f>
        <v>2520</v>
      </c>
    </row>
    <row r="133" spans="2:14">
      <c r="B133" s="67">
        <v>72</v>
      </c>
      <c r="C133" s="67">
        <f t="shared" si="18"/>
        <v>25920</v>
      </c>
      <c r="D133" s="67">
        <f t="shared" si="19"/>
        <v>5</v>
      </c>
      <c r="E133" s="67">
        <f ca="1" t="shared" si="20"/>
        <v>102</v>
      </c>
      <c r="F133" s="67">
        <f ca="1" t="shared" si="21"/>
        <v>0</v>
      </c>
      <c r="G133" s="67">
        <f ca="1" t="shared" si="22"/>
        <v>7.61671191553545</v>
      </c>
      <c r="H133" s="67" cm="1">
        <f ca="1" t="array" ref="H133">MIN(30-SUM(I133:L133),_xlfn.XLOOKUP($D133&amp;"_"&amp;H$61,$B$23:$B$45&amp;"_"&amp;$C$23:$C$45,$D$23:$D$45)*$E133,18)</f>
        <v>18</v>
      </c>
      <c r="I133" s="67" cm="1">
        <f ca="1" t="array" ref="I133">MIN(30-SUM(J133:L133),6-L133,_xlfn.XLOOKUP($D133&amp;"_"&amp;I$61,$B$23:$B$45&amp;"_"&amp;$C$23:$C$45,$D$23:$D$45)*$E133)</f>
        <v>2.03348416289593</v>
      </c>
      <c r="J133" s="67" cm="1">
        <f ca="1" t="array" ref="J133">MIN(8,_xlfn.XLOOKUP($D133&amp;"_"&amp;J$61,$B$23:$B$45&amp;"_"&amp;$C$23:$C$45,$D$23:$D$45)*$E133)</f>
        <v>1.32176470588235</v>
      </c>
      <c r="K133" s="67" cm="1">
        <f ca="1" t="array" ref="K133">MIN(18,_xlfn.XLOOKUP($D133&amp;"_"&amp;K$61,$B$23:$B$45&amp;"_"&amp;$C$23:$C$45,$D$23:$D$45)*$E133)</f>
        <v>0.41121568627451</v>
      </c>
      <c r="L133" s="67" cm="1">
        <f ca="1" t="array" ref="L133">MIN(6,_xlfn.XLOOKUP($D133&amp;"_"&amp;L$61,$B$23:$B$45&amp;"_"&amp;$C$23:$C$45,$D$23:$D$45)*$E133)</f>
        <v>0.616823529411765</v>
      </c>
      <c r="M133" s="67" cm="1">
        <f ca="1" t="array" ref="M133">(1+SUMPRODUCT(G133:H133,OFFSET($H$49:$I$49,D133,0)))*(1+OFFSET($J$49,D133,0))^I133*(1+OFFSET($K$49,D133,0))^J133*(1+OFFSET($L$49,D133,0))^K133*(1+OFFSET($M$49,D133,0))^L133</f>
        <v>16.0263986364805</v>
      </c>
      <c r="N133" s="67">
        <f ca="1">MAX(MAX($N$62:N132),OFFSET($C$61,MATCH(M133*1.07,$M$62:$M$2061,1),0)-C133)</f>
        <v>2520</v>
      </c>
    </row>
    <row r="134" spans="2:14">
      <c r="B134" s="67">
        <v>73</v>
      </c>
      <c r="C134" s="67">
        <f t="shared" si="18"/>
        <v>26280</v>
      </c>
      <c r="D134" s="67">
        <f t="shared" si="19"/>
        <v>5</v>
      </c>
      <c r="E134" s="67">
        <f ca="1" t="shared" si="20"/>
        <v>103</v>
      </c>
      <c r="F134" s="67">
        <f ca="1" t="shared" si="21"/>
        <v>0</v>
      </c>
      <c r="G134" s="67">
        <f ca="1" t="shared" si="22"/>
        <v>7.57373850294266</v>
      </c>
      <c r="H134" s="67" cm="1">
        <f ca="1" t="array" ref="H134">MIN(30-SUM(I134:L134),_xlfn.XLOOKUP($D134&amp;"_"&amp;H$61,$B$23:$B$45&amp;"_"&amp;$C$23:$C$45,$D$23:$D$45)*$E134,18)</f>
        <v>18</v>
      </c>
      <c r="I134" s="67" cm="1">
        <f ca="1" t="array" ref="I134">MIN(30-SUM(J134:L134),6-L134,_xlfn.XLOOKUP($D134&amp;"_"&amp;I$61,$B$23:$B$45&amp;"_"&amp;$C$23:$C$45,$D$23:$D$45)*$E134)</f>
        <v>2.05342028214</v>
      </c>
      <c r="J134" s="67" cm="1">
        <f ca="1" t="array" ref="J134">MIN(8,_xlfn.XLOOKUP($D134&amp;"_"&amp;J$61,$B$23:$B$45&amp;"_"&amp;$C$23:$C$45,$D$23:$D$45)*$E134)</f>
        <v>1.334723183391</v>
      </c>
      <c r="K134" s="67" cm="1">
        <f ca="1" t="array" ref="K134">MIN(18,_xlfn.XLOOKUP($D134&amp;"_"&amp;K$61,$B$23:$B$45&amp;"_"&amp;$C$23:$C$45,$D$23:$D$45)*$E134)</f>
        <v>0.415247212610535</v>
      </c>
      <c r="L134" s="67" cm="1">
        <f ca="1" t="array" ref="L134">MIN(6,_xlfn.XLOOKUP($D134&amp;"_"&amp;L$61,$B$23:$B$45&amp;"_"&amp;$C$23:$C$45,$D$23:$D$45)*$E134)</f>
        <v>0.622870818915802</v>
      </c>
      <c r="M134" s="67" cm="1">
        <f ca="1" t="array" ref="M134">(1+SUMPRODUCT(G134:H134,OFFSET($H$49:$I$49,D134,0)))*(1+OFFSET($J$49,D134,0))^I134*(1+OFFSET($K$49,D134,0))^J134*(1+OFFSET($L$49,D134,0))^K134*(1+OFFSET($M$49,D134,0))^L134</f>
        <v>16.1797728771932</v>
      </c>
      <c r="N134" s="67">
        <f ca="1">MAX(MAX($N$62:N133),OFFSET($C$61,MATCH(M134*1.07,$M$62:$M$2061,1),0)-C134)</f>
        <v>2520</v>
      </c>
    </row>
    <row r="135" spans="2:14">
      <c r="B135" s="67">
        <v>74</v>
      </c>
      <c r="C135" s="67">
        <f t="shared" si="18"/>
        <v>26640</v>
      </c>
      <c r="D135" s="67">
        <f t="shared" si="19"/>
        <v>5</v>
      </c>
      <c r="E135" s="67">
        <f ca="1" t="shared" si="20"/>
        <v>104</v>
      </c>
      <c r="F135" s="67">
        <f ca="1" t="shared" si="21"/>
        <v>0</v>
      </c>
      <c r="G135" s="67">
        <f ca="1" t="shared" si="22"/>
        <v>7.53076509034987</v>
      </c>
      <c r="H135" s="67" cm="1">
        <f ca="1" t="array" ref="H135">MIN(30-SUM(I135:L135),_xlfn.XLOOKUP($D135&amp;"_"&amp;H$61,$B$23:$B$45&amp;"_"&amp;$C$23:$C$45,$D$23:$D$45)*$E135,18)</f>
        <v>18</v>
      </c>
      <c r="I135" s="67" cm="1">
        <f ca="1" t="array" ref="I135">MIN(30-SUM(J135:L135),6-L135,_xlfn.XLOOKUP($D135&amp;"_"&amp;I$61,$B$23:$B$45&amp;"_"&amp;$C$23:$C$45,$D$23:$D$45)*$E135)</f>
        <v>2.07335640138408</v>
      </c>
      <c r="J135" s="67" cm="1">
        <f ca="1" t="array" ref="J135">MIN(8,_xlfn.XLOOKUP($D135&amp;"_"&amp;J$61,$B$23:$B$45&amp;"_"&amp;$C$23:$C$45,$D$23:$D$45)*$E135)</f>
        <v>1.34768166089965</v>
      </c>
      <c r="K135" s="67" cm="1">
        <f ca="1" t="array" ref="K135">MIN(18,_xlfn.XLOOKUP($D135&amp;"_"&amp;K$61,$B$23:$B$45&amp;"_"&amp;$C$23:$C$45,$D$23:$D$45)*$E135)</f>
        <v>0.419278738946559</v>
      </c>
      <c r="L135" s="67" cm="1">
        <f ca="1" t="array" ref="L135">MIN(6,_xlfn.XLOOKUP($D135&amp;"_"&amp;L$61,$B$23:$B$45&amp;"_"&amp;$C$23:$C$45,$D$23:$D$45)*$E135)</f>
        <v>0.628918108419839</v>
      </c>
      <c r="M135" s="67" cm="1">
        <f ca="1" t="array" ref="M135">(1+SUMPRODUCT(G135:H135,OFFSET($H$49:$I$49,D135,0)))*(1+OFFSET($J$49,D135,0))^I135*(1+OFFSET($K$49,D135,0))^J135*(1+OFFSET($L$49,D135,0))^K135*(1+OFFSET($M$49,D135,0))^L135</f>
        <v>16.3346006111396</v>
      </c>
      <c r="N135" s="67">
        <f ca="1">MAX(MAX($N$62:N134),OFFSET($C$61,MATCH(M135*1.07,$M$62:$M$2061,1),0)-C135)</f>
        <v>2520</v>
      </c>
    </row>
    <row r="136" spans="2:14">
      <c r="B136" s="67">
        <v>75</v>
      </c>
      <c r="C136" s="67">
        <f t="shared" si="18"/>
        <v>27000</v>
      </c>
      <c r="D136" s="67">
        <f t="shared" si="19"/>
        <v>5</v>
      </c>
      <c r="E136" s="67">
        <f ca="1" t="shared" si="20"/>
        <v>105</v>
      </c>
      <c r="F136" s="67">
        <f ca="1" t="shared" si="21"/>
        <v>0</v>
      </c>
      <c r="G136" s="67">
        <f ca="1" t="shared" si="22"/>
        <v>7.48779167775708</v>
      </c>
      <c r="H136" s="67" cm="1">
        <f ca="1" t="array" ref="H136">MIN(30-SUM(I136:L136),_xlfn.XLOOKUP($D136&amp;"_"&amp;H$61,$B$23:$B$45&amp;"_"&amp;$C$23:$C$45,$D$23:$D$45)*$E136,18)</f>
        <v>18</v>
      </c>
      <c r="I136" s="67" cm="1">
        <f ca="1" t="array" ref="I136">MIN(30-SUM(J136:L136),6-L136,_xlfn.XLOOKUP($D136&amp;"_"&amp;I$61,$B$23:$B$45&amp;"_"&amp;$C$23:$C$45,$D$23:$D$45)*$E136)</f>
        <v>2.09329252062816</v>
      </c>
      <c r="J136" s="67" cm="1">
        <f ca="1" t="array" ref="J136">MIN(8,_xlfn.XLOOKUP($D136&amp;"_"&amp;J$61,$B$23:$B$45&amp;"_"&amp;$C$23:$C$45,$D$23:$D$45)*$E136)</f>
        <v>1.3606401384083</v>
      </c>
      <c r="K136" s="67" cm="1">
        <f ca="1" t="array" ref="K136">MIN(18,_xlfn.XLOOKUP($D136&amp;"_"&amp;K$61,$B$23:$B$45&amp;"_"&amp;$C$23:$C$45,$D$23:$D$45)*$E136)</f>
        <v>0.423310265282584</v>
      </c>
      <c r="L136" s="67" cm="1">
        <f ca="1" t="array" ref="L136">MIN(6,_xlfn.XLOOKUP($D136&amp;"_"&amp;L$61,$B$23:$B$45&amp;"_"&amp;$C$23:$C$45,$D$23:$D$45)*$E136)</f>
        <v>0.634965397923876</v>
      </c>
      <c r="M136" s="67" cm="1">
        <f ca="1" t="array" ref="M136">(1+SUMPRODUCT(G136:H136,OFFSET($H$49:$I$49,D136,0)))*(1+OFFSET($J$49,D136,0))^I136*(1+OFFSET($K$49,D136,0))^J136*(1+OFFSET($L$49,D136,0))^K136*(1+OFFSET($M$49,D136,0))^L136</f>
        <v>16.4908954473756</v>
      </c>
      <c r="N136" s="67">
        <f ca="1">MAX(MAX($N$62:N135),OFFSET($C$61,MATCH(M136*1.07,$M$62:$M$2061,1),0)-C136)</f>
        <v>2520</v>
      </c>
    </row>
    <row r="137" spans="2:14">
      <c r="B137" s="67">
        <v>76</v>
      </c>
      <c r="C137" s="67">
        <f t="shared" si="18"/>
        <v>27360</v>
      </c>
      <c r="D137" s="67">
        <f t="shared" si="19"/>
        <v>5</v>
      </c>
      <c r="E137" s="67">
        <f ca="1" t="shared" si="20"/>
        <v>106</v>
      </c>
      <c r="F137" s="67">
        <f ca="1" t="shared" si="21"/>
        <v>0</v>
      </c>
      <c r="G137" s="67">
        <f ca="1" t="shared" si="22"/>
        <v>7.44481826516429</v>
      </c>
      <c r="H137" s="67" cm="1">
        <f ca="1" t="array" ref="H137">MIN(30-SUM(I137:L137),_xlfn.XLOOKUP($D137&amp;"_"&amp;H$61,$B$23:$B$45&amp;"_"&amp;$C$23:$C$45,$D$23:$D$45)*$E137,18)</f>
        <v>18</v>
      </c>
      <c r="I137" s="67" cm="1">
        <f ca="1" t="array" ref="I137">MIN(30-SUM(J137:L137),6-L137,_xlfn.XLOOKUP($D137&amp;"_"&amp;I$61,$B$23:$B$45&amp;"_"&amp;$C$23:$C$45,$D$23:$D$45)*$E137)</f>
        <v>2.11322863987224</v>
      </c>
      <c r="J137" s="67" cm="1">
        <f ca="1" t="array" ref="J137">MIN(8,_xlfn.XLOOKUP($D137&amp;"_"&amp;J$61,$B$23:$B$45&amp;"_"&amp;$C$23:$C$45,$D$23:$D$45)*$E137)</f>
        <v>1.37359861591695</v>
      </c>
      <c r="K137" s="67" cm="1">
        <f ca="1" t="array" ref="K137">MIN(18,_xlfn.XLOOKUP($D137&amp;"_"&amp;K$61,$B$23:$B$45&amp;"_"&amp;$C$23:$C$45,$D$23:$D$45)*$E137)</f>
        <v>0.427341791618609</v>
      </c>
      <c r="L137" s="67" cm="1">
        <f ca="1" t="array" ref="L137">MIN(6,_xlfn.XLOOKUP($D137&amp;"_"&amp;L$61,$B$23:$B$45&amp;"_"&amp;$C$23:$C$45,$D$23:$D$45)*$E137)</f>
        <v>0.641012687427913</v>
      </c>
      <c r="M137" s="67" cm="1">
        <f ca="1" t="array" ref="M137">(1+SUMPRODUCT(G137:H137,OFFSET($H$49:$I$49,D137,0)))*(1+OFFSET($J$49,D137,0))^I137*(1+OFFSET($K$49,D137,0))^J137*(1+OFFSET($L$49,D137,0))^K137*(1+OFFSET($M$49,D137,0))^L137</f>
        <v>16.6486711204495</v>
      </c>
      <c r="N137" s="67">
        <f ca="1">MAX(MAX($N$62:N136),OFFSET($C$61,MATCH(M137*1.07,$M$62:$M$2061,1),0)-C137)</f>
        <v>2520</v>
      </c>
    </row>
    <row r="138" spans="2:14">
      <c r="B138" s="67">
        <v>77</v>
      </c>
      <c r="C138" s="67">
        <f t="shared" ref="C138:C201" si="23">C137+360</f>
        <v>27720</v>
      </c>
      <c r="D138" s="67">
        <f t="shared" si="19"/>
        <v>5</v>
      </c>
      <c r="E138" s="67">
        <f ca="1" t="shared" si="20"/>
        <v>107</v>
      </c>
      <c r="F138" s="67">
        <f ca="1" t="shared" si="21"/>
        <v>0</v>
      </c>
      <c r="G138" s="67">
        <f ca="1" t="shared" si="22"/>
        <v>7.4018448525715</v>
      </c>
      <c r="H138" s="67" cm="1">
        <f ca="1" t="array" ref="H138">MIN(30-SUM(I138:L138),_xlfn.XLOOKUP($D138&amp;"_"&amp;H$61,$B$23:$B$45&amp;"_"&amp;$C$23:$C$45,$D$23:$D$45)*$E138,18)</f>
        <v>18</v>
      </c>
      <c r="I138" s="67" cm="1">
        <f ca="1" t="array" ref="I138">MIN(30-SUM(J138:L138),6-L138,_xlfn.XLOOKUP($D138&amp;"_"&amp;I$61,$B$23:$B$45&amp;"_"&amp;$C$23:$C$45,$D$23:$D$45)*$E138)</f>
        <v>2.13316475911631</v>
      </c>
      <c r="J138" s="67" cm="1">
        <f ca="1" t="array" ref="J138">MIN(8,_xlfn.XLOOKUP($D138&amp;"_"&amp;J$61,$B$23:$B$45&amp;"_"&amp;$C$23:$C$45,$D$23:$D$45)*$E138)</f>
        <v>1.3865570934256</v>
      </c>
      <c r="K138" s="67" cm="1">
        <f ca="1" t="array" ref="K138">MIN(18,_xlfn.XLOOKUP($D138&amp;"_"&amp;K$61,$B$23:$B$45&amp;"_"&amp;$C$23:$C$45,$D$23:$D$45)*$E138)</f>
        <v>0.431373317954633</v>
      </c>
      <c r="L138" s="67" cm="1">
        <f ca="1" t="array" ref="L138">MIN(6,_xlfn.XLOOKUP($D138&amp;"_"&amp;L$61,$B$23:$B$45&amp;"_"&amp;$C$23:$C$45,$D$23:$D$45)*$E138)</f>
        <v>0.647059976931949</v>
      </c>
      <c r="M138" s="67" cm="1">
        <f ca="1" t="array" ref="M138">(1+SUMPRODUCT(G138:H138,OFFSET($H$49:$I$49,D138,0)))*(1+OFFSET($J$49,D138,0))^I138*(1+OFFSET($K$49,D138,0))^J138*(1+OFFSET($L$49,D138,0))^K138*(1+OFFSET($M$49,D138,0))^L138</f>
        <v>16.807941491536</v>
      </c>
      <c r="N138" s="67">
        <f ca="1">MAX(MAX($N$62:N137),OFFSET($C$61,MATCH(M138*1.07,$M$62:$M$2061,1),0)-C138)</f>
        <v>2520</v>
      </c>
    </row>
    <row r="139" spans="2:14">
      <c r="B139" s="67">
        <v>78</v>
      </c>
      <c r="C139" s="67">
        <f t="shared" si="23"/>
        <v>28080</v>
      </c>
      <c r="D139" s="67">
        <f t="shared" si="19"/>
        <v>5</v>
      </c>
      <c r="E139" s="67">
        <f ca="1" t="shared" si="20"/>
        <v>108</v>
      </c>
      <c r="F139" s="67">
        <f ca="1" t="shared" si="21"/>
        <v>0</v>
      </c>
      <c r="G139" s="67">
        <f ca="1" t="shared" si="22"/>
        <v>7.35887143997871</v>
      </c>
      <c r="H139" s="67" cm="1">
        <f ca="1" t="array" ref="H139">MIN(30-SUM(I139:L139),_xlfn.XLOOKUP($D139&amp;"_"&amp;H$61,$B$23:$B$45&amp;"_"&amp;$C$23:$C$45,$D$23:$D$45)*$E139,18)</f>
        <v>18</v>
      </c>
      <c r="I139" s="67" cm="1">
        <f ca="1" t="array" ref="I139">MIN(30-SUM(J139:L139),6-L139,_xlfn.XLOOKUP($D139&amp;"_"&amp;I$61,$B$23:$B$45&amp;"_"&amp;$C$23:$C$45,$D$23:$D$45)*$E139)</f>
        <v>2.15310087836039</v>
      </c>
      <c r="J139" s="67" cm="1">
        <f ca="1" t="array" ref="J139">MIN(8,_xlfn.XLOOKUP($D139&amp;"_"&amp;J$61,$B$23:$B$45&amp;"_"&amp;$C$23:$C$45,$D$23:$D$45)*$E139)</f>
        <v>1.39951557093425</v>
      </c>
      <c r="K139" s="67" cm="1">
        <f ca="1" t="array" ref="K139">MIN(18,_xlfn.XLOOKUP($D139&amp;"_"&amp;K$61,$B$23:$B$45&amp;"_"&amp;$C$23:$C$45,$D$23:$D$45)*$E139)</f>
        <v>0.435404844290658</v>
      </c>
      <c r="L139" s="67" cm="1">
        <f ca="1" t="array" ref="L139">MIN(6,_xlfn.XLOOKUP($D139&amp;"_"&amp;L$61,$B$23:$B$45&amp;"_"&amp;$C$23:$C$45,$D$23:$D$45)*$E139)</f>
        <v>0.653107266435986</v>
      </c>
      <c r="M139" s="67" cm="1">
        <f ca="1" t="array" ref="M139">(1+SUMPRODUCT(G139:H139,OFFSET($H$49:$I$49,D139,0)))*(1+OFFSET($J$49,D139,0))^I139*(1+OFFSET($K$49,D139,0))^J139*(1+OFFSET($L$49,D139,0))^K139*(1+OFFSET($M$49,D139,0))^L139</f>
        <v>16.9687205495808</v>
      </c>
      <c r="N139" s="67">
        <f ca="1">MAX(MAX($N$62:N138),OFFSET($C$61,MATCH(M139*1.07,$M$62:$M$2061,1),0)-C139)</f>
        <v>2520</v>
      </c>
    </row>
    <row r="140" spans="2:14">
      <c r="B140" s="67">
        <v>79</v>
      </c>
      <c r="C140" s="67">
        <f t="shared" si="23"/>
        <v>28440</v>
      </c>
      <c r="D140" s="67">
        <f t="shared" si="19"/>
        <v>5</v>
      </c>
      <c r="E140" s="67">
        <f ca="1" t="shared" si="20"/>
        <v>109</v>
      </c>
      <c r="F140" s="67">
        <f ca="1" t="shared" si="21"/>
        <v>0</v>
      </c>
      <c r="G140" s="67">
        <f ca="1" t="shared" si="22"/>
        <v>7.31589802738592</v>
      </c>
      <c r="H140" s="67" cm="1">
        <f ca="1" t="array" ref="H140">MIN(30-SUM(I140:L140),_xlfn.XLOOKUP($D140&amp;"_"&amp;H$61,$B$23:$B$45&amp;"_"&amp;$C$23:$C$45,$D$23:$D$45)*$E140,18)</f>
        <v>18</v>
      </c>
      <c r="I140" s="67" cm="1">
        <f ca="1" t="array" ref="I140">MIN(30-SUM(J140:L140),6-L140,_xlfn.XLOOKUP($D140&amp;"_"&amp;I$61,$B$23:$B$45&amp;"_"&amp;$C$23:$C$45,$D$23:$D$45)*$E140)</f>
        <v>2.17303699760447</v>
      </c>
      <c r="J140" s="67" cm="1">
        <f ca="1" t="array" ref="J140">MIN(8,_xlfn.XLOOKUP($D140&amp;"_"&amp;J$61,$B$23:$B$45&amp;"_"&amp;$C$23:$C$45,$D$23:$D$45)*$E140)</f>
        <v>1.4124740484429</v>
      </c>
      <c r="K140" s="67" cm="1">
        <f ca="1" t="array" ref="K140">MIN(18,_xlfn.XLOOKUP($D140&amp;"_"&amp;K$61,$B$23:$B$45&amp;"_"&amp;$C$23:$C$45,$D$23:$D$45)*$E140)</f>
        <v>0.439436370626682</v>
      </c>
      <c r="L140" s="67" cm="1">
        <f ca="1" t="array" ref="L140">MIN(6,_xlfn.XLOOKUP($D140&amp;"_"&amp;L$61,$B$23:$B$45&amp;"_"&amp;$C$23:$C$45,$D$23:$D$45)*$E140)</f>
        <v>0.659154555940023</v>
      </c>
      <c r="M140" s="67" cm="1">
        <f ca="1" t="array" ref="M140">(1+SUMPRODUCT(G140:H140,OFFSET($H$49:$I$49,D140,0)))*(1+OFFSET($J$49,D140,0))^I140*(1+OFFSET($K$49,D140,0))^J140*(1+OFFSET($L$49,D140,0))^K140*(1+OFFSET($M$49,D140,0))^L140</f>
        <v>17.1310224124549</v>
      </c>
      <c r="N140" s="67">
        <f ca="1">MAX(MAX($N$62:N139),OFFSET($C$61,MATCH(M140*1.07,$M$62:$M$2061,1),0)-C140)</f>
        <v>2520</v>
      </c>
    </row>
    <row r="141" spans="2:14">
      <c r="B141" s="67">
        <v>80</v>
      </c>
      <c r="C141" s="67">
        <f t="shared" si="23"/>
        <v>28800</v>
      </c>
      <c r="D141" s="67">
        <f t="shared" si="19"/>
        <v>5</v>
      </c>
      <c r="E141" s="67">
        <f ca="1" t="shared" si="20"/>
        <v>110</v>
      </c>
      <c r="F141" s="67">
        <f ca="1" t="shared" si="21"/>
        <v>0</v>
      </c>
      <c r="G141" s="67">
        <f ca="1" t="shared" si="22"/>
        <v>7.27292461479313</v>
      </c>
      <c r="H141" s="67" cm="1">
        <f ca="1" t="array" ref="H141">MIN(30-SUM(I141:L141),_xlfn.XLOOKUP($D141&amp;"_"&amp;H$61,$B$23:$B$45&amp;"_"&amp;$C$23:$C$45,$D$23:$D$45)*$E141,18)</f>
        <v>18</v>
      </c>
      <c r="I141" s="67" cm="1">
        <f ca="1" t="array" ref="I141">MIN(30-SUM(J141:L141),6-L141,_xlfn.XLOOKUP($D141&amp;"_"&amp;I$61,$B$23:$B$45&amp;"_"&amp;$C$23:$C$45,$D$23:$D$45)*$E141)</f>
        <v>2.19297311684855</v>
      </c>
      <c r="J141" s="67" cm="1">
        <f ca="1" t="array" ref="J141">MIN(8,_xlfn.XLOOKUP($D141&amp;"_"&amp;J$61,$B$23:$B$45&amp;"_"&amp;$C$23:$C$45,$D$23:$D$45)*$E141)</f>
        <v>1.42543252595156</v>
      </c>
      <c r="K141" s="67" cm="1">
        <f ca="1" t="array" ref="K141">MIN(18,_xlfn.XLOOKUP($D141&amp;"_"&amp;K$61,$B$23:$B$45&amp;"_"&amp;$C$23:$C$45,$D$23:$D$45)*$E141)</f>
        <v>0.443467896962707</v>
      </c>
      <c r="L141" s="67" cm="1">
        <f ca="1" t="array" ref="L141">MIN(6,_xlfn.XLOOKUP($D141&amp;"_"&amp;L$61,$B$23:$B$45&amp;"_"&amp;$C$23:$C$45,$D$23:$D$45)*$E141)</f>
        <v>0.66520184544406</v>
      </c>
      <c r="M141" s="67" cm="1">
        <f ca="1" t="array" ref="M141">(1+SUMPRODUCT(G141:H141,OFFSET($H$49:$I$49,D141,0)))*(1+OFFSET($J$49,D141,0))^I141*(1+OFFSET($K$49,D141,0))^J141*(1+OFFSET($L$49,D141,0))^K141*(1+OFFSET($M$49,D141,0))^L141</f>
        <v>17.2948613281194</v>
      </c>
      <c r="N141" s="67">
        <f ca="1">MAX(MAX($N$62:N140),OFFSET($C$61,MATCH(M141*1.07,$M$62:$M$2061,1),0)-C141)</f>
        <v>2520</v>
      </c>
    </row>
    <row r="142" spans="2:14">
      <c r="B142" s="67">
        <v>81</v>
      </c>
      <c r="C142" s="67">
        <f t="shared" si="23"/>
        <v>29160</v>
      </c>
      <c r="D142" s="67">
        <f t="shared" si="19"/>
        <v>5</v>
      </c>
      <c r="E142" s="67">
        <f ca="1" t="shared" si="20"/>
        <v>111</v>
      </c>
      <c r="F142" s="67">
        <f ca="1" t="shared" si="21"/>
        <v>0</v>
      </c>
      <c r="G142" s="67">
        <f ca="1" t="shared" si="22"/>
        <v>7.22995120220034</v>
      </c>
      <c r="H142" s="67" cm="1">
        <f ca="1" t="array" ref="H142">MIN(30-SUM(I142:L142),_xlfn.XLOOKUP($D142&amp;"_"&amp;H$61,$B$23:$B$45&amp;"_"&amp;$C$23:$C$45,$D$23:$D$45)*$E142,18)</f>
        <v>18</v>
      </c>
      <c r="I142" s="67" cm="1">
        <f ca="1" t="array" ref="I142">MIN(30-SUM(J142:L142),6-L142,_xlfn.XLOOKUP($D142&amp;"_"&amp;I$61,$B$23:$B$45&amp;"_"&amp;$C$23:$C$45,$D$23:$D$45)*$E142)</f>
        <v>2.21290923609262</v>
      </c>
      <c r="J142" s="67" cm="1">
        <f ca="1" t="array" ref="J142">MIN(8,_xlfn.XLOOKUP($D142&amp;"_"&amp;J$61,$B$23:$B$45&amp;"_"&amp;$C$23:$C$45,$D$23:$D$45)*$E142)</f>
        <v>1.43839100346021</v>
      </c>
      <c r="K142" s="67" cm="1">
        <f ca="1" t="array" ref="K142">MIN(18,_xlfn.XLOOKUP($D142&amp;"_"&amp;K$61,$B$23:$B$45&amp;"_"&amp;$C$23:$C$45,$D$23:$D$45)*$E142)</f>
        <v>0.447499423298732</v>
      </c>
      <c r="L142" s="67" cm="1">
        <f ca="1" t="array" ref="L142">MIN(6,_xlfn.XLOOKUP($D142&amp;"_"&amp;L$61,$B$23:$B$45&amp;"_"&amp;$C$23:$C$45,$D$23:$D$45)*$E142)</f>
        <v>0.671249134948097</v>
      </c>
      <c r="M142" s="67" cm="1">
        <f ca="1" t="array" ref="M142">(1+SUMPRODUCT(G142:H142,OFFSET($H$49:$I$49,D142,0)))*(1+OFFSET($J$49,D142,0))^I142*(1+OFFSET($K$49,D142,0))^J142*(1+OFFSET($L$49,D142,0))^K142*(1+OFFSET($M$49,D142,0))^L142</f>
        <v>17.4602516758</v>
      </c>
      <c r="N142" s="67">
        <f ca="1">MAX(MAX($N$62:N141),OFFSET($C$61,MATCH(M142*1.07,$M$62:$M$2061,1),0)-C142)</f>
        <v>2520</v>
      </c>
    </row>
    <row r="143" spans="2:14">
      <c r="B143" s="67">
        <v>82</v>
      </c>
      <c r="C143" s="67">
        <f t="shared" si="23"/>
        <v>29520</v>
      </c>
      <c r="D143" s="67">
        <f t="shared" si="19"/>
        <v>5</v>
      </c>
      <c r="E143" s="67">
        <f ca="1" t="shared" si="20"/>
        <v>112</v>
      </c>
      <c r="F143" s="67">
        <f ca="1" t="shared" si="21"/>
        <v>0</v>
      </c>
      <c r="G143" s="67">
        <f ca="1" t="shared" si="22"/>
        <v>7.18697778960755</v>
      </c>
      <c r="H143" s="67" cm="1">
        <f ca="1" t="array" ref="H143">MIN(30-SUM(I143:L143),_xlfn.XLOOKUP($D143&amp;"_"&amp;H$61,$B$23:$B$45&amp;"_"&amp;$C$23:$C$45,$D$23:$D$45)*$E143,18)</f>
        <v>18</v>
      </c>
      <c r="I143" s="67" cm="1">
        <f ca="1" t="array" ref="I143">MIN(30-SUM(J143:L143),6-L143,_xlfn.XLOOKUP($D143&amp;"_"&amp;I$61,$B$23:$B$45&amp;"_"&amp;$C$23:$C$45,$D$23:$D$45)*$E143)</f>
        <v>2.2328453553367</v>
      </c>
      <c r="J143" s="67" cm="1">
        <f ca="1" t="array" ref="J143">MIN(8,_xlfn.XLOOKUP($D143&amp;"_"&amp;J$61,$B$23:$B$45&amp;"_"&amp;$C$23:$C$45,$D$23:$D$45)*$E143)</f>
        <v>1.45134948096886</v>
      </c>
      <c r="K143" s="67" cm="1">
        <f ca="1" t="array" ref="K143">MIN(18,_xlfn.XLOOKUP($D143&amp;"_"&amp;K$61,$B$23:$B$45&amp;"_"&amp;$C$23:$C$45,$D$23:$D$45)*$E143)</f>
        <v>0.451530949634756</v>
      </c>
      <c r="L143" s="67" cm="1">
        <f ca="1" t="array" ref="L143">MIN(6,_xlfn.XLOOKUP($D143&amp;"_"&amp;L$61,$B$23:$B$45&amp;"_"&amp;$C$23:$C$45,$D$23:$D$45)*$E143)</f>
        <v>0.677296424452134</v>
      </c>
      <c r="M143" s="67" cm="1">
        <f ca="1" t="array" ref="M143">(1+SUMPRODUCT(G143:H143,OFFSET($H$49:$I$49,D143,0)))*(1+OFFSET($J$49,D143,0))^I143*(1+OFFSET($K$49,D143,0))^J143*(1+OFFSET($L$49,D143,0))^K143*(1+OFFSET($M$49,D143,0))^L143</f>
        <v>17.6272079671725</v>
      </c>
      <c r="N143" s="67">
        <f ca="1">MAX(MAX($N$62:N142),OFFSET($C$61,MATCH(M143*1.07,$M$62:$M$2061,1),0)-C143)</f>
        <v>2520</v>
      </c>
    </row>
    <row r="144" spans="2:14">
      <c r="B144" s="67">
        <v>83</v>
      </c>
      <c r="C144" s="67">
        <f t="shared" si="23"/>
        <v>29880</v>
      </c>
      <c r="D144" s="67">
        <f t="shared" si="19"/>
        <v>5</v>
      </c>
      <c r="E144" s="67">
        <f ca="1" t="shared" si="20"/>
        <v>113</v>
      </c>
      <c r="F144" s="67">
        <f ca="1" t="shared" si="21"/>
        <v>0</v>
      </c>
      <c r="G144" s="67">
        <f ca="1" t="shared" si="22"/>
        <v>7.14400437701477</v>
      </c>
      <c r="H144" s="67" cm="1">
        <f ca="1" t="array" ref="H144">MIN(30-SUM(I144:L144),_xlfn.XLOOKUP($D144&amp;"_"&amp;H$61,$B$23:$B$45&amp;"_"&amp;$C$23:$C$45,$D$23:$D$45)*$E144,18)</f>
        <v>18</v>
      </c>
      <c r="I144" s="67" cm="1">
        <f ca="1" t="array" ref="I144">MIN(30-SUM(J144:L144),6-L144,_xlfn.XLOOKUP($D144&amp;"_"&amp;I$61,$B$23:$B$45&amp;"_"&amp;$C$23:$C$45,$D$23:$D$45)*$E144)</f>
        <v>2.25278147458078</v>
      </c>
      <c r="J144" s="67" cm="1">
        <f ca="1" t="array" ref="J144">MIN(8,_xlfn.XLOOKUP($D144&amp;"_"&amp;J$61,$B$23:$B$45&amp;"_"&amp;$C$23:$C$45,$D$23:$D$45)*$E144)</f>
        <v>1.46430795847751</v>
      </c>
      <c r="K144" s="67" cm="1">
        <f ca="1" t="array" ref="K144">MIN(18,_xlfn.XLOOKUP($D144&amp;"_"&amp;K$61,$B$23:$B$45&amp;"_"&amp;$C$23:$C$45,$D$23:$D$45)*$E144)</f>
        <v>0.455562475970781</v>
      </c>
      <c r="L144" s="67" cm="1">
        <f ca="1" t="array" ref="L144">MIN(6,_xlfn.XLOOKUP($D144&amp;"_"&amp;L$61,$B$23:$B$45&amp;"_"&amp;$C$23:$C$45,$D$23:$D$45)*$E144)</f>
        <v>0.683343713956171</v>
      </c>
      <c r="M144" s="67" cm="1">
        <f ca="1" t="array" ref="M144">(1+SUMPRODUCT(G144:H144,OFFSET($H$49:$I$49,D144,0)))*(1+OFFSET($J$49,D144,0))^I144*(1+OFFSET($K$49,D144,0))^J144*(1+OFFSET($L$49,D144,0))^K144*(1+OFFSET($M$49,D144,0))^L144</f>
        <v>17.7957448475584</v>
      </c>
      <c r="N144" s="67">
        <f ca="1">MAX(MAX($N$62:N143),OFFSET($C$61,MATCH(M144*1.07,$M$62:$M$2061,1),0)-C144)</f>
        <v>2520</v>
      </c>
    </row>
    <row r="145" spans="2:14">
      <c r="B145" s="67">
        <v>84</v>
      </c>
      <c r="C145" s="67">
        <f t="shared" si="23"/>
        <v>30240</v>
      </c>
      <c r="D145" s="67">
        <f t="shared" si="19"/>
        <v>5</v>
      </c>
      <c r="E145" s="67">
        <f ca="1" t="shared" si="20"/>
        <v>114</v>
      </c>
      <c r="F145" s="67">
        <f ca="1" t="shared" si="21"/>
        <v>0</v>
      </c>
      <c r="G145" s="67">
        <f ca="1" t="shared" si="22"/>
        <v>7.10103096442197</v>
      </c>
      <c r="H145" s="67" cm="1">
        <f ca="1" t="array" ref="H145">MIN(30-SUM(I145:L145),_xlfn.XLOOKUP($D145&amp;"_"&amp;H$61,$B$23:$B$45&amp;"_"&amp;$C$23:$C$45,$D$23:$D$45)*$E145,18)</f>
        <v>18</v>
      </c>
      <c r="I145" s="67" cm="1">
        <f ca="1" t="array" ref="I145">MIN(30-SUM(J145:L145),6-L145,_xlfn.XLOOKUP($D145&amp;"_"&amp;I$61,$B$23:$B$45&amp;"_"&amp;$C$23:$C$45,$D$23:$D$45)*$E145)</f>
        <v>2.27271759382486</v>
      </c>
      <c r="J145" s="67" cm="1">
        <f ca="1" t="array" ref="J145">MIN(8,_xlfn.XLOOKUP($D145&amp;"_"&amp;J$61,$B$23:$B$45&amp;"_"&amp;$C$23:$C$45,$D$23:$D$45)*$E145)</f>
        <v>1.47726643598616</v>
      </c>
      <c r="K145" s="67" cm="1">
        <f ca="1" t="array" ref="K145">MIN(18,_xlfn.XLOOKUP($D145&amp;"_"&amp;K$61,$B$23:$B$45&amp;"_"&amp;$C$23:$C$45,$D$23:$D$45)*$E145)</f>
        <v>0.459594002306806</v>
      </c>
      <c r="L145" s="67" cm="1">
        <f ca="1" t="array" ref="L145">MIN(6,_xlfn.XLOOKUP($D145&amp;"_"&amp;L$61,$B$23:$B$45&amp;"_"&amp;$C$23:$C$45,$D$23:$D$45)*$E145)</f>
        <v>0.689391003460208</v>
      </c>
      <c r="M145" s="67" cm="1">
        <f ca="1" t="array" ref="M145">(1+SUMPRODUCT(G145:H145,OFFSET($H$49:$I$49,D145,0)))*(1+OFFSET($J$49,D145,0))^I145*(1+OFFSET($K$49,D145,0))^J145*(1+OFFSET($L$49,D145,0))^K145*(1+OFFSET($M$49,D145,0))^L145</f>
        <v>17.9658770971306</v>
      </c>
      <c r="N145" s="67">
        <f ca="1">MAX(MAX($N$62:N144),OFFSET($C$61,MATCH(M145*1.07,$M$62:$M$2061,1),0)-C145)</f>
        <v>2520</v>
      </c>
    </row>
    <row r="146" spans="2:14">
      <c r="B146" s="67">
        <v>85</v>
      </c>
      <c r="C146" s="67">
        <f t="shared" si="23"/>
        <v>30600</v>
      </c>
      <c r="D146" s="67">
        <f t="shared" si="19"/>
        <v>5</v>
      </c>
      <c r="E146" s="67">
        <f ca="1" t="shared" si="20"/>
        <v>115</v>
      </c>
      <c r="F146" s="67">
        <f ca="1" t="shared" si="21"/>
        <v>0</v>
      </c>
      <c r="G146" s="67">
        <f ca="1" t="shared" si="22"/>
        <v>7.05805755182918</v>
      </c>
      <c r="H146" s="67" cm="1">
        <f ca="1" t="array" ref="H146">MIN(30-SUM(I146:L146),_xlfn.XLOOKUP($D146&amp;"_"&amp;H$61,$B$23:$B$45&amp;"_"&amp;$C$23:$C$45,$D$23:$D$45)*$E146,18)</f>
        <v>18</v>
      </c>
      <c r="I146" s="67" cm="1">
        <f ca="1" t="array" ref="I146">MIN(30-SUM(J146:L146),6-L146,_xlfn.XLOOKUP($D146&amp;"_"&amp;I$61,$B$23:$B$45&amp;"_"&amp;$C$23:$C$45,$D$23:$D$45)*$E146)</f>
        <v>2.29265371306894</v>
      </c>
      <c r="J146" s="67" cm="1">
        <f ca="1" t="array" ref="J146">MIN(8,_xlfn.XLOOKUP($D146&amp;"_"&amp;J$61,$B$23:$B$45&amp;"_"&amp;$C$23:$C$45,$D$23:$D$45)*$E146)</f>
        <v>1.49022491349481</v>
      </c>
      <c r="K146" s="67" cm="1">
        <f ca="1" t="array" ref="K146">MIN(18,_xlfn.XLOOKUP($D146&amp;"_"&amp;K$61,$B$23:$B$45&amp;"_"&amp;$C$23:$C$45,$D$23:$D$45)*$E146)</f>
        <v>0.46362552864283</v>
      </c>
      <c r="L146" s="67" cm="1">
        <f ca="1" t="array" ref="L146">MIN(6,_xlfn.XLOOKUP($D146&amp;"_"&amp;L$61,$B$23:$B$45&amp;"_"&amp;$C$23:$C$45,$D$23:$D$45)*$E146)</f>
        <v>0.695438292964245</v>
      </c>
      <c r="M146" s="67" cm="1">
        <f ca="1" t="array" ref="M146">(1+SUMPRODUCT(G146:H146,OFFSET($H$49:$I$49,D146,0)))*(1+OFFSET($J$49,D146,0))^I146*(1+OFFSET($K$49,D146,0))^J146*(1+OFFSET($L$49,D146,0))^K146*(1+OFFSET($M$49,D146,0))^L146</f>
        <v>18.1376196321304</v>
      </c>
      <c r="N146" s="67">
        <f ca="1">MAX(MAX($N$62:N145),OFFSET($C$61,MATCH(M146*1.07,$M$62:$M$2061,1),0)-C146)</f>
        <v>2520</v>
      </c>
    </row>
    <row r="147" spans="2:14">
      <c r="B147" s="67">
        <v>86</v>
      </c>
      <c r="C147" s="67">
        <f t="shared" si="23"/>
        <v>30960</v>
      </c>
      <c r="D147" s="67">
        <f t="shared" si="19"/>
        <v>5</v>
      </c>
      <c r="E147" s="67">
        <f ca="1" t="shared" si="20"/>
        <v>116</v>
      </c>
      <c r="F147" s="67">
        <f ca="1" t="shared" si="21"/>
        <v>0</v>
      </c>
      <c r="G147" s="67">
        <f ca="1" t="shared" si="22"/>
        <v>7.01508413923639</v>
      </c>
      <c r="H147" s="67" cm="1">
        <f ca="1" t="array" ref="H147">MIN(30-SUM(I147:L147),_xlfn.XLOOKUP($D147&amp;"_"&amp;H$61,$B$23:$B$45&amp;"_"&amp;$C$23:$C$45,$D$23:$D$45)*$E147,18)</f>
        <v>18</v>
      </c>
      <c r="I147" s="67" cm="1">
        <f ca="1" t="array" ref="I147">MIN(30-SUM(J147:L147),6-L147,_xlfn.XLOOKUP($D147&amp;"_"&amp;I$61,$B$23:$B$45&amp;"_"&amp;$C$23:$C$45,$D$23:$D$45)*$E147)</f>
        <v>2.31258983231301</v>
      </c>
      <c r="J147" s="67" cm="1">
        <f ca="1" t="array" ref="J147">MIN(8,_xlfn.XLOOKUP($D147&amp;"_"&amp;J$61,$B$23:$B$45&amp;"_"&amp;$C$23:$C$45,$D$23:$D$45)*$E147)</f>
        <v>1.50318339100346</v>
      </c>
      <c r="K147" s="67" cm="1">
        <f ca="1" t="array" ref="K147">MIN(18,_xlfn.XLOOKUP($D147&amp;"_"&amp;K$61,$B$23:$B$45&amp;"_"&amp;$C$23:$C$45,$D$23:$D$45)*$E147)</f>
        <v>0.467657054978855</v>
      </c>
      <c r="L147" s="67" cm="1">
        <f ca="1" t="array" ref="L147">MIN(6,_xlfn.XLOOKUP($D147&amp;"_"&amp;L$61,$B$23:$B$45&amp;"_"&amp;$C$23:$C$45,$D$23:$D$45)*$E147)</f>
        <v>0.701485582468282</v>
      </c>
      <c r="M147" s="67" cm="1">
        <f ca="1" t="array" ref="M147">(1+SUMPRODUCT(G147:H147,OFFSET($H$49:$I$49,D147,0)))*(1+OFFSET($J$49,D147,0))^I147*(1+OFFSET($K$49,D147,0))^J147*(1+OFFSET($L$49,D147,0))^K147*(1+OFFSET($M$49,D147,0))^L147</f>
        <v>18.3109875060946</v>
      </c>
      <c r="N147" s="67">
        <f ca="1">MAX(MAX($N$62:N146),OFFSET($C$61,MATCH(M147*1.07,$M$62:$M$2061,1),0)-C147)</f>
        <v>2520</v>
      </c>
    </row>
    <row r="148" spans="2:14">
      <c r="B148" s="67">
        <v>87</v>
      </c>
      <c r="C148" s="67">
        <f t="shared" si="23"/>
        <v>31320</v>
      </c>
      <c r="D148" s="67">
        <f t="shared" si="19"/>
        <v>5</v>
      </c>
      <c r="E148" s="67">
        <f ca="1" t="shared" si="20"/>
        <v>117</v>
      </c>
      <c r="F148" s="67">
        <f ca="1" t="shared" si="21"/>
        <v>0</v>
      </c>
      <c r="G148" s="67">
        <f ca="1" t="shared" si="22"/>
        <v>6.9721107266436</v>
      </c>
      <c r="H148" s="67" cm="1">
        <f ca="1" t="array" ref="H148">MIN(30-SUM(I148:L148),_xlfn.XLOOKUP($D148&amp;"_"&amp;H$61,$B$23:$B$45&amp;"_"&amp;$C$23:$C$45,$D$23:$D$45)*$E148,18)</f>
        <v>18</v>
      </c>
      <c r="I148" s="67" cm="1">
        <f ca="1" t="array" ref="I148">MIN(30-SUM(J148:L148),6-L148,_xlfn.XLOOKUP($D148&amp;"_"&amp;I$61,$B$23:$B$45&amp;"_"&amp;$C$23:$C$45,$D$23:$D$45)*$E148)</f>
        <v>2.33252595155709</v>
      </c>
      <c r="J148" s="67" cm="1">
        <f ca="1" t="array" ref="J148">MIN(8,_xlfn.XLOOKUP($D148&amp;"_"&amp;J$61,$B$23:$B$45&amp;"_"&amp;$C$23:$C$45,$D$23:$D$45)*$E148)</f>
        <v>1.51614186851211</v>
      </c>
      <c r="K148" s="67" cm="1">
        <f ca="1" t="array" ref="K148">MIN(18,_xlfn.XLOOKUP($D148&amp;"_"&amp;K$61,$B$23:$B$45&amp;"_"&amp;$C$23:$C$45,$D$23:$D$45)*$E148)</f>
        <v>0.471688581314879</v>
      </c>
      <c r="L148" s="67" cm="1">
        <f ca="1" t="array" ref="L148">MIN(6,_xlfn.XLOOKUP($D148&amp;"_"&amp;L$61,$B$23:$B$45&amp;"_"&amp;$C$23:$C$45,$D$23:$D$45)*$E148)</f>
        <v>0.707532871972319</v>
      </c>
      <c r="M148" s="67" cm="1">
        <f ca="1" t="array" ref="M148">(1+SUMPRODUCT(G148:H148,OFFSET($H$49:$I$49,D148,0)))*(1+OFFSET($J$49,D148,0))^I148*(1+OFFSET($K$49,D148,0))^J148*(1+OFFSET($L$49,D148,0))^K148*(1+OFFSET($M$49,D148,0))^L148</f>
        <v>18.485995911094</v>
      </c>
      <c r="N148" s="67">
        <f ca="1">MAX(MAX($N$62:N147),OFFSET($C$61,MATCH(M148*1.07,$M$62:$M$2061,1),0)-C148)</f>
        <v>2520</v>
      </c>
    </row>
    <row r="149" spans="2:14">
      <c r="B149" s="67">
        <v>88</v>
      </c>
      <c r="C149" s="67">
        <f t="shared" si="23"/>
        <v>31680</v>
      </c>
      <c r="D149" s="67">
        <f t="shared" si="19"/>
        <v>5</v>
      </c>
      <c r="E149" s="67">
        <f ca="1" t="shared" si="20"/>
        <v>118</v>
      </c>
      <c r="F149" s="67">
        <f ca="1" t="shared" si="21"/>
        <v>0</v>
      </c>
      <c r="G149" s="67">
        <f ca="1" t="shared" si="22"/>
        <v>6.92913731405082</v>
      </c>
      <c r="H149" s="67" cm="1">
        <f ca="1" t="array" ref="H149">MIN(30-SUM(I149:L149),_xlfn.XLOOKUP($D149&amp;"_"&amp;H$61,$B$23:$B$45&amp;"_"&amp;$C$23:$C$45,$D$23:$D$45)*$E149,18)</f>
        <v>18</v>
      </c>
      <c r="I149" s="67" cm="1">
        <f ca="1" t="array" ref="I149">MIN(30-SUM(J149:L149),6-L149,_xlfn.XLOOKUP($D149&amp;"_"&amp;I$61,$B$23:$B$45&amp;"_"&amp;$C$23:$C$45,$D$23:$D$45)*$E149)</f>
        <v>2.35246207080117</v>
      </c>
      <c r="J149" s="67" cm="1">
        <f ca="1" t="array" ref="J149">MIN(8,_xlfn.XLOOKUP($D149&amp;"_"&amp;J$61,$B$23:$B$45&amp;"_"&amp;$C$23:$C$45,$D$23:$D$45)*$E149)</f>
        <v>1.52910034602076</v>
      </c>
      <c r="K149" s="67" cm="1">
        <f ca="1" t="array" ref="K149">MIN(18,_xlfn.XLOOKUP($D149&amp;"_"&amp;K$61,$B$23:$B$45&amp;"_"&amp;$C$23:$C$45,$D$23:$D$45)*$E149)</f>
        <v>0.475720107650904</v>
      </c>
      <c r="L149" s="67" cm="1">
        <f ca="1" t="array" ref="L149">MIN(6,_xlfn.XLOOKUP($D149&amp;"_"&amp;L$61,$B$23:$B$45&amp;"_"&amp;$C$23:$C$45,$D$23:$D$45)*$E149)</f>
        <v>0.713580161476355</v>
      </c>
      <c r="M149" s="67" cm="1">
        <f ca="1" t="array" ref="M149">(1+SUMPRODUCT(G149:H149,OFFSET($H$49:$I$49,D149,0)))*(1+OFFSET($J$49,D149,0))^I149*(1+OFFSET($K$49,D149,0))^J149*(1+OFFSET($L$49,D149,0))^K149*(1+OFFSET($M$49,D149,0))^L149</f>
        <v>18.6626601789819</v>
      </c>
      <c r="N149" s="67">
        <f ca="1">MAX(MAX($N$62:N148),OFFSET($C$61,MATCH(M149*1.07,$M$62:$M$2061,1),0)-C149)</f>
        <v>2520</v>
      </c>
    </row>
    <row r="150" spans="2:14">
      <c r="B150" s="67">
        <v>89</v>
      </c>
      <c r="C150" s="67">
        <f t="shared" si="23"/>
        <v>32040</v>
      </c>
      <c r="D150" s="67">
        <f t="shared" si="19"/>
        <v>5</v>
      </c>
      <c r="E150" s="67">
        <f ca="1" t="shared" si="20"/>
        <v>119</v>
      </c>
      <c r="F150" s="67">
        <f ca="1" t="shared" si="21"/>
        <v>0</v>
      </c>
      <c r="G150" s="67">
        <f ca="1" t="shared" si="22"/>
        <v>6.88616390145802</v>
      </c>
      <c r="H150" s="67" cm="1">
        <f ca="1" t="array" ref="H150">MIN(30-SUM(I150:L150),_xlfn.XLOOKUP($D150&amp;"_"&amp;H$61,$B$23:$B$45&amp;"_"&amp;$C$23:$C$45,$D$23:$D$45)*$E150,18)</f>
        <v>18</v>
      </c>
      <c r="I150" s="67" cm="1">
        <f ca="1" t="array" ref="I150">MIN(30-SUM(J150:L150),6-L150,_xlfn.XLOOKUP($D150&amp;"_"&amp;I$61,$B$23:$B$45&amp;"_"&amp;$C$23:$C$45,$D$23:$D$45)*$E150)</f>
        <v>2.37239819004525</v>
      </c>
      <c r="J150" s="67" cm="1">
        <f ca="1" t="array" ref="J150">MIN(8,_xlfn.XLOOKUP($D150&amp;"_"&amp;J$61,$B$23:$B$45&amp;"_"&amp;$C$23:$C$45,$D$23:$D$45)*$E150)</f>
        <v>1.54205882352941</v>
      </c>
      <c r="K150" s="67" cm="1">
        <f ca="1" t="array" ref="K150">MIN(18,_xlfn.XLOOKUP($D150&amp;"_"&amp;K$61,$B$23:$B$45&amp;"_"&amp;$C$23:$C$45,$D$23:$D$45)*$E150)</f>
        <v>0.479751633986929</v>
      </c>
      <c r="L150" s="67" cm="1">
        <f ca="1" t="array" ref="L150">MIN(6,_xlfn.XLOOKUP($D150&amp;"_"&amp;L$61,$B$23:$B$45&amp;"_"&amp;$C$23:$C$45,$D$23:$D$45)*$E150)</f>
        <v>0.719627450980392</v>
      </c>
      <c r="M150" s="67" cm="1">
        <f ca="1" t="array" ref="M150">(1+SUMPRODUCT(G150:H150,OFFSET($H$49:$I$49,D150,0)))*(1+OFFSET($J$49,D150,0))^I150*(1+OFFSET($K$49,D150,0))^J150*(1+OFFSET($L$49,D150,0))^K150*(1+OFFSET($M$49,D150,0))^L150</f>
        <v>18.8409957826541</v>
      </c>
      <c r="N150" s="67">
        <f ca="1">MAX(MAX($N$62:N149),OFFSET($C$61,MATCH(M150*1.07,$M$62:$M$2061,1),0)-C150)</f>
        <v>2520</v>
      </c>
    </row>
    <row r="151" spans="2:14">
      <c r="B151" s="67">
        <v>90</v>
      </c>
      <c r="C151" s="67">
        <f t="shared" si="23"/>
        <v>32400</v>
      </c>
      <c r="D151" s="67">
        <f t="shared" si="19"/>
        <v>5</v>
      </c>
      <c r="E151" s="67">
        <f ca="1" t="shared" si="20"/>
        <v>120</v>
      </c>
      <c r="F151" s="67">
        <f ca="1" t="shared" si="21"/>
        <v>0</v>
      </c>
      <c r="G151" s="67">
        <f ca="1" t="shared" si="22"/>
        <v>6.84319048886523</v>
      </c>
      <c r="H151" s="67" cm="1">
        <f ca="1" t="array" ref="H151">MIN(30-SUM(I151:L151),_xlfn.XLOOKUP($D151&amp;"_"&amp;H$61,$B$23:$B$45&amp;"_"&amp;$C$23:$C$45,$D$23:$D$45)*$E151,18)</f>
        <v>18</v>
      </c>
      <c r="I151" s="67" cm="1">
        <f ca="1" t="array" ref="I151">MIN(30-SUM(J151:L151),6-L151,_xlfn.XLOOKUP($D151&amp;"_"&amp;I$61,$B$23:$B$45&amp;"_"&amp;$C$23:$C$45,$D$23:$D$45)*$E151)</f>
        <v>2.39233430928932</v>
      </c>
      <c r="J151" s="67" cm="1">
        <f ca="1" t="array" ref="J151">MIN(8,_xlfn.XLOOKUP($D151&amp;"_"&amp;J$61,$B$23:$B$45&amp;"_"&amp;$C$23:$C$45,$D$23:$D$45)*$E151)</f>
        <v>1.55501730103806</v>
      </c>
      <c r="K151" s="67" cm="1">
        <f ca="1" t="array" ref="K151">MIN(18,_xlfn.XLOOKUP($D151&amp;"_"&amp;K$61,$B$23:$B$45&amp;"_"&amp;$C$23:$C$45,$D$23:$D$45)*$E151)</f>
        <v>0.483783160322953</v>
      </c>
      <c r="L151" s="67" cm="1">
        <f ca="1" t="array" ref="L151">MIN(6,_xlfn.XLOOKUP($D151&amp;"_"&amp;L$61,$B$23:$B$45&amp;"_"&amp;$C$23:$C$45,$D$23:$D$45)*$E151)</f>
        <v>0.725674740484429</v>
      </c>
      <c r="M151" s="67" cm="1">
        <f ca="1" t="array" ref="M151">(1+SUMPRODUCT(G151:H151,OFFSET($H$49:$I$49,D151,0)))*(1+OFFSET($J$49,D151,0))^I151*(1+OFFSET($K$49,D151,0))^J151*(1+OFFSET($L$49,D151,0))^K151*(1+OFFSET($M$49,D151,0))^L151</f>
        <v>19.0210183373202</v>
      </c>
      <c r="N151" s="67">
        <f ca="1">MAX(MAX($N$62:N150),OFFSET($C$61,MATCH(M151*1.07,$M$62:$M$2061,1),0)-C151)</f>
        <v>2520</v>
      </c>
    </row>
    <row r="152" spans="2:14">
      <c r="B152" s="67">
        <v>91</v>
      </c>
      <c r="C152" s="67">
        <f t="shared" si="23"/>
        <v>32760</v>
      </c>
      <c r="D152" s="67">
        <f t="shared" si="19"/>
        <v>5</v>
      </c>
      <c r="E152" s="67">
        <f ca="1" t="shared" si="20"/>
        <v>121</v>
      </c>
      <c r="F152" s="67">
        <f ca="1" t="shared" si="21"/>
        <v>0</v>
      </c>
      <c r="G152" s="67">
        <f ca="1" t="shared" si="22"/>
        <v>6.80021707627244</v>
      </c>
      <c r="H152" s="67" cm="1">
        <f ca="1" t="array" ref="H152">MIN(30-SUM(I152:L152),_xlfn.XLOOKUP($D152&amp;"_"&amp;H$61,$B$23:$B$45&amp;"_"&amp;$C$23:$C$45,$D$23:$D$45)*$E152,18)</f>
        <v>18</v>
      </c>
      <c r="I152" s="67" cm="1">
        <f ca="1" t="array" ref="I152">MIN(30-SUM(J152:L152),6-L152,_xlfn.XLOOKUP($D152&amp;"_"&amp;I$61,$B$23:$B$45&amp;"_"&amp;$C$23:$C$45,$D$23:$D$45)*$E152)</f>
        <v>2.4122704285334</v>
      </c>
      <c r="J152" s="67" cm="1">
        <f ca="1" t="array" ref="J152">MIN(8,_xlfn.XLOOKUP($D152&amp;"_"&amp;J$61,$B$23:$B$45&amp;"_"&amp;$C$23:$C$45,$D$23:$D$45)*$E152)</f>
        <v>1.56797577854671</v>
      </c>
      <c r="K152" s="67" cm="1">
        <f ca="1" t="array" ref="K152">MIN(18,_xlfn.XLOOKUP($D152&amp;"_"&amp;K$61,$B$23:$B$45&amp;"_"&amp;$C$23:$C$45,$D$23:$D$45)*$E152)</f>
        <v>0.487814686658978</v>
      </c>
      <c r="L152" s="67" cm="1">
        <f ca="1" t="array" ref="L152">MIN(6,_xlfn.XLOOKUP($D152&amp;"_"&amp;L$61,$B$23:$B$45&amp;"_"&amp;$C$23:$C$45,$D$23:$D$45)*$E152)</f>
        <v>0.731722029988466</v>
      </c>
      <c r="M152" s="67" cm="1">
        <f ca="1" t="array" ref="M152">(1+SUMPRODUCT(G152:H152,OFFSET($H$49:$I$49,D152,0)))*(1+OFFSET($J$49,D152,0))^I152*(1+OFFSET($K$49,D152,0))^J152*(1+OFFSET($L$49,D152,0))^K152*(1+OFFSET($M$49,D152,0))^L152</f>
        <v>19.2027436017853</v>
      </c>
      <c r="N152" s="67">
        <f ca="1">MAX(MAX($N$62:N151),OFFSET($C$61,MATCH(M152*1.07,$M$62:$M$2061,1),0)-C152)</f>
        <v>2520</v>
      </c>
    </row>
    <row r="153" spans="2:14">
      <c r="B153" s="67">
        <v>92</v>
      </c>
      <c r="C153" s="67">
        <f t="shared" si="23"/>
        <v>33120</v>
      </c>
      <c r="D153" s="67">
        <f t="shared" si="19"/>
        <v>5</v>
      </c>
      <c r="E153" s="67">
        <f ca="1" t="shared" si="20"/>
        <v>122</v>
      </c>
      <c r="F153" s="67">
        <f ca="1" t="shared" si="21"/>
        <v>0</v>
      </c>
      <c r="G153" s="67">
        <f ca="1" t="shared" si="22"/>
        <v>6.75724366367965</v>
      </c>
      <c r="H153" s="67" cm="1">
        <f ca="1" t="array" ref="H153">MIN(30-SUM(I153:L153),_xlfn.XLOOKUP($D153&amp;"_"&amp;H$61,$B$23:$B$45&amp;"_"&amp;$C$23:$C$45,$D$23:$D$45)*$E153,18)</f>
        <v>18</v>
      </c>
      <c r="I153" s="67" cm="1">
        <f ca="1" t="array" ref="I153">MIN(30-SUM(J153:L153),6-L153,_xlfn.XLOOKUP($D153&amp;"_"&amp;I$61,$B$23:$B$45&amp;"_"&amp;$C$23:$C$45,$D$23:$D$45)*$E153)</f>
        <v>2.43220654777748</v>
      </c>
      <c r="J153" s="67" cm="1">
        <f ca="1" t="array" ref="J153">MIN(8,_xlfn.XLOOKUP($D153&amp;"_"&amp;J$61,$B$23:$B$45&amp;"_"&amp;$C$23:$C$45,$D$23:$D$45)*$E153)</f>
        <v>1.58093425605536</v>
      </c>
      <c r="K153" s="67" cm="1">
        <f ca="1" t="array" ref="K153">MIN(18,_xlfn.XLOOKUP($D153&amp;"_"&amp;K$61,$B$23:$B$45&amp;"_"&amp;$C$23:$C$45,$D$23:$D$45)*$E153)</f>
        <v>0.491846212995002</v>
      </c>
      <c r="L153" s="67" cm="1">
        <f ca="1" t="array" ref="L153">MIN(6,_xlfn.XLOOKUP($D153&amp;"_"&amp;L$61,$B$23:$B$45&amp;"_"&amp;$C$23:$C$45,$D$23:$D$45)*$E153)</f>
        <v>0.737769319492503</v>
      </c>
      <c r="M153" s="67" cm="1">
        <f ca="1" t="array" ref="M153">(1+SUMPRODUCT(G153:H153,OFFSET($H$49:$I$49,D153,0)))*(1+OFFSET($J$49,D153,0))^I153*(1+OFFSET($K$49,D153,0))^J153*(1+OFFSET($L$49,D153,0))^K153*(1+OFFSET($M$49,D153,0))^L153</f>
        <v>19.3861874797434</v>
      </c>
      <c r="N153" s="67">
        <f ca="1">MAX(MAX($N$62:N152),OFFSET($C$61,MATCH(M153*1.07,$M$62:$M$2061,1),0)-C153)</f>
        <v>2520</v>
      </c>
    </row>
    <row r="154" spans="2:14">
      <c r="B154" s="67">
        <v>93</v>
      </c>
      <c r="C154" s="67">
        <f t="shared" si="23"/>
        <v>33480</v>
      </c>
      <c r="D154" s="67">
        <f t="shared" si="19"/>
        <v>5</v>
      </c>
      <c r="E154" s="67">
        <f ca="1" t="shared" si="20"/>
        <v>123</v>
      </c>
      <c r="F154" s="67">
        <f ca="1" t="shared" si="21"/>
        <v>0</v>
      </c>
      <c r="G154" s="67">
        <f ca="1" t="shared" si="22"/>
        <v>6.71427025108686</v>
      </c>
      <c r="H154" s="67" cm="1">
        <f ca="1" t="array" ref="H154">MIN(30-SUM(I154:L154),_xlfn.XLOOKUP($D154&amp;"_"&amp;H$61,$B$23:$B$45&amp;"_"&amp;$C$23:$C$45,$D$23:$D$45)*$E154,18)</f>
        <v>18</v>
      </c>
      <c r="I154" s="67" cm="1">
        <f ca="1" t="array" ref="I154">MIN(30-SUM(J154:L154),6-L154,_xlfn.XLOOKUP($D154&amp;"_"&amp;I$61,$B$23:$B$45&amp;"_"&amp;$C$23:$C$45,$D$23:$D$45)*$E154)</f>
        <v>2.45214266702156</v>
      </c>
      <c r="J154" s="67" cm="1">
        <f ca="1" t="array" ref="J154">MIN(8,_xlfn.XLOOKUP($D154&amp;"_"&amp;J$61,$B$23:$B$45&amp;"_"&amp;$C$23:$C$45,$D$23:$D$45)*$E154)</f>
        <v>1.59389273356401</v>
      </c>
      <c r="K154" s="67" cm="1">
        <f ca="1" t="array" ref="K154">MIN(18,_xlfn.XLOOKUP($D154&amp;"_"&amp;K$61,$B$23:$B$45&amp;"_"&amp;$C$23:$C$45,$D$23:$D$45)*$E154)</f>
        <v>0.495877739331027</v>
      </c>
      <c r="L154" s="67" cm="1">
        <f ca="1" t="array" ref="L154">MIN(6,_xlfn.XLOOKUP($D154&amp;"_"&amp;L$61,$B$23:$B$45&amp;"_"&amp;$C$23:$C$45,$D$23:$D$45)*$E154)</f>
        <v>0.74381660899654</v>
      </c>
      <c r="M154" s="67" cm="1">
        <f ca="1" t="array" ref="M154">(1+SUMPRODUCT(G154:H154,OFFSET($H$49:$I$49,D154,0)))*(1+OFFSET($J$49,D154,0))^I154*(1+OFFSET($K$49,D154,0))^J154*(1+OFFSET($L$49,D154,0))^K154*(1+OFFSET($M$49,D154,0))^L154</f>
        <v>19.5713660210821</v>
      </c>
      <c r="N154" s="67">
        <f ca="1">MAX(MAX($N$62:N153),OFFSET($C$61,MATCH(M154*1.07,$M$62:$M$2061,1),0)-C154)</f>
        <v>2520</v>
      </c>
    </row>
    <row r="155" spans="2:14">
      <c r="B155" s="67">
        <v>94</v>
      </c>
      <c r="C155" s="67">
        <f t="shared" si="23"/>
        <v>33840</v>
      </c>
      <c r="D155" s="67">
        <f t="shared" si="19"/>
        <v>5</v>
      </c>
      <c r="E155" s="67">
        <f ca="1" t="shared" si="20"/>
        <v>124</v>
      </c>
      <c r="F155" s="67">
        <f ca="1" t="shared" si="21"/>
        <v>0</v>
      </c>
      <c r="G155" s="67">
        <f ca="1" t="shared" si="22"/>
        <v>6.67129683849407</v>
      </c>
      <c r="H155" s="67" cm="1">
        <f ca="1" t="array" ref="H155">MIN(30-SUM(I155:L155),_xlfn.XLOOKUP($D155&amp;"_"&amp;H$61,$B$23:$B$45&amp;"_"&amp;$C$23:$C$45,$D$23:$D$45)*$E155,18)</f>
        <v>18</v>
      </c>
      <c r="I155" s="67" cm="1">
        <f ca="1" t="array" ref="I155">MIN(30-SUM(J155:L155),6-L155,_xlfn.XLOOKUP($D155&amp;"_"&amp;I$61,$B$23:$B$45&amp;"_"&amp;$C$23:$C$45,$D$23:$D$45)*$E155)</f>
        <v>2.47207878626563</v>
      </c>
      <c r="J155" s="67" cm="1">
        <f ca="1" t="array" ref="J155">MIN(8,_xlfn.XLOOKUP($D155&amp;"_"&amp;J$61,$B$23:$B$45&amp;"_"&amp;$C$23:$C$45,$D$23:$D$45)*$E155)</f>
        <v>1.60685121107266</v>
      </c>
      <c r="K155" s="67" cm="1">
        <f ca="1" t="array" ref="K155">MIN(18,_xlfn.XLOOKUP($D155&amp;"_"&amp;K$61,$B$23:$B$45&amp;"_"&amp;$C$23:$C$45,$D$23:$D$45)*$E155)</f>
        <v>0.499909265667052</v>
      </c>
      <c r="L155" s="67" cm="1">
        <f ca="1" t="array" ref="L155">MIN(6,_xlfn.XLOOKUP($D155&amp;"_"&amp;L$61,$B$23:$B$45&amp;"_"&amp;$C$23:$C$45,$D$23:$D$45)*$E155)</f>
        <v>0.749863898500577</v>
      </c>
      <c r="M155" s="67" cm="1">
        <f ca="1" t="array" ref="M155">(1+SUMPRODUCT(G155:H155,OFFSET($H$49:$I$49,D155,0)))*(1+OFFSET($J$49,D155,0))^I155*(1+OFFSET($K$49,D155,0))^J155*(1+OFFSET($L$49,D155,0))^K155*(1+OFFSET($M$49,D155,0))^L155</f>
        <v>19.7582954231988</v>
      </c>
      <c r="N155" s="67">
        <f ca="1">MAX(MAX($N$62:N154),OFFSET($C$61,MATCH(M155*1.07,$M$62:$M$2061,1),0)-C155)</f>
        <v>2520</v>
      </c>
    </row>
    <row r="156" spans="2:14">
      <c r="B156" s="67">
        <v>95</v>
      </c>
      <c r="C156" s="67">
        <f t="shared" si="23"/>
        <v>34200</v>
      </c>
      <c r="D156" s="67">
        <f t="shared" si="19"/>
        <v>5</v>
      </c>
      <c r="E156" s="67">
        <f ca="1" t="shared" si="20"/>
        <v>125</v>
      </c>
      <c r="F156" s="67">
        <f ca="1" t="shared" si="21"/>
        <v>0</v>
      </c>
      <c r="G156" s="67">
        <f ca="1" t="shared" si="22"/>
        <v>6.62832342590129</v>
      </c>
      <c r="H156" s="67" cm="1">
        <f ca="1" t="array" ref="H156">MIN(30-SUM(I156:L156),_xlfn.XLOOKUP($D156&amp;"_"&amp;H$61,$B$23:$B$45&amp;"_"&amp;$C$23:$C$45,$D$23:$D$45)*$E156,18)</f>
        <v>18</v>
      </c>
      <c r="I156" s="67" cm="1">
        <f ca="1" t="array" ref="I156">MIN(30-SUM(J156:L156),6-L156,_xlfn.XLOOKUP($D156&amp;"_"&amp;I$61,$B$23:$B$45&amp;"_"&amp;$C$23:$C$45,$D$23:$D$45)*$E156)</f>
        <v>2.49201490550971</v>
      </c>
      <c r="J156" s="67" cm="1">
        <f ca="1" t="array" ref="J156">MIN(8,_xlfn.XLOOKUP($D156&amp;"_"&amp;J$61,$B$23:$B$45&amp;"_"&amp;$C$23:$C$45,$D$23:$D$45)*$E156)</f>
        <v>1.61980968858131</v>
      </c>
      <c r="K156" s="67" cm="1">
        <f ca="1" t="array" ref="K156">MIN(18,_xlfn.XLOOKUP($D156&amp;"_"&amp;K$61,$B$23:$B$45&amp;"_"&amp;$C$23:$C$45,$D$23:$D$45)*$E156)</f>
        <v>0.503940792003076</v>
      </c>
      <c r="L156" s="67" cm="1">
        <f ca="1" t="array" ref="L156">MIN(6,_xlfn.XLOOKUP($D156&amp;"_"&amp;L$61,$B$23:$B$45&amp;"_"&amp;$C$23:$C$45,$D$23:$D$45)*$E156)</f>
        <v>0.755911188004614</v>
      </c>
      <c r="M156" s="67" cm="1">
        <f ca="1" t="array" ref="M156">(1+SUMPRODUCT(G156:H156,OFFSET($H$49:$I$49,D156,0)))*(1+OFFSET($J$49,D156,0))^I156*(1+OFFSET($K$49,D156,0))^J156*(1+OFFSET($L$49,D156,0))^K156*(1+OFFSET($M$49,D156,0))^L156</f>
        <v>19.9469920323278</v>
      </c>
      <c r="N156" s="67">
        <f ca="1">MAX(MAX($N$62:N155),OFFSET($C$61,MATCH(M156*1.07,$M$62:$M$2061,1),0)-C156)</f>
        <v>2520</v>
      </c>
    </row>
    <row r="157" spans="2:14">
      <c r="B157" s="67">
        <v>96</v>
      </c>
      <c r="C157" s="67">
        <f t="shared" si="23"/>
        <v>34560</v>
      </c>
      <c r="D157" s="67">
        <f t="shared" si="19"/>
        <v>5</v>
      </c>
      <c r="E157" s="67">
        <f ca="1" t="shared" si="20"/>
        <v>126</v>
      </c>
      <c r="F157" s="67">
        <f ca="1" t="shared" si="21"/>
        <v>0</v>
      </c>
      <c r="G157" s="67">
        <f ca="1" t="shared" si="22"/>
        <v>6.5853500133085</v>
      </c>
      <c r="H157" s="67" cm="1">
        <f ca="1" t="array" ref="H157">MIN(30-SUM(I157:L157),_xlfn.XLOOKUP($D157&amp;"_"&amp;H$61,$B$23:$B$45&amp;"_"&amp;$C$23:$C$45,$D$23:$D$45)*$E157,18)</f>
        <v>18</v>
      </c>
      <c r="I157" s="67" cm="1">
        <f ca="1" t="array" ref="I157">MIN(30-SUM(J157:L157),6-L157,_xlfn.XLOOKUP($D157&amp;"_"&amp;I$61,$B$23:$B$45&amp;"_"&amp;$C$23:$C$45,$D$23:$D$45)*$E157)</f>
        <v>2.51195102475379</v>
      </c>
      <c r="J157" s="67" cm="1">
        <f ca="1" t="array" ref="J157">MIN(8,_xlfn.XLOOKUP($D157&amp;"_"&amp;J$61,$B$23:$B$45&amp;"_"&amp;$C$23:$C$45,$D$23:$D$45)*$E157)</f>
        <v>1.63276816608996</v>
      </c>
      <c r="K157" s="67" cm="1">
        <f ca="1" t="array" ref="K157">MIN(18,_xlfn.XLOOKUP($D157&amp;"_"&amp;K$61,$B$23:$B$45&amp;"_"&amp;$C$23:$C$45,$D$23:$D$45)*$E157)</f>
        <v>0.507972318339101</v>
      </c>
      <c r="L157" s="67" cm="1">
        <f ca="1" t="array" ref="L157">MIN(6,_xlfn.XLOOKUP($D157&amp;"_"&amp;L$61,$B$23:$B$45&amp;"_"&amp;$C$23:$C$45,$D$23:$D$45)*$E157)</f>
        <v>0.761958477508651</v>
      </c>
      <c r="M157" s="67" cm="1">
        <f ca="1" t="array" ref="M157">(1+SUMPRODUCT(G157:H157,OFFSET($H$49:$I$49,D157,0)))*(1+OFFSET($J$49,D157,0))^I157*(1+OFFSET($K$49,D157,0))^J157*(1+OFFSET($L$49,D157,0))^K157*(1+OFFSET($M$49,D157,0))^L157</f>
        <v>20.13747234488</v>
      </c>
      <c r="N157" s="67">
        <f ca="1">MAX(MAX($N$62:N156),OFFSET($C$61,MATCH(M157*1.07,$M$62:$M$2061,1),0)-C157)</f>
        <v>2520</v>
      </c>
    </row>
    <row r="158" spans="2:14">
      <c r="B158" s="67">
        <v>97</v>
      </c>
      <c r="C158" s="67">
        <f t="shared" si="23"/>
        <v>34920</v>
      </c>
      <c r="D158" s="67">
        <f t="shared" si="19"/>
        <v>5</v>
      </c>
      <c r="E158" s="67">
        <f ca="1" t="shared" si="20"/>
        <v>127</v>
      </c>
      <c r="F158" s="67">
        <f ca="1" t="shared" si="21"/>
        <v>0</v>
      </c>
      <c r="G158" s="67">
        <f ca="1" t="shared" si="22"/>
        <v>6.54237660071571</v>
      </c>
      <c r="H158" s="67" cm="1">
        <f ca="1" t="array" ref="H158">MIN(30-SUM(I158:L158),_xlfn.XLOOKUP($D158&amp;"_"&amp;H$61,$B$23:$B$45&amp;"_"&amp;$C$23:$C$45,$D$23:$D$45)*$E158,18)</f>
        <v>18</v>
      </c>
      <c r="I158" s="67" cm="1">
        <f ca="1" t="array" ref="I158">MIN(30-SUM(J158:L158),6-L158,_xlfn.XLOOKUP($D158&amp;"_"&amp;I$61,$B$23:$B$45&amp;"_"&amp;$C$23:$C$45,$D$23:$D$45)*$E158)</f>
        <v>2.53188714399787</v>
      </c>
      <c r="J158" s="67" cm="1">
        <f ca="1" t="array" ref="J158">MIN(8,_xlfn.XLOOKUP($D158&amp;"_"&amp;J$61,$B$23:$B$45&amp;"_"&amp;$C$23:$C$45,$D$23:$D$45)*$E158)</f>
        <v>1.64572664359861</v>
      </c>
      <c r="K158" s="67" cm="1">
        <f ca="1" t="array" ref="K158">MIN(18,_xlfn.XLOOKUP($D158&amp;"_"&amp;K$61,$B$23:$B$45&amp;"_"&amp;$C$23:$C$45,$D$23:$D$45)*$E158)</f>
        <v>0.512003844675125</v>
      </c>
      <c r="L158" s="67" cm="1">
        <f ca="1" t="array" ref="L158">MIN(6,_xlfn.XLOOKUP($D158&amp;"_"&amp;L$61,$B$23:$B$45&amp;"_"&amp;$C$23:$C$45,$D$23:$D$45)*$E158)</f>
        <v>0.768005767012688</v>
      </c>
      <c r="M158" s="67" cm="1">
        <f ca="1" t="array" ref="M158">(1+SUMPRODUCT(G158:H158,OFFSET($H$49:$I$49,D158,0)))*(1+OFFSET($J$49,D158,0))^I158*(1+OFFSET($K$49,D158,0))^J158*(1+OFFSET($L$49,D158,0))^K158*(1+OFFSET($M$49,D158,0))^L158</f>
        <v>20.3297530087934</v>
      </c>
      <c r="N158" s="67">
        <f ca="1">MAX(MAX($N$62:N157),OFFSET($C$61,MATCH(M158*1.07,$M$62:$M$2061,1),0)-C158)</f>
        <v>2520</v>
      </c>
    </row>
    <row r="159" spans="2:14">
      <c r="B159" s="67">
        <v>98</v>
      </c>
      <c r="C159" s="67">
        <f t="shared" si="23"/>
        <v>35280</v>
      </c>
      <c r="D159" s="67">
        <f t="shared" si="19"/>
        <v>5</v>
      </c>
      <c r="E159" s="67">
        <f ca="1" t="shared" si="20"/>
        <v>128</v>
      </c>
      <c r="F159" s="67">
        <f ca="1" t="shared" si="21"/>
        <v>0</v>
      </c>
      <c r="G159" s="67">
        <f ca="1" t="shared" si="22"/>
        <v>6.49940318812292</v>
      </c>
      <c r="H159" s="67" cm="1">
        <f ca="1" t="array" ref="H159">MIN(30-SUM(I159:L159),_xlfn.XLOOKUP($D159&amp;"_"&amp;H$61,$B$23:$B$45&amp;"_"&amp;$C$23:$C$45,$D$23:$D$45)*$E159,18)</f>
        <v>18</v>
      </c>
      <c r="I159" s="67" cm="1">
        <f ca="1" t="array" ref="I159">MIN(30-SUM(J159:L159),6-L159,_xlfn.XLOOKUP($D159&amp;"_"&amp;I$61,$B$23:$B$45&amp;"_"&amp;$C$23:$C$45,$D$23:$D$45)*$E159)</f>
        <v>2.55182326324195</v>
      </c>
      <c r="J159" s="67" cm="1">
        <f ca="1" t="array" ref="J159">MIN(8,_xlfn.XLOOKUP($D159&amp;"_"&amp;J$61,$B$23:$B$45&amp;"_"&amp;$C$23:$C$45,$D$23:$D$45)*$E159)</f>
        <v>1.65868512110726</v>
      </c>
      <c r="K159" s="67" cm="1">
        <f ca="1" t="array" ref="K159">MIN(18,_xlfn.XLOOKUP($D159&amp;"_"&amp;K$61,$B$23:$B$45&amp;"_"&amp;$C$23:$C$45,$D$23:$D$45)*$E159)</f>
        <v>0.51603537101115</v>
      </c>
      <c r="L159" s="67" cm="1">
        <f ca="1" t="array" ref="L159">MIN(6,_xlfn.XLOOKUP($D159&amp;"_"&amp;L$61,$B$23:$B$45&amp;"_"&amp;$C$23:$C$45,$D$23:$D$45)*$E159)</f>
        <v>0.774053056516725</v>
      </c>
      <c r="M159" s="67" cm="1">
        <f ca="1" t="array" ref="M159">(1+SUMPRODUCT(G159:H159,OFFSET($H$49:$I$49,D159,0)))*(1+OFFSET($J$49,D159,0))^I159*(1+OFFSET($K$49,D159,0))^J159*(1+OFFSET($L$49,D159,0))^K159*(1+OFFSET($M$49,D159,0))^L159</f>
        <v>20.5238508248959</v>
      </c>
      <c r="N159" s="67">
        <f ca="1">MAX(MAX($N$62:N158),OFFSET($C$61,MATCH(M159*1.07,$M$62:$M$2061,1),0)-C159)</f>
        <v>2520</v>
      </c>
    </row>
    <row r="160" spans="2:14">
      <c r="B160" s="67">
        <v>99</v>
      </c>
      <c r="C160" s="67">
        <f t="shared" si="23"/>
        <v>35640</v>
      </c>
      <c r="D160" s="67">
        <f t="shared" si="19"/>
        <v>5</v>
      </c>
      <c r="E160" s="67">
        <f ca="1" t="shared" si="20"/>
        <v>129</v>
      </c>
      <c r="F160" s="67">
        <f ca="1" t="shared" si="21"/>
        <v>0</v>
      </c>
      <c r="G160" s="67">
        <f ca="1" t="shared" si="22"/>
        <v>6.45642977553013</v>
      </c>
      <c r="H160" s="67" cm="1">
        <f ca="1" t="array" ref="H160">MIN(30-SUM(I160:L160),_xlfn.XLOOKUP($D160&amp;"_"&amp;H$61,$B$23:$B$45&amp;"_"&amp;$C$23:$C$45,$D$23:$D$45)*$E160,18)</f>
        <v>18</v>
      </c>
      <c r="I160" s="67" cm="1">
        <f ca="1" t="array" ref="I160">MIN(30-SUM(J160:L160),6-L160,_xlfn.XLOOKUP($D160&amp;"_"&amp;I$61,$B$23:$B$45&amp;"_"&amp;$C$23:$C$45,$D$23:$D$45)*$E160)</f>
        <v>2.57175938248602</v>
      </c>
      <c r="J160" s="67" cm="1">
        <f ca="1" t="array" ref="J160">MIN(8,_xlfn.XLOOKUP($D160&amp;"_"&amp;J$61,$B$23:$B$45&amp;"_"&amp;$C$23:$C$45,$D$23:$D$45)*$E160)</f>
        <v>1.67164359861591</v>
      </c>
      <c r="K160" s="67" cm="1">
        <f ca="1" t="array" ref="K160">MIN(18,_xlfn.XLOOKUP($D160&amp;"_"&amp;K$61,$B$23:$B$45&amp;"_"&amp;$C$23:$C$45,$D$23:$D$45)*$E160)</f>
        <v>0.520066897347175</v>
      </c>
      <c r="L160" s="67" cm="1">
        <f ca="1" t="array" ref="L160">MIN(6,_xlfn.XLOOKUP($D160&amp;"_"&amp;L$61,$B$23:$B$45&amp;"_"&amp;$C$23:$C$45,$D$23:$D$45)*$E160)</f>
        <v>0.780100346020761</v>
      </c>
      <c r="M160" s="67" cm="1">
        <f ca="1" t="array" ref="M160">(1+SUMPRODUCT(G160:H160,OFFSET($H$49:$I$49,D160,0)))*(1+OFFSET($J$49,D160,0))^I160*(1+OFFSET($K$49,D160,0))^J160*(1+OFFSET($L$49,D160,0))^K160*(1+OFFSET($M$49,D160,0))^L160</f>
        <v>20.7197827482799</v>
      </c>
      <c r="N160" s="67">
        <f ca="1">MAX(MAX($N$62:N159),OFFSET($C$61,MATCH(M160*1.07,$M$62:$M$2061,1),0)-C160)</f>
        <v>2520</v>
      </c>
    </row>
    <row r="161" spans="2:14">
      <c r="B161" s="67">
        <v>100</v>
      </c>
      <c r="C161" s="67">
        <f t="shared" si="23"/>
        <v>36000</v>
      </c>
      <c r="D161" s="67">
        <f t="shared" si="19"/>
        <v>5</v>
      </c>
      <c r="E161" s="67">
        <f ca="1" t="shared" si="20"/>
        <v>130</v>
      </c>
      <c r="F161" s="67">
        <f ca="1" t="shared" si="21"/>
        <v>0</v>
      </c>
      <c r="G161" s="67">
        <f ca="1" t="shared" si="22"/>
        <v>6.41345636293734</v>
      </c>
      <c r="H161" s="67" cm="1">
        <f ca="1" t="array" ref="H161">MIN(30-SUM(I161:L161),_xlfn.XLOOKUP($D161&amp;"_"&amp;H$61,$B$23:$B$45&amp;"_"&amp;$C$23:$C$45,$D$23:$D$45)*$E161,18)</f>
        <v>18</v>
      </c>
      <c r="I161" s="67" cm="1">
        <f ca="1" t="array" ref="I161">MIN(30-SUM(J161:L161),6-L161,_xlfn.XLOOKUP($D161&amp;"_"&amp;I$61,$B$23:$B$45&amp;"_"&amp;$C$23:$C$45,$D$23:$D$45)*$E161)</f>
        <v>2.5916955017301</v>
      </c>
      <c r="J161" s="67" cm="1">
        <f ca="1" t="array" ref="J161">MIN(8,_xlfn.XLOOKUP($D161&amp;"_"&amp;J$61,$B$23:$B$45&amp;"_"&amp;$C$23:$C$45,$D$23:$D$45)*$E161)</f>
        <v>1.68460207612457</v>
      </c>
      <c r="K161" s="67" cm="1">
        <f ca="1" t="array" ref="K161">MIN(18,_xlfn.XLOOKUP($D161&amp;"_"&amp;K$61,$B$23:$B$45&amp;"_"&amp;$C$23:$C$45,$D$23:$D$45)*$E161)</f>
        <v>0.524098423683199</v>
      </c>
      <c r="L161" s="67" cm="1">
        <f ca="1" t="array" ref="L161">MIN(6,_xlfn.XLOOKUP($D161&amp;"_"&amp;L$61,$B$23:$B$45&amp;"_"&amp;$C$23:$C$45,$D$23:$D$45)*$E161)</f>
        <v>0.786147635524798</v>
      </c>
      <c r="M161" s="67" cm="1">
        <f ca="1" t="array" ref="M161">(1+SUMPRODUCT(G161:H161,OFFSET($H$49:$I$49,D161,0)))*(1+OFFSET($J$49,D161,0))^I161*(1+OFFSET($K$49,D161,0))^J161*(1+OFFSET($L$49,D161,0))^K161*(1+OFFSET($M$49,D161,0))^L161</f>
        <v>20.9175658896891</v>
      </c>
      <c r="N161" s="67">
        <f ca="1">MAX(MAX($N$62:N160),OFFSET($C$61,MATCH(M161*1.07,$M$62:$M$2061,1),0)-C161)</f>
        <v>2520</v>
      </c>
    </row>
    <row r="162" spans="2:14">
      <c r="B162" s="67">
        <v>101</v>
      </c>
      <c r="C162" s="67">
        <f t="shared" si="23"/>
        <v>36360</v>
      </c>
      <c r="D162" s="67">
        <f t="shared" si="19"/>
        <v>5</v>
      </c>
      <c r="E162" s="67">
        <f ca="1" t="shared" si="20"/>
        <v>131</v>
      </c>
      <c r="F162" s="67">
        <f ca="1" t="shared" si="21"/>
        <v>0</v>
      </c>
      <c r="G162" s="67">
        <f ca="1" t="shared" si="22"/>
        <v>6.37048295034455</v>
      </c>
      <c r="H162" s="67" cm="1">
        <f ca="1" t="array" ref="H162">MIN(30-SUM(I162:L162),_xlfn.XLOOKUP($D162&amp;"_"&amp;H$61,$B$23:$B$45&amp;"_"&amp;$C$23:$C$45,$D$23:$D$45)*$E162,18)</f>
        <v>18</v>
      </c>
      <c r="I162" s="67" cm="1">
        <f ca="1" t="array" ref="I162">MIN(30-SUM(J162:L162),6-L162,_xlfn.XLOOKUP($D162&amp;"_"&amp;I$61,$B$23:$B$45&amp;"_"&amp;$C$23:$C$45,$D$23:$D$45)*$E162)</f>
        <v>2.61163162097418</v>
      </c>
      <c r="J162" s="67" cm="1">
        <f ca="1" t="array" ref="J162">MIN(8,_xlfn.XLOOKUP($D162&amp;"_"&amp;J$61,$B$23:$B$45&amp;"_"&amp;$C$23:$C$45,$D$23:$D$45)*$E162)</f>
        <v>1.69756055363322</v>
      </c>
      <c r="K162" s="67" cm="1">
        <f ca="1" t="array" ref="K162">MIN(18,_xlfn.XLOOKUP($D162&amp;"_"&amp;K$61,$B$23:$B$45&amp;"_"&amp;$C$23:$C$45,$D$23:$D$45)*$E162)</f>
        <v>0.528129950019224</v>
      </c>
      <c r="L162" s="67" cm="1">
        <f ca="1" t="array" ref="L162">MIN(6,_xlfn.XLOOKUP($D162&amp;"_"&amp;L$61,$B$23:$B$45&amp;"_"&amp;$C$23:$C$45,$D$23:$D$45)*$E162)</f>
        <v>0.792194925028835</v>
      </c>
      <c r="M162" s="67" cm="1">
        <f ca="1" t="array" ref="M162">(1+SUMPRODUCT(G162:H162,OFFSET($H$49:$I$49,D162,0)))*(1+OFFSET($J$49,D162,0))^I162*(1+OFFSET($K$49,D162,0))^J162*(1+OFFSET($L$49,D162,0))^K162*(1+OFFSET($M$49,D162,0))^L162</f>
        <v>21.1172175169168</v>
      </c>
      <c r="N162" s="67">
        <f ca="1">MAX(MAX($N$62:N161),OFFSET($C$61,MATCH(M162*1.07,$M$62:$M$2061,1),0)-C162)</f>
        <v>2520</v>
      </c>
    </row>
    <row r="163" spans="2:14">
      <c r="B163" s="67">
        <v>102</v>
      </c>
      <c r="C163" s="67">
        <f t="shared" si="23"/>
        <v>36720</v>
      </c>
      <c r="D163" s="67">
        <f t="shared" si="19"/>
        <v>5</v>
      </c>
      <c r="E163" s="67">
        <f ca="1" t="shared" si="20"/>
        <v>132</v>
      </c>
      <c r="F163" s="67">
        <f ca="1" t="shared" si="21"/>
        <v>0</v>
      </c>
      <c r="G163" s="67">
        <f ca="1" t="shared" si="22"/>
        <v>6.32750953775176</v>
      </c>
      <c r="H163" s="67" cm="1">
        <f ca="1" t="array" ref="H163">MIN(30-SUM(I163:L163),_xlfn.XLOOKUP($D163&amp;"_"&amp;H$61,$B$23:$B$45&amp;"_"&amp;$C$23:$C$45,$D$23:$D$45)*$E163,18)</f>
        <v>18</v>
      </c>
      <c r="I163" s="67" cm="1">
        <f ca="1" t="array" ref="I163">MIN(30-SUM(J163:L163),6-L163,_xlfn.XLOOKUP($D163&amp;"_"&amp;I$61,$B$23:$B$45&amp;"_"&amp;$C$23:$C$45,$D$23:$D$45)*$E163)</f>
        <v>2.63156774021826</v>
      </c>
      <c r="J163" s="67" cm="1">
        <f ca="1" t="array" ref="J163">MIN(8,_xlfn.XLOOKUP($D163&amp;"_"&amp;J$61,$B$23:$B$45&amp;"_"&amp;$C$23:$C$45,$D$23:$D$45)*$E163)</f>
        <v>1.71051903114187</v>
      </c>
      <c r="K163" s="67" cm="1">
        <f ca="1" t="array" ref="K163">MIN(18,_xlfn.XLOOKUP($D163&amp;"_"&amp;K$61,$B$23:$B$45&amp;"_"&amp;$C$23:$C$45,$D$23:$D$45)*$E163)</f>
        <v>0.532161476355248</v>
      </c>
      <c r="L163" s="67" cm="1">
        <f ca="1" t="array" ref="L163">MIN(6,_xlfn.XLOOKUP($D163&amp;"_"&amp;L$61,$B$23:$B$45&amp;"_"&amp;$C$23:$C$45,$D$23:$D$45)*$E163)</f>
        <v>0.798242214532872</v>
      </c>
      <c r="M163" s="67" cm="1">
        <f ca="1" t="array" ref="M163">(1+SUMPRODUCT(G163:H163,OFFSET($H$49:$I$49,D163,0)))*(1+OFFSET($J$49,D163,0))^I163*(1+OFFSET($K$49,D163,0))^J163*(1+OFFSET($L$49,D163,0))^K163*(1+OFFSET($M$49,D163,0))^L163</f>
        <v>21.3187550562169</v>
      </c>
      <c r="N163" s="67">
        <f ca="1">MAX(MAX($N$62:N162),OFFSET($C$61,MATCH(M163*1.07,$M$62:$M$2061,1),0)-C163)</f>
        <v>2520</v>
      </c>
    </row>
    <row r="164" spans="2:14">
      <c r="B164" s="67">
        <v>103</v>
      </c>
      <c r="C164" s="67">
        <f t="shared" si="23"/>
        <v>37080</v>
      </c>
      <c r="D164" s="67">
        <f t="shared" si="19"/>
        <v>5</v>
      </c>
      <c r="E164" s="67">
        <f ca="1" t="shared" si="20"/>
        <v>133</v>
      </c>
      <c r="F164" s="67">
        <f ca="1" t="shared" si="21"/>
        <v>0</v>
      </c>
      <c r="G164" s="67">
        <f ca="1" t="shared" si="22"/>
        <v>6.28453612515897</v>
      </c>
      <c r="H164" s="67" cm="1">
        <f ca="1" t="array" ref="H164">MIN(30-SUM(I164:L164),_xlfn.XLOOKUP($D164&amp;"_"&amp;H$61,$B$23:$B$45&amp;"_"&amp;$C$23:$C$45,$D$23:$D$45)*$E164,18)</f>
        <v>18</v>
      </c>
      <c r="I164" s="67" cm="1">
        <f ca="1" t="array" ref="I164">MIN(30-SUM(J164:L164),6-L164,_xlfn.XLOOKUP($D164&amp;"_"&amp;I$61,$B$23:$B$45&amp;"_"&amp;$C$23:$C$45,$D$23:$D$45)*$E164)</f>
        <v>2.65150385946233</v>
      </c>
      <c r="J164" s="67" cm="1">
        <f ca="1" t="array" ref="J164">MIN(8,_xlfn.XLOOKUP($D164&amp;"_"&amp;J$61,$B$23:$B$45&amp;"_"&amp;$C$23:$C$45,$D$23:$D$45)*$E164)</f>
        <v>1.72347750865052</v>
      </c>
      <c r="K164" s="67" cm="1">
        <f ca="1" t="array" ref="K164">MIN(18,_xlfn.XLOOKUP($D164&amp;"_"&amp;K$61,$B$23:$B$45&amp;"_"&amp;$C$23:$C$45,$D$23:$D$45)*$E164)</f>
        <v>0.536193002691273</v>
      </c>
      <c r="L164" s="67" cm="1">
        <f ca="1" t="array" ref="L164">MIN(6,_xlfn.XLOOKUP($D164&amp;"_"&amp;L$61,$B$23:$B$45&amp;"_"&amp;$C$23:$C$45,$D$23:$D$45)*$E164)</f>
        <v>0.804289504036909</v>
      </c>
      <c r="M164" s="67" cm="1">
        <f ca="1" t="array" ref="M164">(1+SUMPRODUCT(G164:H164,OFFSET($H$49:$I$49,D164,0)))*(1+OFFSET($J$49,D164,0))^I164*(1+OFFSET($K$49,D164,0))^J164*(1+OFFSET($L$49,D164,0))^K164*(1+OFFSET($M$49,D164,0))^L164</f>
        <v>21.5221960937273</v>
      </c>
      <c r="N164" s="67">
        <f ca="1">MAX(MAX($N$62:N163),OFFSET($C$61,MATCH(M164*1.07,$M$62:$M$2061,1),0)-C164)</f>
        <v>2520</v>
      </c>
    </row>
    <row r="165" spans="2:14">
      <c r="B165" s="67">
        <v>104</v>
      </c>
      <c r="C165" s="67">
        <f t="shared" si="23"/>
        <v>37440</v>
      </c>
      <c r="D165" s="67">
        <f t="shared" si="19"/>
        <v>5</v>
      </c>
      <c r="E165" s="67">
        <f ca="1" t="shared" si="20"/>
        <v>134</v>
      </c>
      <c r="F165" s="67">
        <f ca="1" t="shared" si="21"/>
        <v>0</v>
      </c>
      <c r="G165" s="67">
        <f ca="1" t="shared" si="22"/>
        <v>6.24156271256618</v>
      </c>
      <c r="H165" s="67" cm="1">
        <f ca="1" t="array" ref="H165">MIN(30-SUM(I165:L165),_xlfn.XLOOKUP($D165&amp;"_"&amp;H$61,$B$23:$B$45&amp;"_"&amp;$C$23:$C$45,$D$23:$D$45)*$E165,18)</f>
        <v>18</v>
      </c>
      <c r="I165" s="67" cm="1">
        <f ca="1" t="array" ref="I165">MIN(30-SUM(J165:L165),6-L165,_xlfn.XLOOKUP($D165&amp;"_"&amp;I$61,$B$23:$B$45&amp;"_"&amp;$C$23:$C$45,$D$23:$D$45)*$E165)</f>
        <v>2.67143997870641</v>
      </c>
      <c r="J165" s="67" cm="1">
        <f ca="1" t="array" ref="J165">MIN(8,_xlfn.XLOOKUP($D165&amp;"_"&amp;J$61,$B$23:$B$45&amp;"_"&amp;$C$23:$C$45,$D$23:$D$45)*$E165)</f>
        <v>1.73643598615917</v>
      </c>
      <c r="K165" s="67" cm="1">
        <f ca="1" t="array" ref="K165">MIN(18,_xlfn.XLOOKUP($D165&amp;"_"&amp;K$61,$B$23:$B$45&amp;"_"&amp;$C$23:$C$45,$D$23:$D$45)*$E165)</f>
        <v>0.540224529027298</v>
      </c>
      <c r="L165" s="67" cm="1">
        <f ca="1" t="array" ref="L165">MIN(6,_xlfn.XLOOKUP($D165&amp;"_"&amp;L$61,$B$23:$B$45&amp;"_"&amp;$C$23:$C$45,$D$23:$D$45)*$E165)</f>
        <v>0.810336793540946</v>
      </c>
      <c r="M165" s="67" cm="1">
        <f ca="1" t="array" ref="M165">(1+SUMPRODUCT(G165:H165,OFFSET($H$49:$I$49,D165,0)))*(1+OFFSET($J$49,D165,0))^I165*(1+OFFSET($K$49,D165,0))^J165*(1+OFFSET($L$49,D165,0))^K165*(1+OFFSET($M$49,D165,0))^L165</f>
        <v>21.7275583769053</v>
      </c>
      <c r="N165" s="67">
        <f ca="1">MAX(MAX($N$62:N164),OFFSET($C$61,MATCH(M165*1.07,$M$62:$M$2061,1),0)-C165)</f>
        <v>2520</v>
      </c>
    </row>
    <row r="166" spans="2:14">
      <c r="B166" s="67">
        <v>105</v>
      </c>
      <c r="C166" s="67">
        <f t="shared" si="23"/>
        <v>37800</v>
      </c>
      <c r="D166" s="67">
        <f t="shared" si="19"/>
        <v>5</v>
      </c>
      <c r="E166" s="67">
        <f ca="1" t="shared" si="20"/>
        <v>135</v>
      </c>
      <c r="F166" s="67">
        <f ca="1" t="shared" si="21"/>
        <v>0</v>
      </c>
      <c r="G166" s="67">
        <f ca="1" t="shared" si="22"/>
        <v>6.19858929997339</v>
      </c>
      <c r="H166" s="67" cm="1">
        <f ca="1" t="array" ref="H166">MIN(30-SUM(I166:L166),_xlfn.XLOOKUP($D166&amp;"_"&amp;H$61,$B$23:$B$45&amp;"_"&amp;$C$23:$C$45,$D$23:$D$45)*$E166,18)</f>
        <v>18</v>
      </c>
      <c r="I166" s="67" cm="1">
        <f ca="1" t="array" ref="I166">MIN(30-SUM(J166:L166),6-L166,_xlfn.XLOOKUP($D166&amp;"_"&amp;I$61,$B$23:$B$45&amp;"_"&amp;$C$23:$C$45,$D$23:$D$45)*$E166)</f>
        <v>2.69137609795049</v>
      </c>
      <c r="J166" s="67" cm="1">
        <f ca="1" t="array" ref="J166">MIN(8,_xlfn.XLOOKUP($D166&amp;"_"&amp;J$61,$B$23:$B$45&amp;"_"&amp;$C$23:$C$45,$D$23:$D$45)*$E166)</f>
        <v>1.74939446366782</v>
      </c>
      <c r="K166" s="67" cm="1">
        <f ca="1" t="array" ref="K166">MIN(18,_xlfn.XLOOKUP($D166&amp;"_"&amp;K$61,$B$23:$B$45&amp;"_"&amp;$C$23:$C$45,$D$23:$D$45)*$E166)</f>
        <v>0.544256055363322</v>
      </c>
      <c r="L166" s="67" cm="1">
        <f ca="1" t="array" ref="L166">MIN(6,_xlfn.XLOOKUP($D166&amp;"_"&amp;L$61,$B$23:$B$45&amp;"_"&amp;$C$23:$C$45,$D$23:$D$45)*$E166)</f>
        <v>0.816384083044983</v>
      </c>
      <c r="M166" s="67" cm="1">
        <f ca="1" t="array" ref="M166">(1+SUMPRODUCT(G166:H166,OFFSET($H$49:$I$49,D166,0)))*(1+OFFSET($J$49,D166,0))^I166*(1+OFFSET($K$49,D166,0))^J166*(1+OFFSET($L$49,D166,0))^K166*(1+OFFSET($M$49,D166,0))^L166</f>
        <v>21.9348598159761</v>
      </c>
      <c r="N166" s="67">
        <f ca="1">MAX(MAX($N$62:N165),OFFSET($C$61,MATCH(M166*1.07,$M$62:$M$2061,1),0)-C166)</f>
        <v>2520</v>
      </c>
    </row>
    <row r="167" spans="2:14">
      <c r="B167" s="67">
        <v>106</v>
      </c>
      <c r="C167" s="67">
        <f t="shared" si="23"/>
        <v>38160</v>
      </c>
      <c r="D167" s="67">
        <f t="shared" si="19"/>
        <v>5</v>
      </c>
      <c r="E167" s="67">
        <f ca="1" t="shared" si="20"/>
        <v>136</v>
      </c>
      <c r="F167" s="67">
        <f ca="1" t="shared" si="21"/>
        <v>0</v>
      </c>
      <c r="G167" s="67">
        <f ca="1" t="shared" si="22"/>
        <v>6.1556158873806</v>
      </c>
      <c r="H167" s="67" cm="1">
        <f ca="1" t="array" ref="H167">MIN(30-SUM(I167:L167),_xlfn.XLOOKUP($D167&amp;"_"&amp;H$61,$B$23:$B$45&amp;"_"&amp;$C$23:$C$45,$D$23:$D$45)*$E167,18)</f>
        <v>18</v>
      </c>
      <c r="I167" s="67" cm="1">
        <f ca="1" t="array" ref="I167">MIN(30-SUM(J167:L167),6-L167,_xlfn.XLOOKUP($D167&amp;"_"&amp;I$61,$B$23:$B$45&amp;"_"&amp;$C$23:$C$45,$D$23:$D$45)*$E167)</f>
        <v>2.71131221719457</v>
      </c>
      <c r="J167" s="67" cm="1">
        <f ca="1" t="array" ref="J167">MIN(8,_xlfn.XLOOKUP($D167&amp;"_"&amp;J$61,$B$23:$B$45&amp;"_"&amp;$C$23:$C$45,$D$23:$D$45)*$E167)</f>
        <v>1.76235294117647</v>
      </c>
      <c r="K167" s="67" cm="1">
        <f ca="1" t="array" ref="K167">MIN(18,_xlfn.XLOOKUP($D167&amp;"_"&amp;K$61,$B$23:$B$45&amp;"_"&amp;$C$23:$C$45,$D$23:$D$45)*$E167)</f>
        <v>0.548287581699347</v>
      </c>
      <c r="L167" s="67" cm="1">
        <f ca="1" t="array" ref="L167">MIN(6,_xlfn.XLOOKUP($D167&amp;"_"&amp;L$61,$B$23:$B$45&amp;"_"&amp;$C$23:$C$45,$D$23:$D$45)*$E167)</f>
        <v>0.82243137254902</v>
      </c>
      <c r="M167" s="67" cm="1">
        <f ca="1" t="array" ref="M167">(1+SUMPRODUCT(G167:H167,OFFSET($H$49:$I$49,D167,0)))*(1+OFFSET($J$49,D167,0))^I167*(1+OFFSET($K$49,D167,0))^J167*(1+OFFSET($L$49,D167,0))^K167*(1+OFFSET($M$49,D167,0))^L167</f>
        <v>22.1441184853929</v>
      </c>
      <c r="N167" s="67">
        <f ca="1">MAX(MAX($N$62:N166),OFFSET($C$61,MATCH(M167*1.07,$M$62:$M$2061,1),0)-C167)</f>
        <v>2520</v>
      </c>
    </row>
    <row r="168" spans="2:14">
      <c r="B168" s="67">
        <v>107</v>
      </c>
      <c r="C168" s="67">
        <f t="shared" si="23"/>
        <v>38520</v>
      </c>
      <c r="D168" s="67">
        <f t="shared" si="19"/>
        <v>5</v>
      </c>
      <c r="E168" s="67">
        <f ca="1" t="shared" si="20"/>
        <v>137</v>
      </c>
      <c r="F168" s="67">
        <f ca="1" t="shared" si="21"/>
        <v>0</v>
      </c>
      <c r="G168" s="67">
        <f ca="1" t="shared" si="22"/>
        <v>6.1126424747878</v>
      </c>
      <c r="H168" s="67" cm="1">
        <f ca="1" t="array" ref="H168">MIN(30-SUM(I168:L168),_xlfn.XLOOKUP($D168&amp;"_"&amp;H$61,$B$23:$B$45&amp;"_"&amp;$C$23:$C$45,$D$23:$D$45)*$E168,18)</f>
        <v>18</v>
      </c>
      <c r="I168" s="67" cm="1">
        <f ca="1" t="array" ref="I168">MIN(30-SUM(J168:L168),6-L168,_xlfn.XLOOKUP($D168&amp;"_"&amp;I$61,$B$23:$B$45&amp;"_"&amp;$C$23:$C$45,$D$23:$D$45)*$E168)</f>
        <v>2.73124833643864</v>
      </c>
      <c r="J168" s="67" cm="1">
        <f ca="1" t="array" ref="J168">MIN(8,_xlfn.XLOOKUP($D168&amp;"_"&amp;J$61,$B$23:$B$45&amp;"_"&amp;$C$23:$C$45,$D$23:$D$45)*$E168)</f>
        <v>1.77531141868512</v>
      </c>
      <c r="K168" s="67" cm="1">
        <f ca="1" t="array" ref="K168">MIN(18,_xlfn.XLOOKUP($D168&amp;"_"&amp;K$61,$B$23:$B$45&amp;"_"&amp;$C$23:$C$45,$D$23:$D$45)*$E168)</f>
        <v>0.552319108035372</v>
      </c>
      <c r="L168" s="67" cm="1">
        <f ca="1" t="array" ref="L168">MIN(6,_xlfn.XLOOKUP($D168&amp;"_"&amp;L$61,$B$23:$B$45&amp;"_"&amp;$C$23:$C$45,$D$23:$D$45)*$E168)</f>
        <v>0.828478662053057</v>
      </c>
      <c r="M168" s="67" cm="1">
        <f ca="1" t="array" ref="M168">(1+SUMPRODUCT(G168:H168,OFFSET($H$49:$I$49,D168,0)))*(1+OFFSET($J$49,D168,0))^I168*(1+OFFSET($K$49,D168,0))^J168*(1+OFFSET($L$49,D168,0))^K168*(1+OFFSET($M$49,D168,0))^L168</f>
        <v>22.3553526253108</v>
      </c>
      <c r="N168" s="67">
        <f ca="1">MAX(MAX($N$62:N167),OFFSET($C$61,MATCH(M168*1.07,$M$62:$M$2061,1),0)-C168)</f>
        <v>2520</v>
      </c>
    </row>
    <row r="169" spans="2:14">
      <c r="B169" s="67">
        <v>108</v>
      </c>
      <c r="C169" s="67">
        <f t="shared" si="23"/>
        <v>38880</v>
      </c>
      <c r="D169" s="67">
        <f t="shared" si="19"/>
        <v>5</v>
      </c>
      <c r="E169" s="67">
        <f ca="1" t="shared" si="20"/>
        <v>138</v>
      </c>
      <c r="F169" s="67">
        <f ca="1" t="shared" si="21"/>
        <v>0</v>
      </c>
      <c r="G169" s="67">
        <f ca="1" t="shared" si="22"/>
        <v>6.06966906219502</v>
      </c>
      <c r="H169" s="67" cm="1">
        <f ca="1" t="array" ref="H169">MIN(30-SUM(I169:L169),_xlfn.XLOOKUP($D169&amp;"_"&amp;H$61,$B$23:$B$45&amp;"_"&amp;$C$23:$C$45,$D$23:$D$45)*$E169,18)</f>
        <v>18</v>
      </c>
      <c r="I169" s="67" cm="1">
        <f ca="1" t="array" ref="I169">MIN(30-SUM(J169:L169),6-L169,_xlfn.XLOOKUP($D169&amp;"_"&amp;I$61,$B$23:$B$45&amp;"_"&amp;$C$23:$C$45,$D$23:$D$45)*$E169)</f>
        <v>2.75118445568272</v>
      </c>
      <c r="J169" s="67" cm="1">
        <f ca="1" t="array" ref="J169">MIN(8,_xlfn.XLOOKUP($D169&amp;"_"&amp;J$61,$B$23:$B$45&amp;"_"&amp;$C$23:$C$45,$D$23:$D$45)*$E169)</f>
        <v>1.78826989619377</v>
      </c>
      <c r="K169" s="67" cm="1">
        <f ca="1" t="array" ref="K169">MIN(18,_xlfn.XLOOKUP($D169&amp;"_"&amp;K$61,$B$23:$B$45&amp;"_"&amp;$C$23:$C$45,$D$23:$D$45)*$E169)</f>
        <v>0.556350634371396</v>
      </c>
      <c r="L169" s="67" cm="1">
        <f ca="1" t="array" ref="L169">MIN(6,_xlfn.XLOOKUP($D169&amp;"_"&amp;L$61,$B$23:$B$45&amp;"_"&amp;$C$23:$C$45,$D$23:$D$45)*$E169)</f>
        <v>0.834525951557094</v>
      </c>
      <c r="M169" s="67" cm="1">
        <f ca="1" t="array" ref="M169">(1+SUMPRODUCT(G169:H169,OFFSET($H$49:$I$49,D169,0)))*(1+OFFSET($J$49,D169,0))^I169*(1+OFFSET($K$49,D169,0))^J169*(1+OFFSET($L$49,D169,0))^K169*(1+OFFSET($M$49,D169,0))^L169</f>
        <v>22.5685806430733</v>
      </c>
      <c r="N169" s="67">
        <f ca="1">MAX(MAX($N$62:N168),OFFSET($C$61,MATCH(M169*1.07,$M$62:$M$2061,1),0)-C169)</f>
        <v>2520</v>
      </c>
    </row>
    <row r="170" spans="2:14">
      <c r="B170" s="67">
        <v>109</v>
      </c>
      <c r="C170" s="67">
        <f t="shared" si="23"/>
        <v>39240</v>
      </c>
      <c r="D170" s="67">
        <f t="shared" si="19"/>
        <v>5</v>
      </c>
      <c r="E170" s="67">
        <f ca="1" t="shared" si="20"/>
        <v>139</v>
      </c>
      <c r="F170" s="67">
        <f ca="1" t="shared" si="21"/>
        <v>0</v>
      </c>
      <c r="G170" s="67">
        <f ca="1" t="shared" si="22"/>
        <v>6.02669564960223</v>
      </c>
      <c r="H170" s="67" cm="1">
        <f ca="1" t="array" ref="H170">MIN(30-SUM(I170:L170),_xlfn.XLOOKUP($D170&amp;"_"&amp;H$61,$B$23:$B$45&amp;"_"&amp;$C$23:$C$45,$D$23:$D$45)*$E170,18)</f>
        <v>18</v>
      </c>
      <c r="I170" s="67" cm="1">
        <f ca="1" t="array" ref="I170">MIN(30-SUM(J170:L170),6-L170,_xlfn.XLOOKUP($D170&amp;"_"&amp;I$61,$B$23:$B$45&amp;"_"&amp;$C$23:$C$45,$D$23:$D$45)*$E170)</f>
        <v>2.7711205749268</v>
      </c>
      <c r="J170" s="67" cm="1">
        <f ca="1" t="array" ref="J170">MIN(8,_xlfn.XLOOKUP($D170&amp;"_"&amp;J$61,$B$23:$B$45&amp;"_"&amp;$C$23:$C$45,$D$23:$D$45)*$E170)</f>
        <v>1.80122837370242</v>
      </c>
      <c r="K170" s="67" cm="1">
        <f ca="1" t="array" ref="K170">MIN(18,_xlfn.XLOOKUP($D170&amp;"_"&amp;K$61,$B$23:$B$45&amp;"_"&amp;$C$23:$C$45,$D$23:$D$45)*$E170)</f>
        <v>0.560382160707421</v>
      </c>
      <c r="L170" s="67" cm="1">
        <f ca="1" t="array" ref="L170">MIN(6,_xlfn.XLOOKUP($D170&amp;"_"&amp;L$61,$B$23:$B$45&amp;"_"&amp;$C$23:$C$45,$D$23:$D$45)*$E170)</f>
        <v>0.840573241061131</v>
      </c>
      <c r="M170" s="67" cm="1">
        <f ca="1" t="array" ref="M170">(1+SUMPRODUCT(G170:H170,OFFSET($H$49:$I$49,D170,0)))*(1+OFFSET($J$49,D170,0))^I170*(1+OFFSET($K$49,D170,0))^J170*(1+OFFSET($L$49,D170,0))^K170*(1+OFFSET($M$49,D170,0))^L170</f>
        <v>22.783821114711</v>
      </c>
      <c r="N170" s="67">
        <f ca="1">MAX(MAX($N$62:N169),OFFSET($C$61,MATCH(M170*1.07,$M$62:$M$2061,1),0)-C170)</f>
        <v>2520</v>
      </c>
    </row>
    <row r="171" spans="2:14">
      <c r="B171" s="67">
        <v>110</v>
      </c>
      <c r="C171" s="67">
        <f t="shared" si="23"/>
        <v>39600</v>
      </c>
      <c r="D171" s="67">
        <f t="shared" si="19"/>
        <v>5</v>
      </c>
      <c r="E171" s="67">
        <f ca="1" t="shared" si="20"/>
        <v>140</v>
      </c>
      <c r="F171" s="67">
        <f ca="1" t="shared" si="21"/>
        <v>0</v>
      </c>
      <c r="G171" s="67">
        <f ca="1" t="shared" si="22"/>
        <v>5.98372223700944</v>
      </c>
      <c r="H171" s="67" cm="1">
        <f ca="1" t="array" ref="H171">MIN(30-SUM(I171:L171),_xlfn.XLOOKUP($D171&amp;"_"&amp;H$61,$B$23:$B$45&amp;"_"&amp;$C$23:$C$45,$D$23:$D$45)*$E171,18)</f>
        <v>18</v>
      </c>
      <c r="I171" s="67" cm="1">
        <f ca="1" t="array" ref="I171">MIN(30-SUM(J171:L171),6-L171,_xlfn.XLOOKUP($D171&amp;"_"&amp;I$61,$B$23:$B$45&amp;"_"&amp;$C$23:$C$45,$D$23:$D$45)*$E171)</f>
        <v>2.79105669417088</v>
      </c>
      <c r="J171" s="67" cm="1">
        <f ca="1" t="array" ref="J171">MIN(8,_xlfn.XLOOKUP($D171&amp;"_"&amp;J$61,$B$23:$B$45&amp;"_"&amp;$C$23:$C$45,$D$23:$D$45)*$E171)</f>
        <v>1.81418685121107</v>
      </c>
      <c r="K171" s="67" cm="1">
        <f ca="1" t="array" ref="K171">MIN(18,_xlfn.XLOOKUP($D171&amp;"_"&amp;K$61,$B$23:$B$45&amp;"_"&amp;$C$23:$C$45,$D$23:$D$45)*$E171)</f>
        <v>0.564413687043445</v>
      </c>
      <c r="L171" s="67" cm="1">
        <f ca="1" t="array" ref="L171">MIN(6,_xlfn.XLOOKUP($D171&amp;"_"&amp;L$61,$B$23:$B$45&amp;"_"&amp;$C$23:$C$45,$D$23:$D$45)*$E171)</f>
        <v>0.846620530565167</v>
      </c>
      <c r="M171" s="67" cm="1">
        <f ca="1" t="array" ref="M171">(1+SUMPRODUCT(G171:H171,OFFSET($H$49:$I$49,D171,0)))*(1+OFFSET($J$49,D171,0))^I171*(1+OFFSET($K$49,D171,0))^J171*(1+OFFSET($L$49,D171,0))^K171*(1+OFFSET($M$49,D171,0))^L171</f>
        <v>23.0010927864542</v>
      </c>
      <c r="N171" s="67">
        <f ca="1">MAX(MAX($N$62:N170),OFFSET($C$61,MATCH(M171*1.07,$M$62:$M$2061,1),0)-C171)</f>
        <v>2520</v>
      </c>
    </row>
    <row r="172" spans="2:14">
      <c r="B172" s="67">
        <v>111</v>
      </c>
      <c r="C172" s="67">
        <f t="shared" si="23"/>
        <v>39960</v>
      </c>
      <c r="D172" s="67">
        <f t="shared" si="19"/>
        <v>5</v>
      </c>
      <c r="E172" s="67">
        <f ca="1" t="shared" si="20"/>
        <v>141</v>
      </c>
      <c r="F172" s="67">
        <f ca="1" t="shared" si="21"/>
        <v>0</v>
      </c>
      <c r="G172" s="67">
        <f ca="1" t="shared" si="22"/>
        <v>5.94074882441665</v>
      </c>
      <c r="H172" s="67" cm="1">
        <f ca="1" t="array" ref="H172">MIN(30-SUM(I172:L172),_xlfn.XLOOKUP($D172&amp;"_"&amp;H$61,$B$23:$B$45&amp;"_"&amp;$C$23:$C$45,$D$23:$D$45)*$E172,18)</f>
        <v>18</v>
      </c>
      <c r="I172" s="67" cm="1">
        <f ca="1" t="array" ref="I172">MIN(30-SUM(J172:L172),6-L172,_xlfn.XLOOKUP($D172&amp;"_"&amp;I$61,$B$23:$B$45&amp;"_"&amp;$C$23:$C$45,$D$23:$D$45)*$E172)</f>
        <v>2.81099281341496</v>
      </c>
      <c r="J172" s="67" cm="1">
        <f ca="1" t="array" ref="J172">MIN(8,_xlfn.XLOOKUP($D172&amp;"_"&amp;J$61,$B$23:$B$45&amp;"_"&amp;$C$23:$C$45,$D$23:$D$45)*$E172)</f>
        <v>1.82714532871972</v>
      </c>
      <c r="K172" s="67" cm="1">
        <f ca="1" t="array" ref="K172">MIN(18,_xlfn.XLOOKUP($D172&amp;"_"&amp;K$61,$B$23:$B$45&amp;"_"&amp;$C$23:$C$45,$D$23:$D$45)*$E172)</f>
        <v>0.56844521337947</v>
      </c>
      <c r="L172" s="67" cm="1">
        <f ca="1" t="array" ref="L172">MIN(6,_xlfn.XLOOKUP($D172&amp;"_"&amp;L$61,$B$23:$B$45&amp;"_"&amp;$C$23:$C$45,$D$23:$D$45)*$E172)</f>
        <v>0.852667820069204</v>
      </c>
      <c r="M172" s="67" cm="1">
        <f ca="1" t="array" ref="M172">(1+SUMPRODUCT(G172:H172,OFFSET($H$49:$I$49,D172,0)))*(1+OFFSET($J$49,D172,0))^I172*(1+OFFSET($K$49,D172,0))^J172*(1+OFFSET($L$49,D172,0))^K172*(1+OFFSET($M$49,D172,0))^L172</f>
        <v>23.2204145762583</v>
      </c>
      <c r="N172" s="67">
        <f ca="1">MAX(MAX($N$62:N171),OFFSET($C$61,MATCH(M172*1.07,$M$62:$M$2061,1),0)-C172)</f>
        <v>2520</v>
      </c>
    </row>
    <row r="173" spans="2:14">
      <c r="B173" s="67">
        <v>112</v>
      </c>
      <c r="C173" s="67">
        <f t="shared" si="23"/>
        <v>40320</v>
      </c>
      <c r="D173" s="67">
        <f t="shared" si="19"/>
        <v>5</v>
      </c>
      <c r="E173" s="67">
        <f ca="1" t="shared" si="20"/>
        <v>142</v>
      </c>
      <c r="F173" s="67">
        <f ca="1" t="shared" si="21"/>
        <v>0</v>
      </c>
      <c r="G173" s="67">
        <f ca="1" t="shared" si="22"/>
        <v>5.89777541182386</v>
      </c>
      <c r="H173" s="67" cm="1">
        <f ca="1" t="array" ref="H173">MIN(30-SUM(I173:L173),_xlfn.XLOOKUP($D173&amp;"_"&amp;H$61,$B$23:$B$45&amp;"_"&amp;$C$23:$C$45,$D$23:$D$45)*$E173,18)</f>
        <v>18</v>
      </c>
      <c r="I173" s="67" cm="1">
        <f ca="1" t="array" ref="I173">MIN(30-SUM(J173:L173),6-L173,_xlfn.XLOOKUP($D173&amp;"_"&amp;I$61,$B$23:$B$45&amp;"_"&amp;$C$23:$C$45,$D$23:$D$45)*$E173)</f>
        <v>2.83092893265903</v>
      </c>
      <c r="J173" s="67" cm="1">
        <f ca="1" t="array" ref="J173">MIN(8,_xlfn.XLOOKUP($D173&amp;"_"&amp;J$61,$B$23:$B$45&amp;"_"&amp;$C$23:$C$45,$D$23:$D$45)*$E173)</f>
        <v>1.84010380622837</v>
      </c>
      <c r="K173" s="67" cm="1">
        <f ca="1" t="array" ref="K173">MIN(18,_xlfn.XLOOKUP($D173&amp;"_"&amp;K$61,$B$23:$B$45&amp;"_"&amp;$C$23:$C$45,$D$23:$D$45)*$E173)</f>
        <v>0.572476739715495</v>
      </c>
      <c r="L173" s="67" cm="1">
        <f ca="1" t="array" ref="L173">MIN(6,_xlfn.XLOOKUP($D173&amp;"_"&amp;L$61,$B$23:$B$45&amp;"_"&amp;$C$23:$C$45,$D$23:$D$45)*$E173)</f>
        <v>0.858715109573241</v>
      </c>
      <c r="M173" s="67" cm="1">
        <f ca="1" t="array" ref="M173">(1+SUMPRODUCT(G173:H173,OFFSET($H$49:$I$49,D173,0)))*(1+OFFSET($J$49,D173,0))^I173*(1+OFFSET($K$49,D173,0))^J173*(1+OFFSET($L$49,D173,0))^K173*(1+OFFSET($M$49,D173,0))^L173</f>
        <v>23.4418055753424</v>
      </c>
      <c r="N173" s="67">
        <f ca="1">MAX(MAX($N$62:N172),OFFSET($C$61,MATCH(M173*1.07,$M$62:$M$2061,1),0)-C173)</f>
        <v>2520</v>
      </c>
    </row>
    <row r="174" spans="2:14">
      <c r="B174" s="67">
        <v>113</v>
      </c>
      <c r="C174" s="67">
        <f t="shared" si="23"/>
        <v>40680</v>
      </c>
      <c r="D174" s="67">
        <f t="shared" si="19"/>
        <v>5</v>
      </c>
      <c r="E174" s="67">
        <f ca="1" t="shared" si="20"/>
        <v>143</v>
      </c>
      <c r="F174" s="67">
        <f ca="1" t="shared" si="21"/>
        <v>0</v>
      </c>
      <c r="G174" s="67">
        <f ca="1" t="shared" si="22"/>
        <v>5.85480199923107</v>
      </c>
      <c r="H174" s="67" cm="1">
        <f ca="1" t="array" ref="H174">MIN(30-SUM(I174:L174),_xlfn.XLOOKUP($D174&amp;"_"&amp;H$61,$B$23:$B$45&amp;"_"&amp;$C$23:$C$45,$D$23:$D$45)*$E174,18)</f>
        <v>18</v>
      </c>
      <c r="I174" s="67" cm="1">
        <f ca="1" t="array" ref="I174">MIN(30-SUM(J174:L174),6-L174,_xlfn.XLOOKUP($D174&amp;"_"&amp;I$61,$B$23:$B$45&amp;"_"&amp;$C$23:$C$45,$D$23:$D$45)*$E174)</f>
        <v>2.85086505190311</v>
      </c>
      <c r="J174" s="67" cm="1">
        <f ca="1" t="array" ref="J174">MIN(8,_xlfn.XLOOKUP($D174&amp;"_"&amp;J$61,$B$23:$B$45&amp;"_"&amp;$C$23:$C$45,$D$23:$D$45)*$E174)</f>
        <v>1.85306228373702</v>
      </c>
      <c r="K174" s="67" cm="1">
        <f ca="1" t="array" ref="K174">MIN(18,_xlfn.XLOOKUP($D174&amp;"_"&amp;K$61,$B$23:$B$45&amp;"_"&amp;$C$23:$C$45,$D$23:$D$45)*$E174)</f>
        <v>0.576508266051519</v>
      </c>
      <c r="L174" s="67" cm="1">
        <f ca="1" t="array" ref="L174">MIN(6,_xlfn.XLOOKUP($D174&amp;"_"&amp;L$61,$B$23:$B$45&amp;"_"&amp;$C$23:$C$45,$D$23:$D$45)*$E174)</f>
        <v>0.864762399077278</v>
      </c>
      <c r="M174" s="67" cm="1">
        <f ca="1" t="array" ref="M174">(1+SUMPRODUCT(G174:H174,OFFSET($H$49:$I$49,D174,0)))*(1+OFFSET($J$49,D174,0))^I174*(1+OFFSET($K$49,D174,0))^J174*(1+OFFSET($L$49,D174,0))^K174*(1+OFFSET($M$49,D174,0))^L174</f>
        <v>23.6652850497413</v>
      </c>
      <c r="N174" s="67">
        <f ca="1">MAX(MAX($N$62:N173),OFFSET($C$61,MATCH(M174*1.07,$M$62:$M$2061,1),0)-C174)</f>
        <v>2520</v>
      </c>
    </row>
    <row r="175" spans="2:14">
      <c r="B175" s="67">
        <v>114</v>
      </c>
      <c r="C175" s="67">
        <f t="shared" si="23"/>
        <v>41040</v>
      </c>
      <c r="D175" s="67">
        <f t="shared" si="19"/>
        <v>5</v>
      </c>
      <c r="E175" s="67">
        <f ca="1" t="shared" si="20"/>
        <v>144</v>
      </c>
      <c r="F175" s="67">
        <f ca="1" t="shared" si="21"/>
        <v>0</v>
      </c>
      <c r="G175" s="67">
        <f ca="1" t="shared" si="22"/>
        <v>5.81182858663828</v>
      </c>
      <c r="H175" s="67" cm="1">
        <f ca="1" t="array" ref="H175">MIN(30-SUM(I175:L175),_xlfn.XLOOKUP($D175&amp;"_"&amp;H$61,$B$23:$B$45&amp;"_"&amp;$C$23:$C$45,$D$23:$D$45)*$E175,18)</f>
        <v>18</v>
      </c>
      <c r="I175" s="67" cm="1">
        <f ca="1" t="array" ref="I175">MIN(30-SUM(J175:L175),6-L175,_xlfn.XLOOKUP($D175&amp;"_"&amp;I$61,$B$23:$B$45&amp;"_"&amp;$C$23:$C$45,$D$23:$D$45)*$E175)</f>
        <v>2.87080117114719</v>
      </c>
      <c r="J175" s="67" cm="1">
        <f ca="1" t="array" ref="J175">MIN(8,_xlfn.XLOOKUP($D175&amp;"_"&amp;J$61,$B$23:$B$45&amp;"_"&amp;$C$23:$C$45,$D$23:$D$45)*$E175)</f>
        <v>1.86602076124567</v>
      </c>
      <c r="K175" s="67" cm="1">
        <f ca="1" t="array" ref="K175">MIN(18,_xlfn.XLOOKUP($D175&amp;"_"&amp;K$61,$B$23:$B$45&amp;"_"&amp;$C$23:$C$45,$D$23:$D$45)*$E175)</f>
        <v>0.580539792387544</v>
      </c>
      <c r="L175" s="67" cm="1">
        <f ca="1" t="array" ref="L175">MIN(6,_xlfn.XLOOKUP($D175&amp;"_"&amp;L$61,$B$23:$B$45&amp;"_"&amp;$C$23:$C$45,$D$23:$D$45)*$E175)</f>
        <v>0.870809688581315</v>
      </c>
      <c r="M175" s="67" cm="1">
        <f ca="1" t="array" ref="M175">(1+SUMPRODUCT(G175:H175,OFFSET($H$49:$I$49,D175,0)))*(1+OFFSET($J$49,D175,0))^I175*(1+OFFSET($K$49,D175,0))^J175*(1+OFFSET($L$49,D175,0))^K175*(1+OFFSET($M$49,D175,0))^L175</f>
        <v>23.8908724418715</v>
      </c>
      <c r="N175" s="67">
        <f ca="1">MAX(MAX($N$62:N174),OFFSET($C$61,MATCH(M175*1.07,$M$62:$M$2061,1),0)-C175)</f>
        <v>2520</v>
      </c>
    </row>
    <row r="176" spans="2:14">
      <c r="B176" s="67">
        <v>115</v>
      </c>
      <c r="C176" s="67">
        <f t="shared" si="23"/>
        <v>41400</v>
      </c>
      <c r="D176" s="67">
        <f t="shared" si="19"/>
        <v>5</v>
      </c>
      <c r="E176" s="67">
        <f ca="1" t="shared" si="20"/>
        <v>145</v>
      </c>
      <c r="F176" s="67">
        <f ca="1" t="shared" si="21"/>
        <v>0</v>
      </c>
      <c r="G176" s="67">
        <f ca="1" t="shared" si="22"/>
        <v>5.76885517404549</v>
      </c>
      <c r="H176" s="67" cm="1">
        <f ca="1" t="array" ref="H176">MIN(30-SUM(I176:L176),_xlfn.XLOOKUP($D176&amp;"_"&amp;H$61,$B$23:$B$45&amp;"_"&amp;$C$23:$C$45,$D$23:$D$45)*$E176,18)</f>
        <v>18</v>
      </c>
      <c r="I176" s="67" cm="1">
        <f ca="1" t="array" ref="I176">MIN(30-SUM(J176:L176),6-L176,_xlfn.XLOOKUP($D176&amp;"_"&amp;I$61,$B$23:$B$45&amp;"_"&amp;$C$23:$C$45,$D$23:$D$45)*$E176)</f>
        <v>2.89073729039127</v>
      </c>
      <c r="J176" s="67" cm="1">
        <f ca="1" t="array" ref="J176">MIN(8,_xlfn.XLOOKUP($D176&amp;"_"&amp;J$61,$B$23:$B$45&amp;"_"&amp;$C$23:$C$45,$D$23:$D$45)*$E176)</f>
        <v>1.87897923875432</v>
      </c>
      <c r="K176" s="67" cm="1">
        <f ca="1" t="array" ref="K176">MIN(18,_xlfn.XLOOKUP($D176&amp;"_"&amp;K$61,$B$23:$B$45&amp;"_"&amp;$C$23:$C$45,$D$23:$D$45)*$E176)</f>
        <v>0.584571318723568</v>
      </c>
      <c r="L176" s="67" cm="1">
        <f ca="1" t="array" ref="L176">MIN(6,_xlfn.XLOOKUP($D176&amp;"_"&amp;L$61,$B$23:$B$45&amp;"_"&amp;$C$23:$C$45,$D$23:$D$45)*$E176)</f>
        <v>0.876856978085352</v>
      </c>
      <c r="M176" s="67" cm="1">
        <f ca="1" t="array" ref="M176">(1+SUMPRODUCT(G176:H176,OFFSET($H$49:$I$49,D176,0)))*(1+OFFSET($J$49,D176,0))^I176*(1+OFFSET($K$49,D176,0))^J176*(1+OFFSET($L$49,D176,0))^K176*(1+OFFSET($M$49,D176,0))^L176</f>
        <v>24.1185873721097</v>
      </c>
      <c r="N176" s="67">
        <f ca="1">MAX(MAX($N$62:N175),OFFSET($C$61,MATCH(M176*1.07,$M$62:$M$2061,1),0)-C176)</f>
        <v>2520</v>
      </c>
    </row>
    <row r="177" spans="2:14">
      <c r="B177" s="67">
        <v>116</v>
      </c>
      <c r="C177" s="67">
        <f t="shared" si="23"/>
        <v>41760</v>
      </c>
      <c r="D177" s="67">
        <f t="shared" si="19"/>
        <v>5</v>
      </c>
      <c r="E177" s="67">
        <f ca="1" t="shared" si="20"/>
        <v>146</v>
      </c>
      <c r="F177" s="67">
        <f ca="1" t="shared" si="21"/>
        <v>0</v>
      </c>
      <c r="G177" s="67">
        <f ca="1" t="shared" si="22"/>
        <v>5.7258817614527</v>
      </c>
      <c r="H177" s="67" cm="1">
        <f ca="1" t="array" ref="H177">MIN(30-SUM(I177:L177),_xlfn.XLOOKUP($D177&amp;"_"&amp;H$61,$B$23:$B$45&amp;"_"&amp;$C$23:$C$45,$D$23:$D$45)*$E177,18)</f>
        <v>18</v>
      </c>
      <c r="I177" s="67" cm="1">
        <f ca="1" t="array" ref="I177">MIN(30-SUM(J177:L177),6-L177,_xlfn.XLOOKUP($D177&amp;"_"&amp;I$61,$B$23:$B$45&amp;"_"&amp;$C$23:$C$45,$D$23:$D$45)*$E177)</f>
        <v>2.91067340963534</v>
      </c>
      <c r="J177" s="67" cm="1">
        <f ca="1" t="array" ref="J177">MIN(8,_xlfn.XLOOKUP($D177&amp;"_"&amp;J$61,$B$23:$B$45&amp;"_"&amp;$C$23:$C$45,$D$23:$D$45)*$E177)</f>
        <v>1.89193771626297</v>
      </c>
      <c r="K177" s="67" cm="1">
        <f ca="1" t="array" ref="K177">MIN(18,_xlfn.XLOOKUP($D177&amp;"_"&amp;K$61,$B$23:$B$45&amp;"_"&amp;$C$23:$C$45,$D$23:$D$45)*$E177)</f>
        <v>0.588602845059593</v>
      </c>
      <c r="L177" s="67" cm="1">
        <f ca="1" t="array" ref="L177">MIN(6,_xlfn.XLOOKUP($D177&amp;"_"&amp;L$61,$B$23:$B$45&amp;"_"&amp;$C$23:$C$45,$D$23:$D$45)*$E177)</f>
        <v>0.882904267589389</v>
      </c>
      <c r="M177" s="67" cm="1">
        <f ca="1" t="array" ref="M177">(1+SUMPRODUCT(G177:H177,OFFSET($H$49:$I$49,D177,0)))*(1+OFFSET($J$49,D177,0))^I177*(1+OFFSET($K$49,D177,0))^J177*(1+OFFSET($L$49,D177,0))^K177*(1+OFFSET($M$49,D177,0))^L177</f>
        <v>24.3484496403859</v>
      </c>
      <c r="N177" s="67">
        <f ca="1">MAX(MAX($N$62:N176),OFFSET($C$61,MATCH(M177*1.07,$M$62:$M$2061,1),0)-C177)</f>
        <v>2520</v>
      </c>
    </row>
    <row r="178" spans="2:14">
      <c r="B178" s="67">
        <v>117</v>
      </c>
      <c r="C178" s="67">
        <f t="shared" si="23"/>
        <v>42120</v>
      </c>
      <c r="D178" s="67">
        <f t="shared" si="19"/>
        <v>5</v>
      </c>
      <c r="E178" s="67">
        <f ca="1" t="shared" si="20"/>
        <v>147</v>
      </c>
      <c r="F178" s="67">
        <f ca="1" t="shared" si="21"/>
        <v>0</v>
      </c>
      <c r="G178" s="67">
        <f ca="1" t="shared" si="22"/>
        <v>5.68290834885991</v>
      </c>
      <c r="H178" s="67" cm="1">
        <f ca="1" t="array" ref="H178">MIN(30-SUM(I178:L178),_xlfn.XLOOKUP($D178&amp;"_"&amp;H$61,$B$23:$B$45&amp;"_"&amp;$C$23:$C$45,$D$23:$D$45)*$E178,18)</f>
        <v>18</v>
      </c>
      <c r="I178" s="67" cm="1">
        <f ca="1" t="array" ref="I178">MIN(30-SUM(J178:L178),6-L178,_xlfn.XLOOKUP($D178&amp;"_"&amp;I$61,$B$23:$B$45&amp;"_"&amp;$C$23:$C$45,$D$23:$D$45)*$E178)</f>
        <v>2.93060952887942</v>
      </c>
      <c r="J178" s="67" cm="1">
        <f ca="1" t="array" ref="J178">MIN(8,_xlfn.XLOOKUP($D178&amp;"_"&amp;J$61,$B$23:$B$45&amp;"_"&amp;$C$23:$C$45,$D$23:$D$45)*$E178)</f>
        <v>1.90489619377162</v>
      </c>
      <c r="K178" s="67" cm="1">
        <f ca="1" t="array" ref="K178">MIN(18,_xlfn.XLOOKUP($D178&amp;"_"&amp;K$61,$B$23:$B$45&amp;"_"&amp;$C$23:$C$45,$D$23:$D$45)*$E178)</f>
        <v>0.592634371395618</v>
      </c>
      <c r="L178" s="67" cm="1">
        <f ca="1" t="array" ref="L178">MIN(6,_xlfn.XLOOKUP($D178&amp;"_"&amp;L$61,$B$23:$B$45&amp;"_"&amp;$C$23:$C$45,$D$23:$D$45)*$E178)</f>
        <v>0.888951557093426</v>
      </c>
      <c r="M178" s="67" cm="1">
        <f ca="1" t="array" ref="M178">(1+SUMPRODUCT(G178:H178,OFFSET($H$49:$I$49,D178,0)))*(1+OFFSET($J$49,D178,0))^I178*(1+OFFSET($K$49,D178,0))^J178*(1+OFFSET($L$49,D178,0))^K178*(1+OFFSET($M$49,D178,0))^L178</f>
        <v>24.5804792277904</v>
      </c>
      <c r="N178" s="67">
        <f ca="1">MAX(MAX($N$62:N177),OFFSET($C$61,MATCH(M178*1.07,$M$62:$M$2061,1),0)-C178)</f>
        <v>2520</v>
      </c>
    </row>
    <row r="179" spans="2:14">
      <c r="B179" s="67">
        <v>118</v>
      </c>
      <c r="C179" s="67">
        <f t="shared" si="23"/>
        <v>42480</v>
      </c>
      <c r="D179" s="67">
        <f t="shared" si="19"/>
        <v>5</v>
      </c>
      <c r="E179" s="67">
        <f ca="1" t="shared" si="20"/>
        <v>148</v>
      </c>
      <c r="F179" s="67">
        <f ca="1" t="shared" si="21"/>
        <v>0</v>
      </c>
      <c r="G179" s="67">
        <f ca="1" t="shared" si="22"/>
        <v>5.63993493626712</v>
      </c>
      <c r="H179" s="67" cm="1">
        <f ca="1" t="array" ref="H179">MIN(30-SUM(I179:L179),_xlfn.XLOOKUP($D179&amp;"_"&amp;H$61,$B$23:$B$45&amp;"_"&amp;$C$23:$C$45,$D$23:$D$45)*$E179,18)</f>
        <v>18</v>
      </c>
      <c r="I179" s="67" cm="1">
        <f ca="1" t="array" ref="I179">MIN(30-SUM(J179:L179),6-L179,_xlfn.XLOOKUP($D179&amp;"_"&amp;I$61,$B$23:$B$45&amp;"_"&amp;$C$23:$C$45,$D$23:$D$45)*$E179)</f>
        <v>2.9505456481235</v>
      </c>
      <c r="J179" s="67" cm="1">
        <f ca="1" t="array" ref="J179">MIN(8,_xlfn.XLOOKUP($D179&amp;"_"&amp;J$61,$B$23:$B$45&amp;"_"&amp;$C$23:$C$45,$D$23:$D$45)*$E179)</f>
        <v>1.91785467128027</v>
      </c>
      <c r="K179" s="67" cm="1">
        <f ca="1" t="array" ref="K179">MIN(18,_xlfn.XLOOKUP($D179&amp;"_"&amp;K$61,$B$23:$B$45&amp;"_"&amp;$C$23:$C$45,$D$23:$D$45)*$E179)</f>
        <v>0.596665897731642</v>
      </c>
      <c r="L179" s="67" cm="1">
        <f ca="1" t="array" ref="L179">MIN(6,_xlfn.XLOOKUP($D179&amp;"_"&amp;L$61,$B$23:$B$45&amp;"_"&amp;$C$23:$C$45,$D$23:$D$45)*$E179)</f>
        <v>0.894998846597463</v>
      </c>
      <c r="M179" s="67" cm="1">
        <f ca="1" t="array" ref="M179">(1+SUMPRODUCT(G179:H179,OFFSET($H$49:$I$49,D179,0)))*(1+OFFSET($J$49,D179,0))^I179*(1+OFFSET($K$49,D179,0))^J179*(1+OFFSET($L$49,D179,0))^K179*(1+OFFSET($M$49,D179,0))^L179</f>
        <v>24.8146962981939</v>
      </c>
      <c r="N179" s="67">
        <f ca="1">MAX(MAX($N$62:N178),OFFSET($C$61,MATCH(M179*1.07,$M$62:$M$2061,1),0)-C179)</f>
        <v>2520</v>
      </c>
    </row>
    <row r="180" spans="2:14">
      <c r="B180" s="67">
        <v>119</v>
      </c>
      <c r="C180" s="67">
        <f t="shared" si="23"/>
        <v>42840</v>
      </c>
      <c r="D180" s="67">
        <f t="shared" si="19"/>
        <v>5</v>
      </c>
      <c r="E180" s="67">
        <f ca="1" t="shared" si="20"/>
        <v>149</v>
      </c>
      <c r="F180" s="67">
        <f ca="1" t="shared" si="21"/>
        <v>0</v>
      </c>
      <c r="G180" s="67">
        <f ca="1" t="shared" si="22"/>
        <v>5.59696152367433</v>
      </c>
      <c r="H180" s="67" cm="1">
        <f ca="1" t="array" ref="H180">MIN(30-SUM(I180:L180),_xlfn.XLOOKUP($D180&amp;"_"&amp;H$61,$B$23:$B$45&amp;"_"&amp;$C$23:$C$45,$D$23:$D$45)*$E180,18)</f>
        <v>18</v>
      </c>
      <c r="I180" s="67" cm="1">
        <f ca="1" t="array" ref="I180">MIN(30-SUM(J180:L180),6-L180,_xlfn.XLOOKUP($D180&amp;"_"&amp;I$61,$B$23:$B$45&amp;"_"&amp;$C$23:$C$45,$D$23:$D$45)*$E180)</f>
        <v>2.97048176736758</v>
      </c>
      <c r="J180" s="67" cm="1">
        <f ca="1" t="array" ref="J180">MIN(8,_xlfn.XLOOKUP($D180&amp;"_"&amp;J$61,$B$23:$B$45&amp;"_"&amp;$C$23:$C$45,$D$23:$D$45)*$E180)</f>
        <v>1.93081314878892</v>
      </c>
      <c r="K180" s="67" cm="1">
        <f ca="1" t="array" ref="K180">MIN(18,_xlfn.XLOOKUP($D180&amp;"_"&amp;K$61,$B$23:$B$45&amp;"_"&amp;$C$23:$C$45,$D$23:$D$45)*$E180)</f>
        <v>0.600697424067667</v>
      </c>
      <c r="L180" s="67" cm="1">
        <f ca="1" t="array" ref="L180">MIN(6,_xlfn.XLOOKUP($D180&amp;"_"&amp;L$61,$B$23:$B$45&amp;"_"&amp;$C$23:$C$45,$D$23:$D$45)*$E180)</f>
        <v>0.9010461361015</v>
      </c>
      <c r="M180" s="67" cm="1">
        <f ca="1" t="array" ref="M180">(1+SUMPRODUCT(G180:H180,OFFSET($H$49:$I$49,D180,0)))*(1+OFFSET($J$49,D180,0))^I180*(1+OFFSET($K$49,D180,0))^J180*(1+OFFSET($L$49,D180,0))^K180*(1+OFFSET($M$49,D180,0))^L180</f>
        <v>25.0511211998823</v>
      </c>
      <c r="N180" s="67">
        <f ca="1">MAX(MAX($N$62:N179),OFFSET($C$61,MATCH(M180*1.07,$M$62:$M$2061,1),0)-C180)</f>
        <v>2520</v>
      </c>
    </row>
    <row r="181" spans="2:14">
      <c r="B181" s="67">
        <v>120</v>
      </c>
      <c r="C181" s="67">
        <f t="shared" si="23"/>
        <v>43200</v>
      </c>
      <c r="D181" s="67">
        <f t="shared" si="19"/>
        <v>5</v>
      </c>
      <c r="E181" s="67">
        <f ca="1" t="shared" si="20"/>
        <v>150</v>
      </c>
      <c r="F181" s="67">
        <f ca="1" t="shared" si="21"/>
        <v>0</v>
      </c>
      <c r="G181" s="67">
        <f ca="1" t="shared" si="22"/>
        <v>5.55398811108154</v>
      </c>
      <c r="H181" s="67" cm="1">
        <f ca="1" t="array" ref="H181">MIN(30-SUM(I181:L181),_xlfn.XLOOKUP($D181&amp;"_"&amp;H$61,$B$23:$B$45&amp;"_"&amp;$C$23:$C$45,$D$23:$D$45)*$E181,18)</f>
        <v>18</v>
      </c>
      <c r="I181" s="67" cm="1">
        <f ca="1" t="array" ref="I181">MIN(30-SUM(J181:L181),6-L181,_xlfn.XLOOKUP($D181&amp;"_"&amp;I$61,$B$23:$B$45&amp;"_"&amp;$C$23:$C$45,$D$23:$D$45)*$E181)</f>
        <v>2.99041788661165</v>
      </c>
      <c r="J181" s="67" cm="1">
        <f ca="1" t="array" ref="J181">MIN(8,_xlfn.XLOOKUP($D181&amp;"_"&amp;J$61,$B$23:$B$45&amp;"_"&amp;$C$23:$C$45,$D$23:$D$45)*$E181)</f>
        <v>1.94377162629758</v>
      </c>
      <c r="K181" s="67" cm="1">
        <f ca="1" t="array" ref="K181">MIN(18,_xlfn.XLOOKUP($D181&amp;"_"&amp;K$61,$B$23:$B$45&amp;"_"&amp;$C$23:$C$45,$D$23:$D$45)*$E181)</f>
        <v>0.604728950403691</v>
      </c>
      <c r="L181" s="67" cm="1">
        <f ca="1" t="array" ref="L181">MIN(6,_xlfn.XLOOKUP($D181&amp;"_"&amp;L$61,$B$23:$B$45&amp;"_"&amp;$C$23:$C$45,$D$23:$D$45)*$E181)</f>
        <v>0.907093425605537</v>
      </c>
      <c r="M181" s="67" cm="1">
        <f ca="1" t="array" ref="M181">(1+SUMPRODUCT(G181:H181,OFFSET($H$49:$I$49,D181,0)))*(1+OFFSET($J$49,D181,0))^I181*(1+OFFSET($K$49,D181,0))^J181*(1+OFFSET($L$49,D181,0))^K181*(1+OFFSET($M$49,D181,0))^L181</f>
        <v>25.2897744672058</v>
      </c>
      <c r="N181" s="67">
        <f ca="1">MAX(MAX($N$62:N180),OFFSET($C$61,MATCH(M181*1.07,$M$62:$M$2061,1),0)-C181)</f>
        <v>2520</v>
      </c>
    </row>
    <row r="182" spans="2:14">
      <c r="B182" s="67">
        <v>121</v>
      </c>
      <c r="C182" s="67">
        <f t="shared" si="23"/>
        <v>43560</v>
      </c>
      <c r="D182" s="67">
        <f t="shared" si="19"/>
        <v>5</v>
      </c>
      <c r="E182" s="67">
        <f ca="1" t="shared" si="20"/>
        <v>151</v>
      </c>
      <c r="F182" s="67">
        <f ca="1" t="shared" si="21"/>
        <v>0</v>
      </c>
      <c r="G182" s="67">
        <f ca="1" t="shared" si="22"/>
        <v>5.51101469848875</v>
      </c>
      <c r="H182" s="67" cm="1">
        <f ca="1" t="array" ref="H182">MIN(30-SUM(I182:L182),_xlfn.XLOOKUP($D182&amp;"_"&amp;H$61,$B$23:$B$45&amp;"_"&amp;$C$23:$C$45,$D$23:$D$45)*$E182,18)</f>
        <v>18</v>
      </c>
      <c r="I182" s="67" cm="1">
        <f ca="1" t="array" ref="I182">MIN(30-SUM(J182:L182),6-L182,_xlfn.XLOOKUP($D182&amp;"_"&amp;I$61,$B$23:$B$45&amp;"_"&amp;$C$23:$C$45,$D$23:$D$45)*$E182)</f>
        <v>3.01035400585573</v>
      </c>
      <c r="J182" s="67" cm="1">
        <f ca="1" t="array" ref="J182">MIN(8,_xlfn.XLOOKUP($D182&amp;"_"&amp;J$61,$B$23:$B$45&amp;"_"&amp;$C$23:$C$45,$D$23:$D$45)*$E182)</f>
        <v>1.95673010380623</v>
      </c>
      <c r="K182" s="67" cm="1">
        <f ca="1" t="array" ref="K182">MIN(18,_xlfn.XLOOKUP($D182&amp;"_"&amp;K$61,$B$23:$B$45&amp;"_"&amp;$C$23:$C$45,$D$23:$D$45)*$E182)</f>
        <v>0.608760476739716</v>
      </c>
      <c r="L182" s="67" cm="1">
        <f ca="1" t="array" ref="L182">MIN(6,_xlfn.XLOOKUP($D182&amp;"_"&amp;L$61,$B$23:$B$45&amp;"_"&amp;$C$23:$C$45,$D$23:$D$45)*$E182)</f>
        <v>0.913140715109573</v>
      </c>
      <c r="M182" s="67" cm="1">
        <f ca="1" t="array" ref="M182">(1+SUMPRODUCT(G182:H182,OFFSET($H$49:$I$49,D182,0)))*(1+OFFSET($J$49,D182,0))^I182*(1+OFFSET($K$49,D182,0))^J182*(1+OFFSET($L$49,D182,0))^K182*(1+OFFSET($M$49,D182,0))^L182</f>
        <v>25.5306768222416</v>
      </c>
      <c r="N182" s="67">
        <f ca="1">MAX(MAX($N$62:N181),OFFSET($C$61,MATCH(M182*1.07,$M$62:$M$2061,1),0)-C182)</f>
        <v>2520</v>
      </c>
    </row>
    <row r="183" spans="2:14">
      <c r="B183" s="67">
        <v>122</v>
      </c>
      <c r="C183" s="67">
        <f t="shared" si="23"/>
        <v>43920</v>
      </c>
      <c r="D183" s="67">
        <f t="shared" si="19"/>
        <v>5</v>
      </c>
      <c r="E183" s="67">
        <f ca="1" t="shared" si="20"/>
        <v>152</v>
      </c>
      <c r="F183" s="67">
        <f ca="1" t="shared" si="21"/>
        <v>0</v>
      </c>
      <c r="G183" s="67">
        <f ca="1" t="shared" si="22"/>
        <v>5.46804128589596</v>
      </c>
      <c r="H183" s="67" cm="1">
        <f ca="1" t="array" ref="H183">MIN(30-SUM(I183:L183),_xlfn.XLOOKUP($D183&amp;"_"&amp;H$61,$B$23:$B$45&amp;"_"&amp;$C$23:$C$45,$D$23:$D$45)*$E183,18)</f>
        <v>18</v>
      </c>
      <c r="I183" s="67" cm="1">
        <f ca="1" t="array" ref="I183">MIN(30-SUM(J183:L183),6-L183,_xlfn.XLOOKUP($D183&amp;"_"&amp;I$61,$B$23:$B$45&amp;"_"&amp;$C$23:$C$45,$D$23:$D$45)*$E183)</f>
        <v>3.03029012509981</v>
      </c>
      <c r="J183" s="67" cm="1">
        <f ca="1" t="array" ref="J183">MIN(8,_xlfn.XLOOKUP($D183&amp;"_"&amp;J$61,$B$23:$B$45&amp;"_"&amp;$C$23:$C$45,$D$23:$D$45)*$E183)</f>
        <v>1.96968858131488</v>
      </c>
      <c r="K183" s="67" cm="1">
        <f ca="1" t="array" ref="K183">MIN(18,_xlfn.XLOOKUP($D183&amp;"_"&amp;K$61,$B$23:$B$45&amp;"_"&amp;$C$23:$C$45,$D$23:$D$45)*$E183)</f>
        <v>0.612792003075741</v>
      </c>
      <c r="L183" s="67" cm="1">
        <f ca="1" t="array" ref="L183">MIN(6,_xlfn.XLOOKUP($D183&amp;"_"&amp;L$61,$B$23:$B$45&amp;"_"&amp;$C$23:$C$45,$D$23:$D$45)*$E183)</f>
        <v>0.91918800461361</v>
      </c>
      <c r="M183" s="67" cm="1">
        <f ca="1" t="array" ref="M183">(1+SUMPRODUCT(G183:H183,OFFSET($H$49:$I$49,D183,0)))*(1+OFFSET($J$49,D183,0))^I183*(1+OFFSET($K$49,D183,0))^J183*(1+OFFSET($L$49,D183,0))^K183*(1+OFFSET($M$49,D183,0))^L183</f>
        <v>25.7738491764716</v>
      </c>
      <c r="N183" s="67">
        <f ca="1">MAX(MAX($N$62:N182),OFFSET($C$61,MATCH(M183*1.07,$M$62:$M$2061,1),0)-C183)</f>
        <v>2520</v>
      </c>
    </row>
    <row r="184" spans="2:14">
      <c r="B184" s="67">
        <v>123</v>
      </c>
      <c r="C184" s="67">
        <f t="shared" si="23"/>
        <v>44280</v>
      </c>
      <c r="D184" s="67">
        <f t="shared" si="19"/>
        <v>5</v>
      </c>
      <c r="E184" s="67">
        <f ca="1" t="shared" si="20"/>
        <v>153</v>
      </c>
      <c r="F184" s="67">
        <f ca="1" t="shared" si="21"/>
        <v>0</v>
      </c>
      <c r="G184" s="67">
        <f ca="1" t="shared" si="22"/>
        <v>5.42506787330317</v>
      </c>
      <c r="H184" s="67" cm="1">
        <f ca="1" t="array" ref="H184">MIN(30-SUM(I184:L184),_xlfn.XLOOKUP($D184&amp;"_"&amp;H$61,$B$23:$B$45&amp;"_"&amp;$C$23:$C$45,$D$23:$D$45)*$E184,18)</f>
        <v>18</v>
      </c>
      <c r="I184" s="67" cm="1">
        <f ca="1" t="array" ref="I184">MIN(30-SUM(J184:L184),6-L184,_xlfn.XLOOKUP($D184&amp;"_"&amp;I$61,$B$23:$B$45&amp;"_"&amp;$C$23:$C$45,$D$23:$D$45)*$E184)</f>
        <v>3.05022624434389</v>
      </c>
      <c r="J184" s="67" cm="1">
        <f ca="1" t="array" ref="J184">MIN(8,_xlfn.XLOOKUP($D184&amp;"_"&amp;J$61,$B$23:$B$45&amp;"_"&amp;$C$23:$C$45,$D$23:$D$45)*$E184)</f>
        <v>1.98264705882353</v>
      </c>
      <c r="K184" s="67" cm="1">
        <f ca="1" t="array" ref="K184">MIN(18,_xlfn.XLOOKUP($D184&amp;"_"&amp;K$61,$B$23:$B$45&amp;"_"&amp;$C$23:$C$45,$D$23:$D$45)*$E184)</f>
        <v>0.616823529411765</v>
      </c>
      <c r="L184" s="67" cm="1">
        <f ca="1" t="array" ref="L184">MIN(6,_xlfn.XLOOKUP($D184&amp;"_"&amp;L$61,$B$23:$B$45&amp;"_"&amp;$C$23:$C$45,$D$23:$D$45)*$E184)</f>
        <v>0.925235294117647</v>
      </c>
      <c r="M184" s="67" cm="1">
        <f ca="1" t="array" ref="M184">(1+SUMPRODUCT(G184:H184,OFFSET($H$49:$I$49,D184,0)))*(1+OFFSET($J$49,D184,0))^I184*(1+OFFSET($K$49,D184,0))^J184*(1+OFFSET($L$49,D184,0))^K184*(1+OFFSET($M$49,D184,0))^L184</f>
        <v>26.0193126324748</v>
      </c>
      <c r="N184" s="67">
        <f ca="1">MAX(MAX($N$62:N183),OFFSET($C$61,MATCH(M184*1.07,$M$62:$M$2061,1),0)-C184)</f>
        <v>2520</v>
      </c>
    </row>
    <row r="185" spans="2:14">
      <c r="B185" s="67">
        <v>124</v>
      </c>
      <c r="C185" s="67">
        <f t="shared" si="23"/>
        <v>44640</v>
      </c>
      <c r="D185" s="67">
        <f t="shared" si="19"/>
        <v>5</v>
      </c>
      <c r="E185" s="67">
        <f ca="1" t="shared" si="20"/>
        <v>154</v>
      </c>
      <c r="F185" s="67">
        <f ca="1" t="shared" si="21"/>
        <v>0</v>
      </c>
      <c r="G185" s="67">
        <f ca="1" t="shared" si="22"/>
        <v>5.38209446071038</v>
      </c>
      <c r="H185" s="67" cm="1">
        <f ca="1" t="array" ref="H185">MIN(30-SUM(I185:L185),_xlfn.XLOOKUP($D185&amp;"_"&amp;H$61,$B$23:$B$45&amp;"_"&amp;$C$23:$C$45,$D$23:$D$45)*$E185,18)</f>
        <v>18</v>
      </c>
      <c r="I185" s="67" cm="1">
        <f ca="1" t="array" ref="I185">MIN(30-SUM(J185:L185),6-L185,_xlfn.XLOOKUP($D185&amp;"_"&amp;I$61,$B$23:$B$45&amp;"_"&amp;$C$23:$C$45,$D$23:$D$45)*$E185)</f>
        <v>3.07016236358797</v>
      </c>
      <c r="J185" s="67" cm="1">
        <f ca="1" t="array" ref="J185">MIN(8,_xlfn.XLOOKUP($D185&amp;"_"&amp;J$61,$B$23:$B$45&amp;"_"&amp;$C$23:$C$45,$D$23:$D$45)*$E185)</f>
        <v>1.99560553633218</v>
      </c>
      <c r="K185" s="67" cm="1">
        <f ca="1" t="array" ref="K185">MIN(18,_xlfn.XLOOKUP($D185&amp;"_"&amp;K$61,$B$23:$B$45&amp;"_"&amp;$C$23:$C$45,$D$23:$D$45)*$E185)</f>
        <v>0.62085505574779</v>
      </c>
      <c r="L185" s="67" cm="1">
        <f ca="1" t="array" ref="L185">MIN(6,_xlfn.XLOOKUP($D185&amp;"_"&amp;L$61,$B$23:$B$45&amp;"_"&amp;$C$23:$C$45,$D$23:$D$45)*$E185)</f>
        <v>0.931282583621684</v>
      </c>
      <c r="M185" s="67" cm="1">
        <f ca="1" t="array" ref="M185">(1+SUMPRODUCT(G185:H185,OFFSET($H$49:$I$49,D185,0)))*(1+OFFSET($J$49,D185,0))^I185*(1+OFFSET($K$49,D185,0))^J185*(1+OFFSET($L$49,D185,0))^K185*(1+OFFSET($M$49,D185,0))^L185</f>
        <v>26.267088485633</v>
      </c>
      <c r="N185" s="67">
        <f ca="1">MAX(MAX($N$62:N184),OFFSET($C$61,MATCH(M185*1.07,$M$62:$M$2061,1),0)-C185)</f>
        <v>2520</v>
      </c>
    </row>
    <row r="186" spans="2:14">
      <c r="B186" s="67">
        <v>125</v>
      </c>
      <c r="C186" s="67">
        <f t="shared" si="23"/>
        <v>45000</v>
      </c>
      <c r="D186" s="67">
        <f t="shared" si="19"/>
        <v>5</v>
      </c>
      <c r="E186" s="67">
        <f ca="1" t="shared" si="20"/>
        <v>155</v>
      </c>
      <c r="F186" s="67">
        <f ca="1" t="shared" si="21"/>
        <v>0</v>
      </c>
      <c r="G186" s="67">
        <f ca="1" t="shared" si="22"/>
        <v>5.33912104811759</v>
      </c>
      <c r="H186" s="67" cm="1">
        <f ca="1" t="array" ref="H186">MIN(30-SUM(I186:L186),_xlfn.XLOOKUP($D186&amp;"_"&amp;H$61,$B$23:$B$45&amp;"_"&amp;$C$23:$C$45,$D$23:$D$45)*$E186,18)</f>
        <v>18</v>
      </c>
      <c r="I186" s="67" cm="1">
        <f ca="1" t="array" ref="I186">MIN(30-SUM(J186:L186),6-L186,_xlfn.XLOOKUP($D186&amp;"_"&amp;I$61,$B$23:$B$45&amp;"_"&amp;$C$23:$C$45,$D$23:$D$45)*$E186)</f>
        <v>3.09009848283204</v>
      </c>
      <c r="J186" s="67" cm="1">
        <f ca="1" t="array" ref="J186">MIN(8,_xlfn.XLOOKUP($D186&amp;"_"&amp;J$61,$B$23:$B$45&amp;"_"&amp;$C$23:$C$45,$D$23:$D$45)*$E186)</f>
        <v>2.00856401384083</v>
      </c>
      <c r="K186" s="67" cm="1">
        <f ca="1" t="array" ref="K186">MIN(18,_xlfn.XLOOKUP($D186&amp;"_"&amp;K$61,$B$23:$B$45&amp;"_"&amp;$C$23:$C$45,$D$23:$D$45)*$E186)</f>
        <v>0.624886582083815</v>
      </c>
      <c r="L186" s="67" cm="1">
        <f ca="1" t="array" ref="L186">MIN(6,_xlfn.XLOOKUP($D186&amp;"_"&amp;L$61,$B$23:$B$45&amp;"_"&amp;$C$23:$C$45,$D$23:$D$45)*$E186)</f>
        <v>0.937329873125721</v>
      </c>
      <c r="M186" s="67" cm="1">
        <f ca="1" t="array" ref="M186">(1+SUMPRODUCT(G186:H186,OFFSET($H$49:$I$49,D186,0)))*(1+OFFSET($J$49,D186,0))^I186*(1+OFFSET($K$49,D186,0))^J186*(1+OFFSET($L$49,D186,0))^K186*(1+OFFSET($M$49,D186,0))^L186</f>
        <v>26.5171982258532</v>
      </c>
      <c r="N186" s="67">
        <f ca="1">MAX(MAX($N$62:N185),OFFSET($C$61,MATCH(M186*1.07,$M$62:$M$2061,1),0)-C186)</f>
        <v>2520</v>
      </c>
    </row>
    <row r="187" spans="2:14">
      <c r="B187" s="67">
        <v>126</v>
      </c>
      <c r="C187" s="67">
        <f t="shared" si="23"/>
        <v>45360</v>
      </c>
      <c r="D187" s="67">
        <f t="shared" si="19"/>
        <v>5</v>
      </c>
      <c r="E187" s="67">
        <f ca="1" t="shared" si="20"/>
        <v>156</v>
      </c>
      <c r="F187" s="67">
        <f ca="1" t="shared" si="21"/>
        <v>0</v>
      </c>
      <c r="G187" s="67">
        <f ca="1" t="shared" si="22"/>
        <v>5.2961476355248</v>
      </c>
      <c r="H187" s="67" cm="1">
        <f ca="1" t="array" ref="H187">MIN(30-SUM(I187:L187),_xlfn.XLOOKUP($D187&amp;"_"&amp;H$61,$B$23:$B$45&amp;"_"&amp;$C$23:$C$45,$D$23:$D$45)*$E187,18)</f>
        <v>18</v>
      </c>
      <c r="I187" s="67" cm="1">
        <f ca="1" t="array" ref="I187">MIN(30-SUM(J187:L187),6-L187,_xlfn.XLOOKUP($D187&amp;"_"&amp;I$61,$B$23:$B$45&amp;"_"&amp;$C$23:$C$45,$D$23:$D$45)*$E187)</f>
        <v>3.11003460207612</v>
      </c>
      <c r="J187" s="67" cm="1">
        <f ca="1" t="array" ref="J187">MIN(8,_xlfn.XLOOKUP($D187&amp;"_"&amp;J$61,$B$23:$B$45&amp;"_"&amp;$C$23:$C$45,$D$23:$D$45)*$E187)</f>
        <v>2.02152249134948</v>
      </c>
      <c r="K187" s="67" cm="1">
        <f ca="1" t="array" ref="K187">MIN(18,_xlfn.XLOOKUP($D187&amp;"_"&amp;K$61,$B$23:$B$45&amp;"_"&amp;$C$23:$C$45,$D$23:$D$45)*$E187)</f>
        <v>0.628918108419839</v>
      </c>
      <c r="L187" s="67" cm="1">
        <f ca="1" t="array" ref="L187">MIN(6,_xlfn.XLOOKUP($D187&amp;"_"&amp;L$61,$B$23:$B$45&amp;"_"&amp;$C$23:$C$45,$D$23:$D$45)*$E187)</f>
        <v>0.943377162629758</v>
      </c>
      <c r="M187" s="67" cm="1">
        <f ca="1" t="array" ref="M187">(1+SUMPRODUCT(G187:H187,OFFSET($H$49:$I$49,D187,0)))*(1+OFFSET($J$49,D187,0))^I187*(1+OFFSET($K$49,D187,0))^J187*(1+OFFSET($L$49,D187,0))^K187*(1+OFFSET($M$49,D187,0))^L187</f>
        <v>26.7696635393037</v>
      </c>
      <c r="N187" s="67">
        <f ca="1">MAX(MAX($N$62:N186),OFFSET($C$61,MATCH(M187*1.07,$M$62:$M$2061,1),0)-C187)</f>
        <v>2520</v>
      </c>
    </row>
    <row r="188" spans="2:14">
      <c r="B188" s="67">
        <v>127</v>
      </c>
      <c r="C188" s="67">
        <f t="shared" si="23"/>
        <v>45720</v>
      </c>
      <c r="D188" s="67">
        <f t="shared" si="19"/>
        <v>5</v>
      </c>
      <c r="E188" s="67">
        <f ca="1" t="shared" si="20"/>
        <v>157</v>
      </c>
      <c r="F188" s="67">
        <f ca="1" t="shared" si="21"/>
        <v>0</v>
      </c>
      <c r="G188" s="67">
        <f ca="1" t="shared" si="22"/>
        <v>5.25317422293202</v>
      </c>
      <c r="H188" s="67" cm="1">
        <f ca="1" t="array" ref="H188">MIN(30-SUM(I188:L188),_xlfn.XLOOKUP($D188&amp;"_"&amp;H$61,$B$23:$B$45&amp;"_"&amp;$C$23:$C$45,$D$23:$D$45)*$E188,18)</f>
        <v>18</v>
      </c>
      <c r="I188" s="67" cm="1">
        <f ca="1" t="array" ref="I188">MIN(30-SUM(J188:L188),6-L188,_xlfn.XLOOKUP($D188&amp;"_"&amp;I$61,$B$23:$B$45&amp;"_"&amp;$C$23:$C$45,$D$23:$D$45)*$E188)</f>
        <v>3.1299707213202</v>
      </c>
      <c r="J188" s="67" cm="1">
        <f ca="1" t="array" ref="J188">MIN(8,_xlfn.XLOOKUP($D188&amp;"_"&amp;J$61,$B$23:$B$45&amp;"_"&amp;$C$23:$C$45,$D$23:$D$45)*$E188)</f>
        <v>2.03448096885813</v>
      </c>
      <c r="K188" s="67" cm="1">
        <f ca="1" t="array" ref="K188">MIN(18,_xlfn.XLOOKUP($D188&amp;"_"&amp;K$61,$B$23:$B$45&amp;"_"&amp;$C$23:$C$45,$D$23:$D$45)*$E188)</f>
        <v>0.632949634755864</v>
      </c>
      <c r="L188" s="67" cm="1">
        <f ca="1" t="array" ref="L188">MIN(6,_xlfn.XLOOKUP($D188&amp;"_"&amp;L$61,$B$23:$B$45&amp;"_"&amp;$C$23:$C$45,$D$23:$D$45)*$E188)</f>
        <v>0.949424452133795</v>
      </c>
      <c r="M188" s="67" cm="1">
        <f ca="1" t="array" ref="M188">(1+SUMPRODUCT(G188:H188,OFFSET($H$49:$I$49,D188,0)))*(1+OFFSET($J$49,D188,0))^I188*(1+OFFSET($K$49,D188,0))^J188*(1+OFFSET($L$49,D188,0))^K188*(1+OFFSET($M$49,D188,0))^L188</f>
        <v>27.024506310165</v>
      </c>
      <c r="N188" s="67">
        <f ca="1">MAX(MAX($N$62:N187),OFFSET($C$61,MATCH(M188*1.07,$M$62:$M$2061,1),0)-C188)</f>
        <v>2520</v>
      </c>
    </row>
    <row r="189" spans="2:14">
      <c r="B189" s="67">
        <v>128</v>
      </c>
      <c r="C189" s="67">
        <f t="shared" si="23"/>
        <v>46080</v>
      </c>
      <c r="D189" s="67">
        <f t="shared" si="19"/>
        <v>5</v>
      </c>
      <c r="E189" s="67">
        <f ca="1" t="shared" si="20"/>
        <v>158</v>
      </c>
      <c r="F189" s="67">
        <f ca="1" t="shared" si="21"/>
        <v>0</v>
      </c>
      <c r="G189" s="67">
        <f ca="1" t="shared" si="22"/>
        <v>5.21020081033922</v>
      </c>
      <c r="H189" s="67" cm="1">
        <f ca="1" t="array" ref="H189">MIN(30-SUM(I189:L189),_xlfn.XLOOKUP($D189&amp;"_"&amp;H$61,$B$23:$B$45&amp;"_"&amp;$C$23:$C$45,$D$23:$D$45)*$E189,18)</f>
        <v>18</v>
      </c>
      <c r="I189" s="67" cm="1">
        <f ca="1" t="array" ref="I189">MIN(30-SUM(J189:L189),6-L189,_xlfn.XLOOKUP($D189&amp;"_"&amp;I$61,$B$23:$B$45&amp;"_"&amp;$C$23:$C$45,$D$23:$D$45)*$E189)</f>
        <v>3.14990684056428</v>
      </c>
      <c r="J189" s="67" cm="1">
        <f ca="1" t="array" ref="J189">MIN(8,_xlfn.XLOOKUP($D189&amp;"_"&amp;J$61,$B$23:$B$45&amp;"_"&amp;$C$23:$C$45,$D$23:$D$45)*$E189)</f>
        <v>2.04743944636678</v>
      </c>
      <c r="K189" s="67" cm="1">
        <f ca="1" t="array" ref="K189">MIN(18,_xlfn.XLOOKUP($D189&amp;"_"&amp;K$61,$B$23:$B$45&amp;"_"&amp;$C$23:$C$45,$D$23:$D$45)*$E189)</f>
        <v>0.636981161091888</v>
      </c>
      <c r="L189" s="67" cm="1">
        <f ca="1" t="array" ref="L189">MIN(6,_xlfn.XLOOKUP($D189&amp;"_"&amp;L$61,$B$23:$B$45&amp;"_"&amp;$C$23:$C$45,$D$23:$D$45)*$E189)</f>
        <v>0.955471741637832</v>
      </c>
      <c r="M189" s="67" cm="1">
        <f ca="1" t="array" ref="M189">(1+SUMPRODUCT(G189:H189,OFFSET($H$49:$I$49,D189,0)))*(1+OFFSET($J$49,D189,0))^I189*(1+OFFSET($K$49,D189,0))^J189*(1+OFFSET($L$49,D189,0))^K189*(1+OFFSET($M$49,D189,0))^L189</f>
        <v>27.2817486223965</v>
      </c>
      <c r="N189" s="67">
        <f ca="1">MAX(MAX($N$62:N188),OFFSET($C$61,MATCH(M189*1.07,$M$62:$M$2061,1),0)-C189)</f>
        <v>2520</v>
      </c>
    </row>
    <row r="190" spans="2:14">
      <c r="B190" s="67">
        <v>129</v>
      </c>
      <c r="C190" s="67">
        <f t="shared" si="23"/>
        <v>46440</v>
      </c>
      <c r="D190" s="67">
        <f t="shared" si="19"/>
        <v>5</v>
      </c>
      <c r="E190" s="67">
        <f ca="1" t="shared" si="20"/>
        <v>159</v>
      </c>
      <c r="F190" s="67">
        <f ca="1" t="shared" si="21"/>
        <v>0</v>
      </c>
      <c r="G190" s="67">
        <f ca="1" t="shared" si="22"/>
        <v>5.16722739774643</v>
      </c>
      <c r="H190" s="67" cm="1">
        <f ca="1" t="array" ref="H190">MIN(30-SUM(I190:L190),_xlfn.XLOOKUP($D190&amp;"_"&amp;H$61,$B$23:$B$45&amp;"_"&amp;$C$23:$C$45,$D$23:$D$45)*$E190,18)</f>
        <v>18</v>
      </c>
      <c r="I190" s="67" cm="1">
        <f ca="1" t="array" ref="I190">MIN(30-SUM(J190:L190),6-L190,_xlfn.XLOOKUP($D190&amp;"_"&amp;I$61,$B$23:$B$45&amp;"_"&amp;$C$23:$C$45,$D$23:$D$45)*$E190)</f>
        <v>3.16984295980835</v>
      </c>
      <c r="J190" s="67" cm="1">
        <f ca="1" t="array" ref="J190">MIN(8,_xlfn.XLOOKUP($D190&amp;"_"&amp;J$61,$B$23:$B$45&amp;"_"&amp;$C$23:$C$45,$D$23:$D$45)*$E190)</f>
        <v>2.06039792387543</v>
      </c>
      <c r="K190" s="67" cm="1">
        <f ca="1" t="array" ref="K190">MIN(18,_xlfn.XLOOKUP($D190&amp;"_"&amp;K$61,$B$23:$B$45&amp;"_"&amp;$C$23:$C$45,$D$23:$D$45)*$E190)</f>
        <v>0.641012687427913</v>
      </c>
      <c r="L190" s="67" cm="1">
        <f ca="1" t="array" ref="L190">MIN(6,_xlfn.XLOOKUP($D190&amp;"_"&amp;L$61,$B$23:$B$45&amp;"_"&amp;$C$23:$C$45,$D$23:$D$45)*$E190)</f>
        <v>0.961519031141869</v>
      </c>
      <c r="M190" s="67" cm="1">
        <f ca="1" t="array" ref="M190">(1+SUMPRODUCT(G190:H190,OFFSET($H$49:$I$49,D190,0)))*(1+OFFSET($J$49,D190,0))^I190*(1+OFFSET($K$49,D190,0))^J190*(1+OFFSET($L$49,D190,0))^K190*(1+OFFSET($M$49,D190,0))^L190</f>
        <v>27.5414127615186</v>
      </c>
      <c r="N190" s="67">
        <f ca="1">MAX(MAX($N$62:N189),OFFSET($C$61,MATCH(M190*1.07,$M$62:$M$2061,1),0)-C190)</f>
        <v>2520</v>
      </c>
    </row>
    <row r="191" spans="2:14">
      <c r="B191" s="67">
        <v>130</v>
      </c>
      <c r="C191" s="67">
        <f t="shared" si="23"/>
        <v>46800</v>
      </c>
      <c r="D191" s="67">
        <f t="shared" ref="D191:D254" si="24">_xlfn.XLOOKUP("非R",$B$49:$B$54,$C$49:$C$54)</f>
        <v>5</v>
      </c>
      <c r="E191" s="67">
        <f ca="1" t="shared" ref="E191:E254" si="25">INT(C191/_xlfn.XLOOKUP(D191,$R$14:$R$21,$S$14:$S$21))+OFFSET($R$49,D191,0)</f>
        <v>160</v>
      </c>
      <c r="F191" s="67">
        <f ca="1" t="shared" si="21"/>
        <v>0</v>
      </c>
      <c r="G191" s="67">
        <f ca="1" t="shared" si="22"/>
        <v>5.12425398515365</v>
      </c>
      <c r="H191" s="67" cm="1">
        <f ca="1" t="array" ref="H191">MIN(30-SUM(I191:L191),_xlfn.XLOOKUP($D191&amp;"_"&amp;H$61,$B$23:$B$45&amp;"_"&amp;$C$23:$C$45,$D$23:$D$45)*$E191,18)</f>
        <v>18</v>
      </c>
      <c r="I191" s="67" cm="1">
        <f ca="1" t="array" ref="I191">MIN(30-SUM(J191:L191),6-L191,_xlfn.XLOOKUP($D191&amp;"_"&amp;I$61,$B$23:$B$45&amp;"_"&amp;$C$23:$C$45,$D$23:$D$45)*$E191)</f>
        <v>3.18977907905243</v>
      </c>
      <c r="J191" s="67" cm="1">
        <f ca="1" t="array" ref="J191">MIN(8,_xlfn.XLOOKUP($D191&amp;"_"&amp;J$61,$B$23:$B$45&amp;"_"&amp;$C$23:$C$45,$D$23:$D$45)*$E191)</f>
        <v>2.07335640138408</v>
      </c>
      <c r="K191" s="67" cm="1">
        <f ca="1" t="array" ref="K191">MIN(18,_xlfn.XLOOKUP($D191&amp;"_"&amp;K$61,$B$23:$B$45&amp;"_"&amp;$C$23:$C$45,$D$23:$D$45)*$E191)</f>
        <v>0.645044213763938</v>
      </c>
      <c r="L191" s="67" cm="1">
        <f ca="1" t="array" ref="L191">MIN(6,_xlfn.XLOOKUP($D191&amp;"_"&amp;L$61,$B$23:$B$45&amp;"_"&amp;$C$23:$C$45,$D$23:$D$45)*$E191)</f>
        <v>0.967566320645906</v>
      </c>
      <c r="M191" s="67" cm="1">
        <f ca="1" t="array" ref="M191">(1+SUMPRODUCT(G191:H191,OFFSET($H$49:$I$49,D191,0)))*(1+OFFSET($J$49,D191,0))^I191*(1+OFFSET($K$49,D191,0))^J191*(1+OFFSET($L$49,D191,0))^K191*(1+OFFSET($M$49,D191,0))^L191</f>
        <v>27.8035212164091</v>
      </c>
      <c r="N191" s="67">
        <f ca="1">MAX(MAX($N$62:N190),OFFSET($C$61,MATCH(M191*1.07,$M$62:$M$2061,1),0)-C191)</f>
        <v>2520</v>
      </c>
    </row>
    <row r="192" spans="2:14">
      <c r="B192" s="67">
        <v>131</v>
      </c>
      <c r="C192" s="67">
        <f t="shared" si="23"/>
        <v>47160</v>
      </c>
      <c r="D192" s="67">
        <f t="shared" si="24"/>
        <v>5</v>
      </c>
      <c r="E192" s="67">
        <f ca="1" t="shared" si="25"/>
        <v>161</v>
      </c>
      <c r="F192" s="67">
        <f ca="1" t="shared" ref="F192:F255" si="26">30-SUM(G192:L192)</f>
        <v>0</v>
      </c>
      <c r="G192" s="67">
        <f ca="1" t="shared" ref="G192:G255" si="27">30-SUM(H192:L192)</f>
        <v>5.08128057256085</v>
      </c>
      <c r="H192" s="67" cm="1">
        <f ca="1" t="array" ref="H192">MIN(30-SUM(I192:L192),_xlfn.XLOOKUP($D192&amp;"_"&amp;H$61,$B$23:$B$45&amp;"_"&amp;$C$23:$C$45,$D$23:$D$45)*$E192,18)</f>
        <v>18</v>
      </c>
      <c r="I192" s="67" cm="1">
        <f ca="1" t="array" ref="I192">MIN(30-SUM(J192:L192),6-L192,_xlfn.XLOOKUP($D192&amp;"_"&amp;I$61,$B$23:$B$45&amp;"_"&amp;$C$23:$C$45,$D$23:$D$45)*$E192)</f>
        <v>3.20971519829651</v>
      </c>
      <c r="J192" s="67" cm="1">
        <f ca="1" t="array" ref="J192">MIN(8,_xlfn.XLOOKUP($D192&amp;"_"&amp;J$61,$B$23:$B$45&amp;"_"&amp;$C$23:$C$45,$D$23:$D$45)*$E192)</f>
        <v>2.08631487889273</v>
      </c>
      <c r="K192" s="67" cm="1">
        <f ca="1" t="array" ref="K192">MIN(18,_xlfn.XLOOKUP($D192&amp;"_"&amp;K$61,$B$23:$B$45&amp;"_"&amp;$C$23:$C$45,$D$23:$D$45)*$E192)</f>
        <v>0.649075740099962</v>
      </c>
      <c r="L192" s="67" cm="1">
        <f ca="1" t="array" ref="L192">MIN(6,_xlfn.XLOOKUP($D192&amp;"_"&amp;L$61,$B$23:$B$45&amp;"_"&amp;$C$23:$C$45,$D$23:$D$45)*$E192)</f>
        <v>0.973613610149943</v>
      </c>
      <c r="M192" s="67" cm="1">
        <f ca="1" t="array" ref="M192">(1+SUMPRODUCT(G192:H192,OFFSET($H$49:$I$49,D192,0)))*(1+OFFSET($J$49,D192,0))^I192*(1+OFFSET($K$49,D192,0))^J192*(1+OFFSET($L$49,D192,0))^K192*(1+OFFSET($M$49,D192,0))^L192</f>
        <v>28.0680966811163</v>
      </c>
      <c r="N192" s="67">
        <f ca="1">MAX(MAX($N$62:N191),OFFSET($C$61,MATCH(M192*1.07,$M$62:$M$2061,1),0)-C192)</f>
        <v>2520</v>
      </c>
    </row>
    <row r="193" spans="2:14">
      <c r="B193" s="67">
        <v>132</v>
      </c>
      <c r="C193" s="67">
        <f t="shared" si="23"/>
        <v>47520</v>
      </c>
      <c r="D193" s="67">
        <f t="shared" si="24"/>
        <v>5</v>
      </c>
      <c r="E193" s="67">
        <f ca="1" t="shared" si="25"/>
        <v>162</v>
      </c>
      <c r="F193" s="67">
        <f ca="1" t="shared" si="26"/>
        <v>0</v>
      </c>
      <c r="G193" s="67">
        <f ca="1" t="shared" si="27"/>
        <v>5.03830715996807</v>
      </c>
      <c r="H193" s="67" cm="1">
        <f ca="1" t="array" ref="H193">MIN(30-SUM(I193:L193),_xlfn.XLOOKUP($D193&amp;"_"&amp;H$61,$B$23:$B$45&amp;"_"&amp;$C$23:$C$45,$D$23:$D$45)*$E193,18)</f>
        <v>18</v>
      </c>
      <c r="I193" s="67" cm="1">
        <f ca="1" t="array" ref="I193">MIN(30-SUM(J193:L193),6-L193,_xlfn.XLOOKUP($D193&amp;"_"&amp;I$61,$B$23:$B$45&amp;"_"&amp;$C$23:$C$45,$D$23:$D$45)*$E193)</f>
        <v>3.22965131754059</v>
      </c>
      <c r="J193" s="67" cm="1">
        <f ca="1" t="array" ref="J193">MIN(8,_xlfn.XLOOKUP($D193&amp;"_"&amp;J$61,$B$23:$B$45&amp;"_"&amp;$C$23:$C$45,$D$23:$D$45)*$E193)</f>
        <v>2.09927335640138</v>
      </c>
      <c r="K193" s="67" cm="1">
        <f ca="1" t="array" ref="K193">MIN(18,_xlfn.XLOOKUP($D193&amp;"_"&amp;K$61,$B$23:$B$45&amp;"_"&amp;$C$23:$C$45,$D$23:$D$45)*$E193)</f>
        <v>0.653107266435987</v>
      </c>
      <c r="L193" s="67" cm="1">
        <f ca="1" t="array" ref="L193">MIN(6,_xlfn.XLOOKUP($D193&amp;"_"&amp;L$61,$B$23:$B$45&amp;"_"&amp;$C$23:$C$45,$D$23:$D$45)*$E193)</f>
        <v>0.97966089965398</v>
      </c>
      <c r="M193" s="67" cm="1">
        <f ca="1" t="array" ref="M193">(1+SUMPRODUCT(G193:H193,OFFSET($H$49:$I$49,D193,0)))*(1+OFFSET($J$49,D193,0))^I193*(1+OFFSET($K$49,D193,0))^J193*(1+OFFSET($L$49,D193,0))^K193*(1+OFFSET($M$49,D193,0))^L193</f>
        <v>28.3351620566872</v>
      </c>
      <c r="N193" s="67">
        <f ca="1">MAX(MAX($N$62:N192),OFFSET($C$61,MATCH(M193*1.07,$M$62:$M$2061,1),0)-C193)</f>
        <v>2520</v>
      </c>
    </row>
    <row r="194" spans="2:14">
      <c r="B194" s="67">
        <v>133</v>
      </c>
      <c r="C194" s="67">
        <f t="shared" si="23"/>
        <v>47880</v>
      </c>
      <c r="D194" s="67">
        <f t="shared" si="24"/>
        <v>5</v>
      </c>
      <c r="E194" s="67">
        <f ca="1" t="shared" si="25"/>
        <v>163</v>
      </c>
      <c r="F194" s="67">
        <f ca="1" t="shared" si="26"/>
        <v>0</v>
      </c>
      <c r="G194" s="67">
        <f ca="1" t="shared" si="27"/>
        <v>4.99533374737528</v>
      </c>
      <c r="H194" s="67" cm="1">
        <f ca="1" t="array" ref="H194">MIN(30-SUM(I194:L194),_xlfn.XLOOKUP($D194&amp;"_"&amp;H$61,$B$23:$B$45&amp;"_"&amp;$C$23:$C$45,$D$23:$D$45)*$E194,18)</f>
        <v>18</v>
      </c>
      <c r="I194" s="67" cm="1">
        <f ca="1" t="array" ref="I194">MIN(30-SUM(J194:L194),6-L194,_xlfn.XLOOKUP($D194&amp;"_"&amp;I$61,$B$23:$B$45&amp;"_"&amp;$C$23:$C$45,$D$23:$D$45)*$E194)</f>
        <v>3.24958743678467</v>
      </c>
      <c r="J194" s="67" cm="1">
        <f ca="1" t="array" ref="J194">MIN(8,_xlfn.XLOOKUP($D194&amp;"_"&amp;J$61,$B$23:$B$45&amp;"_"&amp;$C$23:$C$45,$D$23:$D$45)*$E194)</f>
        <v>2.11223183391003</v>
      </c>
      <c r="K194" s="67" cm="1">
        <f ca="1" t="array" ref="K194">MIN(18,_xlfn.XLOOKUP($D194&amp;"_"&amp;K$61,$B$23:$B$45&amp;"_"&amp;$C$23:$C$45,$D$23:$D$45)*$E194)</f>
        <v>0.657138792772011</v>
      </c>
      <c r="L194" s="67" cm="1">
        <f ca="1" t="array" ref="L194">MIN(6,_xlfn.XLOOKUP($D194&amp;"_"&amp;L$61,$B$23:$B$45&amp;"_"&amp;$C$23:$C$45,$D$23:$D$45)*$E194)</f>
        <v>0.985708189158016</v>
      </c>
      <c r="M194" s="67" cm="1">
        <f ca="1" t="array" ref="M194">(1+SUMPRODUCT(G194:H194,OFFSET($H$49:$I$49,D194,0)))*(1+OFFSET($J$49,D194,0))^I194*(1+OFFSET($K$49,D194,0))^J194*(1+OFFSET($L$49,D194,0))^K194*(1+OFFSET($M$49,D194,0))^L194</f>
        <v>28.6047404530111</v>
      </c>
      <c r="N194" s="67">
        <f ca="1">MAX(MAX($N$62:N193),OFFSET($C$61,MATCH(M194*1.07,$M$62:$M$2061,1),0)-C194)</f>
        <v>2520</v>
      </c>
    </row>
    <row r="195" spans="2:14">
      <c r="B195" s="67">
        <v>134</v>
      </c>
      <c r="C195" s="67">
        <f t="shared" si="23"/>
        <v>48240</v>
      </c>
      <c r="D195" s="67">
        <f t="shared" si="24"/>
        <v>5</v>
      </c>
      <c r="E195" s="67">
        <f ca="1" t="shared" si="25"/>
        <v>164</v>
      </c>
      <c r="F195" s="67">
        <f ca="1" t="shared" si="26"/>
        <v>0</v>
      </c>
      <c r="G195" s="67">
        <f ca="1" t="shared" si="27"/>
        <v>4.95236033478249</v>
      </c>
      <c r="H195" s="67" cm="1">
        <f ca="1" t="array" ref="H195">MIN(30-SUM(I195:L195),_xlfn.XLOOKUP($D195&amp;"_"&amp;H$61,$B$23:$B$45&amp;"_"&amp;$C$23:$C$45,$D$23:$D$45)*$E195,18)</f>
        <v>18</v>
      </c>
      <c r="I195" s="67" cm="1">
        <f ca="1" t="array" ref="I195">MIN(30-SUM(J195:L195),6-L195,_xlfn.XLOOKUP($D195&amp;"_"&amp;I$61,$B$23:$B$45&amp;"_"&amp;$C$23:$C$45,$D$23:$D$45)*$E195)</f>
        <v>3.26952355602874</v>
      </c>
      <c r="J195" s="67" cm="1">
        <f ca="1" t="array" ref="J195">MIN(8,_xlfn.XLOOKUP($D195&amp;"_"&amp;J$61,$B$23:$B$45&amp;"_"&amp;$C$23:$C$45,$D$23:$D$45)*$E195)</f>
        <v>2.12519031141868</v>
      </c>
      <c r="K195" s="67" cm="1">
        <f ca="1" t="array" ref="K195">MIN(18,_xlfn.XLOOKUP($D195&amp;"_"&amp;K$61,$B$23:$B$45&amp;"_"&amp;$C$23:$C$45,$D$23:$D$45)*$E195)</f>
        <v>0.661170319108036</v>
      </c>
      <c r="L195" s="67" cm="1">
        <f ca="1" t="array" ref="L195">MIN(6,_xlfn.XLOOKUP($D195&amp;"_"&amp;L$61,$B$23:$B$45&amp;"_"&amp;$C$23:$C$45,$D$23:$D$45)*$E195)</f>
        <v>0.991755478662053</v>
      </c>
      <c r="M195" s="67" cm="1">
        <f ca="1" t="array" ref="M195">(1+SUMPRODUCT(G195:H195,OFFSET($H$49:$I$49,D195,0)))*(1+OFFSET($J$49,D195,0))^I195*(1+OFFSET($K$49,D195,0))^J195*(1+OFFSET($L$49,D195,0))^K195*(1+OFFSET($M$49,D195,0))^L195</f>
        <v>28.87685519068</v>
      </c>
      <c r="N195" s="67">
        <f ca="1">MAX(MAX($N$62:N194),OFFSET($C$61,MATCH(M195*1.07,$M$62:$M$2061,1),0)-C195)</f>
        <v>2520</v>
      </c>
    </row>
    <row r="196" spans="2:14">
      <c r="B196" s="67">
        <v>135</v>
      </c>
      <c r="C196" s="67">
        <f t="shared" si="23"/>
        <v>48600</v>
      </c>
      <c r="D196" s="67">
        <f t="shared" si="24"/>
        <v>5</v>
      </c>
      <c r="E196" s="67">
        <f ca="1" t="shared" si="25"/>
        <v>165</v>
      </c>
      <c r="F196" s="67">
        <f ca="1" t="shared" si="26"/>
        <v>0</v>
      </c>
      <c r="G196" s="67">
        <f ca="1" t="shared" si="27"/>
        <v>4.9093869221897</v>
      </c>
      <c r="H196" s="67" cm="1">
        <f ca="1" t="array" ref="H196">MIN(30-SUM(I196:L196),_xlfn.XLOOKUP($D196&amp;"_"&amp;H$61,$B$23:$B$45&amp;"_"&amp;$C$23:$C$45,$D$23:$D$45)*$E196,18)</f>
        <v>18</v>
      </c>
      <c r="I196" s="67" cm="1">
        <f ca="1" t="array" ref="I196">MIN(30-SUM(J196:L196),6-L196,_xlfn.XLOOKUP($D196&amp;"_"&amp;I$61,$B$23:$B$45&amp;"_"&amp;$C$23:$C$45,$D$23:$D$45)*$E196)</f>
        <v>3.28945967527282</v>
      </c>
      <c r="J196" s="67" cm="1">
        <f ca="1" t="array" ref="J196">MIN(8,_xlfn.XLOOKUP($D196&amp;"_"&amp;J$61,$B$23:$B$45&amp;"_"&amp;$C$23:$C$45,$D$23:$D$45)*$E196)</f>
        <v>2.13814878892733</v>
      </c>
      <c r="K196" s="67" cm="1">
        <f ca="1" t="array" ref="K196">MIN(18,_xlfn.XLOOKUP($D196&amp;"_"&amp;K$61,$B$23:$B$45&amp;"_"&amp;$C$23:$C$45,$D$23:$D$45)*$E196)</f>
        <v>0.665201845444061</v>
      </c>
      <c r="L196" s="67" cm="1">
        <f ca="1" t="array" ref="L196">MIN(6,_xlfn.XLOOKUP($D196&amp;"_"&amp;L$61,$B$23:$B$45&amp;"_"&amp;$C$23:$C$45,$D$23:$D$45)*$E196)</f>
        <v>0.99780276816609</v>
      </c>
      <c r="M196" s="67" cm="1">
        <f ca="1" t="array" ref="M196">(1+SUMPRODUCT(G196:H196,OFFSET($H$49:$I$49,D196,0)))*(1+OFFSET($J$49,D196,0))^I196*(1+OFFSET($K$49,D196,0))^J196*(1+OFFSET($L$49,D196,0))^K196*(1+OFFSET($M$49,D196,0))^L196</f>
        <v>29.1515298028642</v>
      </c>
      <c r="N196" s="67">
        <f ca="1">MAX(MAX($N$62:N195),OFFSET($C$61,MATCH(M196*1.07,$M$62:$M$2061,1),0)-C196)</f>
        <v>2520</v>
      </c>
    </row>
    <row r="197" spans="2:14">
      <c r="B197" s="67">
        <v>136</v>
      </c>
      <c r="C197" s="67">
        <f t="shared" si="23"/>
        <v>48960</v>
      </c>
      <c r="D197" s="67">
        <f t="shared" si="24"/>
        <v>5</v>
      </c>
      <c r="E197" s="67">
        <f ca="1" t="shared" si="25"/>
        <v>166</v>
      </c>
      <c r="F197" s="67">
        <f ca="1" t="shared" si="26"/>
        <v>0</v>
      </c>
      <c r="G197" s="67">
        <f ca="1" t="shared" si="27"/>
        <v>4.86641350959691</v>
      </c>
      <c r="H197" s="67" cm="1">
        <f ca="1" t="array" ref="H197">MIN(30-SUM(I197:L197),_xlfn.XLOOKUP($D197&amp;"_"&amp;H$61,$B$23:$B$45&amp;"_"&amp;$C$23:$C$45,$D$23:$D$45)*$E197,18)</f>
        <v>18</v>
      </c>
      <c r="I197" s="67" cm="1">
        <f ca="1" t="array" ref="I197">MIN(30-SUM(J197:L197),6-L197,_xlfn.XLOOKUP($D197&amp;"_"&amp;I$61,$B$23:$B$45&amp;"_"&amp;$C$23:$C$45,$D$23:$D$45)*$E197)</f>
        <v>3.3093957945169</v>
      </c>
      <c r="J197" s="67" cm="1">
        <f ca="1" t="array" ref="J197">MIN(8,_xlfn.XLOOKUP($D197&amp;"_"&amp;J$61,$B$23:$B$45&amp;"_"&amp;$C$23:$C$45,$D$23:$D$45)*$E197)</f>
        <v>2.15110726643598</v>
      </c>
      <c r="K197" s="67" cm="1">
        <f ca="1" t="array" ref="K197">MIN(18,_xlfn.XLOOKUP($D197&amp;"_"&amp;K$61,$B$23:$B$45&amp;"_"&amp;$C$23:$C$45,$D$23:$D$45)*$E197)</f>
        <v>0.669233371780085</v>
      </c>
      <c r="L197" s="67" cm="1">
        <f ca="1" t="array" ref="L197">MIN(6,_xlfn.XLOOKUP($D197&amp;"_"&amp;L$61,$B$23:$B$45&amp;"_"&amp;$C$23:$C$45,$D$23:$D$45)*$E197)</f>
        <v>1.00385005767013</v>
      </c>
      <c r="M197" s="67" cm="1">
        <f ca="1" t="array" ref="M197">(1+SUMPRODUCT(G197:H197,OFFSET($H$49:$I$49,D197,0)))*(1+OFFSET($J$49,D197,0))^I197*(1+OFFSET($K$49,D197,0))^J197*(1+OFFSET($L$49,D197,0))^K197*(1+OFFSET($M$49,D197,0))^L197</f>
        <v>29.4287880372045</v>
      </c>
      <c r="N197" s="67">
        <f ca="1">MAX(MAX($N$62:N196),OFFSET($C$61,MATCH(M197*1.07,$M$62:$M$2061,1),0)-C197)</f>
        <v>2520</v>
      </c>
    </row>
    <row r="198" spans="2:14">
      <c r="B198" s="67">
        <v>137</v>
      </c>
      <c r="C198" s="67">
        <f t="shared" si="23"/>
        <v>49320</v>
      </c>
      <c r="D198" s="67">
        <f t="shared" si="24"/>
        <v>5</v>
      </c>
      <c r="E198" s="67">
        <f ca="1" t="shared" si="25"/>
        <v>167</v>
      </c>
      <c r="F198" s="67">
        <f ca="1" t="shared" si="26"/>
        <v>0</v>
      </c>
      <c r="G198" s="67">
        <f ca="1" t="shared" si="27"/>
        <v>4.82344009700412</v>
      </c>
      <c r="H198" s="67" cm="1">
        <f ca="1" t="array" ref="H198">MIN(30-SUM(I198:L198),_xlfn.XLOOKUP($D198&amp;"_"&amp;H$61,$B$23:$B$45&amp;"_"&amp;$C$23:$C$45,$D$23:$D$45)*$E198,18)</f>
        <v>18</v>
      </c>
      <c r="I198" s="67" cm="1">
        <f ca="1" t="array" ref="I198">MIN(30-SUM(J198:L198),6-L198,_xlfn.XLOOKUP($D198&amp;"_"&amp;I$61,$B$23:$B$45&amp;"_"&amp;$C$23:$C$45,$D$23:$D$45)*$E198)</f>
        <v>3.32933191376098</v>
      </c>
      <c r="J198" s="67" cm="1">
        <f ca="1" t="array" ref="J198">MIN(8,_xlfn.XLOOKUP($D198&amp;"_"&amp;J$61,$B$23:$B$45&amp;"_"&amp;$C$23:$C$45,$D$23:$D$45)*$E198)</f>
        <v>2.16406574394463</v>
      </c>
      <c r="K198" s="67" cm="1">
        <f ca="1" t="array" ref="K198">MIN(18,_xlfn.XLOOKUP($D198&amp;"_"&amp;K$61,$B$23:$B$45&amp;"_"&amp;$C$23:$C$45,$D$23:$D$45)*$E198)</f>
        <v>0.67326489811611</v>
      </c>
      <c r="L198" s="67" cm="1">
        <f ca="1" t="array" ref="L198">MIN(6,_xlfn.XLOOKUP($D198&amp;"_"&amp;L$61,$B$23:$B$45&amp;"_"&amp;$C$23:$C$45,$D$23:$D$45)*$E198)</f>
        <v>1.00989734717416</v>
      </c>
      <c r="M198" s="67" cm="1">
        <f ca="1" t="array" ref="M198">(1+SUMPRODUCT(G198:H198,OFFSET($H$49:$I$49,D198,0)))*(1+OFFSET($J$49,D198,0))^I198*(1+OFFSET($K$49,D198,0))^J198*(1+OFFSET($L$49,D198,0))^K198*(1+OFFSET($M$49,D198,0))^L198</f>
        <v>29.7086538577204</v>
      </c>
      <c r="N198" s="67">
        <f ca="1">MAX(MAX($N$62:N197),OFFSET($C$61,MATCH(M198*1.07,$M$62:$M$2061,1),0)-C198)</f>
        <v>2520</v>
      </c>
    </row>
    <row r="199" spans="2:14">
      <c r="B199" s="67">
        <v>138</v>
      </c>
      <c r="C199" s="67">
        <f t="shared" si="23"/>
        <v>49680</v>
      </c>
      <c r="D199" s="67">
        <f t="shared" si="24"/>
        <v>5</v>
      </c>
      <c r="E199" s="67">
        <f ca="1" t="shared" si="25"/>
        <v>168</v>
      </c>
      <c r="F199" s="67">
        <f ca="1" t="shared" si="26"/>
        <v>0</v>
      </c>
      <c r="G199" s="67">
        <f ca="1" t="shared" si="27"/>
        <v>4.78046668441133</v>
      </c>
      <c r="H199" s="67" cm="1">
        <f ca="1" t="array" ref="H199">MIN(30-SUM(I199:L199),_xlfn.XLOOKUP($D199&amp;"_"&amp;H$61,$B$23:$B$45&amp;"_"&amp;$C$23:$C$45,$D$23:$D$45)*$E199,18)</f>
        <v>18</v>
      </c>
      <c r="I199" s="67" cm="1">
        <f ca="1" t="array" ref="I199">MIN(30-SUM(J199:L199),6-L199,_xlfn.XLOOKUP($D199&amp;"_"&amp;I$61,$B$23:$B$45&amp;"_"&amp;$C$23:$C$45,$D$23:$D$45)*$E199)</f>
        <v>3.34926803300505</v>
      </c>
      <c r="J199" s="67" cm="1">
        <f ca="1" t="array" ref="J199">MIN(8,_xlfn.XLOOKUP($D199&amp;"_"&amp;J$61,$B$23:$B$45&amp;"_"&amp;$C$23:$C$45,$D$23:$D$45)*$E199)</f>
        <v>2.17702422145328</v>
      </c>
      <c r="K199" s="67" cm="1">
        <f ca="1" t="array" ref="K199">MIN(18,_xlfn.XLOOKUP($D199&amp;"_"&amp;K$61,$B$23:$B$45&amp;"_"&amp;$C$23:$C$45,$D$23:$D$45)*$E199)</f>
        <v>0.677296424452134</v>
      </c>
      <c r="L199" s="67" cm="1">
        <f ca="1" t="array" ref="L199">MIN(6,_xlfn.XLOOKUP($D199&amp;"_"&amp;L$61,$B$23:$B$45&amp;"_"&amp;$C$23:$C$45,$D$23:$D$45)*$E199)</f>
        <v>1.0159446366782</v>
      </c>
      <c r="M199" s="67" cm="1">
        <f ca="1" t="array" ref="M199">(1+SUMPRODUCT(G199:H199,OFFSET($H$49:$I$49,D199,0)))*(1+OFFSET($J$49,D199,0))^I199*(1+OFFSET($K$49,D199,0))^J199*(1+OFFSET($L$49,D199,0))^K199*(1+OFFSET($M$49,D199,0))^L199</f>
        <v>29.9911514467351</v>
      </c>
      <c r="N199" s="67">
        <f ca="1">MAX(MAX($N$62:N198),OFFSET($C$61,MATCH(M199*1.07,$M$62:$M$2061,1),0)-C199)</f>
        <v>2520</v>
      </c>
    </row>
    <row r="200" spans="2:14">
      <c r="B200" s="67">
        <v>139</v>
      </c>
      <c r="C200" s="67">
        <f t="shared" si="23"/>
        <v>50040</v>
      </c>
      <c r="D200" s="67">
        <f t="shared" si="24"/>
        <v>5</v>
      </c>
      <c r="E200" s="67">
        <f ca="1" t="shared" si="25"/>
        <v>169</v>
      </c>
      <c r="F200" s="67">
        <f ca="1" t="shared" si="26"/>
        <v>0</v>
      </c>
      <c r="G200" s="67">
        <f ca="1" t="shared" si="27"/>
        <v>4.73749327181854</v>
      </c>
      <c r="H200" s="67" cm="1">
        <f ca="1" t="array" ref="H200">MIN(30-SUM(I200:L200),_xlfn.XLOOKUP($D200&amp;"_"&amp;H$61,$B$23:$B$45&amp;"_"&amp;$C$23:$C$45,$D$23:$D$45)*$E200,18)</f>
        <v>18</v>
      </c>
      <c r="I200" s="67" cm="1">
        <f ca="1" t="array" ref="I200">MIN(30-SUM(J200:L200),6-L200,_xlfn.XLOOKUP($D200&amp;"_"&amp;I$61,$B$23:$B$45&amp;"_"&amp;$C$23:$C$45,$D$23:$D$45)*$E200)</f>
        <v>3.36920415224913</v>
      </c>
      <c r="J200" s="67" cm="1">
        <f ca="1" t="array" ref="J200">MIN(8,_xlfn.XLOOKUP($D200&amp;"_"&amp;J$61,$B$23:$B$45&amp;"_"&amp;$C$23:$C$45,$D$23:$D$45)*$E200)</f>
        <v>2.18998269896193</v>
      </c>
      <c r="K200" s="67" cm="1">
        <f ca="1" t="array" ref="K200">MIN(18,_xlfn.XLOOKUP($D200&amp;"_"&amp;K$61,$B$23:$B$45&amp;"_"&amp;$C$23:$C$45,$D$23:$D$45)*$E200)</f>
        <v>0.681327950788159</v>
      </c>
      <c r="L200" s="67" cm="1">
        <f ca="1" t="array" ref="L200">MIN(6,_xlfn.XLOOKUP($D200&amp;"_"&amp;L$61,$B$23:$B$45&amp;"_"&amp;$C$23:$C$45,$D$23:$D$45)*$E200)</f>
        <v>1.02199192618224</v>
      </c>
      <c r="M200" s="67" cm="1">
        <f ca="1" t="array" ref="M200">(1+SUMPRODUCT(G200:H200,OFFSET($H$49:$I$49,D200,0)))*(1+OFFSET($J$49,D200,0))^I200*(1+OFFSET($K$49,D200,0))^J200*(1+OFFSET($L$49,D200,0))^K200*(1+OFFSET($M$49,D200,0))^L200</f>
        <v>30.2763052068167</v>
      </c>
      <c r="N200" s="67">
        <f ca="1">MAX(MAX($N$62:N199),OFFSET($C$61,MATCH(M200*1.07,$M$62:$M$2061,1),0)-C200)</f>
        <v>2520</v>
      </c>
    </row>
    <row r="201" spans="2:14">
      <c r="B201" s="67">
        <v>140</v>
      </c>
      <c r="C201" s="67">
        <f t="shared" si="23"/>
        <v>50400</v>
      </c>
      <c r="D201" s="67">
        <f t="shared" si="24"/>
        <v>5</v>
      </c>
      <c r="E201" s="67">
        <f ca="1" t="shared" si="25"/>
        <v>170</v>
      </c>
      <c r="F201" s="67">
        <f ca="1" t="shared" si="26"/>
        <v>0</v>
      </c>
      <c r="G201" s="67">
        <f ca="1" t="shared" si="27"/>
        <v>4.69451985922575</v>
      </c>
      <c r="H201" s="67" cm="1">
        <f ca="1" t="array" ref="H201">MIN(30-SUM(I201:L201),_xlfn.XLOOKUP($D201&amp;"_"&amp;H$61,$B$23:$B$45&amp;"_"&amp;$C$23:$C$45,$D$23:$D$45)*$E201,18)</f>
        <v>18</v>
      </c>
      <c r="I201" s="67" cm="1">
        <f ca="1" t="array" ref="I201">MIN(30-SUM(J201:L201),6-L201,_xlfn.XLOOKUP($D201&amp;"_"&amp;I$61,$B$23:$B$45&amp;"_"&amp;$C$23:$C$45,$D$23:$D$45)*$E201)</f>
        <v>3.38914027149321</v>
      </c>
      <c r="J201" s="67" cm="1">
        <f ca="1" t="array" ref="J201">MIN(8,_xlfn.XLOOKUP($D201&amp;"_"&amp;J$61,$B$23:$B$45&amp;"_"&amp;$C$23:$C$45,$D$23:$D$45)*$E201)</f>
        <v>2.20294117647058</v>
      </c>
      <c r="K201" s="67" cm="1">
        <f ca="1" t="array" ref="K201">MIN(18,_xlfn.XLOOKUP($D201&amp;"_"&amp;K$61,$B$23:$B$45&amp;"_"&amp;$C$23:$C$45,$D$23:$D$45)*$E201)</f>
        <v>0.685359477124184</v>
      </c>
      <c r="L201" s="67" cm="1">
        <f ca="1" t="array" ref="L201">MIN(6,_xlfn.XLOOKUP($D201&amp;"_"&amp;L$61,$B$23:$B$45&amp;"_"&amp;$C$23:$C$45,$D$23:$D$45)*$E201)</f>
        <v>1.02803921568627</v>
      </c>
      <c r="M201" s="67" cm="1">
        <f ca="1" t="array" ref="M201">(1+SUMPRODUCT(G201:H201,OFFSET($H$49:$I$49,D201,0)))*(1+OFFSET($J$49,D201,0))^I201*(1+OFFSET($K$49,D201,0))^J201*(1+OFFSET($L$49,D201,0))^K201*(1+OFFSET($M$49,D201,0))^L201</f>
        <v>30.564139762736</v>
      </c>
      <c r="N201" s="67">
        <f ca="1">MAX(MAX($N$62:N200),OFFSET($C$61,MATCH(M201*1.07,$M$62:$M$2061,1),0)-C201)</f>
        <v>2520</v>
      </c>
    </row>
    <row r="202" spans="2:14">
      <c r="B202" s="67">
        <v>141</v>
      </c>
      <c r="C202" s="67">
        <f t="shared" ref="C202:C265" si="28">C201+360</f>
        <v>50760</v>
      </c>
      <c r="D202" s="67">
        <f t="shared" si="24"/>
        <v>5</v>
      </c>
      <c r="E202" s="67">
        <f ca="1" t="shared" si="25"/>
        <v>171</v>
      </c>
      <c r="F202" s="67">
        <f ca="1" t="shared" si="26"/>
        <v>0</v>
      </c>
      <c r="G202" s="67">
        <f ca="1" t="shared" si="27"/>
        <v>4.65154644663296</v>
      </c>
      <c r="H202" s="67" cm="1">
        <f ca="1" t="array" ref="H202">MIN(30-SUM(I202:L202),_xlfn.XLOOKUP($D202&amp;"_"&amp;H$61,$B$23:$B$45&amp;"_"&amp;$C$23:$C$45,$D$23:$D$45)*$E202,18)</f>
        <v>18</v>
      </c>
      <c r="I202" s="67" cm="1">
        <f ca="1" t="array" ref="I202">MIN(30-SUM(J202:L202),6-L202,_xlfn.XLOOKUP($D202&amp;"_"&amp;I$61,$B$23:$B$45&amp;"_"&amp;$C$23:$C$45,$D$23:$D$45)*$E202)</f>
        <v>3.40907639073729</v>
      </c>
      <c r="J202" s="67" cm="1">
        <f ca="1" t="array" ref="J202">MIN(8,_xlfn.XLOOKUP($D202&amp;"_"&amp;J$61,$B$23:$B$45&amp;"_"&amp;$C$23:$C$45,$D$23:$D$45)*$E202)</f>
        <v>2.21589965397924</v>
      </c>
      <c r="K202" s="67" cm="1">
        <f ca="1" t="array" ref="K202">MIN(18,_xlfn.XLOOKUP($D202&amp;"_"&amp;K$61,$B$23:$B$45&amp;"_"&amp;$C$23:$C$45,$D$23:$D$45)*$E202)</f>
        <v>0.689391003460208</v>
      </c>
      <c r="L202" s="67" cm="1">
        <f ca="1" t="array" ref="L202">MIN(6,_xlfn.XLOOKUP($D202&amp;"_"&amp;L$61,$B$23:$B$45&amp;"_"&amp;$C$23:$C$45,$D$23:$D$45)*$E202)</f>
        <v>1.03408650519031</v>
      </c>
      <c r="M202" s="67" cm="1">
        <f ca="1" t="array" ref="M202">(1+SUMPRODUCT(G202:H202,OFFSET($H$49:$I$49,D202,0)))*(1+OFFSET($J$49,D202,0))^I202*(1+OFFSET($K$49,D202,0))^J202*(1+OFFSET($L$49,D202,0))^K202*(1+OFFSET($M$49,D202,0))^L202</f>
        <v>30.8546799634418</v>
      </c>
      <c r="N202" s="67">
        <f ca="1">MAX(MAX($N$62:N201),OFFSET($C$61,MATCH(M202*1.07,$M$62:$M$2061,1),0)-C202)</f>
        <v>2520</v>
      </c>
    </row>
    <row r="203" spans="2:14">
      <c r="B203" s="67">
        <v>142</v>
      </c>
      <c r="C203" s="67">
        <f t="shared" si="28"/>
        <v>51120</v>
      </c>
      <c r="D203" s="67">
        <f t="shared" si="24"/>
        <v>5</v>
      </c>
      <c r="E203" s="67">
        <f ca="1" t="shared" si="25"/>
        <v>172</v>
      </c>
      <c r="F203" s="67">
        <f ca="1" t="shared" si="26"/>
        <v>0</v>
      </c>
      <c r="G203" s="67">
        <f ca="1" t="shared" si="27"/>
        <v>4.60857303404017</v>
      </c>
      <c r="H203" s="67" cm="1">
        <f ca="1" t="array" ref="H203">MIN(30-SUM(I203:L203),_xlfn.XLOOKUP($D203&amp;"_"&amp;H$61,$B$23:$B$45&amp;"_"&amp;$C$23:$C$45,$D$23:$D$45)*$E203,18)</f>
        <v>18</v>
      </c>
      <c r="I203" s="67" cm="1">
        <f ca="1" t="array" ref="I203">MIN(30-SUM(J203:L203),6-L203,_xlfn.XLOOKUP($D203&amp;"_"&amp;I$61,$B$23:$B$45&amp;"_"&amp;$C$23:$C$45,$D$23:$D$45)*$E203)</f>
        <v>3.42901250998136</v>
      </c>
      <c r="J203" s="67" cm="1">
        <f ca="1" t="array" ref="J203">MIN(8,_xlfn.XLOOKUP($D203&amp;"_"&amp;J$61,$B$23:$B$45&amp;"_"&amp;$C$23:$C$45,$D$23:$D$45)*$E203)</f>
        <v>2.22885813148789</v>
      </c>
      <c r="K203" s="67" cm="1">
        <f ca="1" t="array" ref="K203">MIN(18,_xlfn.XLOOKUP($D203&amp;"_"&amp;K$61,$B$23:$B$45&amp;"_"&amp;$C$23:$C$45,$D$23:$D$45)*$E203)</f>
        <v>0.693422529796233</v>
      </c>
      <c r="L203" s="67" cm="1">
        <f ca="1" t="array" ref="L203">MIN(6,_xlfn.XLOOKUP($D203&amp;"_"&amp;L$61,$B$23:$B$45&amp;"_"&amp;$C$23:$C$45,$D$23:$D$45)*$E203)</f>
        <v>1.04013379469435</v>
      </c>
      <c r="M203" s="67" cm="1">
        <f ca="1" t="array" ref="M203">(1+SUMPRODUCT(G203:H203,OFFSET($H$49:$I$49,D203,0)))*(1+OFFSET($J$49,D203,0))^I203*(1+OFFSET($K$49,D203,0))^J203*(1+OFFSET($L$49,D203,0))^K203*(1+OFFSET($M$49,D203,0))^L203</f>
        <v>31.1479508840525</v>
      </c>
      <c r="N203" s="67">
        <f ca="1">MAX(MAX($N$62:N202),OFFSET($C$61,MATCH(M203*1.07,$M$62:$M$2061,1),0)-C203)</f>
        <v>2520</v>
      </c>
    </row>
    <row r="204" spans="2:14">
      <c r="B204" s="67">
        <v>143</v>
      </c>
      <c r="C204" s="67">
        <f t="shared" si="28"/>
        <v>51480</v>
      </c>
      <c r="D204" s="67">
        <f t="shared" si="24"/>
        <v>5</v>
      </c>
      <c r="E204" s="67">
        <f ca="1" t="shared" si="25"/>
        <v>173</v>
      </c>
      <c r="F204" s="67">
        <f ca="1" t="shared" si="26"/>
        <v>0</v>
      </c>
      <c r="G204" s="67">
        <f ca="1" t="shared" si="27"/>
        <v>4.56559962144738</v>
      </c>
      <c r="H204" s="67" cm="1">
        <f ca="1" t="array" ref="H204">MIN(30-SUM(I204:L204),_xlfn.XLOOKUP($D204&amp;"_"&amp;H$61,$B$23:$B$45&amp;"_"&amp;$C$23:$C$45,$D$23:$D$45)*$E204,18)</f>
        <v>18</v>
      </c>
      <c r="I204" s="67" cm="1">
        <f ca="1" t="array" ref="I204">MIN(30-SUM(J204:L204),6-L204,_xlfn.XLOOKUP($D204&amp;"_"&amp;I$61,$B$23:$B$45&amp;"_"&amp;$C$23:$C$45,$D$23:$D$45)*$E204)</f>
        <v>3.44894862922544</v>
      </c>
      <c r="J204" s="67" cm="1">
        <f ca="1" t="array" ref="J204">MIN(8,_xlfn.XLOOKUP($D204&amp;"_"&amp;J$61,$B$23:$B$45&amp;"_"&amp;$C$23:$C$45,$D$23:$D$45)*$E204)</f>
        <v>2.24181660899654</v>
      </c>
      <c r="K204" s="67" cm="1">
        <f ca="1" t="array" ref="K204">MIN(18,_xlfn.XLOOKUP($D204&amp;"_"&amp;K$61,$B$23:$B$45&amp;"_"&amp;$C$23:$C$45,$D$23:$D$45)*$E204)</f>
        <v>0.697454056132258</v>
      </c>
      <c r="L204" s="67" cm="1">
        <f ca="1" t="array" ref="L204">MIN(6,_xlfn.XLOOKUP($D204&amp;"_"&amp;L$61,$B$23:$B$45&amp;"_"&amp;$C$23:$C$45,$D$23:$D$45)*$E204)</f>
        <v>1.04618108419839</v>
      </c>
      <c r="M204" s="67" cm="1">
        <f ca="1" t="array" ref="M204">(1+SUMPRODUCT(G204:H204,OFFSET($H$49:$I$49,D204,0)))*(1+OFFSET($J$49,D204,0))^I204*(1+OFFSET($K$49,D204,0))^J204*(1+OFFSET($L$49,D204,0))^K204*(1+OFFSET($M$49,D204,0))^L204</f>
        <v>31.4439778278648</v>
      </c>
      <c r="N204" s="67">
        <f ca="1">MAX(MAX($N$62:N203),OFFSET($C$61,MATCH(M204*1.07,$M$62:$M$2061,1),0)-C204)</f>
        <v>2520</v>
      </c>
    </row>
    <row r="205" spans="2:14">
      <c r="B205" s="67">
        <v>144</v>
      </c>
      <c r="C205" s="67">
        <f t="shared" si="28"/>
        <v>51840</v>
      </c>
      <c r="D205" s="67">
        <f t="shared" si="24"/>
        <v>5</v>
      </c>
      <c r="E205" s="67">
        <f ca="1" t="shared" si="25"/>
        <v>174</v>
      </c>
      <c r="F205" s="67">
        <f ca="1" t="shared" si="26"/>
        <v>0</v>
      </c>
      <c r="G205" s="67">
        <f ca="1" t="shared" si="27"/>
        <v>4.52262620885459</v>
      </c>
      <c r="H205" s="67" cm="1">
        <f ca="1" t="array" ref="H205">MIN(30-SUM(I205:L205),_xlfn.XLOOKUP($D205&amp;"_"&amp;H$61,$B$23:$B$45&amp;"_"&amp;$C$23:$C$45,$D$23:$D$45)*$E205,18)</f>
        <v>18</v>
      </c>
      <c r="I205" s="67" cm="1">
        <f ca="1" t="array" ref="I205">MIN(30-SUM(J205:L205),6-L205,_xlfn.XLOOKUP($D205&amp;"_"&amp;I$61,$B$23:$B$45&amp;"_"&amp;$C$23:$C$45,$D$23:$D$45)*$E205)</f>
        <v>3.46888474846952</v>
      </c>
      <c r="J205" s="67" cm="1">
        <f ca="1" t="array" ref="J205">MIN(8,_xlfn.XLOOKUP($D205&amp;"_"&amp;J$61,$B$23:$B$45&amp;"_"&amp;$C$23:$C$45,$D$23:$D$45)*$E205)</f>
        <v>2.25477508650519</v>
      </c>
      <c r="K205" s="67" cm="1">
        <f ca="1" t="array" ref="K205">MIN(18,_xlfn.XLOOKUP($D205&amp;"_"&amp;K$61,$B$23:$B$45&amp;"_"&amp;$C$23:$C$45,$D$23:$D$45)*$E205)</f>
        <v>0.701485582468282</v>
      </c>
      <c r="L205" s="67" cm="1">
        <f ca="1" t="array" ref="L205">MIN(6,_xlfn.XLOOKUP($D205&amp;"_"&amp;L$61,$B$23:$B$45&amp;"_"&amp;$C$23:$C$45,$D$23:$D$45)*$E205)</f>
        <v>1.05222837370242</v>
      </c>
      <c r="M205" s="67" cm="1">
        <f ca="1" t="array" ref="M205">(1+SUMPRODUCT(G205:H205,OFFSET($H$49:$I$49,D205,0)))*(1+OFFSET($J$49,D205,0))^I205*(1+OFFSET($K$49,D205,0))^J205*(1+OFFSET($L$49,D205,0))^K205*(1+OFFSET($M$49,D205,0))^L205</f>
        <v>31.74278632838</v>
      </c>
      <c r="N205" s="67">
        <f ca="1">MAX(MAX($N$62:N204),OFFSET($C$61,MATCH(M205*1.07,$M$62:$M$2061,1),0)-C205)</f>
        <v>2520</v>
      </c>
    </row>
    <row r="206" spans="2:14">
      <c r="B206" s="67">
        <v>145</v>
      </c>
      <c r="C206" s="67">
        <f t="shared" si="28"/>
        <v>52200</v>
      </c>
      <c r="D206" s="67">
        <f t="shared" si="24"/>
        <v>5</v>
      </c>
      <c r="E206" s="67">
        <f ca="1" t="shared" si="25"/>
        <v>175</v>
      </c>
      <c r="F206" s="67">
        <f ca="1" t="shared" si="26"/>
        <v>0</v>
      </c>
      <c r="G206" s="67">
        <f ca="1" t="shared" si="27"/>
        <v>4.4796527962618</v>
      </c>
      <c r="H206" s="67" cm="1">
        <f ca="1" t="array" ref="H206">MIN(30-SUM(I206:L206),_xlfn.XLOOKUP($D206&amp;"_"&amp;H$61,$B$23:$B$45&amp;"_"&amp;$C$23:$C$45,$D$23:$D$45)*$E206,18)</f>
        <v>18</v>
      </c>
      <c r="I206" s="67" cm="1">
        <f ca="1" t="array" ref="I206">MIN(30-SUM(J206:L206),6-L206,_xlfn.XLOOKUP($D206&amp;"_"&amp;I$61,$B$23:$B$45&amp;"_"&amp;$C$23:$C$45,$D$23:$D$45)*$E206)</f>
        <v>3.4888208677136</v>
      </c>
      <c r="J206" s="67" cm="1">
        <f ca="1" t="array" ref="J206">MIN(8,_xlfn.XLOOKUP($D206&amp;"_"&amp;J$61,$B$23:$B$45&amp;"_"&amp;$C$23:$C$45,$D$23:$D$45)*$E206)</f>
        <v>2.26773356401384</v>
      </c>
      <c r="K206" s="67" cm="1">
        <f ca="1" t="array" ref="K206">MIN(18,_xlfn.XLOOKUP($D206&amp;"_"&amp;K$61,$B$23:$B$45&amp;"_"&amp;$C$23:$C$45,$D$23:$D$45)*$E206)</f>
        <v>0.705517108804307</v>
      </c>
      <c r="L206" s="67" cm="1">
        <f ca="1" t="array" ref="L206">MIN(6,_xlfn.XLOOKUP($D206&amp;"_"&amp;L$61,$B$23:$B$45&amp;"_"&amp;$C$23:$C$45,$D$23:$D$45)*$E206)</f>
        <v>1.05827566320646</v>
      </c>
      <c r="M206" s="67" cm="1">
        <f ca="1" t="array" ref="M206">(1+SUMPRODUCT(G206:H206,OFFSET($H$49:$I$49,D206,0)))*(1+OFFSET($J$49,D206,0))^I206*(1+OFFSET($K$49,D206,0))^J206*(1+OFFSET($L$49,D206,0))^K206*(1+OFFSET($M$49,D206,0))^L206</f>
        <v>32.0444021513477</v>
      </c>
      <c r="N206" s="67">
        <f ca="1">MAX(MAX($N$62:N205),OFFSET($C$61,MATCH(M206*1.07,$M$62:$M$2061,1),0)-C206)</f>
        <v>2520</v>
      </c>
    </row>
    <row r="207" spans="2:14">
      <c r="B207" s="67">
        <v>146</v>
      </c>
      <c r="C207" s="67">
        <f t="shared" si="28"/>
        <v>52560</v>
      </c>
      <c r="D207" s="67">
        <f t="shared" si="24"/>
        <v>5</v>
      </c>
      <c r="E207" s="67">
        <f ca="1" t="shared" si="25"/>
        <v>176</v>
      </c>
      <c r="F207" s="67">
        <f ca="1" t="shared" si="26"/>
        <v>0</v>
      </c>
      <c r="G207" s="67">
        <f ca="1" t="shared" si="27"/>
        <v>4.43667938366901</v>
      </c>
      <c r="H207" s="67" cm="1">
        <f ca="1" t="array" ref="H207">MIN(30-SUM(I207:L207),_xlfn.XLOOKUP($D207&amp;"_"&amp;H$61,$B$23:$B$45&amp;"_"&amp;$C$23:$C$45,$D$23:$D$45)*$E207,18)</f>
        <v>18</v>
      </c>
      <c r="I207" s="67" cm="1">
        <f ca="1" t="array" ref="I207">MIN(30-SUM(J207:L207),6-L207,_xlfn.XLOOKUP($D207&amp;"_"&amp;I$61,$B$23:$B$45&amp;"_"&amp;$C$23:$C$45,$D$23:$D$45)*$E207)</f>
        <v>3.50875698695768</v>
      </c>
      <c r="J207" s="67" cm="1">
        <f ca="1" t="array" ref="J207">MIN(8,_xlfn.XLOOKUP($D207&amp;"_"&amp;J$61,$B$23:$B$45&amp;"_"&amp;$C$23:$C$45,$D$23:$D$45)*$E207)</f>
        <v>2.28069204152249</v>
      </c>
      <c r="K207" s="67" cm="1">
        <f ca="1" t="array" ref="K207">MIN(18,_xlfn.XLOOKUP($D207&amp;"_"&amp;K$61,$B$23:$B$45&amp;"_"&amp;$C$23:$C$45,$D$23:$D$45)*$E207)</f>
        <v>0.709548635140331</v>
      </c>
      <c r="L207" s="67" cm="1">
        <f ca="1" t="array" ref="L207">MIN(6,_xlfn.XLOOKUP($D207&amp;"_"&amp;L$61,$B$23:$B$45&amp;"_"&amp;$C$23:$C$45,$D$23:$D$45)*$E207)</f>
        <v>1.0643229527105</v>
      </c>
      <c r="M207" s="67" cm="1">
        <f ca="1" t="array" ref="M207">(1+SUMPRODUCT(G207:H207,OFFSET($H$49:$I$49,D207,0)))*(1+OFFSET($J$49,D207,0))^I207*(1+OFFSET($K$49,D207,0))^J207*(1+OFFSET($L$49,D207,0))^K207*(1+OFFSET($M$49,D207,0))^L207</f>
        <v>32.3488512968267</v>
      </c>
      <c r="N207" s="67">
        <f ca="1">MAX(MAX($N$62:N206),OFFSET($C$61,MATCH(M207*1.07,$M$62:$M$2061,1),0)-C207)</f>
        <v>2520</v>
      </c>
    </row>
    <row r="208" spans="2:14">
      <c r="B208" s="67">
        <v>147</v>
      </c>
      <c r="C208" s="67">
        <f t="shared" si="28"/>
        <v>52920</v>
      </c>
      <c r="D208" s="67">
        <f t="shared" si="24"/>
        <v>5</v>
      </c>
      <c r="E208" s="67">
        <f ca="1" t="shared" si="25"/>
        <v>177</v>
      </c>
      <c r="F208" s="67">
        <f ca="1" t="shared" si="26"/>
        <v>0</v>
      </c>
      <c r="G208" s="67">
        <f ca="1" t="shared" si="27"/>
        <v>4.39370597107622</v>
      </c>
      <c r="H208" s="67" cm="1">
        <f ca="1" t="array" ref="H208">MIN(30-SUM(I208:L208),_xlfn.XLOOKUP($D208&amp;"_"&amp;H$61,$B$23:$B$45&amp;"_"&amp;$C$23:$C$45,$D$23:$D$45)*$E208,18)</f>
        <v>18</v>
      </c>
      <c r="I208" s="67" cm="1">
        <f ca="1" t="array" ref="I208">MIN(30-SUM(J208:L208),6-L208,_xlfn.XLOOKUP($D208&amp;"_"&amp;I$61,$B$23:$B$45&amp;"_"&amp;$C$23:$C$45,$D$23:$D$45)*$E208)</f>
        <v>3.52869310620175</v>
      </c>
      <c r="J208" s="67" cm="1">
        <f ca="1" t="array" ref="J208">MIN(8,_xlfn.XLOOKUP($D208&amp;"_"&amp;J$61,$B$23:$B$45&amp;"_"&amp;$C$23:$C$45,$D$23:$D$45)*$E208)</f>
        <v>2.29365051903114</v>
      </c>
      <c r="K208" s="67" cm="1">
        <f ca="1" t="array" ref="K208">MIN(18,_xlfn.XLOOKUP($D208&amp;"_"&amp;K$61,$B$23:$B$45&amp;"_"&amp;$C$23:$C$45,$D$23:$D$45)*$E208)</f>
        <v>0.713580161476356</v>
      </c>
      <c r="L208" s="67" cm="1">
        <f ca="1" t="array" ref="L208">MIN(6,_xlfn.XLOOKUP($D208&amp;"_"&amp;L$61,$B$23:$B$45&amp;"_"&amp;$C$23:$C$45,$D$23:$D$45)*$E208)</f>
        <v>1.07037024221453</v>
      </c>
      <c r="M208" s="67" cm="1">
        <f ca="1" t="array" ref="M208">(1+SUMPRODUCT(G208:H208,OFFSET($H$49:$I$49,D208,0)))*(1+OFFSET($J$49,D208,0))^I208*(1+OFFSET($K$49,D208,0))^J208*(1+OFFSET($L$49,D208,0))^K208*(1+OFFSET($M$49,D208,0))^L208</f>
        <v>32.6561600012634</v>
      </c>
      <c r="N208" s="67">
        <f ca="1">MAX(MAX($N$62:N207),OFFSET($C$61,MATCH(M208*1.07,$M$62:$M$2061,1),0)-C208)</f>
        <v>2520</v>
      </c>
    </row>
    <row r="209" spans="2:14">
      <c r="B209" s="67">
        <v>148</v>
      </c>
      <c r="C209" s="67">
        <f t="shared" si="28"/>
        <v>53280</v>
      </c>
      <c r="D209" s="67">
        <f t="shared" si="24"/>
        <v>5</v>
      </c>
      <c r="E209" s="67">
        <f ca="1" t="shared" si="25"/>
        <v>178</v>
      </c>
      <c r="F209" s="67">
        <f ca="1" t="shared" si="26"/>
        <v>0</v>
      </c>
      <c r="G209" s="67">
        <f ca="1" t="shared" si="27"/>
        <v>4.35073255848343</v>
      </c>
      <c r="H209" s="67" cm="1">
        <f ca="1" t="array" ref="H209">MIN(30-SUM(I209:L209),_xlfn.XLOOKUP($D209&amp;"_"&amp;H$61,$B$23:$B$45&amp;"_"&amp;$C$23:$C$45,$D$23:$D$45)*$E209,18)</f>
        <v>18</v>
      </c>
      <c r="I209" s="67" cm="1">
        <f ca="1" t="array" ref="I209">MIN(30-SUM(J209:L209),6-L209,_xlfn.XLOOKUP($D209&amp;"_"&amp;I$61,$B$23:$B$45&amp;"_"&amp;$C$23:$C$45,$D$23:$D$45)*$E209)</f>
        <v>3.54862922544583</v>
      </c>
      <c r="J209" s="67" cm="1">
        <f ca="1" t="array" ref="J209">MIN(8,_xlfn.XLOOKUP($D209&amp;"_"&amp;J$61,$B$23:$B$45&amp;"_"&amp;$C$23:$C$45,$D$23:$D$45)*$E209)</f>
        <v>2.30660899653979</v>
      </c>
      <c r="K209" s="67" cm="1">
        <f ca="1" t="array" ref="K209">MIN(18,_xlfn.XLOOKUP($D209&amp;"_"&amp;K$61,$B$23:$B$45&amp;"_"&amp;$C$23:$C$45,$D$23:$D$45)*$E209)</f>
        <v>0.71761168781238</v>
      </c>
      <c r="L209" s="67" cm="1">
        <f ca="1" t="array" ref="L209">MIN(6,_xlfn.XLOOKUP($D209&amp;"_"&amp;L$61,$B$23:$B$45&amp;"_"&amp;$C$23:$C$45,$D$23:$D$45)*$E209)</f>
        <v>1.07641753171857</v>
      </c>
      <c r="M209" s="67" cm="1">
        <f ca="1" t="array" ref="M209">(1+SUMPRODUCT(G209:H209,OFFSET($H$49:$I$49,D209,0)))*(1+OFFSET($J$49,D209,0))^I209*(1+OFFSET($K$49,D209,0))^J209*(1+OFFSET($L$49,D209,0))^K209*(1+OFFSET($M$49,D209,0))^L209</f>
        <v>32.9663547395891</v>
      </c>
      <c r="N209" s="67">
        <f ca="1">MAX(MAX($N$62:N208),OFFSET($C$61,MATCH(M209*1.07,$M$62:$M$2061,1),0)-C209)</f>
        <v>2520</v>
      </c>
    </row>
    <row r="210" spans="2:14">
      <c r="B210" s="67">
        <v>149</v>
      </c>
      <c r="C210" s="67">
        <f t="shared" si="28"/>
        <v>53640</v>
      </c>
      <c r="D210" s="67">
        <f t="shared" si="24"/>
        <v>5</v>
      </c>
      <c r="E210" s="67">
        <f ca="1" t="shared" si="25"/>
        <v>179</v>
      </c>
      <c r="F210" s="67">
        <f ca="1" t="shared" si="26"/>
        <v>0</v>
      </c>
      <c r="G210" s="67">
        <f ca="1" t="shared" si="27"/>
        <v>4.30775914589064</v>
      </c>
      <c r="H210" s="67" cm="1">
        <f ca="1" t="array" ref="H210">MIN(30-SUM(I210:L210),_xlfn.XLOOKUP($D210&amp;"_"&amp;H$61,$B$23:$B$45&amp;"_"&amp;$C$23:$C$45,$D$23:$D$45)*$E210,18)</f>
        <v>18</v>
      </c>
      <c r="I210" s="67" cm="1">
        <f ca="1" t="array" ref="I210">MIN(30-SUM(J210:L210),6-L210,_xlfn.XLOOKUP($D210&amp;"_"&amp;I$61,$B$23:$B$45&amp;"_"&amp;$C$23:$C$45,$D$23:$D$45)*$E210)</f>
        <v>3.56856534468991</v>
      </c>
      <c r="J210" s="67" cm="1">
        <f ca="1" t="array" ref="J210">MIN(8,_xlfn.XLOOKUP($D210&amp;"_"&amp;J$61,$B$23:$B$45&amp;"_"&amp;$C$23:$C$45,$D$23:$D$45)*$E210)</f>
        <v>2.31956747404844</v>
      </c>
      <c r="K210" s="67" cm="1">
        <f ca="1" t="array" ref="K210">MIN(18,_xlfn.XLOOKUP($D210&amp;"_"&amp;K$61,$B$23:$B$45&amp;"_"&amp;$C$23:$C$45,$D$23:$D$45)*$E210)</f>
        <v>0.721643214148405</v>
      </c>
      <c r="L210" s="67" cm="1">
        <f ca="1" t="array" ref="L210">MIN(6,_xlfn.XLOOKUP($D210&amp;"_"&amp;L$61,$B$23:$B$45&amp;"_"&amp;$C$23:$C$45,$D$23:$D$45)*$E210)</f>
        <v>1.08246482122261</v>
      </c>
      <c r="M210" s="67" cm="1">
        <f ca="1" t="array" ref="M210">(1+SUMPRODUCT(G210:H210,OFFSET($H$49:$I$49,D210,0)))*(1+OFFSET($J$49,D210,0))^I210*(1+OFFSET($K$49,D210,0))^J210*(1+OFFSET($L$49,D210,0))^K210*(1+OFFSET($M$49,D210,0))^L210</f>
        <v>33.2794622273337</v>
      </c>
      <c r="N210" s="67">
        <f ca="1">MAX(MAX($N$62:N209),OFFSET($C$61,MATCH(M210*1.07,$M$62:$M$2061,1),0)-C210)</f>
        <v>2520</v>
      </c>
    </row>
    <row r="211" spans="2:14">
      <c r="B211" s="67">
        <v>150</v>
      </c>
      <c r="C211" s="67">
        <f t="shared" si="28"/>
        <v>54000</v>
      </c>
      <c r="D211" s="67">
        <f t="shared" si="24"/>
        <v>5</v>
      </c>
      <c r="E211" s="67">
        <f ca="1" t="shared" si="25"/>
        <v>180</v>
      </c>
      <c r="F211" s="67">
        <f ca="1" t="shared" si="26"/>
        <v>0</v>
      </c>
      <c r="G211" s="67">
        <f ca="1" t="shared" si="27"/>
        <v>4.26478573329785</v>
      </c>
      <c r="H211" s="67" cm="1">
        <f ca="1" t="array" ref="H211">MIN(30-SUM(I211:L211),_xlfn.XLOOKUP($D211&amp;"_"&amp;H$61,$B$23:$B$45&amp;"_"&amp;$C$23:$C$45,$D$23:$D$45)*$E211,18)</f>
        <v>18</v>
      </c>
      <c r="I211" s="67" cm="1">
        <f ca="1" t="array" ref="I211">MIN(30-SUM(J211:L211),6-L211,_xlfn.XLOOKUP($D211&amp;"_"&amp;I$61,$B$23:$B$45&amp;"_"&amp;$C$23:$C$45,$D$23:$D$45)*$E211)</f>
        <v>3.58850146393399</v>
      </c>
      <c r="J211" s="67" cm="1">
        <f ca="1" t="array" ref="J211">MIN(8,_xlfn.XLOOKUP($D211&amp;"_"&amp;J$61,$B$23:$B$45&amp;"_"&amp;$C$23:$C$45,$D$23:$D$45)*$E211)</f>
        <v>2.33252595155709</v>
      </c>
      <c r="K211" s="67" cm="1">
        <f ca="1" t="array" ref="K211">MIN(18,_xlfn.XLOOKUP($D211&amp;"_"&amp;K$61,$B$23:$B$45&amp;"_"&amp;$C$23:$C$45,$D$23:$D$45)*$E211)</f>
        <v>0.72567474048443</v>
      </c>
      <c r="L211" s="67" cm="1">
        <f ca="1" t="array" ref="L211">MIN(6,_xlfn.XLOOKUP($D211&amp;"_"&amp;L$61,$B$23:$B$45&amp;"_"&amp;$C$23:$C$45,$D$23:$D$45)*$E211)</f>
        <v>1.08851211072664</v>
      </c>
      <c r="M211" s="67" cm="1">
        <f ca="1" t="array" ref="M211">(1+SUMPRODUCT(G211:H211,OFFSET($H$49:$I$49,D211,0)))*(1+OFFSET($J$49,D211,0))^I211*(1+OFFSET($K$49,D211,0))^J211*(1+OFFSET($L$49,D211,0))^K211*(1+OFFSET($M$49,D211,0))^L211</f>
        <v>33.5955094227586</v>
      </c>
      <c r="N211" s="67">
        <f ca="1">MAX(MAX($N$62:N210),OFFSET($C$61,MATCH(M211*1.07,$M$62:$M$2061,1),0)-C211)</f>
        <v>2520</v>
      </c>
    </row>
    <row r="212" spans="2:14">
      <c r="B212" s="67">
        <v>151</v>
      </c>
      <c r="C212" s="67">
        <f t="shared" si="28"/>
        <v>54360</v>
      </c>
      <c r="D212" s="67">
        <f t="shared" si="24"/>
        <v>5</v>
      </c>
      <c r="E212" s="67">
        <f ca="1" t="shared" si="25"/>
        <v>181</v>
      </c>
      <c r="F212" s="67">
        <f ca="1" t="shared" si="26"/>
        <v>0</v>
      </c>
      <c r="G212" s="67">
        <f ca="1" t="shared" si="27"/>
        <v>4.22181232070506</v>
      </c>
      <c r="H212" s="67" cm="1">
        <f ca="1" t="array" ref="H212">MIN(30-SUM(I212:L212),_xlfn.XLOOKUP($D212&amp;"_"&amp;H$61,$B$23:$B$45&amp;"_"&amp;$C$23:$C$45,$D$23:$D$45)*$E212,18)</f>
        <v>18</v>
      </c>
      <c r="I212" s="67" cm="1">
        <f ca="1" t="array" ref="I212">MIN(30-SUM(J212:L212),6-L212,_xlfn.XLOOKUP($D212&amp;"_"&amp;I$61,$B$23:$B$45&amp;"_"&amp;$C$23:$C$45,$D$23:$D$45)*$E212)</f>
        <v>3.60843758317806</v>
      </c>
      <c r="J212" s="67" cm="1">
        <f ca="1" t="array" ref="J212">MIN(8,_xlfn.XLOOKUP($D212&amp;"_"&amp;J$61,$B$23:$B$45&amp;"_"&amp;$C$23:$C$45,$D$23:$D$45)*$E212)</f>
        <v>2.34548442906574</v>
      </c>
      <c r="K212" s="67" cm="1">
        <f ca="1" t="array" ref="K212">MIN(18,_xlfn.XLOOKUP($D212&amp;"_"&amp;K$61,$B$23:$B$45&amp;"_"&amp;$C$23:$C$45,$D$23:$D$45)*$E212)</f>
        <v>0.729706266820454</v>
      </c>
      <c r="L212" s="67" cm="1">
        <f ca="1" t="array" ref="L212">MIN(6,_xlfn.XLOOKUP($D212&amp;"_"&amp;L$61,$B$23:$B$45&amp;"_"&amp;$C$23:$C$45,$D$23:$D$45)*$E212)</f>
        <v>1.09455940023068</v>
      </c>
      <c r="M212" s="67" cm="1">
        <f ca="1" t="array" ref="M212">(1+SUMPRODUCT(G212:H212,OFFSET($H$49:$I$49,D212,0)))*(1+OFFSET($J$49,D212,0))^I212*(1+OFFSET($K$49,D212,0))^J212*(1+OFFSET($L$49,D212,0))^K212*(1+OFFSET($M$49,D212,0))^L212</f>
        <v>33.9145235290076</v>
      </c>
      <c r="N212" s="67">
        <f ca="1">MAX(MAX($N$62:N211),OFFSET($C$61,MATCH(M212*1.07,$M$62:$M$2061,1),0)-C212)</f>
        <v>2520</v>
      </c>
    </row>
    <row r="213" spans="2:14">
      <c r="B213" s="67">
        <v>152</v>
      </c>
      <c r="C213" s="67">
        <f t="shared" si="28"/>
        <v>54720</v>
      </c>
      <c r="D213" s="67">
        <f t="shared" si="24"/>
        <v>5</v>
      </c>
      <c r="E213" s="67">
        <f ca="1" t="shared" si="25"/>
        <v>182</v>
      </c>
      <c r="F213" s="67">
        <f ca="1" t="shared" si="26"/>
        <v>0</v>
      </c>
      <c r="G213" s="67">
        <f ca="1" t="shared" si="27"/>
        <v>4.17883890811227</v>
      </c>
      <c r="H213" s="67" cm="1">
        <f ca="1" t="array" ref="H213">MIN(30-SUM(I213:L213),_xlfn.XLOOKUP($D213&amp;"_"&amp;H$61,$B$23:$B$45&amp;"_"&amp;$C$23:$C$45,$D$23:$D$45)*$E213,18)</f>
        <v>18</v>
      </c>
      <c r="I213" s="67" cm="1">
        <f ca="1" t="array" ref="I213">MIN(30-SUM(J213:L213),6-L213,_xlfn.XLOOKUP($D213&amp;"_"&amp;I$61,$B$23:$B$45&amp;"_"&amp;$C$23:$C$45,$D$23:$D$45)*$E213)</f>
        <v>3.62837370242214</v>
      </c>
      <c r="J213" s="67" cm="1">
        <f ca="1" t="array" ref="J213">MIN(8,_xlfn.XLOOKUP($D213&amp;"_"&amp;J$61,$B$23:$B$45&amp;"_"&amp;$C$23:$C$45,$D$23:$D$45)*$E213)</f>
        <v>2.35844290657439</v>
      </c>
      <c r="K213" s="67" cm="1">
        <f ca="1" t="array" ref="K213">MIN(18,_xlfn.XLOOKUP($D213&amp;"_"&amp;K$61,$B$23:$B$45&amp;"_"&amp;$C$23:$C$45,$D$23:$D$45)*$E213)</f>
        <v>0.733737793156479</v>
      </c>
      <c r="L213" s="67" cm="1">
        <f ca="1" t="array" ref="L213">MIN(6,_xlfn.XLOOKUP($D213&amp;"_"&amp;L$61,$B$23:$B$45&amp;"_"&amp;$C$23:$C$45,$D$23:$D$45)*$E213)</f>
        <v>1.10060668973472</v>
      </c>
      <c r="M213" s="67" cm="1">
        <f ca="1" t="array" ref="M213">(1+SUMPRODUCT(G213:H213,OFFSET($H$49:$I$49,D213,0)))*(1+OFFSET($J$49,D213,0))^I213*(1+OFFSET($K$49,D213,0))^J213*(1+OFFSET($L$49,D213,0))^K213*(1+OFFSET($M$49,D213,0))^L213</f>
        <v>34.2365319962761</v>
      </c>
      <c r="N213" s="67">
        <f ca="1">MAX(MAX($N$62:N212),OFFSET($C$61,MATCH(M213*1.07,$M$62:$M$2061,1),0)-C213)</f>
        <v>2520</v>
      </c>
    </row>
    <row r="214" spans="2:14">
      <c r="B214" s="67">
        <v>153</v>
      </c>
      <c r="C214" s="67">
        <f t="shared" si="28"/>
        <v>55080</v>
      </c>
      <c r="D214" s="67">
        <f t="shared" si="24"/>
        <v>5</v>
      </c>
      <c r="E214" s="67">
        <f ca="1" t="shared" si="25"/>
        <v>183</v>
      </c>
      <c r="F214" s="67">
        <f ca="1" t="shared" si="26"/>
        <v>0</v>
      </c>
      <c r="G214" s="67">
        <f ca="1" t="shared" si="27"/>
        <v>4.13586549551948</v>
      </c>
      <c r="H214" s="67" cm="1">
        <f ca="1" t="array" ref="H214">MIN(30-SUM(I214:L214),_xlfn.XLOOKUP($D214&amp;"_"&amp;H$61,$B$23:$B$45&amp;"_"&amp;$C$23:$C$45,$D$23:$D$45)*$E214,18)</f>
        <v>18</v>
      </c>
      <c r="I214" s="67" cm="1">
        <f ca="1" t="array" ref="I214">MIN(30-SUM(J214:L214),6-L214,_xlfn.XLOOKUP($D214&amp;"_"&amp;I$61,$B$23:$B$45&amp;"_"&amp;$C$23:$C$45,$D$23:$D$45)*$E214)</f>
        <v>3.64830982166622</v>
      </c>
      <c r="J214" s="67" cm="1">
        <f ca="1" t="array" ref="J214">MIN(8,_xlfn.XLOOKUP($D214&amp;"_"&amp;J$61,$B$23:$B$45&amp;"_"&amp;$C$23:$C$45,$D$23:$D$45)*$E214)</f>
        <v>2.37140138408304</v>
      </c>
      <c r="K214" s="67" cm="1">
        <f ca="1" t="array" ref="K214">MIN(18,_xlfn.XLOOKUP($D214&amp;"_"&amp;K$61,$B$23:$B$45&amp;"_"&amp;$C$23:$C$45,$D$23:$D$45)*$E214)</f>
        <v>0.737769319492504</v>
      </c>
      <c r="L214" s="67" cm="1">
        <f ca="1" t="array" ref="L214">MIN(6,_xlfn.XLOOKUP($D214&amp;"_"&amp;L$61,$B$23:$B$45&amp;"_"&amp;$C$23:$C$45,$D$23:$D$45)*$E214)</f>
        <v>1.10665397923875</v>
      </c>
      <c r="M214" s="67" cm="1">
        <f ca="1" t="array" ref="M214">(1+SUMPRODUCT(G214:H214,OFFSET($H$49:$I$49,D214,0)))*(1+OFFSET($J$49,D214,0))^I214*(1+OFFSET($K$49,D214,0))^J214*(1+OFFSET($L$49,D214,0))^K214*(1+OFFSET($M$49,D214,0))^L214</f>
        <v>34.5615625239985</v>
      </c>
      <c r="N214" s="67">
        <f ca="1">MAX(MAX($N$62:N213),OFFSET($C$61,MATCH(M214*1.07,$M$62:$M$2061,1),0)-C214)</f>
        <v>2520</v>
      </c>
    </row>
    <row r="215" spans="2:14">
      <c r="B215" s="67">
        <v>154</v>
      </c>
      <c r="C215" s="67">
        <f t="shared" si="28"/>
        <v>55440</v>
      </c>
      <c r="D215" s="67">
        <f t="shared" si="24"/>
        <v>5</v>
      </c>
      <c r="E215" s="67">
        <f ca="1" t="shared" si="25"/>
        <v>184</v>
      </c>
      <c r="F215" s="67">
        <f ca="1" t="shared" si="26"/>
        <v>0</v>
      </c>
      <c r="G215" s="67">
        <f ca="1" t="shared" si="27"/>
        <v>4.09289208292669</v>
      </c>
      <c r="H215" s="67" cm="1">
        <f ca="1" t="array" ref="H215">MIN(30-SUM(I215:L215),_xlfn.XLOOKUP($D215&amp;"_"&amp;H$61,$B$23:$B$45&amp;"_"&amp;$C$23:$C$45,$D$23:$D$45)*$E215,18)</f>
        <v>18</v>
      </c>
      <c r="I215" s="67" cm="1">
        <f ca="1" t="array" ref="I215">MIN(30-SUM(J215:L215),6-L215,_xlfn.XLOOKUP($D215&amp;"_"&amp;I$61,$B$23:$B$45&amp;"_"&amp;$C$23:$C$45,$D$23:$D$45)*$E215)</f>
        <v>3.6682459409103</v>
      </c>
      <c r="J215" s="67" cm="1">
        <f ca="1" t="array" ref="J215">MIN(8,_xlfn.XLOOKUP($D215&amp;"_"&amp;J$61,$B$23:$B$45&amp;"_"&amp;$C$23:$C$45,$D$23:$D$45)*$E215)</f>
        <v>2.38435986159169</v>
      </c>
      <c r="K215" s="67" cm="1">
        <f ca="1" t="array" ref="K215">MIN(18,_xlfn.XLOOKUP($D215&amp;"_"&amp;K$61,$B$23:$B$45&amp;"_"&amp;$C$23:$C$45,$D$23:$D$45)*$E215)</f>
        <v>0.741800845828528</v>
      </c>
      <c r="L215" s="67" cm="1">
        <f ca="1" t="array" ref="L215">MIN(6,_xlfn.XLOOKUP($D215&amp;"_"&amp;L$61,$B$23:$B$45&amp;"_"&amp;$C$23:$C$45,$D$23:$D$45)*$E215)</f>
        <v>1.11270126874279</v>
      </c>
      <c r="M215" s="67" cm="1">
        <f ca="1" t="array" ref="M215">(1+SUMPRODUCT(G215:H215,OFFSET($H$49:$I$49,D215,0)))*(1+OFFSET($J$49,D215,0))^I215*(1+OFFSET($K$49,D215,0))^J215*(1+OFFSET($L$49,D215,0))^K215*(1+OFFSET($M$49,D215,0))^L215</f>
        <v>34.8896430630553</v>
      </c>
      <c r="N215" s="67">
        <f ca="1">MAX(MAX($N$62:N214),OFFSET($C$61,MATCH(M215*1.07,$M$62:$M$2061,1),0)-C215)</f>
        <v>2520</v>
      </c>
    </row>
    <row r="216" spans="2:14">
      <c r="B216" s="67">
        <v>155</v>
      </c>
      <c r="C216" s="67">
        <f t="shared" si="28"/>
        <v>55800</v>
      </c>
      <c r="D216" s="67">
        <f t="shared" si="24"/>
        <v>5</v>
      </c>
      <c r="E216" s="67">
        <f ca="1" t="shared" si="25"/>
        <v>185</v>
      </c>
      <c r="F216" s="67">
        <f ca="1" t="shared" si="26"/>
        <v>0</v>
      </c>
      <c r="G216" s="67">
        <f ca="1" t="shared" si="27"/>
        <v>4.0499186703339</v>
      </c>
      <c r="H216" s="67" cm="1">
        <f ca="1" t="array" ref="H216">MIN(30-SUM(I216:L216),_xlfn.XLOOKUP($D216&amp;"_"&amp;H$61,$B$23:$B$45&amp;"_"&amp;$C$23:$C$45,$D$23:$D$45)*$E216,18)</f>
        <v>18</v>
      </c>
      <c r="I216" s="67" cm="1">
        <f ca="1" t="array" ref="I216">MIN(30-SUM(J216:L216),6-L216,_xlfn.XLOOKUP($D216&amp;"_"&amp;I$61,$B$23:$B$45&amp;"_"&amp;$C$23:$C$45,$D$23:$D$45)*$E216)</f>
        <v>3.68818206015437</v>
      </c>
      <c r="J216" s="67" cm="1">
        <f ca="1" t="array" ref="J216">MIN(8,_xlfn.XLOOKUP($D216&amp;"_"&amp;J$61,$B$23:$B$45&amp;"_"&amp;$C$23:$C$45,$D$23:$D$45)*$E216)</f>
        <v>2.39731833910034</v>
      </c>
      <c r="K216" s="67" cm="1">
        <f ca="1" t="array" ref="K216">MIN(18,_xlfn.XLOOKUP($D216&amp;"_"&amp;K$61,$B$23:$B$45&amp;"_"&amp;$C$23:$C$45,$D$23:$D$45)*$E216)</f>
        <v>0.745832372164553</v>
      </c>
      <c r="L216" s="67" cm="1">
        <f ca="1" t="array" ref="L216">MIN(6,_xlfn.XLOOKUP($D216&amp;"_"&amp;L$61,$B$23:$B$45&amp;"_"&amp;$C$23:$C$45,$D$23:$D$45)*$E216)</f>
        <v>1.11874855824683</v>
      </c>
      <c r="M216" s="67" cm="1">
        <f ca="1" t="array" ref="M216">(1+SUMPRODUCT(G216:H216,OFFSET($H$49:$I$49,D216,0)))*(1+OFFSET($J$49,D216,0))^I216*(1+OFFSET($K$49,D216,0))^J216*(1+OFFSET($L$49,D216,0))^K216*(1+OFFSET($M$49,D216,0))^L216</f>
        <v>35.2208018179978</v>
      </c>
      <c r="N216" s="67">
        <f ca="1">MAX(MAX($N$62:N215),OFFSET($C$61,MATCH(M216*1.07,$M$62:$M$2061,1),0)-C216)</f>
        <v>2520</v>
      </c>
    </row>
    <row r="217" spans="2:14">
      <c r="B217" s="67">
        <v>156</v>
      </c>
      <c r="C217" s="67">
        <f t="shared" si="28"/>
        <v>56160</v>
      </c>
      <c r="D217" s="67">
        <f t="shared" si="24"/>
        <v>5</v>
      </c>
      <c r="E217" s="67">
        <f ca="1" t="shared" si="25"/>
        <v>186</v>
      </c>
      <c r="F217" s="67">
        <f ca="1" t="shared" si="26"/>
        <v>0</v>
      </c>
      <c r="G217" s="67">
        <f ca="1" t="shared" si="27"/>
        <v>4.00694525774111</v>
      </c>
      <c r="H217" s="67" cm="1">
        <f ca="1" t="array" ref="H217">MIN(30-SUM(I217:L217),_xlfn.XLOOKUP($D217&amp;"_"&amp;H$61,$B$23:$B$45&amp;"_"&amp;$C$23:$C$45,$D$23:$D$45)*$E217,18)</f>
        <v>18</v>
      </c>
      <c r="I217" s="67" cm="1">
        <f ca="1" t="array" ref="I217">MIN(30-SUM(J217:L217),6-L217,_xlfn.XLOOKUP($D217&amp;"_"&amp;I$61,$B$23:$B$45&amp;"_"&amp;$C$23:$C$45,$D$23:$D$45)*$E217)</f>
        <v>3.70811817939845</v>
      </c>
      <c r="J217" s="67" cm="1">
        <f ca="1" t="array" ref="J217">MIN(8,_xlfn.XLOOKUP($D217&amp;"_"&amp;J$61,$B$23:$B$45&amp;"_"&amp;$C$23:$C$45,$D$23:$D$45)*$E217)</f>
        <v>2.41027681660899</v>
      </c>
      <c r="K217" s="67" cm="1">
        <f ca="1" t="array" ref="K217">MIN(18,_xlfn.XLOOKUP($D217&amp;"_"&amp;K$61,$B$23:$B$45&amp;"_"&amp;$C$23:$C$45,$D$23:$D$45)*$E217)</f>
        <v>0.749863898500577</v>
      </c>
      <c r="L217" s="67" cm="1">
        <f ca="1" t="array" ref="L217">MIN(6,_xlfn.XLOOKUP($D217&amp;"_"&amp;L$61,$B$23:$B$45&amp;"_"&amp;$C$23:$C$45,$D$23:$D$45)*$E217)</f>
        <v>1.12479584775087</v>
      </c>
      <c r="M217" s="67" cm="1">
        <f ca="1" t="array" ref="M217">(1+SUMPRODUCT(G217:H217,OFFSET($H$49:$I$49,D217,0)))*(1+OFFSET($J$49,D217,0))^I217*(1+OFFSET($K$49,D217,0))^J217*(1+OFFSET($L$49,D217,0))^K217*(1+OFFSET($M$49,D217,0))^L217</f>
        <v>35.5550672492926</v>
      </c>
      <c r="N217" s="67">
        <f ca="1">MAX(MAX($N$62:N216),OFFSET($C$61,MATCH(M217*1.07,$M$62:$M$2061,1),0)-C217)</f>
        <v>2520</v>
      </c>
    </row>
    <row r="218" spans="2:14">
      <c r="B218" s="67">
        <v>157</v>
      </c>
      <c r="C218" s="67">
        <f t="shared" si="28"/>
        <v>56520</v>
      </c>
      <c r="D218" s="67">
        <f t="shared" si="24"/>
        <v>5</v>
      </c>
      <c r="E218" s="67">
        <f ca="1" t="shared" si="25"/>
        <v>187</v>
      </c>
      <c r="F218" s="67">
        <f ca="1" t="shared" si="26"/>
        <v>0</v>
      </c>
      <c r="G218" s="67">
        <f ca="1" t="shared" si="27"/>
        <v>3.96397184514832</v>
      </c>
      <c r="H218" s="67" cm="1">
        <f ca="1" t="array" ref="H218">MIN(30-SUM(I218:L218),_xlfn.XLOOKUP($D218&amp;"_"&amp;H$61,$B$23:$B$45&amp;"_"&amp;$C$23:$C$45,$D$23:$D$45)*$E218,18)</f>
        <v>18</v>
      </c>
      <c r="I218" s="67" cm="1">
        <f ca="1" t="array" ref="I218">MIN(30-SUM(J218:L218),6-L218,_xlfn.XLOOKUP($D218&amp;"_"&amp;I$61,$B$23:$B$45&amp;"_"&amp;$C$23:$C$45,$D$23:$D$45)*$E218)</f>
        <v>3.72805429864253</v>
      </c>
      <c r="J218" s="67" cm="1">
        <f ca="1" t="array" ref="J218">MIN(8,_xlfn.XLOOKUP($D218&amp;"_"&amp;J$61,$B$23:$B$45&amp;"_"&amp;$C$23:$C$45,$D$23:$D$45)*$E218)</f>
        <v>2.42323529411764</v>
      </c>
      <c r="K218" s="67" cm="1">
        <f ca="1" t="array" ref="K218">MIN(18,_xlfn.XLOOKUP($D218&amp;"_"&amp;K$61,$B$23:$B$45&amp;"_"&amp;$C$23:$C$45,$D$23:$D$45)*$E218)</f>
        <v>0.753895424836602</v>
      </c>
      <c r="L218" s="67" cm="1">
        <f ca="1" t="array" ref="L218">MIN(6,_xlfn.XLOOKUP($D218&amp;"_"&amp;L$61,$B$23:$B$45&amp;"_"&amp;$C$23:$C$45,$D$23:$D$45)*$E218)</f>
        <v>1.1308431372549</v>
      </c>
      <c r="M218" s="67" cm="1">
        <f ca="1" t="array" ref="M218">(1+SUMPRODUCT(G218:H218,OFFSET($H$49:$I$49,D218,0)))*(1+OFFSET($J$49,D218,0))^I218*(1+OFFSET($K$49,D218,0))^J218*(1+OFFSET($L$49,D218,0))^K218*(1+OFFSET($M$49,D218,0))^L218</f>
        <v>35.8924680755854</v>
      </c>
      <c r="N218" s="67">
        <f ca="1">MAX(MAX($N$62:N217),OFFSET($C$61,MATCH(M218*1.07,$M$62:$M$2061,1),0)-C218)</f>
        <v>2520</v>
      </c>
    </row>
    <row r="219" spans="2:14">
      <c r="B219" s="67">
        <v>158</v>
      </c>
      <c r="C219" s="67">
        <f t="shared" si="28"/>
        <v>56880</v>
      </c>
      <c r="D219" s="67">
        <f t="shared" si="24"/>
        <v>5</v>
      </c>
      <c r="E219" s="67">
        <f ca="1" t="shared" si="25"/>
        <v>188</v>
      </c>
      <c r="F219" s="67">
        <f ca="1" t="shared" si="26"/>
        <v>0</v>
      </c>
      <c r="G219" s="67">
        <f ca="1" t="shared" si="27"/>
        <v>3.92099843255553</v>
      </c>
      <c r="H219" s="67" cm="1">
        <f ca="1" t="array" ref="H219">MIN(30-SUM(I219:L219),_xlfn.XLOOKUP($D219&amp;"_"&amp;H$61,$B$23:$B$45&amp;"_"&amp;$C$23:$C$45,$D$23:$D$45)*$E219,18)</f>
        <v>18</v>
      </c>
      <c r="I219" s="67" cm="1">
        <f ca="1" t="array" ref="I219">MIN(30-SUM(J219:L219),6-L219,_xlfn.XLOOKUP($D219&amp;"_"&amp;I$61,$B$23:$B$45&amp;"_"&amp;$C$23:$C$45,$D$23:$D$45)*$E219)</f>
        <v>3.74799041788661</v>
      </c>
      <c r="J219" s="67" cm="1">
        <f ca="1" t="array" ref="J219">MIN(8,_xlfn.XLOOKUP($D219&amp;"_"&amp;J$61,$B$23:$B$45&amp;"_"&amp;$C$23:$C$45,$D$23:$D$45)*$E219)</f>
        <v>2.43619377162629</v>
      </c>
      <c r="K219" s="67" cm="1">
        <f ca="1" t="array" ref="K219">MIN(18,_xlfn.XLOOKUP($D219&amp;"_"&amp;K$61,$B$23:$B$45&amp;"_"&amp;$C$23:$C$45,$D$23:$D$45)*$E219)</f>
        <v>0.757926951172627</v>
      </c>
      <c r="L219" s="67" cm="1">
        <f ca="1" t="array" ref="L219">MIN(6,_xlfn.XLOOKUP($D219&amp;"_"&amp;L$61,$B$23:$B$45&amp;"_"&amp;$C$23:$C$45,$D$23:$D$45)*$E219)</f>
        <v>1.13689042675894</v>
      </c>
      <c r="M219" s="67" cm="1">
        <f ca="1" t="array" ref="M219">(1+SUMPRODUCT(G219:H219,OFFSET($H$49:$I$49,D219,0)))*(1+OFFSET($J$49,D219,0))^I219*(1+OFFSET($K$49,D219,0))^J219*(1+OFFSET($L$49,D219,0))^K219*(1+OFFSET($M$49,D219,0))^L219</f>
        <v>36.2330332759829</v>
      </c>
      <c r="N219" s="67">
        <f ca="1">MAX(MAX($N$62:N218),OFFSET($C$61,MATCH(M219*1.07,$M$62:$M$2061,1),0)-C219)</f>
        <v>2520</v>
      </c>
    </row>
    <row r="220" spans="2:14">
      <c r="B220" s="67">
        <v>159</v>
      </c>
      <c r="C220" s="67">
        <f t="shared" si="28"/>
        <v>57240</v>
      </c>
      <c r="D220" s="67">
        <f t="shared" si="24"/>
        <v>5</v>
      </c>
      <c r="E220" s="67">
        <f ca="1" t="shared" si="25"/>
        <v>189</v>
      </c>
      <c r="F220" s="67">
        <f ca="1" t="shared" si="26"/>
        <v>0</v>
      </c>
      <c r="G220" s="67">
        <f ca="1" t="shared" si="27"/>
        <v>3.87802501996274</v>
      </c>
      <c r="H220" s="67" cm="1">
        <f ca="1" t="array" ref="H220">MIN(30-SUM(I220:L220),_xlfn.XLOOKUP($D220&amp;"_"&amp;H$61,$B$23:$B$45&amp;"_"&amp;$C$23:$C$45,$D$23:$D$45)*$E220,18)</f>
        <v>18</v>
      </c>
      <c r="I220" s="67" cm="1">
        <f ca="1" t="array" ref="I220">MIN(30-SUM(J220:L220),6-L220,_xlfn.XLOOKUP($D220&amp;"_"&amp;I$61,$B$23:$B$45&amp;"_"&amp;$C$23:$C$45,$D$23:$D$45)*$E220)</f>
        <v>3.76792653713069</v>
      </c>
      <c r="J220" s="67" cm="1">
        <f ca="1" t="array" ref="J220">MIN(8,_xlfn.XLOOKUP($D220&amp;"_"&amp;J$61,$B$23:$B$45&amp;"_"&amp;$C$23:$C$45,$D$23:$D$45)*$E220)</f>
        <v>2.44915224913494</v>
      </c>
      <c r="K220" s="67" cm="1">
        <f ca="1" t="array" ref="K220">MIN(18,_xlfn.XLOOKUP($D220&amp;"_"&amp;K$61,$B$23:$B$45&amp;"_"&amp;$C$23:$C$45,$D$23:$D$45)*$E220)</f>
        <v>0.761958477508651</v>
      </c>
      <c r="L220" s="67" cm="1">
        <f ca="1" t="array" ref="L220">MIN(6,_xlfn.XLOOKUP($D220&amp;"_"&amp;L$61,$B$23:$B$45&amp;"_"&amp;$C$23:$C$45,$D$23:$D$45)*$E220)</f>
        <v>1.14293771626298</v>
      </c>
      <c r="M220" s="67" cm="1">
        <f ca="1" t="array" ref="M220">(1+SUMPRODUCT(G220:H220,OFFSET($H$49:$I$49,D220,0)))*(1+OFFSET($J$49,D220,0))^I220*(1+OFFSET($K$49,D220,0))^J220*(1+OFFSET($L$49,D220,0))^K220*(1+OFFSET($M$49,D220,0))^L220</f>
        <v>36.5767920923561</v>
      </c>
      <c r="N220" s="67">
        <f ca="1">MAX(MAX($N$62:N219),OFFSET($C$61,MATCH(M220*1.07,$M$62:$M$2061,1),0)-C220)</f>
        <v>2520</v>
      </c>
    </row>
    <row r="221" spans="2:14">
      <c r="B221" s="67">
        <v>160</v>
      </c>
      <c r="C221" s="67">
        <f t="shared" si="28"/>
        <v>57600</v>
      </c>
      <c r="D221" s="67">
        <f t="shared" si="24"/>
        <v>5</v>
      </c>
      <c r="E221" s="67">
        <f ca="1" t="shared" si="25"/>
        <v>190</v>
      </c>
      <c r="F221" s="67">
        <f ca="1" t="shared" si="26"/>
        <v>0</v>
      </c>
      <c r="G221" s="67">
        <f ca="1" t="shared" si="27"/>
        <v>3.83505160736995</v>
      </c>
      <c r="H221" s="67" cm="1">
        <f ca="1" t="array" ref="H221">MIN(30-SUM(I221:L221),_xlfn.XLOOKUP($D221&amp;"_"&amp;H$61,$B$23:$B$45&amp;"_"&amp;$C$23:$C$45,$D$23:$D$45)*$E221,18)</f>
        <v>18</v>
      </c>
      <c r="I221" s="67" cm="1">
        <f ca="1" t="array" ref="I221">MIN(30-SUM(J221:L221),6-L221,_xlfn.XLOOKUP($D221&amp;"_"&amp;I$61,$B$23:$B$45&amp;"_"&amp;$C$23:$C$45,$D$23:$D$45)*$E221)</f>
        <v>3.78786265637476</v>
      </c>
      <c r="J221" s="67" cm="1">
        <f ca="1" t="array" ref="J221">MIN(8,_xlfn.XLOOKUP($D221&amp;"_"&amp;J$61,$B$23:$B$45&amp;"_"&amp;$C$23:$C$45,$D$23:$D$45)*$E221)</f>
        <v>2.46211072664359</v>
      </c>
      <c r="K221" s="67" cm="1">
        <f ca="1" t="array" ref="K221">MIN(18,_xlfn.XLOOKUP($D221&amp;"_"&amp;K$61,$B$23:$B$45&amp;"_"&amp;$C$23:$C$45,$D$23:$D$45)*$E221)</f>
        <v>0.765990003844676</v>
      </c>
      <c r="L221" s="67" cm="1">
        <f ca="1" t="array" ref="L221">MIN(6,_xlfn.XLOOKUP($D221&amp;"_"&amp;L$61,$B$23:$B$45&amp;"_"&amp;$C$23:$C$45,$D$23:$D$45)*$E221)</f>
        <v>1.14898500576701</v>
      </c>
      <c r="M221" s="67" cm="1">
        <f ca="1" t="array" ref="M221">(1+SUMPRODUCT(G221:H221,OFFSET($H$49:$I$49,D221,0)))*(1+OFFSET($J$49,D221,0))^I221*(1+OFFSET($K$49,D221,0))^J221*(1+OFFSET($L$49,D221,0))^K221*(1+OFFSET($M$49,D221,0))^L221</f>
        <v>36.9237740316612</v>
      </c>
      <c r="N221" s="67">
        <f ca="1">MAX(MAX($N$62:N220),OFFSET($C$61,MATCH(M221*1.07,$M$62:$M$2061,1),0)-C221)</f>
        <v>2520</v>
      </c>
    </row>
    <row r="222" spans="2:14">
      <c r="B222" s="67">
        <v>161</v>
      </c>
      <c r="C222" s="67">
        <f t="shared" si="28"/>
        <v>57960</v>
      </c>
      <c r="D222" s="67">
        <f t="shared" si="24"/>
        <v>5</v>
      </c>
      <c r="E222" s="67">
        <f ca="1" t="shared" si="25"/>
        <v>191</v>
      </c>
      <c r="F222" s="67">
        <f ca="1" t="shared" si="26"/>
        <v>0</v>
      </c>
      <c r="G222" s="67">
        <f ca="1" t="shared" si="27"/>
        <v>3.79207819477716</v>
      </c>
      <c r="H222" s="67" cm="1">
        <f ca="1" t="array" ref="H222">MIN(30-SUM(I222:L222),_xlfn.XLOOKUP($D222&amp;"_"&amp;H$61,$B$23:$B$45&amp;"_"&amp;$C$23:$C$45,$D$23:$D$45)*$E222,18)</f>
        <v>18</v>
      </c>
      <c r="I222" s="67" cm="1">
        <f ca="1" t="array" ref="I222">MIN(30-SUM(J222:L222),6-L222,_xlfn.XLOOKUP($D222&amp;"_"&amp;I$61,$B$23:$B$45&amp;"_"&amp;$C$23:$C$45,$D$23:$D$45)*$E222)</f>
        <v>3.80779877561884</v>
      </c>
      <c r="J222" s="67" cm="1">
        <f ca="1" t="array" ref="J222">MIN(8,_xlfn.XLOOKUP($D222&amp;"_"&amp;J$61,$B$23:$B$45&amp;"_"&amp;$C$23:$C$45,$D$23:$D$45)*$E222)</f>
        <v>2.47506920415225</v>
      </c>
      <c r="K222" s="67" cm="1">
        <f ca="1" t="array" ref="K222">MIN(18,_xlfn.XLOOKUP($D222&amp;"_"&amp;K$61,$B$23:$B$45&amp;"_"&amp;$C$23:$C$45,$D$23:$D$45)*$E222)</f>
        <v>0.7700215301807</v>
      </c>
      <c r="L222" s="67" cm="1">
        <f ca="1" t="array" ref="L222">MIN(6,_xlfn.XLOOKUP($D222&amp;"_"&amp;L$61,$B$23:$B$45&amp;"_"&amp;$C$23:$C$45,$D$23:$D$45)*$E222)</f>
        <v>1.15503229527105</v>
      </c>
      <c r="M222" s="67" cm="1">
        <f ca="1" t="array" ref="M222">(1+SUMPRODUCT(G222:H222,OFFSET($H$49:$I$49,D222,0)))*(1+OFFSET($J$49,D222,0))^I222*(1+OFFSET($K$49,D222,0))^J222*(1+OFFSET($L$49,D222,0))^K222*(1+OFFSET($M$49,D222,0))^L222</f>
        <v>37.2740088682815</v>
      </c>
      <c r="N222" s="67">
        <f ca="1">MAX(MAX($N$62:N221),OFFSET($C$61,MATCH(M222*1.07,$M$62:$M$2061,1),0)-C222)</f>
        <v>2520</v>
      </c>
    </row>
    <row r="223" spans="2:14">
      <c r="B223" s="67">
        <v>162</v>
      </c>
      <c r="C223" s="67">
        <f t="shared" si="28"/>
        <v>58320</v>
      </c>
      <c r="D223" s="67">
        <f t="shared" si="24"/>
        <v>5</v>
      </c>
      <c r="E223" s="67">
        <f ca="1" t="shared" si="25"/>
        <v>192</v>
      </c>
      <c r="F223" s="67">
        <f ca="1" t="shared" si="26"/>
        <v>0</v>
      </c>
      <c r="G223" s="67">
        <f ca="1" t="shared" si="27"/>
        <v>3.74910478218437</v>
      </c>
      <c r="H223" s="67" cm="1">
        <f ca="1" t="array" ref="H223">MIN(30-SUM(I223:L223),_xlfn.XLOOKUP($D223&amp;"_"&amp;H$61,$B$23:$B$45&amp;"_"&amp;$C$23:$C$45,$D$23:$D$45)*$E223,18)</f>
        <v>18</v>
      </c>
      <c r="I223" s="67" cm="1">
        <f ca="1" t="array" ref="I223">MIN(30-SUM(J223:L223),6-L223,_xlfn.XLOOKUP($D223&amp;"_"&amp;I$61,$B$23:$B$45&amp;"_"&amp;$C$23:$C$45,$D$23:$D$45)*$E223)</f>
        <v>3.82773489486292</v>
      </c>
      <c r="J223" s="67" cm="1">
        <f ca="1" t="array" ref="J223">MIN(8,_xlfn.XLOOKUP($D223&amp;"_"&amp;J$61,$B$23:$B$45&amp;"_"&amp;$C$23:$C$45,$D$23:$D$45)*$E223)</f>
        <v>2.4880276816609</v>
      </c>
      <c r="K223" s="67" cm="1">
        <f ca="1" t="array" ref="K223">MIN(18,_xlfn.XLOOKUP($D223&amp;"_"&amp;K$61,$B$23:$B$45&amp;"_"&amp;$C$23:$C$45,$D$23:$D$45)*$E223)</f>
        <v>0.774053056516725</v>
      </c>
      <c r="L223" s="67" cm="1">
        <f ca="1" t="array" ref="L223">MIN(6,_xlfn.XLOOKUP($D223&amp;"_"&amp;L$61,$B$23:$B$45&amp;"_"&amp;$C$23:$C$45,$D$23:$D$45)*$E223)</f>
        <v>1.16107958477509</v>
      </c>
      <c r="M223" s="67" cm="1">
        <f ca="1" t="array" ref="M223">(1+SUMPRODUCT(G223:H223,OFFSET($H$49:$I$49,D223,0)))*(1+OFFSET($J$49,D223,0))^I223*(1+OFFSET($K$49,D223,0))^J223*(1+OFFSET($L$49,D223,0))^K223*(1+OFFSET($M$49,D223,0))^L223</f>
        <v>37.6275266463894</v>
      </c>
      <c r="N223" s="67">
        <f ca="1">MAX(MAX($N$62:N222),OFFSET($C$61,MATCH(M223*1.07,$M$62:$M$2061,1),0)-C223)</f>
        <v>2520</v>
      </c>
    </row>
    <row r="224" spans="2:14">
      <c r="B224" s="67">
        <v>163</v>
      </c>
      <c r="C224" s="67">
        <f t="shared" si="28"/>
        <v>58680</v>
      </c>
      <c r="D224" s="67">
        <f t="shared" si="24"/>
        <v>5</v>
      </c>
      <c r="E224" s="67">
        <f ca="1" t="shared" si="25"/>
        <v>193</v>
      </c>
      <c r="F224" s="67">
        <f ca="1" t="shared" si="26"/>
        <v>0</v>
      </c>
      <c r="G224" s="67">
        <f ca="1" t="shared" si="27"/>
        <v>3.70613136959158</v>
      </c>
      <c r="H224" s="67" cm="1">
        <f ca="1" t="array" ref="H224">MIN(30-SUM(I224:L224),_xlfn.XLOOKUP($D224&amp;"_"&amp;H$61,$B$23:$B$45&amp;"_"&amp;$C$23:$C$45,$D$23:$D$45)*$E224,18)</f>
        <v>18</v>
      </c>
      <c r="I224" s="67" cm="1">
        <f ca="1" t="array" ref="I224">MIN(30-SUM(J224:L224),6-L224,_xlfn.XLOOKUP($D224&amp;"_"&amp;I$61,$B$23:$B$45&amp;"_"&amp;$C$23:$C$45,$D$23:$D$45)*$E224)</f>
        <v>3.847671014107</v>
      </c>
      <c r="J224" s="67" cm="1">
        <f ca="1" t="array" ref="J224">MIN(8,_xlfn.XLOOKUP($D224&amp;"_"&amp;J$61,$B$23:$B$45&amp;"_"&amp;$C$23:$C$45,$D$23:$D$45)*$E224)</f>
        <v>2.50098615916955</v>
      </c>
      <c r="K224" s="67" cm="1">
        <f ca="1" t="array" ref="K224">MIN(18,_xlfn.XLOOKUP($D224&amp;"_"&amp;K$61,$B$23:$B$45&amp;"_"&amp;$C$23:$C$45,$D$23:$D$45)*$E224)</f>
        <v>0.77808458285275</v>
      </c>
      <c r="L224" s="67" cm="1">
        <f ca="1" t="array" ref="L224">MIN(6,_xlfn.XLOOKUP($D224&amp;"_"&amp;L$61,$B$23:$B$45&amp;"_"&amp;$C$23:$C$45,$D$23:$D$45)*$E224)</f>
        <v>1.16712687427912</v>
      </c>
      <c r="M224" s="67" cm="1">
        <f ca="1" t="array" ref="M224">(1+SUMPRODUCT(G224:H224,OFFSET($H$49:$I$49,D224,0)))*(1+OFFSET($J$49,D224,0))^I224*(1+OFFSET($K$49,D224,0))^J224*(1+OFFSET($L$49,D224,0))^K224*(1+OFFSET($M$49,D224,0))^L224</f>
        <v>37.9843576823273</v>
      </c>
      <c r="N224" s="67">
        <f ca="1">MAX(MAX($N$62:N223),OFFSET($C$61,MATCH(M224*1.07,$M$62:$M$2061,1),0)-C224)</f>
        <v>2520</v>
      </c>
    </row>
    <row r="225" spans="2:14">
      <c r="B225" s="67">
        <v>164</v>
      </c>
      <c r="C225" s="67">
        <f t="shared" si="28"/>
        <v>59040</v>
      </c>
      <c r="D225" s="67">
        <f t="shared" si="24"/>
        <v>5</v>
      </c>
      <c r="E225" s="67">
        <f ca="1" t="shared" si="25"/>
        <v>194</v>
      </c>
      <c r="F225" s="67">
        <f ca="1" t="shared" si="26"/>
        <v>0</v>
      </c>
      <c r="G225" s="67">
        <f ca="1" t="shared" si="27"/>
        <v>3.66315795699879</v>
      </c>
      <c r="H225" s="67" cm="1">
        <f ca="1" t="array" ref="H225">MIN(30-SUM(I225:L225),_xlfn.XLOOKUP($D225&amp;"_"&amp;H$61,$B$23:$B$45&amp;"_"&amp;$C$23:$C$45,$D$23:$D$45)*$E225,18)</f>
        <v>18</v>
      </c>
      <c r="I225" s="67" cm="1">
        <f ca="1" t="array" ref="I225">MIN(30-SUM(J225:L225),6-L225,_xlfn.XLOOKUP($D225&amp;"_"&amp;I$61,$B$23:$B$45&amp;"_"&amp;$C$23:$C$45,$D$23:$D$45)*$E225)</f>
        <v>3.86760713335107</v>
      </c>
      <c r="J225" s="67" cm="1">
        <f ca="1" t="array" ref="J225">MIN(8,_xlfn.XLOOKUP($D225&amp;"_"&amp;J$61,$B$23:$B$45&amp;"_"&amp;$C$23:$C$45,$D$23:$D$45)*$E225)</f>
        <v>2.5139446366782</v>
      </c>
      <c r="K225" s="67" cm="1">
        <f ca="1" t="array" ref="K225">MIN(18,_xlfn.XLOOKUP($D225&amp;"_"&amp;K$61,$B$23:$B$45&amp;"_"&amp;$C$23:$C$45,$D$23:$D$45)*$E225)</f>
        <v>0.782116109188774</v>
      </c>
      <c r="L225" s="67" cm="1">
        <f ca="1" t="array" ref="L225">MIN(6,_xlfn.XLOOKUP($D225&amp;"_"&amp;L$61,$B$23:$B$45&amp;"_"&amp;$C$23:$C$45,$D$23:$D$45)*$E225)</f>
        <v>1.17317416378316</v>
      </c>
      <c r="M225" s="67" cm="1">
        <f ca="1" t="array" ref="M225">(1+SUMPRODUCT(G225:H225,OFFSET($H$49:$I$49,D225,0)))*(1+OFFSET($J$49,D225,0))^I225*(1+OFFSET($K$49,D225,0))^J225*(1+OFFSET($L$49,D225,0))^K225*(1+OFFSET($M$49,D225,0))^L225</f>
        <v>38.3445325670098</v>
      </c>
      <c r="N225" s="67">
        <f ca="1">MAX(MAX($N$62:N224),OFFSET($C$61,MATCH(M225*1.07,$M$62:$M$2061,1),0)-C225)</f>
        <v>2520</v>
      </c>
    </row>
    <row r="226" spans="2:14">
      <c r="B226" s="67">
        <v>165</v>
      </c>
      <c r="C226" s="67">
        <f t="shared" si="28"/>
        <v>59400</v>
      </c>
      <c r="D226" s="67">
        <f t="shared" si="24"/>
        <v>5</v>
      </c>
      <c r="E226" s="67">
        <f ca="1" t="shared" si="25"/>
        <v>195</v>
      </c>
      <c r="F226" s="67">
        <f ca="1" t="shared" si="26"/>
        <v>0</v>
      </c>
      <c r="G226" s="67">
        <f ca="1" t="shared" si="27"/>
        <v>3.620184544406</v>
      </c>
      <c r="H226" s="67" cm="1">
        <f ca="1" t="array" ref="H226">MIN(30-SUM(I226:L226),_xlfn.XLOOKUP($D226&amp;"_"&amp;H$61,$B$23:$B$45&amp;"_"&amp;$C$23:$C$45,$D$23:$D$45)*$E226,18)</f>
        <v>18</v>
      </c>
      <c r="I226" s="67" cm="1">
        <f ca="1" t="array" ref="I226">MIN(30-SUM(J226:L226),6-L226,_xlfn.XLOOKUP($D226&amp;"_"&amp;I$61,$B$23:$B$45&amp;"_"&amp;$C$23:$C$45,$D$23:$D$45)*$E226)</f>
        <v>3.88754325259515</v>
      </c>
      <c r="J226" s="67" cm="1">
        <f ca="1" t="array" ref="J226">MIN(8,_xlfn.XLOOKUP($D226&amp;"_"&amp;J$61,$B$23:$B$45&amp;"_"&amp;$C$23:$C$45,$D$23:$D$45)*$E226)</f>
        <v>2.52690311418685</v>
      </c>
      <c r="K226" s="67" cm="1">
        <f ca="1" t="array" ref="K226">MIN(18,_xlfn.XLOOKUP($D226&amp;"_"&amp;K$61,$B$23:$B$45&amp;"_"&amp;$C$23:$C$45,$D$23:$D$45)*$E226)</f>
        <v>0.786147635524799</v>
      </c>
      <c r="L226" s="67" cm="1">
        <f ca="1" t="array" ref="L226">MIN(6,_xlfn.XLOOKUP($D226&amp;"_"&amp;L$61,$B$23:$B$45&amp;"_"&amp;$C$23:$C$45,$D$23:$D$45)*$E226)</f>
        <v>1.1792214532872</v>
      </c>
      <c r="M226" s="67" cm="1">
        <f ca="1" t="array" ref="M226">(1+SUMPRODUCT(G226:H226,OFFSET($H$49:$I$49,D226,0)))*(1+OFFSET($J$49,D226,0))^I226*(1+OFFSET($K$49,D226,0))^J226*(1+OFFSET($L$49,D226,0))^K226*(1+OFFSET($M$49,D226,0))^L226</f>
        <v>38.7080821683463</v>
      </c>
      <c r="N226" s="67">
        <f ca="1">MAX(MAX($N$62:N225),OFFSET($C$61,MATCH(M226*1.07,$M$62:$M$2061,1),0)-C226)</f>
        <v>2520</v>
      </c>
    </row>
    <row r="227" spans="2:14">
      <c r="B227" s="67">
        <v>166</v>
      </c>
      <c r="C227" s="67">
        <f t="shared" si="28"/>
        <v>59760</v>
      </c>
      <c r="D227" s="67">
        <f t="shared" si="24"/>
        <v>5</v>
      </c>
      <c r="E227" s="67">
        <f ca="1" t="shared" si="25"/>
        <v>196</v>
      </c>
      <c r="F227" s="67">
        <f ca="1" t="shared" si="26"/>
        <v>0</v>
      </c>
      <c r="G227" s="67">
        <f ca="1" t="shared" si="27"/>
        <v>3.57721113181321</v>
      </c>
      <c r="H227" s="67" cm="1">
        <f ca="1" t="array" ref="H227">MIN(30-SUM(I227:L227),_xlfn.XLOOKUP($D227&amp;"_"&amp;H$61,$B$23:$B$45&amp;"_"&amp;$C$23:$C$45,$D$23:$D$45)*$E227,18)</f>
        <v>18</v>
      </c>
      <c r="I227" s="67" cm="1">
        <f ca="1" t="array" ref="I227">MIN(30-SUM(J227:L227),6-L227,_xlfn.XLOOKUP($D227&amp;"_"&amp;I$61,$B$23:$B$45&amp;"_"&amp;$C$23:$C$45,$D$23:$D$45)*$E227)</f>
        <v>3.90747937183923</v>
      </c>
      <c r="J227" s="67" cm="1">
        <f ca="1" t="array" ref="J227">MIN(8,_xlfn.XLOOKUP($D227&amp;"_"&amp;J$61,$B$23:$B$45&amp;"_"&amp;$C$23:$C$45,$D$23:$D$45)*$E227)</f>
        <v>2.5398615916955</v>
      </c>
      <c r="K227" s="67" cm="1">
        <f ca="1" t="array" ref="K227">MIN(18,_xlfn.XLOOKUP($D227&amp;"_"&amp;K$61,$B$23:$B$45&amp;"_"&amp;$C$23:$C$45,$D$23:$D$45)*$E227)</f>
        <v>0.790179161860823</v>
      </c>
      <c r="L227" s="67" cm="1">
        <f ca="1" t="array" ref="L227">MIN(6,_xlfn.XLOOKUP($D227&amp;"_"&amp;L$61,$B$23:$B$45&amp;"_"&amp;$C$23:$C$45,$D$23:$D$45)*$E227)</f>
        <v>1.18526874279123</v>
      </c>
      <c r="M227" s="67" cm="1">
        <f ca="1" t="array" ref="M227">(1+SUMPRODUCT(G227:H227,OFFSET($H$49:$I$49,D227,0)))*(1+OFFSET($J$49,D227,0))^I227*(1+OFFSET($K$49,D227,0))^J227*(1+OFFSET($L$49,D227,0))^K227*(1+OFFSET($M$49,D227,0))^L227</f>
        <v>39.0750376336833</v>
      </c>
      <c r="N227" s="67">
        <f ca="1">MAX(MAX($N$62:N226),OFFSET($C$61,MATCH(M227*1.07,$M$62:$M$2061,1),0)-C227)</f>
        <v>2520</v>
      </c>
    </row>
    <row r="228" spans="2:14">
      <c r="B228" s="67">
        <v>167</v>
      </c>
      <c r="C228" s="67">
        <f t="shared" si="28"/>
        <v>60120</v>
      </c>
      <c r="D228" s="67">
        <f t="shared" si="24"/>
        <v>5</v>
      </c>
      <c r="E228" s="67">
        <f ca="1" t="shared" si="25"/>
        <v>197</v>
      </c>
      <c r="F228" s="67">
        <f ca="1" t="shared" si="26"/>
        <v>0</v>
      </c>
      <c r="G228" s="67">
        <f ca="1" t="shared" si="27"/>
        <v>3.53423771922042</v>
      </c>
      <c r="H228" s="67" cm="1">
        <f ca="1" t="array" ref="H228">MIN(30-SUM(I228:L228),_xlfn.XLOOKUP($D228&amp;"_"&amp;H$61,$B$23:$B$45&amp;"_"&amp;$C$23:$C$45,$D$23:$D$45)*$E228,18)</f>
        <v>18</v>
      </c>
      <c r="I228" s="67" cm="1">
        <f ca="1" t="array" ref="I228">MIN(30-SUM(J228:L228),6-L228,_xlfn.XLOOKUP($D228&amp;"_"&amp;I$61,$B$23:$B$45&amp;"_"&amp;$C$23:$C$45,$D$23:$D$45)*$E228)</f>
        <v>3.92741549108331</v>
      </c>
      <c r="J228" s="67" cm="1">
        <f ca="1" t="array" ref="J228">MIN(8,_xlfn.XLOOKUP($D228&amp;"_"&amp;J$61,$B$23:$B$45&amp;"_"&amp;$C$23:$C$45,$D$23:$D$45)*$E228)</f>
        <v>2.55282006920415</v>
      </c>
      <c r="K228" s="67" cm="1">
        <f ca="1" t="array" ref="K228">MIN(18,_xlfn.XLOOKUP($D228&amp;"_"&amp;K$61,$B$23:$B$45&amp;"_"&amp;$C$23:$C$45,$D$23:$D$45)*$E228)</f>
        <v>0.794210688196848</v>
      </c>
      <c r="L228" s="67" cm="1">
        <f ca="1" t="array" ref="L228">MIN(6,_xlfn.XLOOKUP($D228&amp;"_"&amp;L$61,$B$23:$B$45&amp;"_"&amp;$C$23:$C$45,$D$23:$D$45)*$E228)</f>
        <v>1.19131603229527</v>
      </c>
      <c r="M228" s="67" cm="1">
        <f ca="1" t="array" ref="M228">(1+SUMPRODUCT(G228:H228,OFFSET($H$49:$I$49,D228,0)))*(1+OFFSET($J$49,D228,0))^I228*(1+OFFSET($K$49,D228,0))^J228*(1+OFFSET($L$49,D228,0))^K228*(1+OFFSET($M$49,D228,0))^L228</f>
        <v>39.4454303922686</v>
      </c>
      <c r="N228" s="67">
        <f ca="1">MAX(MAX($N$62:N227),OFFSET($C$61,MATCH(M228*1.07,$M$62:$M$2061,1),0)-C228)</f>
        <v>2520</v>
      </c>
    </row>
    <row r="229" spans="2:14">
      <c r="B229" s="67">
        <v>168</v>
      </c>
      <c r="C229" s="67">
        <f t="shared" si="28"/>
        <v>60480</v>
      </c>
      <c r="D229" s="67">
        <f t="shared" si="24"/>
        <v>5</v>
      </c>
      <c r="E229" s="67">
        <f ca="1" t="shared" si="25"/>
        <v>198</v>
      </c>
      <c r="F229" s="67">
        <f ca="1" t="shared" si="26"/>
        <v>0</v>
      </c>
      <c r="G229" s="67">
        <f ca="1" t="shared" si="27"/>
        <v>3.49126430662763</v>
      </c>
      <c r="H229" s="67" cm="1">
        <f ca="1" t="array" ref="H229">MIN(30-SUM(I229:L229),_xlfn.XLOOKUP($D229&amp;"_"&amp;H$61,$B$23:$B$45&amp;"_"&amp;$C$23:$C$45,$D$23:$D$45)*$E229,18)</f>
        <v>18</v>
      </c>
      <c r="I229" s="67" cm="1">
        <f ca="1" t="array" ref="I229">MIN(30-SUM(J229:L229),6-L229,_xlfn.XLOOKUP($D229&amp;"_"&amp;I$61,$B$23:$B$45&amp;"_"&amp;$C$23:$C$45,$D$23:$D$45)*$E229)</f>
        <v>3.94735161032738</v>
      </c>
      <c r="J229" s="67" cm="1">
        <f ca="1" t="array" ref="J229">MIN(8,_xlfn.XLOOKUP($D229&amp;"_"&amp;J$61,$B$23:$B$45&amp;"_"&amp;$C$23:$C$45,$D$23:$D$45)*$E229)</f>
        <v>2.5657785467128</v>
      </c>
      <c r="K229" s="67" cm="1">
        <f ca="1" t="array" ref="K229">MIN(18,_xlfn.XLOOKUP($D229&amp;"_"&amp;K$61,$B$23:$B$45&amp;"_"&amp;$C$23:$C$45,$D$23:$D$45)*$E229)</f>
        <v>0.798242214532873</v>
      </c>
      <c r="L229" s="67" cm="1">
        <f ca="1" t="array" ref="L229">MIN(6,_xlfn.XLOOKUP($D229&amp;"_"&amp;L$61,$B$23:$B$45&amp;"_"&amp;$C$23:$C$45,$D$23:$D$45)*$E229)</f>
        <v>1.19736332179931</v>
      </c>
      <c r="M229" s="67" cm="1">
        <f ca="1" t="array" ref="M229">(1+SUMPRODUCT(G229:H229,OFFSET($H$49:$I$49,D229,0)))*(1+OFFSET($J$49,D229,0))^I229*(1+OFFSET($K$49,D229,0))^J229*(1+OFFSET($L$49,D229,0))^K229*(1+OFFSET($M$49,D229,0))^L229</f>
        <v>39.8192921577356</v>
      </c>
      <c r="N229" s="67">
        <f ca="1">MAX(MAX($N$62:N228),OFFSET($C$61,MATCH(M229*1.07,$M$62:$M$2061,1),0)-C229)</f>
        <v>2520</v>
      </c>
    </row>
    <row r="230" spans="2:14">
      <c r="B230" s="67">
        <v>169</v>
      </c>
      <c r="C230" s="67">
        <f t="shared" si="28"/>
        <v>60840</v>
      </c>
      <c r="D230" s="67">
        <f t="shared" si="24"/>
        <v>5</v>
      </c>
      <c r="E230" s="67">
        <f ca="1" t="shared" si="25"/>
        <v>199</v>
      </c>
      <c r="F230" s="67">
        <f ca="1" t="shared" si="26"/>
        <v>0</v>
      </c>
      <c r="G230" s="67">
        <f ca="1" t="shared" si="27"/>
        <v>3.44829089403484</v>
      </c>
      <c r="H230" s="67" cm="1">
        <f ca="1" t="array" ref="H230">MIN(30-SUM(I230:L230),_xlfn.XLOOKUP($D230&amp;"_"&amp;H$61,$B$23:$B$45&amp;"_"&amp;$C$23:$C$45,$D$23:$D$45)*$E230,18)</f>
        <v>18</v>
      </c>
      <c r="I230" s="67" cm="1">
        <f ca="1" t="array" ref="I230">MIN(30-SUM(J230:L230),6-L230,_xlfn.XLOOKUP($D230&amp;"_"&amp;I$61,$B$23:$B$45&amp;"_"&amp;$C$23:$C$45,$D$23:$D$45)*$E230)</f>
        <v>3.96728772957146</v>
      </c>
      <c r="J230" s="67" cm="1">
        <f ca="1" t="array" ref="J230">MIN(8,_xlfn.XLOOKUP($D230&amp;"_"&amp;J$61,$B$23:$B$45&amp;"_"&amp;$C$23:$C$45,$D$23:$D$45)*$E230)</f>
        <v>2.57873702422145</v>
      </c>
      <c r="K230" s="67" cm="1">
        <f ca="1" t="array" ref="K230">MIN(18,_xlfn.XLOOKUP($D230&amp;"_"&amp;K$61,$B$23:$B$45&amp;"_"&amp;$C$23:$C$45,$D$23:$D$45)*$E230)</f>
        <v>0.802273740868897</v>
      </c>
      <c r="L230" s="67" cm="1">
        <f ca="1" t="array" ref="L230">MIN(6,_xlfn.XLOOKUP($D230&amp;"_"&amp;L$61,$B$23:$B$45&amp;"_"&amp;$C$23:$C$45,$D$23:$D$45)*$E230)</f>
        <v>1.20341061130335</v>
      </c>
      <c r="M230" s="67" cm="1">
        <f ca="1" t="array" ref="M230">(1+SUMPRODUCT(G230:H230,OFFSET($H$49:$I$49,D230,0)))*(1+OFFSET($J$49,D230,0))^I230*(1+OFFSET($K$49,D230,0))^J230*(1+OFFSET($L$49,D230,0))^K230*(1+OFFSET($M$49,D230,0))^L230</f>
        <v>40.1966549306086</v>
      </c>
      <c r="N230" s="67">
        <f ca="1">MAX(MAX($N$62:N229),OFFSET($C$61,MATCH(M230*1.07,$M$62:$M$2061,1),0)-C230)</f>
        <v>2520</v>
      </c>
    </row>
    <row r="231" spans="2:14">
      <c r="B231" s="67">
        <v>170</v>
      </c>
      <c r="C231" s="67">
        <f t="shared" si="28"/>
        <v>61200</v>
      </c>
      <c r="D231" s="67">
        <f t="shared" si="24"/>
        <v>5</v>
      </c>
      <c r="E231" s="67">
        <f ca="1" t="shared" si="25"/>
        <v>200</v>
      </c>
      <c r="F231" s="67">
        <f ca="1" t="shared" si="26"/>
        <v>0</v>
      </c>
      <c r="G231" s="67">
        <f ca="1" t="shared" si="27"/>
        <v>3.40531748144205</v>
      </c>
      <c r="H231" s="67" cm="1">
        <f ca="1" t="array" ref="H231">MIN(30-SUM(I231:L231),_xlfn.XLOOKUP($D231&amp;"_"&amp;H$61,$B$23:$B$45&amp;"_"&amp;$C$23:$C$45,$D$23:$D$45)*$E231,18)</f>
        <v>18</v>
      </c>
      <c r="I231" s="67" cm="1">
        <f ca="1" t="array" ref="I231">MIN(30-SUM(J231:L231),6-L231,_xlfn.XLOOKUP($D231&amp;"_"&amp;I$61,$B$23:$B$45&amp;"_"&amp;$C$23:$C$45,$D$23:$D$45)*$E231)</f>
        <v>3.98722384881554</v>
      </c>
      <c r="J231" s="67" cm="1">
        <f ca="1" t="array" ref="J231">MIN(8,_xlfn.XLOOKUP($D231&amp;"_"&amp;J$61,$B$23:$B$45&amp;"_"&amp;$C$23:$C$45,$D$23:$D$45)*$E231)</f>
        <v>2.5916955017301</v>
      </c>
      <c r="K231" s="67" cm="1">
        <f ca="1" t="array" ref="K231">MIN(18,_xlfn.XLOOKUP($D231&amp;"_"&amp;K$61,$B$23:$B$45&amp;"_"&amp;$C$23:$C$45,$D$23:$D$45)*$E231)</f>
        <v>0.806305267204922</v>
      </c>
      <c r="L231" s="67" cm="1">
        <f ca="1" t="array" ref="L231">MIN(6,_xlfn.XLOOKUP($D231&amp;"_"&amp;L$61,$B$23:$B$45&amp;"_"&amp;$C$23:$C$45,$D$23:$D$45)*$E231)</f>
        <v>1.20945790080738</v>
      </c>
      <c r="M231" s="67" cm="1">
        <f ca="1" t="array" ref="M231">(1+SUMPRODUCT(G231:H231,OFFSET($H$49:$I$49,D231,0)))*(1+OFFSET($J$49,D231,0))^I231*(1+OFFSET($K$49,D231,0))^J231*(1+OFFSET($L$49,D231,0))^K231*(1+OFFSET($M$49,D231,0))^L231</f>
        <v>40.5775510008305</v>
      </c>
      <c r="N231" s="67">
        <f ca="1">MAX(MAX($N$62:N230),OFFSET($C$61,MATCH(M231*1.07,$M$62:$M$2061,1),0)-C231)</f>
        <v>2520</v>
      </c>
    </row>
    <row r="232" spans="2:14">
      <c r="B232" s="67">
        <v>171</v>
      </c>
      <c r="C232" s="67">
        <f t="shared" si="28"/>
        <v>61560</v>
      </c>
      <c r="D232" s="67">
        <f t="shared" si="24"/>
        <v>5</v>
      </c>
      <c r="E232" s="67">
        <f ca="1" t="shared" si="25"/>
        <v>201</v>
      </c>
      <c r="F232" s="67">
        <f ca="1" t="shared" si="26"/>
        <v>0</v>
      </c>
      <c r="G232" s="67">
        <f ca="1" t="shared" si="27"/>
        <v>3.36234406884926</v>
      </c>
      <c r="H232" s="67" cm="1">
        <f ca="1" t="array" ref="H232">MIN(30-SUM(I232:L232),_xlfn.XLOOKUP($D232&amp;"_"&amp;H$61,$B$23:$B$45&amp;"_"&amp;$C$23:$C$45,$D$23:$D$45)*$E232,18)</f>
        <v>18</v>
      </c>
      <c r="I232" s="67" cm="1">
        <f ca="1" t="array" ref="I232">MIN(30-SUM(J232:L232),6-L232,_xlfn.XLOOKUP($D232&amp;"_"&amp;I$61,$B$23:$B$45&amp;"_"&amp;$C$23:$C$45,$D$23:$D$45)*$E232)</f>
        <v>4.00715996805962</v>
      </c>
      <c r="J232" s="67" cm="1">
        <f ca="1" t="array" ref="J232">MIN(8,_xlfn.XLOOKUP($D232&amp;"_"&amp;J$61,$B$23:$B$45&amp;"_"&amp;$C$23:$C$45,$D$23:$D$45)*$E232)</f>
        <v>2.60465397923875</v>
      </c>
      <c r="K232" s="67" cm="1">
        <f ca="1" t="array" ref="K232">MIN(18,_xlfn.XLOOKUP($D232&amp;"_"&amp;K$61,$B$23:$B$45&amp;"_"&amp;$C$23:$C$45,$D$23:$D$45)*$E232)</f>
        <v>0.810336793540947</v>
      </c>
      <c r="L232" s="67" cm="1">
        <f ca="1" t="array" ref="L232">MIN(6,_xlfn.XLOOKUP($D232&amp;"_"&amp;L$61,$B$23:$B$45&amp;"_"&amp;$C$23:$C$45,$D$23:$D$45)*$E232)</f>
        <v>1.21550519031142</v>
      </c>
      <c r="M232" s="67" cm="1">
        <f ca="1" t="array" ref="M232">(1+SUMPRODUCT(G232:H232,OFFSET($H$49:$I$49,D232,0)))*(1+OFFSET($J$49,D232,0))^I232*(1+OFFSET($K$49,D232,0))^J232*(1+OFFSET($L$49,D232,0))^K232*(1+OFFSET($M$49,D232,0))^L232</f>
        <v>40.9620129503102</v>
      </c>
      <c r="N232" s="67">
        <f ca="1">MAX(MAX($N$62:N231),OFFSET($C$61,MATCH(M232*1.07,$M$62:$M$2061,1),0)-C232)</f>
        <v>2520</v>
      </c>
    </row>
    <row r="233" spans="2:14">
      <c r="B233" s="67">
        <v>172</v>
      </c>
      <c r="C233" s="67">
        <f t="shared" si="28"/>
        <v>61920</v>
      </c>
      <c r="D233" s="67">
        <f t="shared" si="24"/>
        <v>5</v>
      </c>
      <c r="E233" s="67">
        <f ca="1" t="shared" si="25"/>
        <v>202</v>
      </c>
      <c r="F233" s="67">
        <f ca="1" t="shared" si="26"/>
        <v>0</v>
      </c>
      <c r="G233" s="67">
        <f ca="1" t="shared" si="27"/>
        <v>3.31937065625647</v>
      </c>
      <c r="H233" s="67" cm="1">
        <f ca="1" t="array" ref="H233">MIN(30-SUM(I233:L233),_xlfn.XLOOKUP($D233&amp;"_"&amp;H$61,$B$23:$B$45&amp;"_"&amp;$C$23:$C$45,$D$23:$D$45)*$E233,18)</f>
        <v>18</v>
      </c>
      <c r="I233" s="67" cm="1">
        <f ca="1" t="array" ref="I233">MIN(30-SUM(J233:L233),6-L233,_xlfn.XLOOKUP($D233&amp;"_"&amp;I$61,$B$23:$B$45&amp;"_"&amp;$C$23:$C$45,$D$23:$D$45)*$E233)</f>
        <v>4.0270960873037</v>
      </c>
      <c r="J233" s="67" cm="1">
        <f ca="1" t="array" ref="J233">MIN(8,_xlfn.XLOOKUP($D233&amp;"_"&amp;J$61,$B$23:$B$45&amp;"_"&amp;$C$23:$C$45,$D$23:$D$45)*$E233)</f>
        <v>2.6176124567474</v>
      </c>
      <c r="K233" s="67" cm="1">
        <f ca="1" t="array" ref="K233">MIN(18,_xlfn.XLOOKUP($D233&amp;"_"&amp;K$61,$B$23:$B$45&amp;"_"&amp;$C$23:$C$45,$D$23:$D$45)*$E233)</f>
        <v>0.814368319876971</v>
      </c>
      <c r="L233" s="67" cm="1">
        <f ca="1" t="array" ref="L233">MIN(6,_xlfn.XLOOKUP($D233&amp;"_"&amp;L$61,$B$23:$B$45&amp;"_"&amp;$C$23:$C$45,$D$23:$D$45)*$E233)</f>
        <v>1.22155247981546</v>
      </c>
      <c r="M233" s="67" cm="1">
        <f ca="1" t="array" ref="M233">(1+SUMPRODUCT(G233:H233,OFFSET($H$49:$I$49,D233,0)))*(1+OFFSET($J$49,D233,0))^I233*(1+OFFSET($K$49,D233,0))^J233*(1+OFFSET($L$49,D233,0))^K233*(1+OFFSET($M$49,D233,0))^L233</f>
        <v>41.3500736554933</v>
      </c>
      <c r="N233" s="67">
        <f ca="1">MAX(MAX($N$62:N232),OFFSET($C$61,MATCH(M233*1.07,$M$62:$M$2061,1),0)-C233)</f>
        <v>2520</v>
      </c>
    </row>
    <row r="234" spans="2:14">
      <c r="B234" s="67">
        <v>173</v>
      </c>
      <c r="C234" s="67">
        <f t="shared" si="28"/>
        <v>62280</v>
      </c>
      <c r="D234" s="67">
        <f t="shared" si="24"/>
        <v>5</v>
      </c>
      <c r="E234" s="67">
        <f ca="1" t="shared" si="25"/>
        <v>203</v>
      </c>
      <c r="F234" s="67">
        <f ca="1" t="shared" si="26"/>
        <v>0</v>
      </c>
      <c r="G234" s="67">
        <f ca="1" t="shared" si="27"/>
        <v>3.27639724366369</v>
      </c>
      <c r="H234" s="67" cm="1">
        <f ca="1" t="array" ref="H234">MIN(30-SUM(I234:L234),_xlfn.XLOOKUP($D234&amp;"_"&amp;H$61,$B$23:$B$45&amp;"_"&amp;$C$23:$C$45,$D$23:$D$45)*$E234,18)</f>
        <v>18</v>
      </c>
      <c r="I234" s="67" cm="1">
        <f ca="1" t="array" ref="I234">MIN(30-SUM(J234:L234),6-L234,_xlfn.XLOOKUP($D234&amp;"_"&amp;I$61,$B$23:$B$45&amp;"_"&amp;$C$23:$C$45,$D$23:$D$45)*$E234)</f>
        <v>4.04703220654777</v>
      </c>
      <c r="J234" s="67" cm="1">
        <f ca="1" t="array" ref="J234">MIN(8,_xlfn.XLOOKUP($D234&amp;"_"&amp;J$61,$B$23:$B$45&amp;"_"&amp;$C$23:$C$45,$D$23:$D$45)*$E234)</f>
        <v>2.63057093425605</v>
      </c>
      <c r="K234" s="67" cm="1">
        <f ca="1" t="array" ref="K234">MIN(18,_xlfn.XLOOKUP($D234&amp;"_"&amp;K$61,$B$23:$B$45&amp;"_"&amp;$C$23:$C$45,$D$23:$D$45)*$E234)</f>
        <v>0.818399846212996</v>
      </c>
      <c r="L234" s="67" cm="1">
        <f ca="1" t="array" ref="L234">MIN(6,_xlfn.XLOOKUP($D234&amp;"_"&amp;L$61,$B$23:$B$45&amp;"_"&amp;$C$23:$C$45,$D$23:$D$45)*$E234)</f>
        <v>1.22759976931949</v>
      </c>
      <c r="M234" s="67" cm="1">
        <f ca="1" t="array" ref="M234">(1+SUMPRODUCT(G234:H234,OFFSET($H$49:$I$49,D234,0)))*(1+OFFSET($J$49,D234,0))^I234*(1+OFFSET($K$49,D234,0))^J234*(1+OFFSET($L$49,D234,0))^K234*(1+OFFSET($M$49,D234,0))^L234</f>
        <v>41.7417662899531</v>
      </c>
      <c r="N234" s="67">
        <f ca="1">MAX(MAX($N$62:N233),OFFSET($C$61,MATCH(M234*1.07,$M$62:$M$2061,1),0)-C234)</f>
        <v>2520</v>
      </c>
    </row>
    <row r="235" spans="2:14">
      <c r="B235" s="67">
        <v>174</v>
      </c>
      <c r="C235" s="67">
        <f t="shared" si="28"/>
        <v>62640</v>
      </c>
      <c r="D235" s="67">
        <f t="shared" si="24"/>
        <v>5</v>
      </c>
      <c r="E235" s="67">
        <f ca="1" t="shared" si="25"/>
        <v>204</v>
      </c>
      <c r="F235" s="67">
        <f ca="1" t="shared" si="26"/>
        <v>0</v>
      </c>
      <c r="G235" s="67">
        <f ca="1" t="shared" si="27"/>
        <v>3.2334238310709</v>
      </c>
      <c r="H235" s="67" cm="1">
        <f ca="1" t="array" ref="H235">MIN(30-SUM(I235:L235),_xlfn.XLOOKUP($D235&amp;"_"&amp;H$61,$B$23:$B$45&amp;"_"&amp;$C$23:$C$45,$D$23:$D$45)*$E235,18)</f>
        <v>18</v>
      </c>
      <c r="I235" s="67" cm="1">
        <f ca="1" t="array" ref="I235">MIN(30-SUM(J235:L235),6-L235,_xlfn.XLOOKUP($D235&amp;"_"&amp;I$61,$B$23:$B$45&amp;"_"&amp;$C$23:$C$45,$D$23:$D$45)*$E235)</f>
        <v>4.06696832579185</v>
      </c>
      <c r="J235" s="67" cm="1">
        <f ca="1" t="array" ref="J235">MIN(8,_xlfn.XLOOKUP($D235&amp;"_"&amp;J$61,$B$23:$B$45&amp;"_"&amp;$C$23:$C$45,$D$23:$D$45)*$E235)</f>
        <v>2.6435294117647</v>
      </c>
      <c r="K235" s="67" cm="1">
        <f ca="1" t="array" ref="K235">MIN(18,_xlfn.XLOOKUP($D235&amp;"_"&amp;K$61,$B$23:$B$45&amp;"_"&amp;$C$23:$C$45,$D$23:$D$45)*$E235)</f>
        <v>0.82243137254902</v>
      </c>
      <c r="L235" s="67" cm="1">
        <f ca="1" t="array" ref="L235">MIN(6,_xlfn.XLOOKUP($D235&amp;"_"&amp;L$61,$B$23:$B$45&amp;"_"&amp;$C$23:$C$45,$D$23:$D$45)*$E235)</f>
        <v>1.23364705882353</v>
      </c>
      <c r="M235" s="67" cm="1">
        <f ca="1" t="array" ref="M235">(1+SUMPRODUCT(G235:H235,OFFSET($H$49:$I$49,D235,0)))*(1+OFFSET($J$49,D235,0))^I235*(1+OFFSET($K$49,D235,0))^J235*(1+OFFSET($L$49,D235,0))^K235*(1+OFFSET($M$49,D235,0))^L235</f>
        <v>42.1371243270047</v>
      </c>
      <c r="N235" s="67">
        <f ca="1">MAX(MAX($N$62:N234),OFFSET($C$61,MATCH(M235*1.07,$M$62:$M$2061,1),0)-C235)</f>
        <v>2520</v>
      </c>
    </row>
    <row r="236" spans="2:14">
      <c r="B236" s="67">
        <v>175</v>
      </c>
      <c r="C236" s="67">
        <f t="shared" si="28"/>
        <v>63000</v>
      </c>
      <c r="D236" s="67">
        <f t="shared" si="24"/>
        <v>5</v>
      </c>
      <c r="E236" s="67">
        <f ca="1" t="shared" si="25"/>
        <v>205</v>
      </c>
      <c r="F236" s="67">
        <f ca="1" t="shared" si="26"/>
        <v>0</v>
      </c>
      <c r="G236" s="67">
        <f ca="1" t="shared" si="27"/>
        <v>3.19045041847811</v>
      </c>
      <c r="H236" s="67" cm="1">
        <f ca="1" t="array" ref="H236">MIN(30-SUM(I236:L236),_xlfn.XLOOKUP($D236&amp;"_"&amp;H$61,$B$23:$B$45&amp;"_"&amp;$C$23:$C$45,$D$23:$D$45)*$E236,18)</f>
        <v>18</v>
      </c>
      <c r="I236" s="67" cm="1">
        <f ca="1" t="array" ref="I236">MIN(30-SUM(J236:L236),6-L236,_xlfn.XLOOKUP($D236&amp;"_"&amp;I$61,$B$23:$B$45&amp;"_"&amp;$C$23:$C$45,$D$23:$D$45)*$E236)</f>
        <v>4.08690444503593</v>
      </c>
      <c r="J236" s="67" cm="1">
        <f ca="1" t="array" ref="J236">MIN(8,_xlfn.XLOOKUP($D236&amp;"_"&amp;J$61,$B$23:$B$45&amp;"_"&amp;$C$23:$C$45,$D$23:$D$45)*$E236)</f>
        <v>2.65648788927335</v>
      </c>
      <c r="K236" s="67" cm="1">
        <f ca="1" t="array" ref="K236">MIN(18,_xlfn.XLOOKUP($D236&amp;"_"&amp;K$61,$B$23:$B$45&amp;"_"&amp;$C$23:$C$45,$D$23:$D$45)*$E236)</f>
        <v>0.826462898885045</v>
      </c>
      <c r="L236" s="67" cm="1">
        <f ca="1" t="array" ref="L236">MIN(6,_xlfn.XLOOKUP($D236&amp;"_"&amp;L$61,$B$23:$B$45&amp;"_"&amp;$C$23:$C$45,$D$23:$D$45)*$E236)</f>
        <v>1.23969434832757</v>
      </c>
      <c r="M236" s="67" cm="1">
        <f ca="1" t="array" ref="M236">(1+SUMPRODUCT(G236:H236,OFFSET($H$49:$I$49,D236,0)))*(1+OFFSET($J$49,D236,0))^I236*(1+OFFSET($K$49,D236,0))^J236*(1+OFFSET($L$49,D236,0))^K236*(1+OFFSET($M$49,D236,0))^L236</f>
        <v>42.5361815423401</v>
      </c>
      <c r="N236" s="67">
        <f ca="1">MAX(MAX($N$62:N235),OFFSET($C$61,MATCH(M236*1.07,$M$62:$M$2061,1),0)-C236)</f>
        <v>2520</v>
      </c>
    </row>
    <row r="237" spans="2:14">
      <c r="B237" s="67">
        <v>176</v>
      </c>
      <c r="C237" s="67">
        <f t="shared" si="28"/>
        <v>63360</v>
      </c>
      <c r="D237" s="67">
        <f t="shared" si="24"/>
        <v>5</v>
      </c>
      <c r="E237" s="67">
        <f ca="1" t="shared" si="25"/>
        <v>206</v>
      </c>
      <c r="F237" s="67">
        <f ca="1" t="shared" si="26"/>
        <v>0</v>
      </c>
      <c r="G237" s="67">
        <f ca="1" t="shared" si="27"/>
        <v>3.14747700588532</v>
      </c>
      <c r="H237" s="67" cm="1">
        <f ca="1" t="array" ref="H237">MIN(30-SUM(I237:L237),_xlfn.XLOOKUP($D237&amp;"_"&amp;H$61,$B$23:$B$45&amp;"_"&amp;$C$23:$C$45,$D$23:$D$45)*$E237,18)</f>
        <v>18</v>
      </c>
      <c r="I237" s="67" cm="1">
        <f ca="1" t="array" ref="I237">MIN(30-SUM(J237:L237),6-L237,_xlfn.XLOOKUP($D237&amp;"_"&amp;I$61,$B$23:$B$45&amp;"_"&amp;$C$23:$C$45,$D$23:$D$45)*$E237)</f>
        <v>4.10684056428001</v>
      </c>
      <c r="J237" s="67" cm="1">
        <f ca="1" t="array" ref="J237">MIN(8,_xlfn.XLOOKUP($D237&amp;"_"&amp;J$61,$B$23:$B$45&amp;"_"&amp;$C$23:$C$45,$D$23:$D$45)*$E237)</f>
        <v>2.669446366782</v>
      </c>
      <c r="K237" s="67" cm="1">
        <f ca="1" t="array" ref="K237">MIN(18,_xlfn.XLOOKUP($D237&amp;"_"&amp;K$61,$B$23:$B$45&amp;"_"&amp;$C$23:$C$45,$D$23:$D$45)*$E237)</f>
        <v>0.83049442522107</v>
      </c>
      <c r="L237" s="67" cm="1">
        <f ca="1" t="array" ref="L237">MIN(6,_xlfn.XLOOKUP($D237&amp;"_"&amp;L$61,$B$23:$B$45&amp;"_"&amp;$C$23:$C$45,$D$23:$D$45)*$E237)</f>
        <v>1.2457416378316</v>
      </c>
      <c r="M237" s="67" cm="1">
        <f ca="1" t="array" ref="M237">(1+SUMPRODUCT(G237:H237,OFFSET($H$49:$I$49,D237,0)))*(1+OFFSET($J$49,D237,0))^I237*(1+OFFSET($K$49,D237,0))^J237*(1+OFFSET($L$49,D237,0))^K237*(1+OFFSET($M$49,D237,0))^L237</f>
        <v>42.9389720166871</v>
      </c>
      <c r="N237" s="67">
        <f ca="1">MAX(MAX($N$62:N236),OFFSET($C$61,MATCH(M237*1.07,$M$62:$M$2061,1),0)-C237)</f>
        <v>2520</v>
      </c>
    </row>
    <row r="238" spans="2:14">
      <c r="B238" s="67">
        <v>177</v>
      </c>
      <c r="C238" s="67">
        <f t="shared" si="28"/>
        <v>63720</v>
      </c>
      <c r="D238" s="67">
        <f t="shared" si="24"/>
        <v>5</v>
      </c>
      <c r="E238" s="67">
        <f ca="1" t="shared" si="25"/>
        <v>207</v>
      </c>
      <c r="F238" s="67">
        <f ca="1" t="shared" si="26"/>
        <v>0</v>
      </c>
      <c r="G238" s="67">
        <f ca="1" t="shared" si="27"/>
        <v>3.10450359329253</v>
      </c>
      <c r="H238" s="67" cm="1">
        <f ca="1" t="array" ref="H238">MIN(30-SUM(I238:L238),_xlfn.XLOOKUP($D238&amp;"_"&amp;H$61,$B$23:$B$45&amp;"_"&amp;$C$23:$C$45,$D$23:$D$45)*$E238,18)</f>
        <v>18</v>
      </c>
      <c r="I238" s="67" cm="1">
        <f ca="1" t="array" ref="I238">MIN(30-SUM(J238:L238),6-L238,_xlfn.XLOOKUP($D238&amp;"_"&amp;I$61,$B$23:$B$45&amp;"_"&amp;$C$23:$C$45,$D$23:$D$45)*$E238)</f>
        <v>4.12677668352408</v>
      </c>
      <c r="J238" s="67" cm="1">
        <f ca="1" t="array" ref="J238">MIN(8,_xlfn.XLOOKUP($D238&amp;"_"&amp;J$61,$B$23:$B$45&amp;"_"&amp;$C$23:$C$45,$D$23:$D$45)*$E238)</f>
        <v>2.68240484429065</v>
      </c>
      <c r="K238" s="67" cm="1">
        <f ca="1" t="array" ref="K238">MIN(18,_xlfn.XLOOKUP($D238&amp;"_"&amp;K$61,$B$23:$B$45&amp;"_"&amp;$C$23:$C$45,$D$23:$D$45)*$E238)</f>
        <v>0.834525951557094</v>
      </c>
      <c r="L238" s="67" cm="1">
        <f ca="1" t="array" ref="L238">MIN(6,_xlfn.XLOOKUP($D238&amp;"_"&amp;L$61,$B$23:$B$45&amp;"_"&amp;$C$23:$C$45,$D$23:$D$45)*$E238)</f>
        <v>1.25178892733564</v>
      </c>
      <c r="M238" s="67" cm="1">
        <f ca="1" t="array" ref="M238">(1+SUMPRODUCT(G238:H238,OFFSET($H$49:$I$49,D238,0)))*(1+OFFSET($J$49,D238,0))^I238*(1+OFFSET($K$49,D238,0))^J238*(1+OFFSET($L$49,D238,0))^K238*(1+OFFSET($M$49,D238,0))^L238</f>
        <v>43.3455301384887</v>
      </c>
      <c r="N238" s="67">
        <f ca="1">MAX(MAX($N$62:N237),OFFSET($C$61,MATCH(M238*1.07,$M$62:$M$2061,1),0)-C238)</f>
        <v>2520</v>
      </c>
    </row>
    <row r="239" spans="2:14">
      <c r="B239" s="67">
        <v>178</v>
      </c>
      <c r="C239" s="67">
        <f t="shared" si="28"/>
        <v>64080</v>
      </c>
      <c r="D239" s="67">
        <f t="shared" si="24"/>
        <v>5</v>
      </c>
      <c r="E239" s="67">
        <f ca="1" t="shared" si="25"/>
        <v>208</v>
      </c>
      <c r="F239" s="67">
        <f ca="1" t="shared" si="26"/>
        <v>0</v>
      </c>
      <c r="G239" s="67">
        <f ca="1" t="shared" si="27"/>
        <v>3.06153018069973</v>
      </c>
      <c r="H239" s="67" cm="1">
        <f ca="1" t="array" ref="H239">MIN(30-SUM(I239:L239),_xlfn.XLOOKUP($D239&amp;"_"&amp;H$61,$B$23:$B$45&amp;"_"&amp;$C$23:$C$45,$D$23:$D$45)*$E239,18)</f>
        <v>18</v>
      </c>
      <c r="I239" s="67" cm="1">
        <f ca="1" t="array" ref="I239">MIN(30-SUM(J239:L239),6-L239,_xlfn.XLOOKUP($D239&amp;"_"&amp;I$61,$B$23:$B$45&amp;"_"&amp;$C$23:$C$45,$D$23:$D$45)*$E239)</f>
        <v>4.14671280276816</v>
      </c>
      <c r="J239" s="67" cm="1">
        <f ca="1" t="array" ref="J239">MIN(8,_xlfn.XLOOKUP($D239&amp;"_"&amp;J$61,$B$23:$B$45&amp;"_"&amp;$C$23:$C$45,$D$23:$D$45)*$E239)</f>
        <v>2.6953633217993</v>
      </c>
      <c r="K239" s="67" cm="1">
        <f ca="1" t="array" ref="K239">MIN(18,_xlfn.XLOOKUP($D239&amp;"_"&amp;K$61,$B$23:$B$45&amp;"_"&amp;$C$23:$C$45,$D$23:$D$45)*$E239)</f>
        <v>0.838557477893119</v>
      </c>
      <c r="L239" s="67" cm="1">
        <f ca="1" t="array" ref="L239">MIN(6,_xlfn.XLOOKUP($D239&amp;"_"&amp;L$61,$B$23:$B$45&amp;"_"&amp;$C$23:$C$45,$D$23:$D$45)*$E239)</f>
        <v>1.25783621683968</v>
      </c>
      <c r="M239" s="67" cm="1">
        <f ca="1" t="array" ref="M239">(1+SUMPRODUCT(G239:H239,OFFSET($H$49:$I$49,D239,0)))*(1+OFFSET($J$49,D239,0))^I239*(1+OFFSET($K$49,D239,0))^J239*(1+OFFSET($L$49,D239,0))^K239*(1+OFFSET($M$49,D239,0))^L239</f>
        <v>43.7558906066072</v>
      </c>
      <c r="N239" s="67">
        <f ca="1">MAX(MAX($N$62:N238),OFFSET($C$61,MATCH(M239*1.07,$M$62:$M$2061,1),0)-C239)</f>
        <v>2520</v>
      </c>
    </row>
    <row r="240" spans="2:14">
      <c r="B240" s="67">
        <v>179</v>
      </c>
      <c r="C240" s="67">
        <f t="shared" si="28"/>
        <v>64440</v>
      </c>
      <c r="D240" s="67">
        <f t="shared" si="24"/>
        <v>5</v>
      </c>
      <c r="E240" s="67">
        <f ca="1" t="shared" si="25"/>
        <v>209</v>
      </c>
      <c r="F240" s="67">
        <f ca="1" t="shared" si="26"/>
        <v>0</v>
      </c>
      <c r="G240" s="67">
        <f ca="1" t="shared" si="27"/>
        <v>3.01855676810695</v>
      </c>
      <c r="H240" s="67" cm="1">
        <f ca="1" t="array" ref="H240">MIN(30-SUM(I240:L240),_xlfn.XLOOKUP($D240&amp;"_"&amp;H$61,$B$23:$B$45&amp;"_"&amp;$C$23:$C$45,$D$23:$D$45)*$E240,18)</f>
        <v>18</v>
      </c>
      <c r="I240" s="67" cm="1">
        <f ca="1" t="array" ref="I240">MIN(30-SUM(J240:L240),6-L240,_xlfn.XLOOKUP($D240&amp;"_"&amp;I$61,$B$23:$B$45&amp;"_"&amp;$C$23:$C$45,$D$23:$D$45)*$E240)</f>
        <v>4.16664892201224</v>
      </c>
      <c r="J240" s="67" cm="1">
        <f ca="1" t="array" ref="J240">MIN(8,_xlfn.XLOOKUP($D240&amp;"_"&amp;J$61,$B$23:$B$45&amp;"_"&amp;$C$23:$C$45,$D$23:$D$45)*$E240)</f>
        <v>2.70832179930795</v>
      </c>
      <c r="K240" s="67" cm="1">
        <f ca="1" t="array" ref="K240">MIN(18,_xlfn.XLOOKUP($D240&amp;"_"&amp;K$61,$B$23:$B$45&amp;"_"&amp;$C$23:$C$45,$D$23:$D$45)*$E240)</f>
        <v>0.842589004229143</v>
      </c>
      <c r="L240" s="67" cm="1">
        <f ca="1" t="array" ref="L240">MIN(6,_xlfn.XLOOKUP($D240&amp;"_"&amp;L$61,$B$23:$B$45&amp;"_"&amp;$C$23:$C$45,$D$23:$D$45)*$E240)</f>
        <v>1.26388350634371</v>
      </c>
      <c r="M240" s="67" cm="1">
        <f ca="1" t="array" ref="M240">(1+SUMPRODUCT(G240:H240,OFFSET($H$49:$I$49,D240,0)))*(1+OFFSET($J$49,D240,0))^I240*(1+OFFSET($K$49,D240,0))^J240*(1+OFFSET($L$49,D240,0))^K240*(1+OFFSET($M$49,D240,0))^L240</f>
        <v>44.1700884330493</v>
      </c>
      <c r="N240" s="67">
        <f ca="1">MAX(MAX($N$62:N239),OFFSET($C$61,MATCH(M240*1.07,$M$62:$M$2061,1),0)-C240)</f>
        <v>2520</v>
      </c>
    </row>
    <row r="241" spans="2:14">
      <c r="B241" s="67">
        <v>180</v>
      </c>
      <c r="C241" s="67">
        <f t="shared" si="28"/>
        <v>64800</v>
      </c>
      <c r="D241" s="67">
        <f t="shared" si="24"/>
        <v>5</v>
      </c>
      <c r="E241" s="67">
        <f ca="1" t="shared" si="25"/>
        <v>210</v>
      </c>
      <c r="F241" s="67">
        <f ca="1" t="shared" si="26"/>
        <v>0</v>
      </c>
      <c r="G241" s="67">
        <f ca="1" t="shared" si="27"/>
        <v>2.97558335551416</v>
      </c>
      <c r="H241" s="67" cm="1">
        <f ca="1" t="array" ref="H241">MIN(30-SUM(I241:L241),_xlfn.XLOOKUP($D241&amp;"_"&amp;H$61,$B$23:$B$45&amp;"_"&amp;$C$23:$C$45,$D$23:$D$45)*$E241,18)</f>
        <v>18</v>
      </c>
      <c r="I241" s="67" cm="1">
        <f ca="1" t="array" ref="I241">MIN(30-SUM(J241:L241),6-L241,_xlfn.XLOOKUP($D241&amp;"_"&amp;I$61,$B$23:$B$45&amp;"_"&amp;$C$23:$C$45,$D$23:$D$45)*$E241)</f>
        <v>4.18658504125632</v>
      </c>
      <c r="J241" s="67" cm="1">
        <f ca="1" t="array" ref="J241">MIN(8,_xlfn.XLOOKUP($D241&amp;"_"&amp;J$61,$B$23:$B$45&amp;"_"&amp;$C$23:$C$45,$D$23:$D$45)*$E241)</f>
        <v>2.7212802768166</v>
      </c>
      <c r="K241" s="67" cm="1">
        <f ca="1" t="array" ref="K241">MIN(18,_xlfn.XLOOKUP($D241&amp;"_"&amp;K$61,$B$23:$B$45&amp;"_"&amp;$C$23:$C$45,$D$23:$D$45)*$E241)</f>
        <v>0.846620530565168</v>
      </c>
      <c r="L241" s="67" cm="1">
        <f ca="1" t="array" ref="L241">MIN(6,_xlfn.XLOOKUP($D241&amp;"_"&amp;L$61,$B$23:$B$45&amp;"_"&amp;$C$23:$C$45,$D$23:$D$45)*$E241)</f>
        <v>1.26993079584775</v>
      </c>
      <c r="M241" s="67" cm="1">
        <f ca="1" t="array" ref="M241">(1+SUMPRODUCT(G241:H241,OFFSET($H$49:$I$49,D241,0)))*(1+OFFSET($J$49,D241,0))^I241*(1+OFFSET($K$49,D241,0))^J241*(1+OFFSET($L$49,D241,0))^K241*(1+OFFSET($M$49,D241,0))^L241</f>
        <v>44.5881589457157</v>
      </c>
      <c r="N241" s="67">
        <f ca="1">MAX(MAX($N$62:N240),OFFSET($C$61,MATCH(M241*1.07,$M$62:$M$2061,1),0)-C241)</f>
        <v>2520</v>
      </c>
    </row>
    <row r="242" spans="2:14">
      <c r="B242" s="67">
        <v>181</v>
      </c>
      <c r="C242" s="67">
        <f t="shared" si="28"/>
        <v>65160</v>
      </c>
      <c r="D242" s="67">
        <f t="shared" si="24"/>
        <v>5</v>
      </c>
      <c r="E242" s="67">
        <f ca="1" t="shared" si="25"/>
        <v>211</v>
      </c>
      <c r="F242" s="67">
        <f ca="1" t="shared" si="26"/>
        <v>0</v>
      </c>
      <c r="G242" s="67">
        <f ca="1" t="shared" si="27"/>
        <v>2.93260994292137</v>
      </c>
      <c r="H242" s="67" cm="1">
        <f ca="1" t="array" ref="H242">MIN(30-SUM(I242:L242),_xlfn.XLOOKUP($D242&amp;"_"&amp;H$61,$B$23:$B$45&amp;"_"&amp;$C$23:$C$45,$D$23:$D$45)*$E242,18)</f>
        <v>18</v>
      </c>
      <c r="I242" s="67" cm="1">
        <f ca="1" t="array" ref="I242">MIN(30-SUM(J242:L242),6-L242,_xlfn.XLOOKUP($D242&amp;"_"&amp;I$61,$B$23:$B$45&amp;"_"&amp;$C$23:$C$45,$D$23:$D$45)*$E242)</f>
        <v>4.20652116050039</v>
      </c>
      <c r="J242" s="67" cm="1">
        <f ca="1" t="array" ref="J242">MIN(8,_xlfn.XLOOKUP($D242&amp;"_"&amp;J$61,$B$23:$B$45&amp;"_"&amp;$C$23:$C$45,$D$23:$D$45)*$E242)</f>
        <v>2.73423875432526</v>
      </c>
      <c r="K242" s="67" cm="1">
        <f ca="1" t="array" ref="K242">MIN(18,_xlfn.XLOOKUP($D242&amp;"_"&amp;K$61,$B$23:$B$45&amp;"_"&amp;$C$23:$C$45,$D$23:$D$45)*$E242)</f>
        <v>0.850652056901193</v>
      </c>
      <c r="L242" s="67" cm="1">
        <f ca="1" t="array" ref="L242">MIN(6,_xlfn.XLOOKUP($D242&amp;"_"&amp;L$61,$B$23:$B$45&amp;"_"&amp;$C$23:$C$45,$D$23:$D$45)*$E242)</f>
        <v>1.27597808535179</v>
      </c>
      <c r="M242" s="67" cm="1">
        <f ca="1" t="array" ref="M242">(1+SUMPRODUCT(G242:H242,OFFSET($H$49:$I$49,D242,0)))*(1+OFFSET($J$49,D242,0))^I242*(1+OFFSET($K$49,D242,0))^J242*(1+OFFSET($L$49,D242,0))^K242*(1+OFFSET($M$49,D242,0))^L242</f>
        <v>45.0101377911726</v>
      </c>
      <c r="N242" s="67">
        <f ca="1">MAX(MAX($N$62:N241),OFFSET($C$61,MATCH(M242*1.07,$M$62:$M$2061,1),0)-C242)</f>
        <v>2520</v>
      </c>
    </row>
    <row r="243" spans="2:14">
      <c r="B243" s="67">
        <v>182</v>
      </c>
      <c r="C243" s="67">
        <f t="shared" si="28"/>
        <v>65520</v>
      </c>
      <c r="D243" s="67">
        <f t="shared" si="24"/>
        <v>5</v>
      </c>
      <c r="E243" s="67">
        <f ca="1" t="shared" si="25"/>
        <v>212</v>
      </c>
      <c r="F243" s="67">
        <f ca="1" t="shared" si="26"/>
        <v>0</v>
      </c>
      <c r="G243" s="67">
        <f ca="1" t="shared" si="27"/>
        <v>2.88963653032858</v>
      </c>
      <c r="H243" s="67" cm="1">
        <f ca="1" t="array" ref="H243">MIN(30-SUM(I243:L243),_xlfn.XLOOKUP($D243&amp;"_"&amp;H$61,$B$23:$B$45&amp;"_"&amp;$C$23:$C$45,$D$23:$D$45)*$E243,18)</f>
        <v>18</v>
      </c>
      <c r="I243" s="67" cm="1">
        <f ca="1" t="array" ref="I243">MIN(30-SUM(J243:L243),6-L243,_xlfn.XLOOKUP($D243&amp;"_"&amp;I$61,$B$23:$B$45&amp;"_"&amp;$C$23:$C$45,$D$23:$D$45)*$E243)</f>
        <v>4.22645727974447</v>
      </c>
      <c r="J243" s="67" cm="1">
        <f ca="1" t="array" ref="J243">MIN(8,_xlfn.XLOOKUP($D243&amp;"_"&amp;J$61,$B$23:$B$45&amp;"_"&amp;$C$23:$C$45,$D$23:$D$45)*$E243)</f>
        <v>2.74719723183391</v>
      </c>
      <c r="K243" s="67" cm="1">
        <f ca="1" t="array" ref="K243">MIN(18,_xlfn.XLOOKUP($D243&amp;"_"&amp;K$61,$B$23:$B$45&amp;"_"&amp;$C$23:$C$45,$D$23:$D$45)*$E243)</f>
        <v>0.854683583237217</v>
      </c>
      <c r="L243" s="67" cm="1">
        <f ca="1" t="array" ref="L243">MIN(6,_xlfn.XLOOKUP($D243&amp;"_"&amp;L$61,$B$23:$B$45&amp;"_"&amp;$C$23:$C$45,$D$23:$D$45)*$E243)</f>
        <v>1.28202537485583</v>
      </c>
      <c r="M243" s="67" cm="1">
        <f ca="1" t="array" ref="M243">(1+SUMPRODUCT(G243:H243,OFFSET($H$49:$I$49,D243,0)))*(1+OFFSET($J$49,D243,0))^I243*(1+OFFSET($K$49,D243,0))^J243*(1+OFFSET($L$49,D243,0))^K243*(1+OFFSET($M$49,D243,0))^L243</f>
        <v>45.4360609374477</v>
      </c>
      <c r="N243" s="67">
        <f ca="1">MAX(MAX($N$62:N242),OFFSET($C$61,MATCH(M243*1.07,$M$62:$M$2061,1),0)-C243)</f>
        <v>2520</v>
      </c>
    </row>
    <row r="244" spans="2:14">
      <c r="B244" s="67">
        <v>183</v>
      </c>
      <c r="C244" s="67">
        <f t="shared" si="28"/>
        <v>65880</v>
      </c>
      <c r="D244" s="67">
        <f t="shared" si="24"/>
        <v>5</v>
      </c>
      <c r="E244" s="67">
        <f ca="1" t="shared" si="25"/>
        <v>213</v>
      </c>
      <c r="F244" s="67">
        <f ca="1" t="shared" si="26"/>
        <v>0</v>
      </c>
      <c r="G244" s="67">
        <f ca="1" t="shared" si="27"/>
        <v>2.84666311773579</v>
      </c>
      <c r="H244" s="67" cm="1">
        <f ca="1" t="array" ref="H244">MIN(30-SUM(I244:L244),_xlfn.XLOOKUP($D244&amp;"_"&amp;H$61,$B$23:$B$45&amp;"_"&amp;$C$23:$C$45,$D$23:$D$45)*$E244,18)</f>
        <v>18</v>
      </c>
      <c r="I244" s="67" cm="1">
        <f ca="1" t="array" ref="I244">MIN(30-SUM(J244:L244),6-L244,_xlfn.XLOOKUP($D244&amp;"_"&amp;I$61,$B$23:$B$45&amp;"_"&amp;$C$23:$C$45,$D$23:$D$45)*$E244)</f>
        <v>4.24639339898855</v>
      </c>
      <c r="J244" s="67" cm="1">
        <f ca="1" t="array" ref="J244">MIN(8,_xlfn.XLOOKUP($D244&amp;"_"&amp;J$61,$B$23:$B$45&amp;"_"&amp;$C$23:$C$45,$D$23:$D$45)*$E244)</f>
        <v>2.76015570934256</v>
      </c>
      <c r="K244" s="67" cm="1">
        <f ca="1" t="array" ref="K244">MIN(18,_xlfn.XLOOKUP($D244&amp;"_"&amp;K$61,$B$23:$B$45&amp;"_"&amp;$C$23:$C$45,$D$23:$D$45)*$E244)</f>
        <v>0.858715109573242</v>
      </c>
      <c r="L244" s="67" cm="1">
        <f ca="1" t="array" ref="L244">MIN(6,_xlfn.XLOOKUP($D244&amp;"_"&amp;L$61,$B$23:$B$45&amp;"_"&amp;$C$23:$C$45,$D$23:$D$45)*$E244)</f>
        <v>1.28807266435986</v>
      </c>
      <c r="M244" s="67" cm="1">
        <f ca="1" t="array" ref="M244">(1+SUMPRODUCT(G244:H244,OFFSET($H$49:$I$49,D244,0)))*(1+OFFSET($J$49,D244,0))^I244*(1+OFFSET($K$49,D244,0))^J244*(1+OFFSET($L$49,D244,0))^K244*(1+OFFSET($M$49,D244,0))^L244</f>
        <v>45.8659646768491</v>
      </c>
      <c r="N244" s="67">
        <f ca="1">MAX(MAX($N$62:N243),OFFSET($C$61,MATCH(M244*1.07,$M$62:$M$2061,1),0)-C244)</f>
        <v>2520</v>
      </c>
    </row>
    <row r="245" spans="2:14">
      <c r="B245" s="67">
        <v>184</v>
      </c>
      <c r="C245" s="67">
        <f t="shared" si="28"/>
        <v>66240</v>
      </c>
      <c r="D245" s="67">
        <f t="shared" si="24"/>
        <v>5</v>
      </c>
      <c r="E245" s="67">
        <f ca="1" t="shared" si="25"/>
        <v>214</v>
      </c>
      <c r="F245" s="67">
        <f ca="1" t="shared" si="26"/>
        <v>0</v>
      </c>
      <c r="G245" s="67">
        <f ca="1" t="shared" si="27"/>
        <v>2.803689705143</v>
      </c>
      <c r="H245" s="67" cm="1">
        <f ca="1" t="array" ref="H245">MIN(30-SUM(I245:L245),_xlfn.XLOOKUP($D245&amp;"_"&amp;H$61,$B$23:$B$45&amp;"_"&amp;$C$23:$C$45,$D$23:$D$45)*$E245,18)</f>
        <v>18</v>
      </c>
      <c r="I245" s="67" cm="1">
        <f ca="1" t="array" ref="I245">MIN(30-SUM(J245:L245),6-L245,_xlfn.XLOOKUP($D245&amp;"_"&amp;I$61,$B$23:$B$45&amp;"_"&amp;$C$23:$C$45,$D$23:$D$45)*$E245)</f>
        <v>4.26632951823263</v>
      </c>
      <c r="J245" s="67" cm="1">
        <f ca="1" t="array" ref="J245">MIN(8,_xlfn.XLOOKUP($D245&amp;"_"&amp;J$61,$B$23:$B$45&amp;"_"&amp;$C$23:$C$45,$D$23:$D$45)*$E245)</f>
        <v>2.77311418685121</v>
      </c>
      <c r="K245" s="67" cm="1">
        <f ca="1" t="array" ref="K245">MIN(18,_xlfn.XLOOKUP($D245&amp;"_"&amp;K$61,$B$23:$B$45&amp;"_"&amp;$C$23:$C$45,$D$23:$D$45)*$E245)</f>
        <v>0.862746635909266</v>
      </c>
      <c r="L245" s="67" cm="1">
        <f ca="1" t="array" ref="L245">MIN(6,_xlfn.XLOOKUP($D245&amp;"_"&amp;L$61,$B$23:$B$45&amp;"_"&amp;$C$23:$C$45,$D$23:$D$45)*$E245)</f>
        <v>1.2941199538639</v>
      </c>
      <c r="M245" s="67" cm="1">
        <f ca="1" t="array" ref="M245">(1+SUMPRODUCT(G245:H245,OFFSET($H$49:$I$49,D245,0)))*(1+OFFSET($J$49,D245,0))^I245*(1+OFFSET($K$49,D245,0))^J245*(1+OFFSET($L$49,D245,0))^K245*(1+OFFSET($M$49,D245,0))^L245</f>
        <v>46.2998856288078</v>
      </c>
      <c r="N245" s="67">
        <f ca="1">MAX(MAX($N$62:N244),OFFSET($C$61,MATCH(M245*1.07,$M$62:$M$2061,1),0)-C245)</f>
        <v>2520</v>
      </c>
    </row>
    <row r="246" spans="2:14">
      <c r="B246" s="67">
        <v>185</v>
      </c>
      <c r="C246" s="67">
        <f t="shared" si="28"/>
        <v>66600</v>
      </c>
      <c r="D246" s="67">
        <f t="shared" si="24"/>
        <v>5</v>
      </c>
      <c r="E246" s="67">
        <f ca="1" t="shared" si="25"/>
        <v>215</v>
      </c>
      <c r="F246" s="67">
        <f ca="1" t="shared" si="26"/>
        <v>0</v>
      </c>
      <c r="G246" s="67">
        <f ca="1" t="shared" si="27"/>
        <v>2.76071629255021</v>
      </c>
      <c r="H246" s="67" cm="1">
        <f ca="1" t="array" ref="H246">MIN(30-SUM(I246:L246),_xlfn.XLOOKUP($D246&amp;"_"&amp;H$61,$B$23:$B$45&amp;"_"&amp;$C$23:$C$45,$D$23:$D$45)*$E246,18)</f>
        <v>18</v>
      </c>
      <c r="I246" s="67" cm="1">
        <f ca="1" t="array" ref="I246">MIN(30-SUM(J246:L246),6-L246,_xlfn.XLOOKUP($D246&amp;"_"&amp;I$61,$B$23:$B$45&amp;"_"&amp;$C$23:$C$45,$D$23:$D$45)*$E246)</f>
        <v>4.28626563747671</v>
      </c>
      <c r="J246" s="67" cm="1">
        <f ca="1" t="array" ref="J246">MIN(8,_xlfn.XLOOKUP($D246&amp;"_"&amp;J$61,$B$23:$B$45&amp;"_"&amp;$C$23:$C$45,$D$23:$D$45)*$E246)</f>
        <v>2.78607266435986</v>
      </c>
      <c r="K246" s="67" cm="1">
        <f ca="1" t="array" ref="K246">MIN(18,_xlfn.XLOOKUP($D246&amp;"_"&amp;K$61,$B$23:$B$45&amp;"_"&amp;$C$23:$C$45,$D$23:$D$45)*$E246)</f>
        <v>0.866778162245291</v>
      </c>
      <c r="L246" s="67" cm="1">
        <f ca="1" t="array" ref="L246">MIN(6,_xlfn.XLOOKUP($D246&amp;"_"&amp;L$61,$B$23:$B$45&amp;"_"&amp;$C$23:$C$45,$D$23:$D$45)*$E246)</f>
        <v>1.30016724336794</v>
      </c>
      <c r="M246" s="67" cm="1">
        <f ca="1" t="array" ref="M246">(1+SUMPRODUCT(G246:H246,OFFSET($H$49:$I$49,D246,0)))*(1+OFFSET($J$49,D246,0))^I246*(1+OFFSET($K$49,D246,0))^J246*(1+OFFSET($L$49,D246,0))^K246*(1+OFFSET($M$49,D246,0))^L246</f>
        <v>46.7378607427449</v>
      </c>
      <c r="N246" s="67">
        <f ca="1">MAX(MAX($N$62:N245),OFFSET($C$61,MATCH(M246*1.07,$M$62:$M$2061,1),0)-C246)</f>
        <v>2520</v>
      </c>
    </row>
    <row r="247" spans="2:14">
      <c r="B247" s="67">
        <v>186</v>
      </c>
      <c r="C247" s="67">
        <f t="shared" si="28"/>
        <v>66960</v>
      </c>
      <c r="D247" s="67">
        <f t="shared" si="24"/>
        <v>5</v>
      </c>
      <c r="E247" s="67">
        <f ca="1" t="shared" si="25"/>
        <v>216</v>
      </c>
      <c r="F247" s="67">
        <f ca="1" t="shared" si="26"/>
        <v>0</v>
      </c>
      <c r="G247" s="67">
        <f ca="1" t="shared" si="27"/>
        <v>2.71774287995742</v>
      </c>
      <c r="H247" s="67" cm="1">
        <f ca="1" t="array" ref="H247">MIN(30-SUM(I247:L247),_xlfn.XLOOKUP($D247&amp;"_"&amp;H$61,$B$23:$B$45&amp;"_"&amp;$C$23:$C$45,$D$23:$D$45)*$E247,18)</f>
        <v>18</v>
      </c>
      <c r="I247" s="67" cm="1">
        <f ca="1" t="array" ref="I247">MIN(30-SUM(J247:L247),6-L247,_xlfn.XLOOKUP($D247&amp;"_"&amp;I$61,$B$23:$B$45&amp;"_"&amp;$C$23:$C$45,$D$23:$D$45)*$E247)</f>
        <v>4.30620175672078</v>
      </c>
      <c r="J247" s="67" cm="1">
        <f ca="1" t="array" ref="J247">MIN(8,_xlfn.XLOOKUP($D247&amp;"_"&amp;J$61,$B$23:$B$45&amp;"_"&amp;$C$23:$C$45,$D$23:$D$45)*$E247)</f>
        <v>2.79903114186851</v>
      </c>
      <c r="K247" s="67" cm="1">
        <f ca="1" t="array" ref="K247">MIN(18,_xlfn.XLOOKUP($D247&amp;"_"&amp;K$61,$B$23:$B$45&amp;"_"&amp;$C$23:$C$45,$D$23:$D$45)*$E247)</f>
        <v>0.870809688581316</v>
      </c>
      <c r="L247" s="67" cm="1">
        <f ca="1" t="array" ref="L247">MIN(6,_xlfn.XLOOKUP($D247&amp;"_"&amp;L$61,$B$23:$B$45&amp;"_"&amp;$C$23:$C$45,$D$23:$D$45)*$E247)</f>
        <v>1.30621453287197</v>
      </c>
      <c r="M247" s="67" cm="1">
        <f ca="1" t="array" ref="M247">(1+SUMPRODUCT(G247:H247,OFFSET($H$49:$I$49,D247,0)))*(1+OFFSET($J$49,D247,0))^I247*(1+OFFSET($K$49,D247,0))^J247*(1+OFFSET($L$49,D247,0))^K247*(1+OFFSET($M$49,D247,0))^L247</f>
        <v>47.1799273009619</v>
      </c>
      <c r="N247" s="67">
        <f ca="1">MAX(MAX($N$62:N246),OFFSET($C$61,MATCH(M247*1.07,$M$62:$M$2061,1),0)-C247)</f>
        <v>2520</v>
      </c>
    </row>
    <row r="248" spans="2:14">
      <c r="B248" s="67">
        <v>187</v>
      </c>
      <c r="C248" s="67">
        <f t="shared" si="28"/>
        <v>67320</v>
      </c>
      <c r="D248" s="67">
        <f t="shared" si="24"/>
        <v>5</v>
      </c>
      <c r="E248" s="67">
        <f ca="1" t="shared" si="25"/>
        <v>217</v>
      </c>
      <c r="F248" s="67">
        <f ca="1" t="shared" si="26"/>
        <v>0</v>
      </c>
      <c r="G248" s="67">
        <f ca="1" t="shared" si="27"/>
        <v>2.67476946736463</v>
      </c>
      <c r="H248" s="67" cm="1">
        <f ca="1" t="array" ref="H248">MIN(30-SUM(I248:L248),_xlfn.XLOOKUP($D248&amp;"_"&amp;H$61,$B$23:$B$45&amp;"_"&amp;$C$23:$C$45,$D$23:$D$45)*$E248,18)</f>
        <v>18</v>
      </c>
      <c r="I248" s="67" cm="1">
        <f ca="1" t="array" ref="I248">MIN(30-SUM(J248:L248),6-L248,_xlfn.XLOOKUP($D248&amp;"_"&amp;I$61,$B$23:$B$45&amp;"_"&amp;$C$23:$C$45,$D$23:$D$45)*$E248)</f>
        <v>4.32613787596486</v>
      </c>
      <c r="J248" s="67" cm="1">
        <f ca="1" t="array" ref="J248">MIN(8,_xlfn.XLOOKUP($D248&amp;"_"&amp;J$61,$B$23:$B$45&amp;"_"&amp;$C$23:$C$45,$D$23:$D$45)*$E248)</f>
        <v>2.81198961937716</v>
      </c>
      <c r="K248" s="67" cm="1">
        <f ca="1" t="array" ref="K248">MIN(18,_xlfn.XLOOKUP($D248&amp;"_"&amp;K$61,$B$23:$B$45&amp;"_"&amp;$C$23:$C$45,$D$23:$D$45)*$E248)</f>
        <v>0.87484121491734</v>
      </c>
      <c r="L248" s="67" cm="1">
        <f ca="1" t="array" ref="L248">MIN(6,_xlfn.XLOOKUP($D248&amp;"_"&amp;L$61,$B$23:$B$45&amp;"_"&amp;$C$23:$C$45,$D$23:$D$45)*$E248)</f>
        <v>1.31226182237601</v>
      </c>
      <c r="M248" s="67" cm="1">
        <f ca="1" t="array" ref="M248">(1+SUMPRODUCT(G248:H248,OFFSET($H$49:$I$49,D248,0)))*(1+OFFSET($J$49,D248,0))^I248*(1+OFFSET($K$49,D248,0))^J248*(1+OFFSET($L$49,D248,0))^K248*(1+OFFSET($M$49,D248,0))^L248</f>
        <v>47.6261229215565</v>
      </c>
      <c r="N248" s="67">
        <f ca="1">MAX(MAX($N$62:N247),OFFSET($C$61,MATCH(M248*1.07,$M$62:$M$2061,1),0)-C248)</f>
        <v>2520</v>
      </c>
    </row>
    <row r="249" spans="2:14">
      <c r="B249" s="67">
        <v>188</v>
      </c>
      <c r="C249" s="67">
        <f t="shared" si="28"/>
        <v>67680</v>
      </c>
      <c r="D249" s="67">
        <f t="shared" si="24"/>
        <v>5</v>
      </c>
      <c r="E249" s="67">
        <f ca="1" t="shared" si="25"/>
        <v>218</v>
      </c>
      <c r="F249" s="67">
        <f ca="1" t="shared" si="26"/>
        <v>0</v>
      </c>
      <c r="G249" s="67">
        <f ca="1" t="shared" si="27"/>
        <v>2.63179605477184</v>
      </c>
      <c r="H249" s="67" cm="1">
        <f ca="1" t="array" ref="H249">MIN(30-SUM(I249:L249),_xlfn.XLOOKUP($D249&amp;"_"&amp;H$61,$B$23:$B$45&amp;"_"&amp;$C$23:$C$45,$D$23:$D$45)*$E249,18)</f>
        <v>18</v>
      </c>
      <c r="I249" s="67" cm="1">
        <f ca="1" t="array" ref="I249">MIN(30-SUM(J249:L249),6-L249,_xlfn.XLOOKUP($D249&amp;"_"&amp;I$61,$B$23:$B$45&amp;"_"&amp;$C$23:$C$45,$D$23:$D$45)*$E249)</f>
        <v>4.34607399520894</v>
      </c>
      <c r="J249" s="67" cm="1">
        <f ca="1" t="array" ref="J249">MIN(8,_xlfn.XLOOKUP($D249&amp;"_"&amp;J$61,$B$23:$B$45&amp;"_"&amp;$C$23:$C$45,$D$23:$D$45)*$E249)</f>
        <v>2.82494809688581</v>
      </c>
      <c r="K249" s="67" cm="1">
        <f ca="1" t="array" ref="K249">MIN(18,_xlfn.XLOOKUP($D249&amp;"_"&amp;K$61,$B$23:$B$45&amp;"_"&amp;$C$23:$C$45,$D$23:$D$45)*$E249)</f>
        <v>0.878872741253365</v>
      </c>
      <c r="L249" s="67" cm="1">
        <f ca="1" t="array" ref="L249">MIN(6,_xlfn.XLOOKUP($D249&amp;"_"&amp;L$61,$B$23:$B$45&amp;"_"&amp;$C$23:$C$45,$D$23:$D$45)*$E249)</f>
        <v>1.31830911188005</v>
      </c>
      <c r="M249" s="67" cm="1">
        <f ca="1" t="array" ref="M249">(1+SUMPRODUCT(G249:H249,OFFSET($H$49:$I$49,D249,0)))*(1+OFFSET($J$49,D249,0))^I249*(1+OFFSET($K$49,D249,0))^J249*(1+OFFSET($L$49,D249,0))^K249*(1+OFFSET($M$49,D249,0))^L249</f>
        <v>48.0764855613614</v>
      </c>
      <c r="N249" s="67">
        <f ca="1">MAX(MAX($N$62:N248),OFFSET($C$61,MATCH(M249*1.07,$M$62:$M$2061,1),0)-C249)</f>
        <v>2520</v>
      </c>
    </row>
    <row r="250" spans="2:14">
      <c r="B250" s="67">
        <v>189</v>
      </c>
      <c r="C250" s="67">
        <f t="shared" si="28"/>
        <v>68040</v>
      </c>
      <c r="D250" s="67">
        <f t="shared" si="24"/>
        <v>5</v>
      </c>
      <c r="E250" s="67">
        <f ca="1" t="shared" si="25"/>
        <v>219</v>
      </c>
      <c r="F250" s="67">
        <f ca="1" t="shared" si="26"/>
        <v>0</v>
      </c>
      <c r="G250" s="67">
        <f ca="1" t="shared" si="27"/>
        <v>2.58882264217905</v>
      </c>
      <c r="H250" s="67" cm="1">
        <f ca="1" t="array" ref="H250">MIN(30-SUM(I250:L250),_xlfn.XLOOKUP($D250&amp;"_"&amp;H$61,$B$23:$B$45&amp;"_"&amp;$C$23:$C$45,$D$23:$D$45)*$E250,18)</f>
        <v>18</v>
      </c>
      <c r="I250" s="67" cm="1">
        <f ca="1" t="array" ref="I250">MIN(30-SUM(J250:L250),6-L250,_xlfn.XLOOKUP($D250&amp;"_"&amp;I$61,$B$23:$B$45&amp;"_"&amp;$C$23:$C$45,$D$23:$D$45)*$E250)</f>
        <v>4.36601011445302</v>
      </c>
      <c r="J250" s="67" cm="1">
        <f ca="1" t="array" ref="J250">MIN(8,_xlfn.XLOOKUP($D250&amp;"_"&amp;J$61,$B$23:$B$45&amp;"_"&amp;$C$23:$C$45,$D$23:$D$45)*$E250)</f>
        <v>2.83790657439446</v>
      </c>
      <c r="K250" s="67" cm="1">
        <f ca="1" t="array" ref="K250">MIN(18,_xlfn.XLOOKUP($D250&amp;"_"&amp;K$61,$B$23:$B$45&amp;"_"&amp;$C$23:$C$45,$D$23:$D$45)*$E250)</f>
        <v>0.88290426758939</v>
      </c>
      <c r="L250" s="67" cm="1">
        <f ca="1" t="array" ref="L250">MIN(6,_xlfn.XLOOKUP($D250&amp;"_"&amp;L$61,$B$23:$B$45&amp;"_"&amp;$C$23:$C$45,$D$23:$D$45)*$E250)</f>
        <v>1.32435640138408</v>
      </c>
      <c r="M250" s="67" cm="1">
        <f ca="1" t="array" ref="M250">(1+SUMPRODUCT(G250:H250,OFFSET($H$49:$I$49,D250,0)))*(1+OFFSET($J$49,D250,0))^I250*(1+OFFSET($K$49,D250,0))^J250*(1+OFFSET($L$49,D250,0))^K250*(1+OFFSET($M$49,D250,0))^L250</f>
        <v>48.5310535189094</v>
      </c>
      <c r="N250" s="67">
        <f ca="1">MAX(MAX($N$62:N249),OFFSET($C$61,MATCH(M250*1.07,$M$62:$M$2061,1),0)-C250)</f>
        <v>2520</v>
      </c>
    </row>
    <row r="251" spans="2:14">
      <c r="B251" s="67">
        <v>190</v>
      </c>
      <c r="C251" s="67">
        <f t="shared" si="28"/>
        <v>68400</v>
      </c>
      <c r="D251" s="67">
        <f t="shared" si="24"/>
        <v>5</v>
      </c>
      <c r="E251" s="67">
        <f ca="1" t="shared" si="25"/>
        <v>220</v>
      </c>
      <c r="F251" s="67">
        <f ca="1" t="shared" si="26"/>
        <v>0</v>
      </c>
      <c r="G251" s="67">
        <f ca="1" t="shared" si="27"/>
        <v>2.54584922958626</v>
      </c>
      <c r="H251" s="67" cm="1">
        <f ca="1" t="array" ref="H251">MIN(30-SUM(I251:L251),_xlfn.XLOOKUP($D251&amp;"_"&amp;H$61,$B$23:$B$45&amp;"_"&amp;$C$23:$C$45,$D$23:$D$45)*$E251,18)</f>
        <v>18</v>
      </c>
      <c r="I251" s="67" cm="1">
        <f ca="1" t="array" ref="I251">MIN(30-SUM(J251:L251),6-L251,_xlfn.XLOOKUP($D251&amp;"_"&amp;I$61,$B$23:$B$45&amp;"_"&amp;$C$23:$C$45,$D$23:$D$45)*$E251)</f>
        <v>4.38594623369709</v>
      </c>
      <c r="J251" s="67" cm="1">
        <f ca="1" t="array" ref="J251">MIN(8,_xlfn.XLOOKUP($D251&amp;"_"&amp;J$61,$B$23:$B$45&amp;"_"&amp;$C$23:$C$45,$D$23:$D$45)*$E251)</f>
        <v>2.85086505190311</v>
      </c>
      <c r="K251" s="67" cm="1">
        <f ca="1" t="array" ref="K251">MIN(18,_xlfn.XLOOKUP($D251&amp;"_"&amp;K$61,$B$23:$B$45&amp;"_"&amp;$C$23:$C$45,$D$23:$D$45)*$E251)</f>
        <v>0.886935793925414</v>
      </c>
      <c r="L251" s="67" cm="1">
        <f ca="1" t="array" ref="L251">MIN(6,_xlfn.XLOOKUP($D251&amp;"_"&amp;L$61,$B$23:$B$45&amp;"_"&amp;$C$23:$C$45,$D$23:$D$45)*$E251)</f>
        <v>1.33040369088812</v>
      </c>
      <c r="M251" s="67" cm="1">
        <f ca="1" t="array" ref="M251">(1+SUMPRODUCT(G251:H251,OFFSET($H$49:$I$49,D251,0)))*(1+OFFSET($J$49,D251,0))^I251*(1+OFFSET($K$49,D251,0))^J251*(1+OFFSET($L$49,D251,0))^K251*(1+OFFSET($M$49,D251,0))^L251</f>
        <v>48.9898654374223</v>
      </c>
      <c r="N251" s="67">
        <f ca="1">MAX(MAX($N$62:N250),OFFSET($C$61,MATCH(M251*1.07,$M$62:$M$2061,1),0)-C251)</f>
        <v>2520</v>
      </c>
    </row>
    <row r="252" spans="2:14">
      <c r="B252" s="67">
        <v>191</v>
      </c>
      <c r="C252" s="67">
        <f t="shared" si="28"/>
        <v>68760</v>
      </c>
      <c r="D252" s="67">
        <f t="shared" si="24"/>
        <v>5</v>
      </c>
      <c r="E252" s="67">
        <f ca="1" t="shared" si="25"/>
        <v>221</v>
      </c>
      <c r="F252" s="67">
        <f ca="1" t="shared" si="26"/>
        <v>0</v>
      </c>
      <c r="G252" s="67">
        <f ca="1" t="shared" si="27"/>
        <v>2.50287581699347</v>
      </c>
      <c r="H252" s="67" cm="1">
        <f ca="1" t="array" ref="H252">MIN(30-SUM(I252:L252),_xlfn.XLOOKUP($D252&amp;"_"&amp;H$61,$B$23:$B$45&amp;"_"&amp;$C$23:$C$45,$D$23:$D$45)*$E252,18)</f>
        <v>18</v>
      </c>
      <c r="I252" s="67" cm="1">
        <f ca="1" t="array" ref="I252">MIN(30-SUM(J252:L252),6-L252,_xlfn.XLOOKUP($D252&amp;"_"&amp;I$61,$B$23:$B$45&amp;"_"&amp;$C$23:$C$45,$D$23:$D$45)*$E252)</f>
        <v>4.40588235294117</v>
      </c>
      <c r="J252" s="67" cm="1">
        <f ca="1" t="array" ref="J252">MIN(8,_xlfn.XLOOKUP($D252&amp;"_"&amp;J$61,$B$23:$B$45&amp;"_"&amp;$C$23:$C$45,$D$23:$D$45)*$E252)</f>
        <v>2.86382352941176</v>
      </c>
      <c r="K252" s="67" cm="1">
        <f ca="1" t="array" ref="K252">MIN(18,_xlfn.XLOOKUP($D252&amp;"_"&amp;K$61,$B$23:$B$45&amp;"_"&amp;$C$23:$C$45,$D$23:$D$45)*$E252)</f>
        <v>0.890967320261439</v>
      </c>
      <c r="L252" s="67" cm="1">
        <f ca="1" t="array" ref="L252">MIN(6,_xlfn.XLOOKUP($D252&amp;"_"&amp;L$61,$B$23:$B$45&amp;"_"&amp;$C$23:$C$45,$D$23:$D$45)*$E252)</f>
        <v>1.33645098039216</v>
      </c>
      <c r="M252" s="67" cm="1">
        <f ca="1" t="array" ref="M252">(1+SUMPRODUCT(G252:H252,OFFSET($H$49:$I$49,D252,0)))*(1+OFFSET($J$49,D252,0))^I252*(1+OFFSET($K$49,D252,0))^J252*(1+OFFSET($L$49,D252,0))^K252*(1+OFFSET($M$49,D252,0))^L252</f>
        <v>49.4529603078252</v>
      </c>
      <c r="N252" s="67">
        <f ca="1">MAX(MAX($N$62:N251),OFFSET($C$61,MATCH(M252*1.07,$M$62:$M$2061,1),0)-C252)</f>
        <v>2520</v>
      </c>
    </row>
    <row r="253" spans="2:14">
      <c r="B253" s="67">
        <v>192</v>
      </c>
      <c r="C253" s="67">
        <f t="shared" si="28"/>
        <v>69120</v>
      </c>
      <c r="D253" s="67">
        <f t="shared" si="24"/>
        <v>5</v>
      </c>
      <c r="E253" s="67">
        <f ca="1" t="shared" si="25"/>
        <v>222</v>
      </c>
      <c r="F253" s="67">
        <f ca="1" t="shared" si="26"/>
        <v>0</v>
      </c>
      <c r="G253" s="67">
        <f ca="1" t="shared" si="27"/>
        <v>2.45990240440068</v>
      </c>
      <c r="H253" s="67" cm="1">
        <f ca="1" t="array" ref="H253">MIN(30-SUM(I253:L253),_xlfn.XLOOKUP($D253&amp;"_"&amp;H$61,$B$23:$B$45&amp;"_"&amp;$C$23:$C$45,$D$23:$D$45)*$E253,18)</f>
        <v>18</v>
      </c>
      <c r="I253" s="67" cm="1">
        <f ca="1" t="array" ref="I253">MIN(30-SUM(J253:L253),6-L253,_xlfn.XLOOKUP($D253&amp;"_"&amp;I$61,$B$23:$B$45&amp;"_"&amp;$C$23:$C$45,$D$23:$D$45)*$E253)</f>
        <v>4.42581847218525</v>
      </c>
      <c r="J253" s="67" cm="1">
        <f ca="1" t="array" ref="J253">MIN(8,_xlfn.XLOOKUP($D253&amp;"_"&amp;J$61,$B$23:$B$45&amp;"_"&amp;$C$23:$C$45,$D$23:$D$45)*$E253)</f>
        <v>2.87678200692041</v>
      </c>
      <c r="K253" s="67" cm="1">
        <f ca="1" t="array" ref="K253">MIN(18,_xlfn.XLOOKUP($D253&amp;"_"&amp;K$61,$B$23:$B$45&amp;"_"&amp;$C$23:$C$45,$D$23:$D$45)*$E253)</f>
        <v>0.894998846597463</v>
      </c>
      <c r="L253" s="67" cm="1">
        <f ca="1" t="array" ref="L253">MIN(6,_xlfn.XLOOKUP($D253&amp;"_"&amp;L$61,$B$23:$B$45&amp;"_"&amp;$C$23:$C$45,$D$23:$D$45)*$E253)</f>
        <v>1.34249826989619</v>
      </c>
      <c r="M253" s="67" cm="1">
        <f ca="1" t="array" ref="M253">(1+SUMPRODUCT(G253:H253,OFFSET($H$49:$I$49,D253,0)))*(1+OFFSET($J$49,D253,0))^I253*(1+OFFSET($K$49,D253,0))^J253*(1+OFFSET($L$49,D253,0))^K253*(1+OFFSET($M$49,D253,0))^L253</f>
        <v>49.9203774717861</v>
      </c>
      <c r="N253" s="67">
        <f ca="1">MAX(MAX($N$62:N252),OFFSET($C$61,MATCH(M253*1.07,$M$62:$M$2061,1),0)-C253)</f>
        <v>2520</v>
      </c>
    </row>
    <row r="254" spans="2:14">
      <c r="B254" s="67">
        <v>193</v>
      </c>
      <c r="C254" s="67">
        <f t="shared" si="28"/>
        <v>69480</v>
      </c>
      <c r="D254" s="67">
        <f t="shared" si="24"/>
        <v>5</v>
      </c>
      <c r="E254" s="67">
        <f ca="1" t="shared" si="25"/>
        <v>223</v>
      </c>
      <c r="F254" s="67">
        <f ca="1" t="shared" si="26"/>
        <v>0</v>
      </c>
      <c r="G254" s="67">
        <f ca="1" t="shared" si="27"/>
        <v>2.41692899180789</v>
      </c>
      <c r="H254" s="67" cm="1">
        <f ca="1" t="array" ref="H254">MIN(30-SUM(I254:L254),_xlfn.XLOOKUP($D254&amp;"_"&amp;H$61,$B$23:$B$45&amp;"_"&amp;$C$23:$C$45,$D$23:$D$45)*$E254,18)</f>
        <v>18</v>
      </c>
      <c r="I254" s="67" cm="1">
        <f ca="1" t="array" ref="I254">MIN(30-SUM(J254:L254),6-L254,_xlfn.XLOOKUP($D254&amp;"_"&amp;I$61,$B$23:$B$45&amp;"_"&amp;$C$23:$C$45,$D$23:$D$45)*$E254)</f>
        <v>4.44575459142933</v>
      </c>
      <c r="J254" s="67" cm="1">
        <f ca="1" t="array" ref="J254">MIN(8,_xlfn.XLOOKUP($D254&amp;"_"&amp;J$61,$B$23:$B$45&amp;"_"&amp;$C$23:$C$45,$D$23:$D$45)*$E254)</f>
        <v>2.88974048442906</v>
      </c>
      <c r="K254" s="67" cm="1">
        <f ca="1" t="array" ref="K254">MIN(18,_xlfn.XLOOKUP($D254&amp;"_"&amp;K$61,$B$23:$B$45&amp;"_"&amp;$C$23:$C$45,$D$23:$D$45)*$E254)</f>
        <v>0.899030372933488</v>
      </c>
      <c r="L254" s="67" cm="1">
        <f ca="1" t="array" ref="L254">MIN(6,_xlfn.XLOOKUP($D254&amp;"_"&amp;L$61,$B$23:$B$45&amp;"_"&amp;$C$23:$C$45,$D$23:$D$45)*$E254)</f>
        <v>1.34854555940023</v>
      </c>
      <c r="M254" s="67" cm="1">
        <f ca="1" t="array" ref="M254">(1+SUMPRODUCT(G254:H254,OFFSET($H$49:$I$49,D254,0)))*(1+OFFSET($J$49,D254,0))^I254*(1+OFFSET($K$49,D254,0))^J254*(1+OFFSET($L$49,D254,0))^K254*(1+OFFSET($M$49,D254,0))^L254</f>
        <v>50.392156624781</v>
      </c>
      <c r="N254" s="67">
        <f ca="1">MAX(MAX($N$62:N253),OFFSET($C$61,MATCH(M254*1.07,$M$62:$M$2061,1),0)-C254)</f>
        <v>2520</v>
      </c>
    </row>
    <row r="255" spans="2:14">
      <c r="B255" s="67">
        <v>194</v>
      </c>
      <c r="C255" s="67">
        <f t="shared" si="28"/>
        <v>69840</v>
      </c>
      <c r="D255" s="67">
        <f t="shared" ref="D255:D318" si="29">_xlfn.XLOOKUP("非R",$B$49:$B$54,$C$49:$C$54)</f>
        <v>5</v>
      </c>
      <c r="E255" s="67">
        <f ca="1" t="shared" ref="E255:E318" si="30">INT(C255/_xlfn.XLOOKUP(D255,$R$14:$R$21,$S$14:$S$21))+OFFSET($R$49,D255,0)</f>
        <v>224</v>
      </c>
      <c r="F255" s="67">
        <f ca="1" t="shared" si="26"/>
        <v>0</v>
      </c>
      <c r="G255" s="67">
        <f ca="1" t="shared" si="27"/>
        <v>2.3739555792151</v>
      </c>
      <c r="H255" s="67" cm="1">
        <f ca="1" t="array" ref="H255">MIN(30-SUM(I255:L255),_xlfn.XLOOKUP($D255&amp;"_"&amp;H$61,$B$23:$B$45&amp;"_"&amp;$C$23:$C$45,$D$23:$D$45)*$E255,18)</f>
        <v>18</v>
      </c>
      <c r="I255" s="67" cm="1">
        <f ca="1" t="array" ref="I255">MIN(30-SUM(J255:L255),6-L255,_xlfn.XLOOKUP($D255&amp;"_"&amp;I$61,$B$23:$B$45&amp;"_"&amp;$C$23:$C$45,$D$23:$D$45)*$E255)</f>
        <v>4.4656907106734</v>
      </c>
      <c r="J255" s="67" cm="1">
        <f ca="1" t="array" ref="J255">MIN(8,_xlfn.XLOOKUP($D255&amp;"_"&amp;J$61,$B$23:$B$45&amp;"_"&amp;$C$23:$C$45,$D$23:$D$45)*$E255)</f>
        <v>2.90269896193771</v>
      </c>
      <c r="K255" s="67" cm="1">
        <f ca="1" t="array" ref="K255">MIN(18,_xlfn.XLOOKUP($D255&amp;"_"&amp;K$61,$B$23:$B$45&amp;"_"&amp;$C$23:$C$45,$D$23:$D$45)*$E255)</f>
        <v>0.903061899269513</v>
      </c>
      <c r="L255" s="67" cm="1">
        <f ca="1" t="array" ref="L255">MIN(6,_xlfn.XLOOKUP($D255&amp;"_"&amp;L$61,$B$23:$B$45&amp;"_"&amp;$C$23:$C$45,$D$23:$D$45)*$E255)</f>
        <v>1.35459284890427</v>
      </c>
      <c r="M255" s="67" cm="1">
        <f ca="1" t="array" ref="M255">(1+SUMPRODUCT(G255:H255,OFFSET($H$49:$I$49,D255,0)))*(1+OFFSET($J$49,D255,0))^I255*(1+OFFSET($K$49,D255,0))^J255*(1+OFFSET($L$49,D255,0))^K255*(1+OFFSET($M$49,D255,0))^L255</f>
        <v>50.8683378191845</v>
      </c>
      <c r="N255" s="67">
        <f ca="1">MAX(MAX($N$62:N254),OFFSET($C$61,MATCH(M255*1.07,$M$62:$M$2061,1),0)-C255)</f>
        <v>2520</v>
      </c>
    </row>
    <row r="256" spans="2:14">
      <c r="B256" s="67">
        <v>195</v>
      </c>
      <c r="C256" s="67">
        <f t="shared" si="28"/>
        <v>70200</v>
      </c>
      <c r="D256" s="67">
        <f t="shared" si="29"/>
        <v>5</v>
      </c>
      <c r="E256" s="67">
        <f ca="1" t="shared" si="30"/>
        <v>225</v>
      </c>
      <c r="F256" s="67">
        <f ca="1" t="shared" ref="F256:F319" si="31">30-SUM(G256:L256)</f>
        <v>0</v>
      </c>
      <c r="G256" s="67">
        <f ca="1" t="shared" ref="G256:G319" si="32">30-SUM(H256:L256)</f>
        <v>2.33098216662231</v>
      </c>
      <c r="H256" s="67" cm="1">
        <f ca="1" t="array" ref="H256">MIN(30-SUM(I256:L256),_xlfn.XLOOKUP($D256&amp;"_"&amp;H$61,$B$23:$B$45&amp;"_"&amp;$C$23:$C$45,$D$23:$D$45)*$E256,18)</f>
        <v>18</v>
      </c>
      <c r="I256" s="67" cm="1">
        <f ca="1" t="array" ref="I256">MIN(30-SUM(J256:L256),6-L256,_xlfn.XLOOKUP($D256&amp;"_"&amp;I$61,$B$23:$B$45&amp;"_"&amp;$C$23:$C$45,$D$23:$D$45)*$E256)</f>
        <v>4.48562682991748</v>
      </c>
      <c r="J256" s="67" cm="1">
        <f ca="1" t="array" ref="J256">MIN(8,_xlfn.XLOOKUP($D256&amp;"_"&amp;J$61,$B$23:$B$45&amp;"_"&amp;$C$23:$C$45,$D$23:$D$45)*$E256)</f>
        <v>2.91565743944636</v>
      </c>
      <c r="K256" s="67" cm="1">
        <f ca="1" t="array" ref="K256">MIN(18,_xlfn.XLOOKUP($D256&amp;"_"&amp;K$61,$B$23:$B$45&amp;"_"&amp;$C$23:$C$45,$D$23:$D$45)*$E256)</f>
        <v>0.907093425605537</v>
      </c>
      <c r="L256" s="67" cm="1">
        <f ca="1" t="array" ref="L256">MIN(6,_xlfn.XLOOKUP($D256&amp;"_"&amp;L$61,$B$23:$B$45&amp;"_"&amp;$C$23:$C$45,$D$23:$D$45)*$E256)</f>
        <v>1.3606401384083</v>
      </c>
      <c r="M256" s="67" cm="1">
        <f ca="1" t="array" ref="M256">(1+SUMPRODUCT(G256:H256,OFFSET($H$49:$I$49,D256,0)))*(1+OFFSET($J$49,D256,0))^I256*(1+OFFSET($K$49,D256,0))^J256*(1+OFFSET($L$49,D256,0))^K256*(1+OFFSET($M$49,D256,0))^L256</f>
        <v>51.3489614673867</v>
      </c>
      <c r="N256" s="67">
        <f ca="1">MAX(MAX($N$62:N255),OFFSET($C$61,MATCH(M256*1.07,$M$62:$M$2061,1),0)-C256)</f>
        <v>2880</v>
      </c>
    </row>
    <row r="257" spans="2:14">
      <c r="B257" s="67">
        <v>196</v>
      </c>
      <c r="C257" s="67">
        <f t="shared" si="28"/>
        <v>70560</v>
      </c>
      <c r="D257" s="67">
        <f t="shared" si="29"/>
        <v>5</v>
      </c>
      <c r="E257" s="67">
        <f ca="1" t="shared" si="30"/>
        <v>226</v>
      </c>
      <c r="F257" s="67">
        <f ca="1" t="shared" si="31"/>
        <v>0</v>
      </c>
      <c r="G257" s="67">
        <f ca="1" t="shared" si="32"/>
        <v>2.28800875402952</v>
      </c>
      <c r="H257" s="67" cm="1">
        <f ca="1" t="array" ref="H257">MIN(30-SUM(I257:L257),_xlfn.XLOOKUP($D257&amp;"_"&amp;H$61,$B$23:$B$45&amp;"_"&amp;$C$23:$C$45,$D$23:$D$45)*$E257,18)</f>
        <v>18</v>
      </c>
      <c r="I257" s="67" cm="1">
        <f ca="1" t="array" ref="I257">MIN(30-SUM(J257:L257),6-L257,_xlfn.XLOOKUP($D257&amp;"_"&amp;I$61,$B$23:$B$45&amp;"_"&amp;$C$23:$C$45,$D$23:$D$45)*$E257)</f>
        <v>4.50556294916156</v>
      </c>
      <c r="J257" s="67" cm="1">
        <f ca="1" t="array" ref="J257">MIN(8,_xlfn.XLOOKUP($D257&amp;"_"&amp;J$61,$B$23:$B$45&amp;"_"&amp;$C$23:$C$45,$D$23:$D$45)*$E257)</f>
        <v>2.92861591695501</v>
      </c>
      <c r="K257" s="67" cm="1">
        <f ca="1" t="array" ref="K257">MIN(18,_xlfn.XLOOKUP($D257&amp;"_"&amp;K$61,$B$23:$B$45&amp;"_"&amp;$C$23:$C$45,$D$23:$D$45)*$E257)</f>
        <v>0.911124951941562</v>
      </c>
      <c r="L257" s="67" cm="1">
        <f ca="1" t="array" ref="L257">MIN(6,_xlfn.XLOOKUP($D257&amp;"_"&amp;L$61,$B$23:$B$45&amp;"_"&amp;$C$23:$C$45,$D$23:$D$45)*$E257)</f>
        <v>1.36668742791234</v>
      </c>
      <c r="M257" s="67" cm="1">
        <f ca="1" t="array" ref="M257">(1+SUMPRODUCT(G257:H257,OFFSET($H$49:$I$49,D257,0)))*(1+OFFSET($J$49,D257,0))^I257*(1+OFFSET($K$49,D257,0))^J257*(1+OFFSET($L$49,D257,0))^K257*(1+OFFSET($M$49,D257,0))^L257</f>
        <v>51.8340683449358</v>
      </c>
      <c r="N257" s="67">
        <f ca="1">MAX(MAX($N$62:N256),OFFSET($C$61,MATCH(M257*1.07,$M$62:$M$2061,1),0)-C257)</f>
        <v>3240</v>
      </c>
    </row>
    <row r="258" spans="2:14">
      <c r="B258" s="67">
        <v>197</v>
      </c>
      <c r="C258" s="67">
        <f t="shared" si="28"/>
        <v>70920</v>
      </c>
      <c r="D258" s="67">
        <f t="shared" si="29"/>
        <v>5</v>
      </c>
      <c r="E258" s="67">
        <f ca="1" t="shared" si="30"/>
        <v>227</v>
      </c>
      <c r="F258" s="67">
        <f ca="1" t="shared" si="31"/>
        <v>0</v>
      </c>
      <c r="G258" s="67">
        <f ca="1" t="shared" si="32"/>
        <v>2.24503534143673</v>
      </c>
      <c r="H258" s="67" cm="1">
        <f ca="1" t="array" ref="H258">MIN(30-SUM(I258:L258),_xlfn.XLOOKUP($D258&amp;"_"&amp;H$61,$B$23:$B$45&amp;"_"&amp;$C$23:$C$45,$D$23:$D$45)*$E258,18)</f>
        <v>18</v>
      </c>
      <c r="I258" s="67" cm="1">
        <f ca="1" t="array" ref="I258">MIN(30-SUM(J258:L258),6-L258,_xlfn.XLOOKUP($D258&amp;"_"&amp;I$61,$B$23:$B$45&amp;"_"&amp;$C$23:$C$45,$D$23:$D$45)*$E258)</f>
        <v>4.52549906840564</v>
      </c>
      <c r="J258" s="67" cm="1">
        <f ca="1" t="array" ref="J258">MIN(8,_xlfn.XLOOKUP($D258&amp;"_"&amp;J$61,$B$23:$B$45&amp;"_"&amp;$C$23:$C$45,$D$23:$D$45)*$E258)</f>
        <v>2.94157439446366</v>
      </c>
      <c r="K258" s="67" cm="1">
        <f ca="1" t="array" ref="K258">MIN(18,_xlfn.XLOOKUP($D258&amp;"_"&amp;K$61,$B$23:$B$45&amp;"_"&amp;$C$23:$C$45,$D$23:$D$45)*$E258)</f>
        <v>0.915156478277586</v>
      </c>
      <c r="L258" s="67" cm="1">
        <f ca="1" t="array" ref="L258">MIN(6,_xlfn.XLOOKUP($D258&amp;"_"&amp;L$61,$B$23:$B$45&amp;"_"&amp;$C$23:$C$45,$D$23:$D$45)*$E258)</f>
        <v>1.37273471741638</v>
      </c>
      <c r="M258" s="67" cm="1">
        <f ca="1" t="array" ref="M258">(1+SUMPRODUCT(G258:H258,OFFSET($H$49:$I$49,D258,0)))*(1+OFFSET($J$49,D258,0))^I258*(1+OFFSET($K$49,D258,0))^J258*(1+OFFSET($L$49,D258,0))^K258*(1+OFFSET($M$49,D258,0))^L258</f>
        <v>52.3236995937068</v>
      </c>
      <c r="N258" s="67">
        <f ca="1">MAX(MAX($N$62:N257),OFFSET($C$61,MATCH(M258*1.07,$M$62:$M$2061,1),0)-C258)</f>
        <v>3960</v>
      </c>
    </row>
    <row r="259" spans="2:14">
      <c r="B259" s="67">
        <v>198</v>
      </c>
      <c r="C259" s="67">
        <f t="shared" si="28"/>
        <v>71280</v>
      </c>
      <c r="D259" s="67">
        <f t="shared" si="29"/>
        <v>5</v>
      </c>
      <c r="E259" s="67">
        <f ca="1" t="shared" si="30"/>
        <v>228</v>
      </c>
      <c r="F259" s="67">
        <f ca="1" t="shared" si="31"/>
        <v>0</v>
      </c>
      <c r="G259" s="67">
        <f ca="1" t="shared" si="32"/>
        <v>2.20206192884394</v>
      </c>
      <c r="H259" s="67" cm="1">
        <f ca="1" t="array" ref="H259">MIN(30-SUM(I259:L259),_xlfn.XLOOKUP($D259&amp;"_"&amp;H$61,$B$23:$B$45&amp;"_"&amp;$C$23:$C$45,$D$23:$D$45)*$E259,18)</f>
        <v>18</v>
      </c>
      <c r="I259" s="67" cm="1">
        <f ca="1" t="array" ref="I259">MIN(30-SUM(J259:L259),6-L259,_xlfn.XLOOKUP($D259&amp;"_"&amp;I$61,$B$23:$B$45&amp;"_"&amp;$C$23:$C$45,$D$23:$D$45)*$E259)</f>
        <v>4.54543518764972</v>
      </c>
      <c r="J259" s="67" cm="1">
        <f ca="1" t="array" ref="J259">MIN(8,_xlfn.XLOOKUP($D259&amp;"_"&amp;J$61,$B$23:$B$45&amp;"_"&amp;$C$23:$C$45,$D$23:$D$45)*$E259)</f>
        <v>2.95453287197231</v>
      </c>
      <c r="K259" s="67" cm="1">
        <f ca="1" t="array" ref="K259">MIN(18,_xlfn.XLOOKUP($D259&amp;"_"&amp;K$61,$B$23:$B$45&amp;"_"&amp;$C$23:$C$45,$D$23:$D$45)*$E259)</f>
        <v>0.919188004613611</v>
      </c>
      <c r="L259" s="67" cm="1">
        <f ca="1" t="array" ref="L259">MIN(6,_xlfn.XLOOKUP($D259&amp;"_"&amp;L$61,$B$23:$B$45&amp;"_"&amp;$C$23:$C$45,$D$23:$D$45)*$E259)</f>
        <v>1.37878200692042</v>
      </c>
      <c r="M259" s="67" cm="1">
        <f ca="1" t="array" ref="M259">(1+SUMPRODUCT(G259:H259,OFFSET($H$49:$I$49,D259,0)))*(1+OFFSET($J$49,D259,0))^I259*(1+OFFSET($K$49,D259,0))^J259*(1+OFFSET($L$49,D259,0))^K259*(1+OFFSET($M$49,D259,0))^L259</f>
        <v>52.8178967250975</v>
      </c>
      <c r="N259" s="67">
        <f ca="1">MAX(MAX($N$62:N258),OFFSET($C$61,MATCH(M259*1.07,$M$62:$M$2061,1),0)-C259)</f>
        <v>4320</v>
      </c>
    </row>
    <row r="260" spans="2:14">
      <c r="B260" s="67">
        <v>199</v>
      </c>
      <c r="C260" s="67">
        <f t="shared" si="28"/>
        <v>71640</v>
      </c>
      <c r="D260" s="67">
        <f t="shared" si="29"/>
        <v>5</v>
      </c>
      <c r="E260" s="67">
        <f ca="1" t="shared" si="30"/>
        <v>229</v>
      </c>
      <c r="F260" s="67">
        <f ca="1" t="shared" si="31"/>
        <v>0</v>
      </c>
      <c r="G260" s="67">
        <f ca="1" t="shared" si="32"/>
        <v>2.15908851625115</v>
      </c>
      <c r="H260" s="67" cm="1">
        <f ca="1" t="array" ref="H260">MIN(30-SUM(I260:L260),_xlfn.XLOOKUP($D260&amp;"_"&amp;H$61,$B$23:$B$45&amp;"_"&amp;$C$23:$C$45,$D$23:$D$45)*$E260,18)</f>
        <v>18</v>
      </c>
      <c r="I260" s="67" cm="1">
        <f ca="1" t="array" ref="I260">MIN(30-SUM(J260:L260),6-L260,_xlfn.XLOOKUP($D260&amp;"_"&amp;I$61,$B$23:$B$45&amp;"_"&amp;$C$23:$C$45,$D$23:$D$45)*$E260)</f>
        <v>4.56537130689379</v>
      </c>
      <c r="J260" s="67" cm="1">
        <f ca="1" t="array" ref="J260">MIN(8,_xlfn.XLOOKUP($D260&amp;"_"&amp;J$61,$B$23:$B$45&amp;"_"&amp;$C$23:$C$45,$D$23:$D$45)*$E260)</f>
        <v>2.96749134948096</v>
      </c>
      <c r="K260" s="67" cm="1">
        <f ca="1" t="array" ref="K260">MIN(18,_xlfn.XLOOKUP($D260&amp;"_"&amp;K$61,$B$23:$B$45&amp;"_"&amp;$C$23:$C$45,$D$23:$D$45)*$E260)</f>
        <v>0.923219530949636</v>
      </c>
      <c r="L260" s="67" cm="1">
        <f ca="1" t="array" ref="L260">MIN(6,_xlfn.XLOOKUP($D260&amp;"_"&amp;L$61,$B$23:$B$45&amp;"_"&amp;$C$23:$C$45,$D$23:$D$45)*$E260)</f>
        <v>1.38482929642445</v>
      </c>
      <c r="M260" s="67" cm="1">
        <f ca="1" t="array" ref="M260">(1+SUMPRODUCT(G260:H260,OFFSET($H$49:$I$49,D260,0)))*(1+OFFSET($J$49,D260,0))^I260*(1+OFFSET($K$49,D260,0))^J260*(1+OFFSET($L$49,D260,0))^K260*(1+OFFSET($M$49,D260,0))^L260</f>
        <v>53.3167016232501</v>
      </c>
      <c r="N260" s="67">
        <f ca="1">MAX(MAX($N$62:N259),OFFSET($C$61,MATCH(M260*1.07,$M$62:$M$2061,1),0)-C260)</f>
        <v>4680</v>
      </c>
    </row>
    <row r="261" spans="2:14">
      <c r="B261" s="67">
        <v>200</v>
      </c>
      <c r="C261" s="67">
        <f t="shared" si="28"/>
        <v>72000</v>
      </c>
      <c r="D261" s="67">
        <f t="shared" si="29"/>
        <v>5</v>
      </c>
      <c r="E261" s="67">
        <f ca="1" t="shared" si="30"/>
        <v>230</v>
      </c>
      <c r="F261" s="67">
        <f ca="1" t="shared" si="31"/>
        <v>0</v>
      </c>
      <c r="G261" s="67">
        <f ca="1" t="shared" si="32"/>
        <v>2.11611510365837</v>
      </c>
      <c r="H261" s="67" cm="1">
        <f ca="1" t="array" ref="H261">MIN(30-SUM(I261:L261),_xlfn.XLOOKUP($D261&amp;"_"&amp;H$61,$B$23:$B$45&amp;"_"&amp;$C$23:$C$45,$D$23:$D$45)*$E261,18)</f>
        <v>18</v>
      </c>
      <c r="I261" s="67" cm="1">
        <f ca="1" t="array" ref="I261">MIN(30-SUM(J261:L261),6-L261,_xlfn.XLOOKUP($D261&amp;"_"&amp;I$61,$B$23:$B$45&amp;"_"&amp;$C$23:$C$45,$D$23:$D$45)*$E261)</f>
        <v>4.58530742613787</v>
      </c>
      <c r="J261" s="67" cm="1">
        <f ca="1" t="array" ref="J261">MIN(8,_xlfn.XLOOKUP($D261&amp;"_"&amp;J$61,$B$23:$B$45&amp;"_"&amp;$C$23:$C$45,$D$23:$D$45)*$E261)</f>
        <v>2.98044982698961</v>
      </c>
      <c r="K261" s="67" cm="1">
        <f ca="1" t="array" ref="K261">MIN(18,_xlfn.XLOOKUP($D261&amp;"_"&amp;K$61,$B$23:$B$45&amp;"_"&amp;$C$23:$C$45,$D$23:$D$45)*$E261)</f>
        <v>0.92725105728566</v>
      </c>
      <c r="L261" s="67" cm="1">
        <f ca="1" t="array" ref="L261">MIN(6,_xlfn.XLOOKUP($D261&amp;"_"&amp;L$61,$B$23:$B$45&amp;"_"&amp;$C$23:$C$45,$D$23:$D$45)*$E261)</f>
        <v>1.39087658592849</v>
      </c>
      <c r="M261" s="67" cm="1">
        <f ca="1" t="array" ref="M261">(1+SUMPRODUCT(G261:H261,OFFSET($H$49:$I$49,D261,0)))*(1+OFFSET($J$49,D261,0))^I261*(1+OFFSET($K$49,D261,0))^J261*(1+OFFSET($L$49,D261,0))^K261*(1+OFFSET($M$49,D261,0))^L261</f>
        <v>53.8201565483009</v>
      </c>
      <c r="N261" s="67">
        <f ca="1">MAX(MAX($N$62:N260),OFFSET($C$61,MATCH(M261*1.07,$M$62:$M$2061,1),0)-C261)</f>
        <v>5040</v>
      </c>
    </row>
    <row r="262" spans="2:14">
      <c r="B262" s="67">
        <v>201</v>
      </c>
      <c r="C262" s="67">
        <f t="shared" si="28"/>
        <v>72360</v>
      </c>
      <c r="D262" s="67">
        <f t="shared" si="29"/>
        <v>5</v>
      </c>
      <c r="E262" s="67">
        <f ca="1" t="shared" si="30"/>
        <v>231</v>
      </c>
      <c r="F262" s="67">
        <f ca="1" t="shared" si="31"/>
        <v>0</v>
      </c>
      <c r="G262" s="67">
        <f ca="1" t="shared" si="32"/>
        <v>2.07530911188005</v>
      </c>
      <c r="H262" s="67" cm="1">
        <f ca="1" t="array" ref="H262">MIN(30-SUM(I262:L262),_xlfn.XLOOKUP($D262&amp;"_"&amp;H$61,$B$23:$B$45&amp;"_"&amp;$C$23:$C$45,$D$23:$D$45)*$E262,18)</f>
        <v>18</v>
      </c>
      <c r="I262" s="67" cm="1">
        <f ca="1" t="array" ref="I262">MIN(30-SUM(J262:L262),6-L262,_xlfn.XLOOKUP($D262&amp;"_"&amp;I$61,$B$23:$B$45&amp;"_"&amp;$C$23:$C$45,$D$23:$D$45)*$E262)</f>
        <v>4.60307612456747</v>
      </c>
      <c r="J262" s="67" cm="1">
        <f ca="1" t="array" ref="J262">MIN(8,_xlfn.XLOOKUP($D262&amp;"_"&amp;J$61,$B$23:$B$45&amp;"_"&amp;$C$23:$C$45,$D$23:$D$45)*$E262)</f>
        <v>2.99340830449827</v>
      </c>
      <c r="K262" s="67" cm="1">
        <f ca="1" t="array" ref="K262">MIN(18,_xlfn.XLOOKUP($D262&amp;"_"&amp;K$61,$B$23:$B$45&amp;"_"&amp;$C$23:$C$45,$D$23:$D$45)*$E262)</f>
        <v>0.931282583621685</v>
      </c>
      <c r="L262" s="67" cm="1">
        <f ca="1" t="array" ref="L262">MIN(6,_xlfn.XLOOKUP($D262&amp;"_"&amp;L$61,$B$23:$B$45&amp;"_"&amp;$C$23:$C$45,$D$23:$D$45)*$E262)</f>
        <v>1.39692387543253</v>
      </c>
      <c r="M262" s="67" cm="1">
        <f ca="1" t="array" ref="M262">(1+SUMPRODUCT(G262:H262,OFFSET($H$49:$I$49,D262,0)))*(1+OFFSET($J$49,D262,0))^I262*(1+OFFSET($K$49,D262,0))^J262*(1+OFFSET($L$49,D262,0))^K262*(1+OFFSET($M$49,D262,0))^L262</f>
        <v>54.3049476115758</v>
      </c>
      <c r="N262" s="67">
        <f ca="1">MAX(MAX($N$62:N261),OFFSET($C$61,MATCH(M262*1.07,$M$62:$M$2061,1),0)-C262)</f>
        <v>5400</v>
      </c>
    </row>
    <row r="263" spans="2:14">
      <c r="B263" s="67">
        <v>202</v>
      </c>
      <c r="C263" s="67">
        <f t="shared" si="28"/>
        <v>72720</v>
      </c>
      <c r="D263" s="67">
        <f t="shared" si="29"/>
        <v>5</v>
      </c>
      <c r="E263" s="67">
        <f ca="1" t="shared" si="30"/>
        <v>232</v>
      </c>
      <c r="F263" s="67">
        <f ca="1" t="shared" si="31"/>
        <v>0</v>
      </c>
      <c r="G263" s="67">
        <f ca="1" t="shared" si="32"/>
        <v>2.05831910803537</v>
      </c>
      <c r="H263" s="67" cm="1">
        <f ca="1" t="array" ref="H263">MIN(30-SUM(I263:L263),_xlfn.XLOOKUP($D263&amp;"_"&amp;H$61,$B$23:$B$45&amp;"_"&amp;$C$23:$C$45,$D$23:$D$45)*$E263,18)</f>
        <v>18</v>
      </c>
      <c r="I263" s="67" cm="1">
        <f ca="1" t="array" ref="I263">MIN(30-SUM(J263:L263),6-L263,_xlfn.XLOOKUP($D263&amp;"_"&amp;I$61,$B$23:$B$45&amp;"_"&amp;$C$23:$C$45,$D$23:$D$45)*$E263)</f>
        <v>4.59702883506344</v>
      </c>
      <c r="J263" s="67" cm="1">
        <f ca="1" t="array" ref="J263">MIN(8,_xlfn.XLOOKUP($D263&amp;"_"&amp;J$61,$B$23:$B$45&amp;"_"&amp;$C$23:$C$45,$D$23:$D$45)*$E263)</f>
        <v>3.00636678200692</v>
      </c>
      <c r="K263" s="67" cm="1">
        <f ca="1" t="array" ref="K263">MIN(18,_xlfn.XLOOKUP($D263&amp;"_"&amp;K$61,$B$23:$B$45&amp;"_"&amp;$C$23:$C$45,$D$23:$D$45)*$E263)</f>
        <v>0.935314109957709</v>
      </c>
      <c r="L263" s="67" cm="1">
        <f ca="1" t="array" ref="L263">MIN(6,_xlfn.XLOOKUP($D263&amp;"_"&amp;L$61,$B$23:$B$45&amp;"_"&amp;$C$23:$C$45,$D$23:$D$45)*$E263)</f>
        <v>1.40297116493656</v>
      </c>
      <c r="M263" s="67" cm="1">
        <f ca="1" t="array" ref="M263">(1+SUMPRODUCT(G263:H263,OFFSET($H$49:$I$49,D263,0)))*(1+OFFSET($J$49,D263,0))^I263*(1+OFFSET($K$49,D263,0))^J263*(1+OFFSET($L$49,D263,0))^K263*(1+OFFSET($M$49,D263,0))^L263</f>
        <v>54.5357811172607</v>
      </c>
      <c r="N263" s="67">
        <f ca="1">MAX(MAX($N$62:N262),OFFSET($C$61,MATCH(M263*1.07,$M$62:$M$2061,1),0)-C263)</f>
        <v>5400</v>
      </c>
    </row>
    <row r="264" spans="2:14">
      <c r="B264" s="67">
        <v>203</v>
      </c>
      <c r="C264" s="67">
        <f t="shared" si="28"/>
        <v>73080</v>
      </c>
      <c r="D264" s="67">
        <f t="shared" si="29"/>
        <v>5</v>
      </c>
      <c r="E264" s="67">
        <f ca="1" t="shared" si="30"/>
        <v>233</v>
      </c>
      <c r="F264" s="67">
        <f ca="1" t="shared" si="31"/>
        <v>0</v>
      </c>
      <c r="G264" s="67">
        <f ca="1" t="shared" si="32"/>
        <v>2.0413291041907</v>
      </c>
      <c r="H264" s="67" cm="1">
        <f ca="1" t="array" ref="H264">MIN(30-SUM(I264:L264),_xlfn.XLOOKUP($D264&amp;"_"&amp;H$61,$B$23:$B$45&amp;"_"&amp;$C$23:$C$45,$D$23:$D$45)*$E264,18)</f>
        <v>18</v>
      </c>
      <c r="I264" s="67" cm="1">
        <f ca="1" t="array" ref="I264">MIN(30-SUM(J264:L264),6-L264,_xlfn.XLOOKUP($D264&amp;"_"&amp;I$61,$B$23:$B$45&amp;"_"&amp;$C$23:$C$45,$D$23:$D$45)*$E264)</f>
        <v>4.5909815455594</v>
      </c>
      <c r="J264" s="67" cm="1">
        <f ca="1" t="array" ref="J264">MIN(8,_xlfn.XLOOKUP($D264&amp;"_"&amp;J$61,$B$23:$B$45&amp;"_"&amp;$C$23:$C$45,$D$23:$D$45)*$E264)</f>
        <v>3.01932525951557</v>
      </c>
      <c r="K264" s="67" cm="1">
        <f ca="1" t="array" ref="K264">MIN(18,_xlfn.XLOOKUP($D264&amp;"_"&amp;K$61,$B$23:$B$45&amp;"_"&amp;$C$23:$C$45,$D$23:$D$45)*$E264)</f>
        <v>0.939345636293734</v>
      </c>
      <c r="L264" s="67" cm="1">
        <f ca="1" t="array" ref="L264">MIN(6,_xlfn.XLOOKUP($D264&amp;"_"&amp;L$61,$B$23:$B$45&amp;"_"&amp;$C$23:$C$45,$D$23:$D$45)*$E264)</f>
        <v>1.4090184544406</v>
      </c>
      <c r="M264" s="67" cm="1">
        <f ca="1" t="array" ref="M264">(1+SUMPRODUCT(G264:H264,OFFSET($H$49:$I$49,D264,0)))*(1+OFFSET($J$49,D264,0))^I264*(1+OFFSET($K$49,D264,0))^J264*(1+OFFSET($L$49,D264,0))^K264*(1+OFFSET($M$49,D264,0))^L264</f>
        <v>54.767586134573</v>
      </c>
      <c r="N264" s="67">
        <f ca="1">MAX(MAX($N$62:N263),OFFSET($C$61,MATCH(M264*1.07,$M$62:$M$2061,1),0)-C264)</f>
        <v>5400</v>
      </c>
    </row>
    <row r="265" spans="2:14">
      <c r="B265" s="67">
        <v>204</v>
      </c>
      <c r="C265" s="67">
        <f t="shared" si="28"/>
        <v>73440</v>
      </c>
      <c r="D265" s="67">
        <f t="shared" si="29"/>
        <v>5</v>
      </c>
      <c r="E265" s="67">
        <f ca="1" t="shared" si="30"/>
        <v>234</v>
      </c>
      <c r="F265" s="67">
        <f ca="1" t="shared" si="31"/>
        <v>0</v>
      </c>
      <c r="G265" s="67">
        <f ca="1" t="shared" si="32"/>
        <v>2.02433910034603</v>
      </c>
      <c r="H265" s="67" cm="1">
        <f ca="1" t="array" ref="H265">MIN(30-SUM(I265:L265),_xlfn.XLOOKUP($D265&amp;"_"&amp;H$61,$B$23:$B$45&amp;"_"&amp;$C$23:$C$45,$D$23:$D$45)*$E265,18)</f>
        <v>18</v>
      </c>
      <c r="I265" s="67" cm="1">
        <f ca="1" t="array" ref="I265">MIN(30-SUM(J265:L265),6-L265,_xlfn.XLOOKUP($D265&amp;"_"&amp;I$61,$B$23:$B$45&amp;"_"&amp;$C$23:$C$45,$D$23:$D$45)*$E265)</f>
        <v>4.58493425605536</v>
      </c>
      <c r="J265" s="67" cm="1">
        <f ca="1" t="array" ref="J265">MIN(8,_xlfn.XLOOKUP($D265&amp;"_"&amp;J$61,$B$23:$B$45&amp;"_"&amp;$C$23:$C$45,$D$23:$D$45)*$E265)</f>
        <v>3.03228373702422</v>
      </c>
      <c r="K265" s="67" cm="1">
        <f ca="1" t="array" ref="K265">MIN(18,_xlfn.XLOOKUP($D265&amp;"_"&amp;K$61,$B$23:$B$45&amp;"_"&amp;$C$23:$C$45,$D$23:$D$45)*$E265)</f>
        <v>0.943377162629759</v>
      </c>
      <c r="L265" s="67" cm="1">
        <f ca="1" t="array" ref="L265">MIN(6,_xlfn.XLOOKUP($D265&amp;"_"&amp;L$61,$B$23:$B$45&amp;"_"&amp;$C$23:$C$45,$D$23:$D$45)*$E265)</f>
        <v>1.41506574394464</v>
      </c>
      <c r="M265" s="67" cm="1">
        <f ca="1" t="array" ref="M265">(1+SUMPRODUCT(G265:H265,OFFSET($H$49:$I$49,D265,0)))*(1+OFFSET($J$49,D265,0))^I265*(1+OFFSET($K$49,D265,0))^J265*(1+OFFSET($L$49,D265,0))^K265*(1+OFFSET($M$49,D265,0))^L265</f>
        <v>55.0003667025418</v>
      </c>
      <c r="N265" s="67">
        <f ca="1">MAX(MAX($N$62:N264),OFFSET($C$61,MATCH(M265*1.07,$M$62:$M$2061,1),0)-C265)</f>
        <v>5400</v>
      </c>
    </row>
    <row r="266" spans="2:14">
      <c r="B266" s="67">
        <v>205</v>
      </c>
      <c r="C266" s="67">
        <f t="shared" ref="C266:C329" si="33">C265+360</f>
        <v>73800</v>
      </c>
      <c r="D266" s="67">
        <f t="shared" si="29"/>
        <v>5</v>
      </c>
      <c r="E266" s="67">
        <f ca="1" t="shared" si="30"/>
        <v>235</v>
      </c>
      <c r="F266" s="67">
        <f ca="1" t="shared" si="31"/>
        <v>0</v>
      </c>
      <c r="G266" s="67">
        <f ca="1" t="shared" si="32"/>
        <v>2.00734909650135</v>
      </c>
      <c r="H266" s="67" cm="1">
        <f ca="1" t="array" ref="H266">MIN(30-SUM(I266:L266),_xlfn.XLOOKUP($D266&amp;"_"&amp;H$61,$B$23:$B$45&amp;"_"&amp;$C$23:$C$45,$D$23:$D$45)*$E266,18)</f>
        <v>18</v>
      </c>
      <c r="I266" s="67" cm="1">
        <f ca="1" t="array" ref="I266">MIN(30-SUM(J266:L266),6-L266,_xlfn.XLOOKUP($D266&amp;"_"&amp;I$61,$B$23:$B$45&amp;"_"&amp;$C$23:$C$45,$D$23:$D$45)*$E266)</f>
        <v>4.57888696655133</v>
      </c>
      <c r="J266" s="67" cm="1">
        <f ca="1" t="array" ref="J266">MIN(8,_xlfn.XLOOKUP($D266&amp;"_"&amp;J$61,$B$23:$B$45&amp;"_"&amp;$C$23:$C$45,$D$23:$D$45)*$E266)</f>
        <v>3.04524221453287</v>
      </c>
      <c r="K266" s="67" cm="1">
        <f ca="1" t="array" ref="K266">MIN(18,_xlfn.XLOOKUP($D266&amp;"_"&amp;K$61,$B$23:$B$45&amp;"_"&amp;$C$23:$C$45,$D$23:$D$45)*$E266)</f>
        <v>0.947408688965783</v>
      </c>
      <c r="L266" s="67" cm="1">
        <f ca="1" t="array" ref="L266">MIN(6,_xlfn.XLOOKUP($D266&amp;"_"&amp;L$61,$B$23:$B$45&amp;"_"&amp;$C$23:$C$45,$D$23:$D$45)*$E266)</f>
        <v>1.42111303344867</v>
      </c>
      <c r="M266" s="67" cm="1">
        <f ca="1" t="array" ref="M266">(1+SUMPRODUCT(G266:H266,OFFSET($H$49:$I$49,D266,0)))*(1+OFFSET($J$49,D266,0))^I266*(1+OFFSET($K$49,D266,0))^J266*(1+OFFSET($L$49,D266,0))^K266*(1+OFFSET($M$49,D266,0))^L266</f>
        <v>55.2341268767304</v>
      </c>
      <c r="N266" s="67">
        <f ca="1">MAX(MAX($N$62:N265),OFFSET($C$61,MATCH(M266*1.07,$M$62:$M$2061,1),0)-C266)</f>
        <v>5400</v>
      </c>
    </row>
    <row r="267" spans="2:14">
      <c r="B267" s="67">
        <v>206</v>
      </c>
      <c r="C267" s="67">
        <f t="shared" si="33"/>
        <v>74160</v>
      </c>
      <c r="D267" s="67">
        <f t="shared" si="29"/>
        <v>5</v>
      </c>
      <c r="E267" s="67">
        <f ca="1" t="shared" si="30"/>
        <v>236</v>
      </c>
      <c r="F267" s="67">
        <f ca="1" t="shared" si="31"/>
        <v>0</v>
      </c>
      <c r="G267" s="67">
        <f ca="1" t="shared" si="32"/>
        <v>1.99035909265667</v>
      </c>
      <c r="H267" s="67" cm="1">
        <f ca="1" t="array" ref="H267">MIN(30-SUM(I267:L267),_xlfn.XLOOKUP($D267&amp;"_"&amp;H$61,$B$23:$B$45&amp;"_"&amp;$C$23:$C$45,$D$23:$D$45)*$E267,18)</f>
        <v>18</v>
      </c>
      <c r="I267" s="67" cm="1">
        <f ca="1" t="array" ref="I267">MIN(30-SUM(J267:L267),6-L267,_xlfn.XLOOKUP($D267&amp;"_"&amp;I$61,$B$23:$B$45&amp;"_"&amp;$C$23:$C$45,$D$23:$D$45)*$E267)</f>
        <v>4.57283967704729</v>
      </c>
      <c r="J267" s="67" cm="1">
        <f ca="1" t="array" ref="J267">MIN(8,_xlfn.XLOOKUP($D267&amp;"_"&amp;J$61,$B$23:$B$45&amp;"_"&amp;$C$23:$C$45,$D$23:$D$45)*$E267)</f>
        <v>3.05820069204152</v>
      </c>
      <c r="K267" s="67" cm="1">
        <f ca="1" t="array" ref="K267">MIN(18,_xlfn.XLOOKUP($D267&amp;"_"&amp;K$61,$B$23:$B$45&amp;"_"&amp;$C$23:$C$45,$D$23:$D$45)*$E267)</f>
        <v>0.951440215301808</v>
      </c>
      <c r="L267" s="67" cm="1">
        <f ca="1" t="array" ref="L267">MIN(6,_xlfn.XLOOKUP($D267&amp;"_"&amp;L$61,$B$23:$B$45&amp;"_"&amp;$C$23:$C$45,$D$23:$D$45)*$E267)</f>
        <v>1.42716032295271</v>
      </c>
      <c r="M267" s="67" cm="1">
        <f ca="1" t="array" ref="M267">(1+SUMPRODUCT(G267:H267,OFFSET($H$49:$I$49,D267,0)))*(1+OFFSET($J$49,D267,0))^I267*(1+OFFSET($K$49,D267,0))^J267*(1+OFFSET($L$49,D267,0))^K267*(1+OFFSET($M$49,D267,0))^L267</f>
        <v>55.4688707293021</v>
      </c>
      <c r="N267" s="67">
        <f ca="1">MAX(MAX($N$62:N266),OFFSET($C$61,MATCH(M267*1.07,$M$62:$M$2061,1),0)-C267)</f>
        <v>5400</v>
      </c>
    </row>
    <row r="268" spans="2:14">
      <c r="B268" s="67">
        <v>207</v>
      </c>
      <c r="C268" s="67">
        <f t="shared" si="33"/>
        <v>74520</v>
      </c>
      <c r="D268" s="67">
        <f t="shared" si="29"/>
        <v>5</v>
      </c>
      <c r="E268" s="67">
        <f ca="1" t="shared" si="30"/>
        <v>237</v>
      </c>
      <c r="F268" s="67">
        <f ca="1" t="shared" si="31"/>
        <v>0</v>
      </c>
      <c r="G268" s="67">
        <f ca="1" t="shared" si="32"/>
        <v>1.973369088812</v>
      </c>
      <c r="H268" s="67" cm="1">
        <f ca="1" t="array" ref="H268">MIN(30-SUM(I268:L268),_xlfn.XLOOKUP($D268&amp;"_"&amp;H$61,$B$23:$B$45&amp;"_"&amp;$C$23:$C$45,$D$23:$D$45)*$E268,18)</f>
        <v>18</v>
      </c>
      <c r="I268" s="67" cm="1">
        <f ca="1" t="array" ref="I268">MIN(30-SUM(J268:L268),6-L268,_xlfn.XLOOKUP($D268&amp;"_"&amp;I$61,$B$23:$B$45&amp;"_"&amp;$C$23:$C$45,$D$23:$D$45)*$E268)</f>
        <v>4.56679238754325</v>
      </c>
      <c r="J268" s="67" cm="1">
        <f ca="1" t="array" ref="J268">MIN(8,_xlfn.XLOOKUP($D268&amp;"_"&amp;J$61,$B$23:$B$45&amp;"_"&amp;$C$23:$C$45,$D$23:$D$45)*$E268)</f>
        <v>3.07115916955017</v>
      </c>
      <c r="K268" s="67" cm="1">
        <f ca="1" t="array" ref="K268">MIN(18,_xlfn.XLOOKUP($D268&amp;"_"&amp;K$61,$B$23:$B$45&amp;"_"&amp;$C$23:$C$45,$D$23:$D$45)*$E268)</f>
        <v>0.955471741637833</v>
      </c>
      <c r="L268" s="67" cm="1">
        <f ca="1" t="array" ref="L268">MIN(6,_xlfn.XLOOKUP($D268&amp;"_"&amp;L$61,$B$23:$B$45&amp;"_"&amp;$C$23:$C$45,$D$23:$D$45)*$E268)</f>
        <v>1.43320761245675</v>
      </c>
      <c r="M268" s="67" cm="1">
        <f ca="1" t="array" ref="M268">(1+SUMPRODUCT(G268:H268,OFFSET($H$49:$I$49,D268,0)))*(1+OFFSET($J$49,D268,0))^I268*(1+OFFSET($K$49,D268,0))^J268*(1+OFFSET($L$49,D268,0))^K268*(1+OFFSET($M$49,D268,0))^L268</f>
        <v>55.7046023490866</v>
      </c>
      <c r="N268" s="67">
        <f ca="1">MAX(MAX($N$62:N267),OFFSET($C$61,MATCH(M268*1.07,$M$62:$M$2061,1),0)-C268)</f>
        <v>5400</v>
      </c>
    </row>
    <row r="269" spans="2:14">
      <c r="B269" s="67">
        <v>208</v>
      </c>
      <c r="C269" s="67">
        <f t="shared" si="33"/>
        <v>74880</v>
      </c>
      <c r="D269" s="67">
        <f t="shared" si="29"/>
        <v>5</v>
      </c>
      <c r="E269" s="67">
        <f ca="1" t="shared" si="30"/>
        <v>238</v>
      </c>
      <c r="F269" s="67">
        <f ca="1" t="shared" si="31"/>
        <v>0</v>
      </c>
      <c r="G269" s="67">
        <f ca="1" t="shared" si="32"/>
        <v>1.95637908496732</v>
      </c>
      <c r="H269" s="67" cm="1">
        <f ca="1" t="array" ref="H269">MIN(30-SUM(I269:L269),_xlfn.XLOOKUP($D269&amp;"_"&amp;H$61,$B$23:$B$45&amp;"_"&amp;$C$23:$C$45,$D$23:$D$45)*$E269,18)</f>
        <v>18</v>
      </c>
      <c r="I269" s="67" cm="1">
        <f ca="1" t="array" ref="I269">MIN(30-SUM(J269:L269),6-L269,_xlfn.XLOOKUP($D269&amp;"_"&amp;I$61,$B$23:$B$45&amp;"_"&amp;$C$23:$C$45,$D$23:$D$45)*$E269)</f>
        <v>4.56074509803922</v>
      </c>
      <c r="J269" s="67" cm="1">
        <f ca="1" t="array" ref="J269">MIN(8,_xlfn.XLOOKUP($D269&amp;"_"&amp;J$61,$B$23:$B$45&amp;"_"&amp;$C$23:$C$45,$D$23:$D$45)*$E269)</f>
        <v>3.08411764705882</v>
      </c>
      <c r="K269" s="67" cm="1">
        <f ca="1" t="array" ref="K269">MIN(18,_xlfn.XLOOKUP($D269&amp;"_"&amp;K$61,$B$23:$B$45&amp;"_"&amp;$C$23:$C$45,$D$23:$D$45)*$E269)</f>
        <v>0.959503267973857</v>
      </c>
      <c r="L269" s="67" cm="1">
        <f ca="1" t="array" ref="L269">MIN(6,_xlfn.XLOOKUP($D269&amp;"_"&amp;L$61,$B$23:$B$45&amp;"_"&amp;$C$23:$C$45,$D$23:$D$45)*$E269)</f>
        <v>1.43925490196078</v>
      </c>
      <c r="M269" s="67" cm="1">
        <f ca="1" t="array" ref="M269">(1+SUMPRODUCT(G269:H269,OFFSET($H$49:$I$49,D269,0)))*(1+OFFSET($J$49,D269,0))^I269*(1+OFFSET($K$49,D269,0))^J269*(1+OFFSET($L$49,D269,0))^K269*(1+OFFSET($M$49,D269,0))^L269</f>
        <v>55.9413258416478</v>
      </c>
      <c r="N269" s="67">
        <f ca="1">MAX(MAX($N$62:N268),OFFSET($C$61,MATCH(M269*1.07,$M$62:$M$2061,1),0)-C269)</f>
        <v>5400</v>
      </c>
    </row>
    <row r="270" spans="2:14">
      <c r="B270" s="67">
        <v>209</v>
      </c>
      <c r="C270" s="67">
        <f t="shared" si="33"/>
        <v>75240</v>
      </c>
      <c r="D270" s="67">
        <f t="shared" si="29"/>
        <v>5</v>
      </c>
      <c r="E270" s="67">
        <f ca="1" t="shared" si="30"/>
        <v>239</v>
      </c>
      <c r="F270" s="67">
        <f ca="1" t="shared" si="31"/>
        <v>0</v>
      </c>
      <c r="G270" s="67">
        <f ca="1" t="shared" si="32"/>
        <v>1.93938908112265</v>
      </c>
      <c r="H270" s="67" cm="1">
        <f ca="1" t="array" ref="H270">MIN(30-SUM(I270:L270),_xlfn.XLOOKUP($D270&amp;"_"&amp;H$61,$B$23:$B$45&amp;"_"&amp;$C$23:$C$45,$D$23:$D$45)*$E270,18)</f>
        <v>18</v>
      </c>
      <c r="I270" s="67" cm="1">
        <f ca="1" t="array" ref="I270">MIN(30-SUM(J270:L270),6-L270,_xlfn.XLOOKUP($D270&amp;"_"&amp;I$61,$B$23:$B$45&amp;"_"&amp;$C$23:$C$45,$D$23:$D$45)*$E270)</f>
        <v>4.55469780853518</v>
      </c>
      <c r="J270" s="67" cm="1">
        <f ca="1" t="array" ref="J270">MIN(8,_xlfn.XLOOKUP($D270&amp;"_"&amp;J$61,$B$23:$B$45&amp;"_"&amp;$C$23:$C$45,$D$23:$D$45)*$E270)</f>
        <v>3.09707612456747</v>
      </c>
      <c r="K270" s="67" cm="1">
        <f ca="1" t="array" ref="K270">MIN(18,_xlfn.XLOOKUP($D270&amp;"_"&amp;K$61,$B$23:$B$45&amp;"_"&amp;$C$23:$C$45,$D$23:$D$45)*$E270)</f>
        <v>0.963534794309882</v>
      </c>
      <c r="L270" s="67" cm="1">
        <f ca="1" t="array" ref="L270">MIN(6,_xlfn.XLOOKUP($D270&amp;"_"&amp;L$61,$B$23:$B$45&amp;"_"&amp;$C$23:$C$45,$D$23:$D$45)*$E270)</f>
        <v>1.44530219146482</v>
      </c>
      <c r="M270" s="67" cm="1">
        <f ca="1" t="array" ref="M270">(1+SUMPRODUCT(G270:H270,OFFSET($H$49:$I$49,D270,0)))*(1+OFFSET($J$49,D270,0))^I270*(1+OFFSET($K$49,D270,0))^J270*(1+OFFSET($L$49,D270,0))^K270*(1+OFFSET($M$49,D270,0))^L270</f>
        <v>56.1790453293499</v>
      </c>
      <c r="N270" s="67">
        <f ca="1">MAX(MAX($N$62:N269),OFFSET($C$61,MATCH(M270*1.07,$M$62:$M$2061,1),0)-C270)</f>
        <v>5400</v>
      </c>
    </row>
    <row r="271" spans="2:14">
      <c r="B271" s="67">
        <v>210</v>
      </c>
      <c r="C271" s="67">
        <f t="shared" si="33"/>
        <v>75600</v>
      </c>
      <c r="D271" s="67">
        <f t="shared" si="29"/>
        <v>5</v>
      </c>
      <c r="E271" s="67">
        <f ca="1" t="shared" si="30"/>
        <v>240</v>
      </c>
      <c r="F271" s="67">
        <f ca="1" t="shared" si="31"/>
        <v>0</v>
      </c>
      <c r="G271" s="67">
        <f ca="1" t="shared" si="32"/>
        <v>1.92239907727797</v>
      </c>
      <c r="H271" s="67" cm="1">
        <f ca="1" t="array" ref="H271">MIN(30-SUM(I271:L271),_xlfn.XLOOKUP($D271&amp;"_"&amp;H$61,$B$23:$B$45&amp;"_"&amp;$C$23:$C$45,$D$23:$D$45)*$E271,18)</f>
        <v>18</v>
      </c>
      <c r="I271" s="67" cm="1">
        <f ca="1" t="array" ref="I271">MIN(30-SUM(J271:L271),6-L271,_xlfn.XLOOKUP($D271&amp;"_"&amp;I$61,$B$23:$B$45&amp;"_"&amp;$C$23:$C$45,$D$23:$D$45)*$E271)</f>
        <v>4.54865051903114</v>
      </c>
      <c r="J271" s="67" cm="1">
        <f ca="1" t="array" ref="J271">MIN(8,_xlfn.XLOOKUP($D271&amp;"_"&amp;J$61,$B$23:$B$45&amp;"_"&amp;$C$23:$C$45,$D$23:$D$45)*$E271)</f>
        <v>3.11003460207612</v>
      </c>
      <c r="K271" s="67" cm="1">
        <f ca="1" t="array" ref="K271">MIN(18,_xlfn.XLOOKUP($D271&amp;"_"&amp;K$61,$B$23:$B$45&amp;"_"&amp;$C$23:$C$45,$D$23:$D$45)*$E271)</f>
        <v>0.967566320645906</v>
      </c>
      <c r="L271" s="67" cm="1">
        <f ca="1" t="array" ref="L271">MIN(6,_xlfn.XLOOKUP($D271&amp;"_"&amp;L$61,$B$23:$B$45&amp;"_"&amp;$C$23:$C$45,$D$23:$D$45)*$E271)</f>
        <v>1.45134948096886</v>
      </c>
      <c r="M271" s="67" cm="1">
        <f ca="1" t="array" ref="M271">(1+SUMPRODUCT(G271:H271,OFFSET($H$49:$I$49,D271,0)))*(1+OFFSET($J$49,D271,0))^I271*(1+OFFSET($K$49,D271,0))^J271*(1+OFFSET($L$49,D271,0))^K271*(1+OFFSET($M$49,D271,0))^L271</f>
        <v>56.417764951425</v>
      </c>
      <c r="N271" s="67">
        <f ca="1">MAX(MAX($N$62:N270),OFFSET($C$61,MATCH(M271*1.07,$M$62:$M$2061,1),0)-C271)</f>
        <v>5400</v>
      </c>
    </row>
    <row r="272" spans="2:14">
      <c r="B272" s="67">
        <v>211</v>
      </c>
      <c r="C272" s="67">
        <f t="shared" si="33"/>
        <v>75960</v>
      </c>
      <c r="D272" s="67">
        <f t="shared" si="29"/>
        <v>5</v>
      </c>
      <c r="E272" s="67">
        <f ca="1" t="shared" si="30"/>
        <v>241</v>
      </c>
      <c r="F272" s="67">
        <f ca="1" t="shared" si="31"/>
        <v>0</v>
      </c>
      <c r="G272" s="67">
        <f ca="1" t="shared" si="32"/>
        <v>1.9054090734333</v>
      </c>
      <c r="H272" s="67" cm="1">
        <f ca="1" t="array" ref="H272">MIN(30-SUM(I272:L272),_xlfn.XLOOKUP($D272&amp;"_"&amp;H$61,$B$23:$B$45&amp;"_"&amp;$C$23:$C$45,$D$23:$D$45)*$E272,18)</f>
        <v>18</v>
      </c>
      <c r="I272" s="67" cm="1">
        <f ca="1" t="array" ref="I272">MIN(30-SUM(J272:L272),6-L272,_xlfn.XLOOKUP($D272&amp;"_"&amp;I$61,$B$23:$B$45&amp;"_"&amp;$C$23:$C$45,$D$23:$D$45)*$E272)</f>
        <v>4.5426032295271</v>
      </c>
      <c r="J272" s="67" cm="1">
        <f ca="1" t="array" ref="J272">MIN(8,_xlfn.XLOOKUP($D272&amp;"_"&amp;J$61,$B$23:$B$45&amp;"_"&amp;$C$23:$C$45,$D$23:$D$45)*$E272)</f>
        <v>3.12299307958477</v>
      </c>
      <c r="K272" s="67" cm="1">
        <f ca="1" t="array" ref="K272">MIN(18,_xlfn.XLOOKUP($D272&amp;"_"&amp;K$61,$B$23:$B$45&amp;"_"&amp;$C$23:$C$45,$D$23:$D$45)*$E272)</f>
        <v>0.971597846981931</v>
      </c>
      <c r="L272" s="67" cm="1">
        <f ca="1" t="array" ref="L272">MIN(6,_xlfn.XLOOKUP($D272&amp;"_"&amp;L$61,$B$23:$B$45&amp;"_"&amp;$C$23:$C$45,$D$23:$D$45)*$E272)</f>
        <v>1.4573967704729</v>
      </c>
      <c r="M272" s="67" cm="1">
        <f ca="1" t="array" ref="M272">(1+SUMPRODUCT(G272:H272,OFFSET($H$49:$I$49,D272,0)))*(1+OFFSET($J$49,D272,0))^I272*(1+OFFSET($K$49,D272,0))^J272*(1+OFFSET($L$49,D272,0))^K272*(1+OFFSET($M$49,D272,0))^L272</f>
        <v>56.6574888640413</v>
      </c>
      <c r="N272" s="67">
        <f ca="1">MAX(MAX($N$62:N271),OFFSET($C$61,MATCH(M272*1.07,$M$62:$M$2061,1),0)-C272)</f>
        <v>5400</v>
      </c>
    </row>
    <row r="273" spans="2:14">
      <c r="B273" s="67">
        <v>212</v>
      </c>
      <c r="C273" s="67">
        <f t="shared" si="33"/>
        <v>76320</v>
      </c>
      <c r="D273" s="67">
        <f t="shared" si="29"/>
        <v>5</v>
      </c>
      <c r="E273" s="67">
        <f ca="1" t="shared" si="30"/>
        <v>242</v>
      </c>
      <c r="F273" s="67">
        <f ca="1" t="shared" si="31"/>
        <v>0</v>
      </c>
      <c r="G273" s="67">
        <f ca="1" t="shared" si="32"/>
        <v>1.88841906958863</v>
      </c>
      <c r="H273" s="67" cm="1">
        <f ca="1" t="array" ref="H273">MIN(30-SUM(I273:L273),_xlfn.XLOOKUP($D273&amp;"_"&amp;H$61,$B$23:$B$45&amp;"_"&amp;$C$23:$C$45,$D$23:$D$45)*$E273,18)</f>
        <v>18</v>
      </c>
      <c r="I273" s="67" cm="1">
        <f ca="1" t="array" ref="I273">MIN(30-SUM(J273:L273),6-L273,_xlfn.XLOOKUP($D273&amp;"_"&amp;I$61,$B$23:$B$45&amp;"_"&amp;$C$23:$C$45,$D$23:$D$45)*$E273)</f>
        <v>4.53655594002307</v>
      </c>
      <c r="J273" s="67" cm="1">
        <f ca="1" t="array" ref="J273">MIN(8,_xlfn.XLOOKUP($D273&amp;"_"&amp;J$61,$B$23:$B$45&amp;"_"&amp;$C$23:$C$45,$D$23:$D$45)*$E273)</f>
        <v>3.13595155709342</v>
      </c>
      <c r="K273" s="67" cm="1">
        <f ca="1" t="array" ref="K273">MIN(18,_xlfn.XLOOKUP($D273&amp;"_"&amp;K$61,$B$23:$B$45&amp;"_"&amp;$C$23:$C$45,$D$23:$D$45)*$E273)</f>
        <v>0.975629373317956</v>
      </c>
      <c r="L273" s="67" cm="1">
        <f ca="1" t="array" ref="L273">MIN(6,_xlfn.XLOOKUP($D273&amp;"_"&amp;L$61,$B$23:$B$45&amp;"_"&amp;$C$23:$C$45,$D$23:$D$45)*$E273)</f>
        <v>1.46344405997693</v>
      </c>
      <c r="M273" s="67" cm="1">
        <f ca="1" t="array" ref="M273">(1+SUMPRODUCT(G273:H273,OFFSET($H$49:$I$49,D273,0)))*(1+OFFSET($J$49,D273,0))^I273*(1+OFFSET($K$49,D273,0))^J273*(1+OFFSET($L$49,D273,0))^K273*(1+OFFSET($M$49,D273,0))^L273</f>
        <v>56.8982212403702</v>
      </c>
      <c r="N273" s="67">
        <f ca="1">MAX(MAX($N$62:N272),OFFSET($C$61,MATCH(M273*1.07,$M$62:$M$2061,1),0)-C273)</f>
        <v>5400</v>
      </c>
    </row>
    <row r="274" spans="2:14">
      <c r="B274" s="67">
        <v>213</v>
      </c>
      <c r="C274" s="67">
        <f t="shared" si="33"/>
        <v>76680</v>
      </c>
      <c r="D274" s="67">
        <f t="shared" si="29"/>
        <v>5</v>
      </c>
      <c r="E274" s="67">
        <f ca="1" t="shared" si="30"/>
        <v>243</v>
      </c>
      <c r="F274" s="67">
        <f ca="1" t="shared" si="31"/>
        <v>0</v>
      </c>
      <c r="G274" s="67">
        <f ca="1" t="shared" si="32"/>
        <v>1.87142906574395</v>
      </c>
      <c r="H274" s="67" cm="1">
        <f ca="1" t="array" ref="H274">MIN(30-SUM(I274:L274),_xlfn.XLOOKUP($D274&amp;"_"&amp;H$61,$B$23:$B$45&amp;"_"&amp;$C$23:$C$45,$D$23:$D$45)*$E274,18)</f>
        <v>18</v>
      </c>
      <c r="I274" s="67" cm="1">
        <f ca="1" t="array" ref="I274">MIN(30-SUM(J274:L274),6-L274,_xlfn.XLOOKUP($D274&amp;"_"&amp;I$61,$B$23:$B$45&amp;"_"&amp;$C$23:$C$45,$D$23:$D$45)*$E274)</f>
        <v>4.53050865051903</v>
      </c>
      <c r="J274" s="67" cm="1">
        <f ca="1" t="array" ref="J274">MIN(8,_xlfn.XLOOKUP($D274&amp;"_"&amp;J$61,$B$23:$B$45&amp;"_"&amp;$C$23:$C$45,$D$23:$D$45)*$E274)</f>
        <v>3.14891003460207</v>
      </c>
      <c r="K274" s="67" cm="1">
        <f ca="1" t="array" ref="K274">MIN(18,_xlfn.XLOOKUP($D274&amp;"_"&amp;K$61,$B$23:$B$45&amp;"_"&amp;$C$23:$C$45,$D$23:$D$45)*$E274)</f>
        <v>0.97966089965398</v>
      </c>
      <c r="L274" s="67" cm="1">
        <f ca="1" t="array" ref="L274">MIN(6,_xlfn.XLOOKUP($D274&amp;"_"&amp;L$61,$B$23:$B$45&amp;"_"&amp;$C$23:$C$45,$D$23:$D$45)*$E274)</f>
        <v>1.46949134948097</v>
      </c>
      <c r="M274" s="67" cm="1">
        <f ca="1" t="array" ref="M274">(1+SUMPRODUCT(G274:H274,OFFSET($H$49:$I$49,D274,0)))*(1+OFFSET($J$49,D274,0))^I274*(1+OFFSET($K$49,D274,0))^J274*(1+OFFSET($L$49,D274,0))^K274*(1+OFFSET($M$49,D274,0))^L274</f>
        <v>57.1399662706551</v>
      </c>
      <c r="N274" s="67">
        <f ca="1">MAX(MAX($N$62:N273),OFFSET($C$61,MATCH(M274*1.07,$M$62:$M$2061,1),0)-C274)</f>
        <v>5400</v>
      </c>
    </row>
    <row r="275" spans="2:14">
      <c r="B275" s="67">
        <v>214</v>
      </c>
      <c r="C275" s="67">
        <f t="shared" si="33"/>
        <v>77040</v>
      </c>
      <c r="D275" s="67">
        <f t="shared" si="29"/>
        <v>5</v>
      </c>
      <c r="E275" s="67">
        <f ca="1" t="shared" si="30"/>
        <v>244</v>
      </c>
      <c r="F275" s="67">
        <f ca="1" t="shared" si="31"/>
        <v>0</v>
      </c>
      <c r="G275" s="67">
        <f ca="1" t="shared" si="32"/>
        <v>1.85443906189927</v>
      </c>
      <c r="H275" s="67" cm="1">
        <f ca="1" t="array" ref="H275">MIN(30-SUM(I275:L275),_xlfn.XLOOKUP($D275&amp;"_"&amp;H$61,$B$23:$B$45&amp;"_"&amp;$C$23:$C$45,$D$23:$D$45)*$E275,18)</f>
        <v>18</v>
      </c>
      <c r="I275" s="67" cm="1">
        <f ca="1" t="array" ref="I275">MIN(30-SUM(J275:L275),6-L275,_xlfn.XLOOKUP($D275&amp;"_"&amp;I$61,$B$23:$B$45&amp;"_"&amp;$C$23:$C$45,$D$23:$D$45)*$E275)</f>
        <v>4.52446136101499</v>
      </c>
      <c r="J275" s="67" cm="1">
        <f ca="1" t="array" ref="J275">MIN(8,_xlfn.XLOOKUP($D275&amp;"_"&amp;J$61,$B$23:$B$45&amp;"_"&amp;$C$23:$C$45,$D$23:$D$45)*$E275)</f>
        <v>3.16186851211072</v>
      </c>
      <c r="K275" s="67" cm="1">
        <f ca="1" t="array" ref="K275">MIN(18,_xlfn.XLOOKUP($D275&amp;"_"&amp;K$61,$B$23:$B$45&amp;"_"&amp;$C$23:$C$45,$D$23:$D$45)*$E275)</f>
        <v>0.983692425990005</v>
      </c>
      <c r="L275" s="67" cm="1">
        <f ca="1" t="array" ref="L275">MIN(6,_xlfn.XLOOKUP($D275&amp;"_"&amp;L$61,$B$23:$B$45&amp;"_"&amp;$C$23:$C$45,$D$23:$D$45)*$E275)</f>
        <v>1.47553863898501</v>
      </c>
      <c r="M275" s="67" cm="1">
        <f ca="1" t="array" ref="M275">(1+SUMPRODUCT(G275:H275,OFFSET($H$49:$I$49,D275,0)))*(1+OFFSET($J$49,D275,0))^I275*(1+OFFSET($K$49,D275,0))^J275*(1+OFFSET($L$49,D275,0))^K275*(1+OFFSET($M$49,D275,0))^L275</f>
        <v>57.3827281622794</v>
      </c>
      <c r="N275" s="67">
        <f ca="1">MAX(MAX($N$62:N274),OFFSET($C$61,MATCH(M275*1.07,$M$62:$M$2061,1),0)-C275)</f>
        <v>5400</v>
      </c>
    </row>
    <row r="276" spans="2:14">
      <c r="B276" s="67">
        <v>215</v>
      </c>
      <c r="C276" s="67">
        <f t="shared" si="33"/>
        <v>77400</v>
      </c>
      <c r="D276" s="67">
        <f t="shared" si="29"/>
        <v>5</v>
      </c>
      <c r="E276" s="67">
        <f ca="1" t="shared" si="30"/>
        <v>245</v>
      </c>
      <c r="F276" s="67">
        <f ca="1" t="shared" si="31"/>
        <v>0</v>
      </c>
      <c r="G276" s="67">
        <f ca="1" t="shared" si="32"/>
        <v>1.8374490580546</v>
      </c>
      <c r="H276" s="67" cm="1">
        <f ca="1" t="array" ref="H276">MIN(30-SUM(I276:L276),_xlfn.XLOOKUP($D276&amp;"_"&amp;H$61,$B$23:$B$45&amp;"_"&amp;$C$23:$C$45,$D$23:$D$45)*$E276,18)</f>
        <v>18</v>
      </c>
      <c r="I276" s="67" cm="1">
        <f ca="1" t="array" ref="I276">MIN(30-SUM(J276:L276),6-L276,_xlfn.XLOOKUP($D276&amp;"_"&amp;I$61,$B$23:$B$45&amp;"_"&amp;$C$23:$C$45,$D$23:$D$45)*$E276)</f>
        <v>4.51841407151096</v>
      </c>
      <c r="J276" s="67" cm="1">
        <f ca="1" t="array" ref="J276">MIN(8,_xlfn.XLOOKUP($D276&amp;"_"&amp;J$61,$B$23:$B$45&amp;"_"&amp;$C$23:$C$45,$D$23:$D$45)*$E276)</f>
        <v>3.17482698961937</v>
      </c>
      <c r="K276" s="67" cm="1">
        <f ca="1" t="array" ref="K276">MIN(18,_xlfn.XLOOKUP($D276&amp;"_"&amp;K$61,$B$23:$B$45&amp;"_"&amp;$C$23:$C$45,$D$23:$D$45)*$E276)</f>
        <v>0.987723952326029</v>
      </c>
      <c r="L276" s="67" cm="1">
        <f ca="1" t="array" ref="L276">MIN(6,_xlfn.XLOOKUP($D276&amp;"_"&amp;L$61,$B$23:$B$45&amp;"_"&amp;$C$23:$C$45,$D$23:$D$45)*$E276)</f>
        <v>1.48158592848904</v>
      </c>
      <c r="M276" s="67" cm="1">
        <f ca="1" t="array" ref="M276">(1+SUMPRODUCT(G276:H276,OFFSET($H$49:$I$49,D276,0)))*(1+OFFSET($J$49,D276,0))^I276*(1+OFFSET($K$49,D276,0))^J276*(1+OFFSET($L$49,D276,0))^K276*(1+OFFSET($M$49,D276,0))^L276</f>
        <v>57.6265111398354</v>
      </c>
      <c r="N276" s="67">
        <f ca="1">MAX(MAX($N$62:N275),OFFSET($C$61,MATCH(M276*1.07,$M$62:$M$2061,1),0)-C276)</f>
        <v>5400</v>
      </c>
    </row>
    <row r="277" spans="2:14">
      <c r="B277" s="67">
        <v>216</v>
      </c>
      <c r="C277" s="67">
        <f t="shared" si="33"/>
        <v>77760</v>
      </c>
      <c r="D277" s="67">
        <f t="shared" si="29"/>
        <v>5</v>
      </c>
      <c r="E277" s="67">
        <f ca="1" t="shared" si="30"/>
        <v>246</v>
      </c>
      <c r="F277" s="67">
        <f ca="1" t="shared" si="31"/>
        <v>0</v>
      </c>
      <c r="G277" s="67">
        <f ca="1" t="shared" si="32"/>
        <v>1.82045905420992</v>
      </c>
      <c r="H277" s="67" cm="1">
        <f ca="1" t="array" ref="H277">MIN(30-SUM(I277:L277),_xlfn.XLOOKUP($D277&amp;"_"&amp;H$61,$B$23:$B$45&amp;"_"&amp;$C$23:$C$45,$D$23:$D$45)*$E277,18)</f>
        <v>18</v>
      </c>
      <c r="I277" s="67" cm="1">
        <f ca="1" t="array" ref="I277">MIN(30-SUM(J277:L277),6-L277,_xlfn.XLOOKUP($D277&amp;"_"&amp;I$61,$B$23:$B$45&amp;"_"&amp;$C$23:$C$45,$D$23:$D$45)*$E277)</f>
        <v>4.51236678200692</v>
      </c>
      <c r="J277" s="67" cm="1">
        <f ca="1" t="array" ref="J277">MIN(8,_xlfn.XLOOKUP($D277&amp;"_"&amp;J$61,$B$23:$B$45&amp;"_"&amp;$C$23:$C$45,$D$23:$D$45)*$E277)</f>
        <v>3.18778546712802</v>
      </c>
      <c r="K277" s="67" cm="1">
        <f ca="1" t="array" ref="K277">MIN(18,_xlfn.XLOOKUP($D277&amp;"_"&amp;K$61,$B$23:$B$45&amp;"_"&amp;$C$23:$C$45,$D$23:$D$45)*$E277)</f>
        <v>0.991755478662054</v>
      </c>
      <c r="L277" s="67" cm="1">
        <f ca="1" t="array" ref="L277">MIN(6,_xlfn.XLOOKUP($D277&amp;"_"&amp;L$61,$B$23:$B$45&amp;"_"&amp;$C$23:$C$45,$D$23:$D$45)*$E277)</f>
        <v>1.48763321799308</v>
      </c>
      <c r="M277" s="67" cm="1">
        <f ca="1" t="array" ref="M277">(1+SUMPRODUCT(G277:H277,OFFSET($H$49:$I$49,D277,0)))*(1+OFFSET($J$49,D277,0))^I277*(1+OFFSET($K$49,D277,0))^J277*(1+OFFSET($L$49,D277,0))^K277*(1+OFFSET($M$49,D277,0))^L277</f>
        <v>57.871319445193</v>
      </c>
      <c r="N277" s="67">
        <f ca="1">MAX(MAX($N$62:N276),OFFSET($C$61,MATCH(M277*1.07,$M$62:$M$2061,1),0)-C277)</f>
        <v>5400</v>
      </c>
    </row>
    <row r="278" spans="2:14">
      <c r="B278" s="67">
        <v>217</v>
      </c>
      <c r="C278" s="67">
        <f t="shared" si="33"/>
        <v>78120</v>
      </c>
      <c r="D278" s="67">
        <f t="shared" si="29"/>
        <v>5</v>
      </c>
      <c r="E278" s="67">
        <f ca="1" t="shared" si="30"/>
        <v>247</v>
      </c>
      <c r="F278" s="67">
        <f ca="1" t="shared" si="31"/>
        <v>0</v>
      </c>
      <c r="G278" s="67">
        <f ca="1" t="shared" si="32"/>
        <v>1.80346905036525</v>
      </c>
      <c r="H278" s="67" cm="1">
        <f ca="1" t="array" ref="H278">MIN(30-SUM(I278:L278),_xlfn.XLOOKUP($D278&amp;"_"&amp;H$61,$B$23:$B$45&amp;"_"&amp;$C$23:$C$45,$D$23:$D$45)*$E278,18)</f>
        <v>18</v>
      </c>
      <c r="I278" s="67" cm="1">
        <f ca="1" t="array" ref="I278">MIN(30-SUM(J278:L278),6-L278,_xlfn.XLOOKUP($D278&amp;"_"&amp;I$61,$B$23:$B$45&amp;"_"&amp;$C$23:$C$45,$D$23:$D$45)*$E278)</f>
        <v>4.50631949250288</v>
      </c>
      <c r="J278" s="67" cm="1">
        <f ca="1" t="array" ref="J278">MIN(8,_xlfn.XLOOKUP($D278&amp;"_"&amp;J$61,$B$23:$B$45&amp;"_"&amp;$C$23:$C$45,$D$23:$D$45)*$E278)</f>
        <v>3.20074394463667</v>
      </c>
      <c r="K278" s="67" cm="1">
        <f ca="1" t="array" ref="K278">MIN(18,_xlfn.XLOOKUP($D278&amp;"_"&amp;K$61,$B$23:$B$45&amp;"_"&amp;$C$23:$C$45,$D$23:$D$45)*$E278)</f>
        <v>0.995787004998079</v>
      </c>
      <c r="L278" s="67" cm="1">
        <f ca="1" t="array" ref="L278">MIN(6,_xlfn.XLOOKUP($D278&amp;"_"&amp;L$61,$B$23:$B$45&amp;"_"&amp;$C$23:$C$45,$D$23:$D$45)*$E278)</f>
        <v>1.49368050749712</v>
      </c>
      <c r="M278" s="67" cm="1">
        <f ca="1" t="array" ref="M278">(1+SUMPRODUCT(G278:H278,OFFSET($H$49:$I$49,D278,0)))*(1+OFFSET($J$49,D278,0))^I278*(1+OFFSET($K$49,D278,0))^J278*(1+OFFSET($L$49,D278,0))^K278*(1+OFFSET($M$49,D278,0))^L278</f>
        <v>58.1171573375694</v>
      </c>
      <c r="N278" s="67">
        <f ca="1">MAX(MAX($N$62:N277),OFFSET($C$61,MATCH(M278*1.07,$M$62:$M$2061,1),0)-C278)</f>
        <v>5400</v>
      </c>
    </row>
    <row r="279" spans="2:14">
      <c r="B279" s="67">
        <v>218</v>
      </c>
      <c r="C279" s="67">
        <f t="shared" si="33"/>
        <v>78480</v>
      </c>
      <c r="D279" s="67">
        <f t="shared" si="29"/>
        <v>5</v>
      </c>
      <c r="E279" s="67">
        <f ca="1" t="shared" si="30"/>
        <v>248</v>
      </c>
      <c r="F279" s="67">
        <f ca="1" t="shared" si="31"/>
        <v>0</v>
      </c>
      <c r="G279" s="67">
        <f ca="1" t="shared" si="32"/>
        <v>1.78647904652057</v>
      </c>
      <c r="H279" s="67" cm="1">
        <f ca="1" t="array" ref="H279">MIN(30-SUM(I279:L279),_xlfn.XLOOKUP($D279&amp;"_"&amp;H$61,$B$23:$B$45&amp;"_"&amp;$C$23:$C$45,$D$23:$D$45)*$E279,18)</f>
        <v>18</v>
      </c>
      <c r="I279" s="67" cm="1">
        <f ca="1" t="array" ref="I279">MIN(30-SUM(J279:L279),6-L279,_xlfn.XLOOKUP($D279&amp;"_"&amp;I$61,$B$23:$B$45&amp;"_"&amp;$C$23:$C$45,$D$23:$D$45)*$E279)</f>
        <v>4.50027220299885</v>
      </c>
      <c r="J279" s="67" cm="1">
        <f ca="1" t="array" ref="J279">MIN(8,_xlfn.XLOOKUP($D279&amp;"_"&amp;J$61,$B$23:$B$45&amp;"_"&amp;$C$23:$C$45,$D$23:$D$45)*$E279)</f>
        <v>3.21370242214532</v>
      </c>
      <c r="K279" s="67" cm="1">
        <f ca="1" t="array" ref="K279">MIN(18,_xlfn.XLOOKUP($D279&amp;"_"&amp;K$61,$B$23:$B$45&amp;"_"&amp;$C$23:$C$45,$D$23:$D$45)*$E279)</f>
        <v>0.999818531334103</v>
      </c>
      <c r="L279" s="67" cm="1">
        <f ca="1" t="array" ref="L279">MIN(6,_xlfn.XLOOKUP($D279&amp;"_"&amp;L$61,$B$23:$B$45&amp;"_"&amp;$C$23:$C$45,$D$23:$D$45)*$E279)</f>
        <v>1.49972779700115</v>
      </c>
      <c r="M279" s="67" cm="1">
        <f ca="1" t="array" ref="M279">(1+SUMPRODUCT(G279:H279,OFFSET($H$49:$I$49,D279,0)))*(1+OFFSET($J$49,D279,0))^I279*(1+OFFSET($K$49,D279,0))^J279*(1+OFFSET($L$49,D279,0))^K279*(1+OFFSET($M$49,D279,0))^L279</f>
        <v>58.3640290935982</v>
      </c>
      <c r="N279" s="67">
        <f ca="1">MAX(MAX($N$62:N278),OFFSET($C$61,MATCH(M279*1.07,$M$62:$M$2061,1),0)-C279)</f>
        <v>5400</v>
      </c>
    </row>
    <row r="280" spans="2:14">
      <c r="B280" s="67">
        <v>219</v>
      </c>
      <c r="C280" s="67">
        <f t="shared" si="33"/>
        <v>78840</v>
      </c>
      <c r="D280" s="67">
        <f t="shared" si="29"/>
        <v>5</v>
      </c>
      <c r="E280" s="67">
        <f ca="1" t="shared" si="30"/>
        <v>249</v>
      </c>
      <c r="F280" s="67">
        <f ca="1" t="shared" si="31"/>
        <v>0</v>
      </c>
      <c r="G280" s="67">
        <f ca="1" t="shared" si="32"/>
        <v>1.76948904267589</v>
      </c>
      <c r="H280" s="67" cm="1">
        <f ca="1" t="array" ref="H280">MIN(30-SUM(I280:L280),_xlfn.XLOOKUP($D280&amp;"_"&amp;H$61,$B$23:$B$45&amp;"_"&amp;$C$23:$C$45,$D$23:$D$45)*$E280,18)</f>
        <v>18</v>
      </c>
      <c r="I280" s="67" cm="1">
        <f ca="1" t="array" ref="I280">MIN(30-SUM(J280:L280),6-L280,_xlfn.XLOOKUP($D280&amp;"_"&amp;I$61,$B$23:$B$45&amp;"_"&amp;$C$23:$C$45,$D$23:$D$45)*$E280)</f>
        <v>4.49422491349481</v>
      </c>
      <c r="J280" s="67" cm="1">
        <f ca="1" t="array" ref="J280">MIN(8,_xlfn.XLOOKUP($D280&amp;"_"&amp;J$61,$B$23:$B$45&amp;"_"&amp;$C$23:$C$45,$D$23:$D$45)*$E280)</f>
        <v>3.22666089965397</v>
      </c>
      <c r="K280" s="67" cm="1">
        <f ca="1" t="array" ref="K280">MIN(18,_xlfn.XLOOKUP($D280&amp;"_"&amp;K$61,$B$23:$B$45&amp;"_"&amp;$C$23:$C$45,$D$23:$D$45)*$E280)</f>
        <v>1.00385005767013</v>
      </c>
      <c r="L280" s="67" cm="1">
        <f ca="1" t="array" ref="L280">MIN(6,_xlfn.XLOOKUP($D280&amp;"_"&amp;L$61,$B$23:$B$45&amp;"_"&amp;$C$23:$C$45,$D$23:$D$45)*$E280)</f>
        <v>1.50577508650519</v>
      </c>
      <c r="M280" s="67" cm="1">
        <f ca="1" t="array" ref="M280">(1+SUMPRODUCT(G280:H280,OFFSET($H$49:$I$49,D280,0)))*(1+OFFSET($J$49,D280,0))^I280*(1+OFFSET($K$49,D280,0))^J280*(1+OFFSET($L$49,D280,0))^K280*(1+OFFSET($M$49,D280,0))^L280</f>
        <v>58.6119390073993</v>
      </c>
      <c r="N280" s="67">
        <f ca="1">MAX(MAX($N$62:N279),OFFSET($C$61,MATCH(M280*1.07,$M$62:$M$2061,1),0)-C280)</f>
        <v>5400</v>
      </c>
    </row>
    <row r="281" spans="2:14">
      <c r="B281" s="67">
        <v>220</v>
      </c>
      <c r="C281" s="67">
        <f t="shared" si="33"/>
        <v>79200</v>
      </c>
      <c r="D281" s="67">
        <f t="shared" si="29"/>
        <v>5</v>
      </c>
      <c r="E281" s="67">
        <f ca="1" t="shared" si="30"/>
        <v>250</v>
      </c>
      <c r="F281" s="67">
        <f ca="1" t="shared" si="31"/>
        <v>0</v>
      </c>
      <c r="G281" s="67">
        <f ca="1" t="shared" si="32"/>
        <v>1.75249903883122</v>
      </c>
      <c r="H281" s="67" cm="1">
        <f ca="1" t="array" ref="H281">MIN(30-SUM(I281:L281),_xlfn.XLOOKUP($D281&amp;"_"&amp;H$61,$B$23:$B$45&amp;"_"&amp;$C$23:$C$45,$D$23:$D$45)*$E281,18)</f>
        <v>18</v>
      </c>
      <c r="I281" s="67" cm="1">
        <f ca="1" t="array" ref="I281">MIN(30-SUM(J281:L281),6-L281,_xlfn.XLOOKUP($D281&amp;"_"&amp;I$61,$B$23:$B$45&amp;"_"&amp;$C$23:$C$45,$D$23:$D$45)*$E281)</f>
        <v>4.48817762399077</v>
      </c>
      <c r="J281" s="67" cm="1">
        <f ca="1" t="array" ref="J281">MIN(8,_xlfn.XLOOKUP($D281&amp;"_"&amp;J$61,$B$23:$B$45&amp;"_"&amp;$C$23:$C$45,$D$23:$D$45)*$E281)</f>
        <v>3.23961937716262</v>
      </c>
      <c r="K281" s="67" cm="1">
        <f ca="1" t="array" ref="K281">MIN(18,_xlfn.XLOOKUP($D281&amp;"_"&amp;K$61,$B$23:$B$45&amp;"_"&amp;$C$23:$C$45,$D$23:$D$45)*$E281)</f>
        <v>1.00788158400615</v>
      </c>
      <c r="L281" s="67" cm="1">
        <f ca="1" t="array" ref="L281">MIN(6,_xlfn.XLOOKUP($D281&amp;"_"&amp;L$61,$B$23:$B$45&amp;"_"&amp;$C$23:$C$45,$D$23:$D$45)*$E281)</f>
        <v>1.51182237600923</v>
      </c>
      <c r="M281" s="67" cm="1">
        <f ca="1" t="array" ref="M281">(1+SUMPRODUCT(G281:H281,OFFSET($H$49:$I$49,D281,0)))*(1+OFFSET($J$49,D281,0))^I281*(1+OFFSET($K$49,D281,0))^J281*(1+OFFSET($L$49,D281,0))^K281*(1+OFFSET($M$49,D281,0))^L281</f>
        <v>58.8608913906488</v>
      </c>
      <c r="N281" s="67">
        <f ca="1">MAX(MAX($N$62:N280),OFFSET($C$61,MATCH(M281*1.07,$M$62:$M$2061,1),0)-C281)</f>
        <v>5400</v>
      </c>
    </row>
    <row r="282" spans="2:14">
      <c r="B282" s="67">
        <v>221</v>
      </c>
      <c r="C282" s="67">
        <f t="shared" si="33"/>
        <v>79560</v>
      </c>
      <c r="D282" s="67">
        <f t="shared" si="29"/>
        <v>5</v>
      </c>
      <c r="E282" s="67">
        <f ca="1" t="shared" si="30"/>
        <v>251</v>
      </c>
      <c r="F282" s="67">
        <f ca="1" t="shared" si="31"/>
        <v>0</v>
      </c>
      <c r="G282" s="67">
        <f ca="1" t="shared" si="32"/>
        <v>1.73550903498655</v>
      </c>
      <c r="H282" s="67" cm="1">
        <f ca="1" t="array" ref="H282">MIN(30-SUM(I282:L282),_xlfn.XLOOKUP($D282&amp;"_"&amp;H$61,$B$23:$B$45&amp;"_"&amp;$C$23:$C$45,$D$23:$D$45)*$E282,18)</f>
        <v>18</v>
      </c>
      <c r="I282" s="67" cm="1">
        <f ca="1" t="array" ref="I282">MIN(30-SUM(J282:L282),6-L282,_xlfn.XLOOKUP($D282&amp;"_"&amp;I$61,$B$23:$B$45&amp;"_"&amp;$C$23:$C$45,$D$23:$D$45)*$E282)</f>
        <v>4.48213033448674</v>
      </c>
      <c r="J282" s="67" cm="1">
        <f ca="1" t="array" ref="J282">MIN(8,_xlfn.XLOOKUP($D282&amp;"_"&amp;J$61,$B$23:$B$45&amp;"_"&amp;$C$23:$C$45,$D$23:$D$45)*$E282)</f>
        <v>3.25257785467128</v>
      </c>
      <c r="K282" s="67" cm="1">
        <f ca="1" t="array" ref="K282">MIN(18,_xlfn.XLOOKUP($D282&amp;"_"&amp;K$61,$B$23:$B$45&amp;"_"&amp;$C$23:$C$45,$D$23:$D$45)*$E282)</f>
        <v>1.01191311034218</v>
      </c>
      <c r="L282" s="67" cm="1">
        <f ca="1" t="array" ref="L282">MIN(6,_xlfn.XLOOKUP($D282&amp;"_"&amp;L$61,$B$23:$B$45&amp;"_"&amp;$C$23:$C$45,$D$23:$D$45)*$E282)</f>
        <v>1.51786966551326</v>
      </c>
      <c r="M282" s="67" cm="1">
        <f ca="1" t="array" ref="M282">(1+SUMPRODUCT(G282:H282,OFFSET($H$49:$I$49,D282,0)))*(1+OFFSET($J$49,D282,0))^I282*(1+OFFSET($K$49,D282,0))^J282*(1+OFFSET($L$49,D282,0))^K282*(1+OFFSET($M$49,D282,0))^L282</f>
        <v>59.1108905726497</v>
      </c>
      <c r="N282" s="67">
        <f ca="1">MAX(MAX($N$62:N281),OFFSET($C$61,MATCH(M282*1.07,$M$62:$M$2061,1),0)-C282)</f>
        <v>5400</v>
      </c>
    </row>
    <row r="283" spans="2:14">
      <c r="B283" s="67">
        <v>222</v>
      </c>
      <c r="C283" s="67">
        <f t="shared" si="33"/>
        <v>79920</v>
      </c>
      <c r="D283" s="67">
        <f t="shared" si="29"/>
        <v>5</v>
      </c>
      <c r="E283" s="67">
        <f ca="1" t="shared" si="30"/>
        <v>252</v>
      </c>
      <c r="F283" s="67">
        <f ca="1" t="shared" si="31"/>
        <v>0</v>
      </c>
      <c r="G283" s="67">
        <f ca="1" t="shared" si="32"/>
        <v>1.71851903114187</v>
      </c>
      <c r="H283" s="67" cm="1">
        <f ca="1" t="array" ref="H283">MIN(30-SUM(I283:L283),_xlfn.XLOOKUP($D283&amp;"_"&amp;H$61,$B$23:$B$45&amp;"_"&amp;$C$23:$C$45,$D$23:$D$45)*$E283,18)</f>
        <v>18</v>
      </c>
      <c r="I283" s="67" cm="1">
        <f ca="1" t="array" ref="I283">MIN(30-SUM(J283:L283),6-L283,_xlfn.XLOOKUP($D283&amp;"_"&amp;I$61,$B$23:$B$45&amp;"_"&amp;$C$23:$C$45,$D$23:$D$45)*$E283)</f>
        <v>4.4760830449827</v>
      </c>
      <c r="J283" s="67" cm="1">
        <f ca="1" t="array" ref="J283">MIN(8,_xlfn.XLOOKUP($D283&amp;"_"&amp;J$61,$B$23:$B$45&amp;"_"&amp;$C$23:$C$45,$D$23:$D$45)*$E283)</f>
        <v>3.26553633217993</v>
      </c>
      <c r="K283" s="67" cm="1">
        <f ca="1" t="array" ref="K283">MIN(18,_xlfn.XLOOKUP($D283&amp;"_"&amp;K$61,$B$23:$B$45&amp;"_"&amp;$C$23:$C$45,$D$23:$D$45)*$E283)</f>
        <v>1.0159446366782</v>
      </c>
      <c r="L283" s="67" cm="1">
        <f ca="1" t="array" ref="L283">MIN(6,_xlfn.XLOOKUP($D283&amp;"_"&amp;L$61,$B$23:$B$45&amp;"_"&amp;$C$23:$C$45,$D$23:$D$45)*$E283)</f>
        <v>1.5239169550173</v>
      </c>
      <c r="M283" s="67" cm="1">
        <f ca="1" t="array" ref="M283">(1+SUMPRODUCT(G283:H283,OFFSET($H$49:$I$49,D283,0)))*(1+OFFSET($J$49,D283,0))^I283*(1+OFFSET($K$49,D283,0))^J283*(1+OFFSET($L$49,D283,0))^K283*(1+OFFSET($M$49,D283,0))^L283</f>
        <v>59.3619409004018</v>
      </c>
      <c r="N283" s="67">
        <f ca="1">MAX(MAX($N$62:N282),OFFSET($C$61,MATCH(M283*1.07,$M$62:$M$2061,1),0)-C283)</f>
        <v>5400</v>
      </c>
    </row>
    <row r="284" spans="2:14">
      <c r="B284" s="67">
        <v>223</v>
      </c>
      <c r="C284" s="67">
        <f t="shared" si="33"/>
        <v>80280</v>
      </c>
      <c r="D284" s="67">
        <f t="shared" si="29"/>
        <v>5</v>
      </c>
      <c r="E284" s="67">
        <f ca="1" t="shared" si="30"/>
        <v>253</v>
      </c>
      <c r="F284" s="67">
        <f ca="1" t="shared" si="31"/>
        <v>0</v>
      </c>
      <c r="G284" s="67">
        <f ca="1" t="shared" si="32"/>
        <v>1.70152902729719</v>
      </c>
      <c r="H284" s="67" cm="1">
        <f ca="1" t="array" ref="H284">MIN(30-SUM(I284:L284),_xlfn.XLOOKUP($D284&amp;"_"&amp;H$61,$B$23:$B$45&amp;"_"&amp;$C$23:$C$45,$D$23:$D$45)*$E284,18)</f>
        <v>18</v>
      </c>
      <c r="I284" s="67" cm="1">
        <f ca="1" t="array" ref="I284">MIN(30-SUM(J284:L284),6-L284,_xlfn.XLOOKUP($D284&amp;"_"&amp;I$61,$B$23:$B$45&amp;"_"&amp;$C$23:$C$45,$D$23:$D$45)*$E284)</f>
        <v>4.47003575547866</v>
      </c>
      <c r="J284" s="67" cm="1">
        <f ca="1" t="array" ref="J284">MIN(8,_xlfn.XLOOKUP($D284&amp;"_"&amp;J$61,$B$23:$B$45&amp;"_"&amp;$C$23:$C$45,$D$23:$D$45)*$E284)</f>
        <v>3.27849480968858</v>
      </c>
      <c r="K284" s="67" cm="1">
        <f ca="1" t="array" ref="K284">MIN(18,_xlfn.XLOOKUP($D284&amp;"_"&amp;K$61,$B$23:$B$45&amp;"_"&amp;$C$23:$C$45,$D$23:$D$45)*$E284)</f>
        <v>1.01997616301423</v>
      </c>
      <c r="L284" s="67" cm="1">
        <f ca="1" t="array" ref="L284">MIN(6,_xlfn.XLOOKUP($D284&amp;"_"&amp;L$61,$B$23:$B$45&amp;"_"&amp;$C$23:$C$45,$D$23:$D$45)*$E284)</f>
        <v>1.52996424452134</v>
      </c>
      <c r="M284" s="67" cm="1">
        <f ca="1" t="array" ref="M284">(1+SUMPRODUCT(G284:H284,OFFSET($H$49:$I$49,D284,0)))*(1+OFFSET($J$49,D284,0))^I284*(1+OFFSET($K$49,D284,0))^J284*(1+OFFSET($L$49,D284,0))^K284*(1+OFFSET($M$49,D284,0))^L284</f>
        <v>59.6140467386734</v>
      </c>
      <c r="N284" s="67">
        <f ca="1">MAX(MAX($N$62:N283),OFFSET($C$61,MATCH(M284*1.07,$M$62:$M$2061,1),0)-C284)</f>
        <v>5400</v>
      </c>
    </row>
    <row r="285" spans="2:14">
      <c r="B285" s="67">
        <v>224</v>
      </c>
      <c r="C285" s="67">
        <f t="shared" si="33"/>
        <v>80640</v>
      </c>
      <c r="D285" s="67">
        <f t="shared" si="29"/>
        <v>5</v>
      </c>
      <c r="E285" s="67">
        <f ca="1" t="shared" si="30"/>
        <v>254</v>
      </c>
      <c r="F285" s="67">
        <f ca="1" t="shared" si="31"/>
        <v>0</v>
      </c>
      <c r="G285" s="67">
        <f ca="1" t="shared" si="32"/>
        <v>1.68453902345252</v>
      </c>
      <c r="H285" s="67" cm="1">
        <f ca="1" t="array" ref="H285">MIN(30-SUM(I285:L285),_xlfn.XLOOKUP($D285&amp;"_"&amp;H$61,$B$23:$B$45&amp;"_"&amp;$C$23:$C$45,$D$23:$D$45)*$E285,18)</f>
        <v>18</v>
      </c>
      <c r="I285" s="67" cm="1">
        <f ca="1" t="array" ref="I285">MIN(30-SUM(J285:L285),6-L285,_xlfn.XLOOKUP($D285&amp;"_"&amp;I$61,$B$23:$B$45&amp;"_"&amp;$C$23:$C$45,$D$23:$D$45)*$E285)</f>
        <v>4.46398846597462</v>
      </c>
      <c r="J285" s="67" cm="1">
        <f ca="1" t="array" ref="J285">MIN(8,_xlfn.XLOOKUP($D285&amp;"_"&amp;J$61,$B$23:$B$45&amp;"_"&amp;$C$23:$C$45,$D$23:$D$45)*$E285)</f>
        <v>3.29145328719723</v>
      </c>
      <c r="K285" s="67" cm="1">
        <f ca="1" t="array" ref="K285">MIN(18,_xlfn.XLOOKUP($D285&amp;"_"&amp;K$61,$B$23:$B$45&amp;"_"&amp;$C$23:$C$45,$D$23:$D$45)*$E285)</f>
        <v>1.02400768935025</v>
      </c>
      <c r="L285" s="67" cm="1">
        <f ca="1" t="array" ref="L285">MIN(6,_xlfn.XLOOKUP($D285&amp;"_"&amp;L$61,$B$23:$B$45&amp;"_"&amp;$C$23:$C$45,$D$23:$D$45)*$E285)</f>
        <v>1.53601153402538</v>
      </c>
      <c r="M285" s="67" cm="1">
        <f ca="1" t="array" ref="M285">(1+SUMPRODUCT(G285:H285,OFFSET($H$49:$I$49,D285,0)))*(1+OFFSET($J$49,D285,0))^I285*(1+OFFSET($K$49,D285,0))^J285*(1+OFFSET($L$49,D285,0))^K285*(1+OFFSET($M$49,D285,0))^L285</f>
        <v>59.8672124700717</v>
      </c>
      <c r="N285" s="67">
        <f ca="1">MAX(MAX($N$62:N284),OFFSET($C$61,MATCH(M285*1.07,$M$62:$M$2061,1),0)-C285)</f>
        <v>5400</v>
      </c>
    </row>
    <row r="286" spans="2:14">
      <c r="B286" s="67">
        <v>225</v>
      </c>
      <c r="C286" s="67">
        <f t="shared" si="33"/>
        <v>81000</v>
      </c>
      <c r="D286" s="67">
        <f t="shared" si="29"/>
        <v>5</v>
      </c>
      <c r="E286" s="67">
        <f ca="1" t="shared" si="30"/>
        <v>255</v>
      </c>
      <c r="F286" s="67">
        <f ca="1" t="shared" si="31"/>
        <v>0</v>
      </c>
      <c r="G286" s="67">
        <f ca="1" t="shared" si="32"/>
        <v>1.66754901960785</v>
      </c>
      <c r="H286" s="67" cm="1">
        <f ca="1" t="array" ref="H286">MIN(30-SUM(I286:L286),_xlfn.XLOOKUP($D286&amp;"_"&amp;H$61,$B$23:$B$45&amp;"_"&amp;$C$23:$C$45,$D$23:$D$45)*$E286,18)</f>
        <v>18</v>
      </c>
      <c r="I286" s="67" cm="1">
        <f ca="1" t="array" ref="I286">MIN(30-SUM(J286:L286),6-L286,_xlfn.XLOOKUP($D286&amp;"_"&amp;I$61,$B$23:$B$45&amp;"_"&amp;$C$23:$C$45,$D$23:$D$45)*$E286)</f>
        <v>4.45794117647059</v>
      </c>
      <c r="J286" s="67" cm="1">
        <f ca="1" t="array" ref="J286">MIN(8,_xlfn.XLOOKUP($D286&amp;"_"&amp;J$61,$B$23:$B$45&amp;"_"&amp;$C$23:$C$45,$D$23:$D$45)*$E286)</f>
        <v>3.30441176470588</v>
      </c>
      <c r="K286" s="67" cm="1">
        <f ca="1" t="array" ref="K286">MIN(18,_xlfn.XLOOKUP($D286&amp;"_"&amp;K$61,$B$23:$B$45&amp;"_"&amp;$C$23:$C$45,$D$23:$D$45)*$E286)</f>
        <v>1.02803921568628</v>
      </c>
      <c r="L286" s="67" cm="1">
        <f ca="1" t="array" ref="L286">MIN(6,_xlfn.XLOOKUP($D286&amp;"_"&amp;L$61,$B$23:$B$45&amp;"_"&amp;$C$23:$C$45,$D$23:$D$45)*$E286)</f>
        <v>1.54205882352941</v>
      </c>
      <c r="M286" s="67" cm="1">
        <f ca="1" t="array" ref="M286">(1+SUMPRODUCT(G286:H286,OFFSET($H$49:$I$49,D286,0)))*(1+OFFSET($J$49,D286,0))^I286*(1+OFFSET($K$49,D286,0))^J286*(1+OFFSET($L$49,D286,0))^K286*(1+OFFSET($M$49,D286,0))^L286</f>
        <v>60.1214424951148</v>
      </c>
      <c r="N286" s="67">
        <f ca="1">MAX(MAX($N$62:N285),OFFSET($C$61,MATCH(M286*1.07,$M$62:$M$2061,1),0)-C286)</f>
        <v>5400</v>
      </c>
    </row>
    <row r="287" spans="2:14">
      <c r="B287" s="67">
        <v>226</v>
      </c>
      <c r="C287" s="67">
        <f t="shared" si="33"/>
        <v>81360</v>
      </c>
      <c r="D287" s="67">
        <f t="shared" si="29"/>
        <v>5</v>
      </c>
      <c r="E287" s="67">
        <f ca="1" t="shared" si="30"/>
        <v>256</v>
      </c>
      <c r="F287" s="67">
        <f ca="1" t="shared" si="31"/>
        <v>0</v>
      </c>
      <c r="G287" s="67">
        <f ca="1" t="shared" si="32"/>
        <v>1.65055901576317</v>
      </c>
      <c r="H287" s="67" cm="1">
        <f ca="1" t="array" ref="H287">MIN(30-SUM(I287:L287),_xlfn.XLOOKUP($D287&amp;"_"&amp;H$61,$B$23:$B$45&amp;"_"&amp;$C$23:$C$45,$D$23:$D$45)*$E287,18)</f>
        <v>18</v>
      </c>
      <c r="I287" s="67" cm="1">
        <f ca="1" t="array" ref="I287">MIN(30-SUM(J287:L287),6-L287,_xlfn.XLOOKUP($D287&amp;"_"&amp;I$61,$B$23:$B$45&amp;"_"&amp;$C$23:$C$45,$D$23:$D$45)*$E287)</f>
        <v>4.45189388696655</v>
      </c>
      <c r="J287" s="67" cm="1">
        <f ca="1" t="array" ref="J287">MIN(8,_xlfn.XLOOKUP($D287&amp;"_"&amp;J$61,$B$23:$B$45&amp;"_"&amp;$C$23:$C$45,$D$23:$D$45)*$E287)</f>
        <v>3.31737024221453</v>
      </c>
      <c r="K287" s="67" cm="1">
        <f ca="1" t="array" ref="K287">MIN(18,_xlfn.XLOOKUP($D287&amp;"_"&amp;K$61,$B$23:$B$45&amp;"_"&amp;$C$23:$C$45,$D$23:$D$45)*$E287)</f>
        <v>1.0320707420223</v>
      </c>
      <c r="L287" s="67" cm="1">
        <f ca="1" t="array" ref="L287">MIN(6,_xlfn.XLOOKUP($D287&amp;"_"&amp;L$61,$B$23:$B$45&amp;"_"&amp;$C$23:$C$45,$D$23:$D$45)*$E287)</f>
        <v>1.54810611303345</v>
      </c>
      <c r="M287" s="67" cm="1">
        <f ca="1" t="array" ref="M287">(1+SUMPRODUCT(G287:H287,OFFSET($H$49:$I$49,D287,0)))*(1+OFFSET($J$49,D287,0))^I287*(1+OFFSET($K$49,D287,0))^J287*(1+OFFSET($L$49,D287,0))^K287*(1+OFFSET($M$49,D287,0))^L287</f>
        <v>60.3767412323028</v>
      </c>
      <c r="N287" s="67">
        <f ca="1">MAX(MAX($N$62:N286),OFFSET($C$61,MATCH(M287*1.07,$M$62:$M$2061,1),0)-C287)</f>
        <v>5400</v>
      </c>
    </row>
    <row r="288" spans="2:14">
      <c r="B288" s="67">
        <v>227</v>
      </c>
      <c r="C288" s="67">
        <f t="shared" si="33"/>
        <v>81720</v>
      </c>
      <c r="D288" s="67">
        <f t="shared" si="29"/>
        <v>5</v>
      </c>
      <c r="E288" s="67">
        <f ca="1" t="shared" si="30"/>
        <v>257</v>
      </c>
      <c r="F288" s="67">
        <f ca="1" t="shared" si="31"/>
        <v>0</v>
      </c>
      <c r="G288" s="67">
        <f ca="1" t="shared" si="32"/>
        <v>1.6335690119185</v>
      </c>
      <c r="H288" s="67" cm="1">
        <f ca="1" t="array" ref="H288">MIN(30-SUM(I288:L288),_xlfn.XLOOKUP($D288&amp;"_"&amp;H$61,$B$23:$B$45&amp;"_"&amp;$C$23:$C$45,$D$23:$D$45)*$E288,18)</f>
        <v>18</v>
      </c>
      <c r="I288" s="67" cm="1">
        <f ca="1" t="array" ref="I288">MIN(30-SUM(J288:L288),6-L288,_xlfn.XLOOKUP($D288&amp;"_"&amp;I$61,$B$23:$B$45&amp;"_"&amp;$C$23:$C$45,$D$23:$D$45)*$E288)</f>
        <v>4.44584659746251</v>
      </c>
      <c r="J288" s="67" cm="1">
        <f ca="1" t="array" ref="J288">MIN(8,_xlfn.XLOOKUP($D288&amp;"_"&amp;J$61,$B$23:$B$45&amp;"_"&amp;$C$23:$C$45,$D$23:$D$45)*$E288)</f>
        <v>3.33032871972318</v>
      </c>
      <c r="K288" s="67" cm="1">
        <f ca="1" t="array" ref="K288">MIN(18,_xlfn.XLOOKUP($D288&amp;"_"&amp;K$61,$B$23:$B$45&amp;"_"&amp;$C$23:$C$45,$D$23:$D$45)*$E288)</f>
        <v>1.03610226835832</v>
      </c>
      <c r="L288" s="67" cm="1">
        <f ca="1" t="array" ref="L288">MIN(6,_xlfn.XLOOKUP($D288&amp;"_"&amp;L$61,$B$23:$B$45&amp;"_"&amp;$C$23:$C$45,$D$23:$D$45)*$E288)</f>
        <v>1.55415340253749</v>
      </c>
      <c r="M288" s="67" cm="1">
        <f ca="1" t="array" ref="M288">(1+SUMPRODUCT(G288:H288,OFFSET($H$49:$I$49,D288,0)))*(1+OFFSET($J$49,D288,0))^I288*(1+OFFSET($K$49,D288,0))^J288*(1+OFFSET($L$49,D288,0))^K288*(1+OFFSET($M$49,D288,0))^L288</f>
        <v>60.6331131181903</v>
      </c>
      <c r="N288" s="67">
        <f ca="1">MAX(MAX($N$62:N287),OFFSET($C$61,MATCH(M288*1.07,$M$62:$M$2061,1),0)-C288)</f>
        <v>5400</v>
      </c>
    </row>
    <row r="289" spans="2:14">
      <c r="B289" s="67">
        <v>228</v>
      </c>
      <c r="C289" s="67">
        <f t="shared" si="33"/>
        <v>82080</v>
      </c>
      <c r="D289" s="67">
        <f t="shared" si="29"/>
        <v>5</v>
      </c>
      <c r="E289" s="67">
        <f ca="1" t="shared" si="30"/>
        <v>258</v>
      </c>
      <c r="F289" s="67">
        <f ca="1" t="shared" si="31"/>
        <v>0</v>
      </c>
      <c r="G289" s="67">
        <f ca="1" t="shared" si="32"/>
        <v>1.61657900807382</v>
      </c>
      <c r="H289" s="67" cm="1">
        <f ca="1" t="array" ref="H289">MIN(30-SUM(I289:L289),_xlfn.XLOOKUP($D289&amp;"_"&amp;H$61,$B$23:$B$45&amp;"_"&amp;$C$23:$C$45,$D$23:$D$45)*$E289,18)</f>
        <v>18</v>
      </c>
      <c r="I289" s="67" cm="1">
        <f ca="1" t="array" ref="I289">MIN(30-SUM(J289:L289),6-L289,_xlfn.XLOOKUP($D289&amp;"_"&amp;I$61,$B$23:$B$45&amp;"_"&amp;$C$23:$C$45,$D$23:$D$45)*$E289)</f>
        <v>4.43979930795848</v>
      </c>
      <c r="J289" s="67" cm="1">
        <f ca="1" t="array" ref="J289">MIN(8,_xlfn.XLOOKUP($D289&amp;"_"&amp;J$61,$B$23:$B$45&amp;"_"&amp;$C$23:$C$45,$D$23:$D$45)*$E289)</f>
        <v>3.34328719723183</v>
      </c>
      <c r="K289" s="67" cm="1">
        <f ca="1" t="array" ref="K289">MIN(18,_xlfn.XLOOKUP($D289&amp;"_"&amp;K$61,$B$23:$B$45&amp;"_"&amp;$C$23:$C$45,$D$23:$D$45)*$E289)</f>
        <v>1.04013379469435</v>
      </c>
      <c r="L289" s="67" cm="1">
        <f ca="1" t="array" ref="L289">MIN(6,_xlfn.XLOOKUP($D289&amp;"_"&amp;L$61,$B$23:$B$45&amp;"_"&amp;$C$23:$C$45,$D$23:$D$45)*$E289)</f>
        <v>1.56020069204152</v>
      </c>
      <c r="M289" s="67" cm="1">
        <f ca="1" t="array" ref="M289">(1+SUMPRODUCT(G289:H289,OFFSET($H$49:$I$49,D289,0)))*(1+OFFSET($J$49,D289,0))^I289*(1+OFFSET($K$49,D289,0))^J289*(1+OFFSET($L$49,D289,0))^K289*(1+OFFSET($M$49,D289,0))^L289</f>
        <v>60.8905626074583</v>
      </c>
      <c r="N289" s="67">
        <f ca="1">MAX(MAX($N$62:N288),OFFSET($C$61,MATCH(M289*1.07,$M$62:$M$2061,1),0)-C289)</f>
        <v>5400</v>
      </c>
    </row>
    <row r="290" spans="2:14">
      <c r="B290" s="67">
        <v>229</v>
      </c>
      <c r="C290" s="67">
        <f t="shared" si="33"/>
        <v>82440</v>
      </c>
      <c r="D290" s="67">
        <f t="shared" si="29"/>
        <v>5</v>
      </c>
      <c r="E290" s="67">
        <f ca="1" t="shared" si="30"/>
        <v>259</v>
      </c>
      <c r="F290" s="67">
        <f ca="1" t="shared" si="31"/>
        <v>0</v>
      </c>
      <c r="G290" s="67">
        <f ca="1" t="shared" si="32"/>
        <v>1.59958900422915</v>
      </c>
      <c r="H290" s="67" cm="1">
        <f ca="1" t="array" ref="H290">MIN(30-SUM(I290:L290),_xlfn.XLOOKUP($D290&amp;"_"&amp;H$61,$B$23:$B$45&amp;"_"&amp;$C$23:$C$45,$D$23:$D$45)*$E290,18)</f>
        <v>18</v>
      </c>
      <c r="I290" s="67" cm="1">
        <f ca="1" t="array" ref="I290">MIN(30-SUM(J290:L290),6-L290,_xlfn.XLOOKUP($D290&amp;"_"&amp;I$61,$B$23:$B$45&amp;"_"&amp;$C$23:$C$45,$D$23:$D$45)*$E290)</f>
        <v>4.43375201845444</v>
      </c>
      <c r="J290" s="67" cm="1">
        <f ca="1" t="array" ref="J290">MIN(8,_xlfn.XLOOKUP($D290&amp;"_"&amp;J$61,$B$23:$B$45&amp;"_"&amp;$C$23:$C$45,$D$23:$D$45)*$E290)</f>
        <v>3.35624567474048</v>
      </c>
      <c r="K290" s="67" cm="1">
        <f ca="1" t="array" ref="K290">MIN(18,_xlfn.XLOOKUP($D290&amp;"_"&amp;K$61,$B$23:$B$45&amp;"_"&amp;$C$23:$C$45,$D$23:$D$45)*$E290)</f>
        <v>1.04416532103037</v>
      </c>
      <c r="L290" s="67" cm="1">
        <f ca="1" t="array" ref="L290">MIN(6,_xlfn.XLOOKUP($D290&amp;"_"&amp;L$61,$B$23:$B$45&amp;"_"&amp;$C$23:$C$45,$D$23:$D$45)*$E290)</f>
        <v>1.56624798154556</v>
      </c>
      <c r="M290" s="67" cm="1">
        <f ca="1" t="array" ref="M290">(1+SUMPRODUCT(G290:H290,OFFSET($H$49:$I$49,D290,0)))*(1+OFFSET($J$49,D290,0))^I290*(1+OFFSET($K$49,D290,0))^J290*(1+OFFSET($L$49,D290,0))^K290*(1+OFFSET($M$49,D290,0))^L290</f>
        <v>61.1490941729869</v>
      </c>
      <c r="N290" s="67">
        <f ca="1">MAX(MAX($N$62:N289),OFFSET($C$61,MATCH(M290*1.07,$M$62:$M$2061,1),0)-C290)</f>
        <v>5400</v>
      </c>
    </row>
    <row r="291" spans="2:14">
      <c r="B291" s="67">
        <v>230</v>
      </c>
      <c r="C291" s="67">
        <f t="shared" si="33"/>
        <v>82800</v>
      </c>
      <c r="D291" s="67">
        <f t="shared" si="29"/>
        <v>5</v>
      </c>
      <c r="E291" s="67">
        <f ca="1" t="shared" si="30"/>
        <v>260</v>
      </c>
      <c r="F291" s="67">
        <f ca="1" t="shared" si="31"/>
        <v>0</v>
      </c>
      <c r="G291" s="67">
        <f ca="1" t="shared" si="32"/>
        <v>1.58259900038447</v>
      </c>
      <c r="H291" s="67" cm="1">
        <f ca="1" t="array" ref="H291">MIN(30-SUM(I291:L291),_xlfn.XLOOKUP($D291&amp;"_"&amp;H$61,$B$23:$B$45&amp;"_"&amp;$C$23:$C$45,$D$23:$D$45)*$E291,18)</f>
        <v>18</v>
      </c>
      <c r="I291" s="67" cm="1">
        <f ca="1" t="array" ref="I291">MIN(30-SUM(J291:L291),6-L291,_xlfn.XLOOKUP($D291&amp;"_"&amp;I$61,$B$23:$B$45&amp;"_"&amp;$C$23:$C$45,$D$23:$D$45)*$E291)</f>
        <v>4.4277047289504</v>
      </c>
      <c r="J291" s="67" cm="1">
        <f ca="1" t="array" ref="J291">MIN(8,_xlfn.XLOOKUP($D291&amp;"_"&amp;J$61,$B$23:$B$45&amp;"_"&amp;$C$23:$C$45,$D$23:$D$45)*$E291)</f>
        <v>3.36920415224913</v>
      </c>
      <c r="K291" s="67" cm="1">
        <f ca="1" t="array" ref="K291">MIN(18,_xlfn.XLOOKUP($D291&amp;"_"&amp;K$61,$B$23:$B$45&amp;"_"&amp;$C$23:$C$45,$D$23:$D$45)*$E291)</f>
        <v>1.0481968473664</v>
      </c>
      <c r="L291" s="67" cm="1">
        <f ca="1" t="array" ref="L291">MIN(6,_xlfn.XLOOKUP($D291&amp;"_"&amp;L$61,$B$23:$B$45&amp;"_"&amp;$C$23:$C$45,$D$23:$D$45)*$E291)</f>
        <v>1.5722952710496</v>
      </c>
      <c r="M291" s="67" cm="1">
        <f ca="1" t="array" ref="M291">(1+SUMPRODUCT(G291:H291,OFFSET($H$49:$I$49,D291,0)))*(1+OFFSET($J$49,D291,0))^I291*(1+OFFSET($K$49,D291,0))^J291*(1+OFFSET($L$49,D291,0))^K291*(1+OFFSET($M$49,D291,0))^L291</f>
        <v>61.4087123059282</v>
      </c>
      <c r="N291" s="67">
        <f ca="1">MAX(MAX($N$62:N290),OFFSET($C$61,MATCH(M291*1.07,$M$62:$M$2061,1),0)-C291)</f>
        <v>5400</v>
      </c>
    </row>
    <row r="292" spans="2:14">
      <c r="B292" s="67">
        <v>231</v>
      </c>
      <c r="C292" s="67">
        <f t="shared" si="33"/>
        <v>83160</v>
      </c>
      <c r="D292" s="67">
        <f t="shared" si="29"/>
        <v>5</v>
      </c>
      <c r="E292" s="67">
        <f ca="1" t="shared" si="30"/>
        <v>261</v>
      </c>
      <c r="F292" s="67">
        <f ca="1" t="shared" si="31"/>
        <v>0</v>
      </c>
      <c r="G292" s="67">
        <f ca="1" t="shared" si="32"/>
        <v>1.5656089965398</v>
      </c>
      <c r="H292" s="67" cm="1">
        <f ca="1" t="array" ref="H292">MIN(30-SUM(I292:L292),_xlfn.XLOOKUP($D292&amp;"_"&amp;H$61,$B$23:$B$45&amp;"_"&amp;$C$23:$C$45,$D$23:$D$45)*$E292,18)</f>
        <v>18</v>
      </c>
      <c r="I292" s="67" cm="1">
        <f ca="1" t="array" ref="I292">MIN(30-SUM(J292:L292),6-L292,_xlfn.XLOOKUP($D292&amp;"_"&amp;I$61,$B$23:$B$45&amp;"_"&amp;$C$23:$C$45,$D$23:$D$45)*$E292)</f>
        <v>4.42165743944637</v>
      </c>
      <c r="J292" s="67" cm="1">
        <f ca="1" t="array" ref="J292">MIN(8,_xlfn.XLOOKUP($D292&amp;"_"&amp;J$61,$B$23:$B$45&amp;"_"&amp;$C$23:$C$45,$D$23:$D$45)*$E292)</f>
        <v>3.38216262975778</v>
      </c>
      <c r="K292" s="67" cm="1">
        <f ca="1" t="array" ref="K292">MIN(18,_xlfn.XLOOKUP($D292&amp;"_"&amp;K$61,$B$23:$B$45&amp;"_"&amp;$C$23:$C$45,$D$23:$D$45)*$E292)</f>
        <v>1.05222837370242</v>
      </c>
      <c r="L292" s="67" cm="1">
        <f ca="1" t="array" ref="L292">MIN(6,_xlfn.XLOOKUP($D292&amp;"_"&amp;L$61,$B$23:$B$45&amp;"_"&amp;$C$23:$C$45,$D$23:$D$45)*$E292)</f>
        <v>1.57834256055363</v>
      </c>
      <c r="M292" s="67" cm="1">
        <f ca="1" t="array" ref="M292">(1+SUMPRODUCT(G292:H292,OFFSET($H$49:$I$49,D292,0)))*(1+OFFSET($J$49,D292,0))^I292*(1+OFFSET($K$49,D292,0))^J292*(1+OFFSET($L$49,D292,0))^K292*(1+OFFSET($M$49,D292,0))^L292</f>
        <v>61.669421515779</v>
      </c>
      <c r="N292" s="67">
        <f ca="1">MAX(MAX($N$62:N291),OFFSET($C$61,MATCH(M292*1.07,$M$62:$M$2061,1),0)-C292)</f>
        <v>5400</v>
      </c>
    </row>
    <row r="293" spans="2:14">
      <c r="B293" s="67">
        <v>232</v>
      </c>
      <c r="C293" s="67">
        <f t="shared" si="33"/>
        <v>83520</v>
      </c>
      <c r="D293" s="67">
        <f t="shared" si="29"/>
        <v>5</v>
      </c>
      <c r="E293" s="67">
        <f ca="1" t="shared" si="30"/>
        <v>262</v>
      </c>
      <c r="F293" s="67">
        <f ca="1" t="shared" si="31"/>
        <v>0</v>
      </c>
      <c r="G293" s="67">
        <f ca="1" t="shared" si="32"/>
        <v>1.54861899269512</v>
      </c>
      <c r="H293" s="67" cm="1">
        <f ca="1" t="array" ref="H293">MIN(30-SUM(I293:L293),_xlfn.XLOOKUP($D293&amp;"_"&amp;H$61,$B$23:$B$45&amp;"_"&amp;$C$23:$C$45,$D$23:$D$45)*$E293,18)</f>
        <v>18</v>
      </c>
      <c r="I293" s="67" cm="1">
        <f ca="1" t="array" ref="I293">MIN(30-SUM(J293:L293),6-L293,_xlfn.XLOOKUP($D293&amp;"_"&amp;I$61,$B$23:$B$45&amp;"_"&amp;$C$23:$C$45,$D$23:$D$45)*$E293)</f>
        <v>4.41561014994233</v>
      </c>
      <c r="J293" s="67" cm="1">
        <f ca="1" t="array" ref="J293">MIN(8,_xlfn.XLOOKUP($D293&amp;"_"&amp;J$61,$B$23:$B$45&amp;"_"&amp;$C$23:$C$45,$D$23:$D$45)*$E293)</f>
        <v>3.39512110726643</v>
      </c>
      <c r="K293" s="67" cm="1">
        <f ca="1" t="array" ref="K293">MIN(18,_xlfn.XLOOKUP($D293&amp;"_"&amp;K$61,$B$23:$B$45&amp;"_"&amp;$C$23:$C$45,$D$23:$D$45)*$E293)</f>
        <v>1.05625990003845</v>
      </c>
      <c r="L293" s="67" cm="1">
        <f ca="1" t="array" ref="L293">MIN(6,_xlfn.XLOOKUP($D293&amp;"_"&amp;L$61,$B$23:$B$45&amp;"_"&amp;$C$23:$C$45,$D$23:$D$45)*$E293)</f>
        <v>1.58438985005767</v>
      </c>
      <c r="M293" s="67" cm="1">
        <f ca="1" t="array" ref="M293">(1+SUMPRODUCT(G293:H293,OFFSET($H$49:$I$49,D293,0)))*(1+OFFSET($J$49,D293,0))^I293*(1+OFFSET($K$49,D293,0))^J293*(1+OFFSET($L$49,D293,0))^K293*(1+OFFSET($M$49,D293,0))^L293</f>
        <v>61.9312263304546</v>
      </c>
      <c r="N293" s="67">
        <f ca="1">MAX(MAX($N$62:N292),OFFSET($C$61,MATCH(M293*1.07,$M$62:$M$2061,1),0)-C293)</f>
        <v>5400</v>
      </c>
    </row>
    <row r="294" spans="2:14">
      <c r="B294" s="67">
        <v>233</v>
      </c>
      <c r="C294" s="67">
        <f t="shared" si="33"/>
        <v>83880</v>
      </c>
      <c r="D294" s="67">
        <f t="shared" si="29"/>
        <v>5</v>
      </c>
      <c r="E294" s="67">
        <f ca="1" t="shared" si="30"/>
        <v>263</v>
      </c>
      <c r="F294" s="67">
        <f ca="1" t="shared" si="31"/>
        <v>0</v>
      </c>
      <c r="G294" s="67">
        <f ca="1" t="shared" si="32"/>
        <v>1.53162898885045</v>
      </c>
      <c r="H294" s="67" cm="1">
        <f ca="1" t="array" ref="H294">MIN(30-SUM(I294:L294),_xlfn.XLOOKUP($D294&amp;"_"&amp;H$61,$B$23:$B$45&amp;"_"&amp;$C$23:$C$45,$D$23:$D$45)*$E294,18)</f>
        <v>18</v>
      </c>
      <c r="I294" s="67" cm="1">
        <f ca="1" t="array" ref="I294">MIN(30-SUM(J294:L294),6-L294,_xlfn.XLOOKUP($D294&amp;"_"&amp;I$61,$B$23:$B$45&amp;"_"&amp;$C$23:$C$45,$D$23:$D$45)*$E294)</f>
        <v>4.40956286043829</v>
      </c>
      <c r="J294" s="67" cm="1">
        <f ca="1" t="array" ref="J294">MIN(8,_xlfn.XLOOKUP($D294&amp;"_"&amp;J$61,$B$23:$B$45&amp;"_"&amp;$C$23:$C$45,$D$23:$D$45)*$E294)</f>
        <v>3.40807958477508</v>
      </c>
      <c r="K294" s="67" cm="1">
        <f ca="1" t="array" ref="K294">MIN(18,_xlfn.XLOOKUP($D294&amp;"_"&amp;K$61,$B$23:$B$45&amp;"_"&amp;$C$23:$C$45,$D$23:$D$45)*$E294)</f>
        <v>1.06029142637447</v>
      </c>
      <c r="L294" s="67" cm="1">
        <f ca="1" t="array" ref="L294">MIN(6,_xlfn.XLOOKUP($D294&amp;"_"&amp;L$61,$B$23:$B$45&amp;"_"&amp;$C$23:$C$45,$D$23:$D$45)*$E294)</f>
        <v>1.59043713956171</v>
      </c>
      <c r="M294" s="67" cm="1">
        <f ca="1" t="array" ref="M294">(1+SUMPRODUCT(G294:H294,OFFSET($H$49:$I$49,D294,0)))*(1+OFFSET($J$49,D294,0))^I294*(1+OFFSET($K$49,D294,0))^J294*(1+OFFSET($L$49,D294,0))^K294*(1+OFFSET($M$49,D294,0))^L294</f>
        <v>62.1941312963622</v>
      </c>
      <c r="N294" s="67">
        <f ca="1">MAX(MAX($N$62:N293),OFFSET($C$61,MATCH(M294*1.07,$M$62:$M$2061,1),0)-C294)</f>
        <v>5400</v>
      </c>
    </row>
    <row r="295" spans="2:14">
      <c r="B295" s="67">
        <v>234</v>
      </c>
      <c r="C295" s="67">
        <f t="shared" si="33"/>
        <v>84240</v>
      </c>
      <c r="D295" s="67">
        <f t="shared" si="29"/>
        <v>5</v>
      </c>
      <c r="E295" s="67">
        <f ca="1" t="shared" si="30"/>
        <v>264</v>
      </c>
      <c r="F295" s="67">
        <f ca="1" t="shared" si="31"/>
        <v>0</v>
      </c>
      <c r="G295" s="67">
        <f ca="1" t="shared" si="32"/>
        <v>1.51463898500577</v>
      </c>
      <c r="H295" s="67" cm="1">
        <f ca="1" t="array" ref="H295">MIN(30-SUM(I295:L295),_xlfn.XLOOKUP($D295&amp;"_"&amp;H$61,$B$23:$B$45&amp;"_"&amp;$C$23:$C$45,$D$23:$D$45)*$E295,18)</f>
        <v>18</v>
      </c>
      <c r="I295" s="67" cm="1">
        <f ca="1" t="array" ref="I295">MIN(30-SUM(J295:L295),6-L295,_xlfn.XLOOKUP($D295&amp;"_"&amp;I$61,$B$23:$B$45&amp;"_"&amp;$C$23:$C$45,$D$23:$D$45)*$E295)</f>
        <v>4.40351557093426</v>
      </c>
      <c r="J295" s="67" cm="1">
        <f ca="1" t="array" ref="J295">MIN(8,_xlfn.XLOOKUP($D295&amp;"_"&amp;J$61,$B$23:$B$45&amp;"_"&amp;$C$23:$C$45,$D$23:$D$45)*$E295)</f>
        <v>3.42103806228373</v>
      </c>
      <c r="K295" s="67" cm="1">
        <f ca="1" t="array" ref="K295">MIN(18,_xlfn.XLOOKUP($D295&amp;"_"&amp;K$61,$B$23:$B$45&amp;"_"&amp;$C$23:$C$45,$D$23:$D$45)*$E295)</f>
        <v>1.0643229527105</v>
      </c>
      <c r="L295" s="67" cm="1">
        <f ca="1" t="array" ref="L295">MIN(6,_xlfn.XLOOKUP($D295&amp;"_"&amp;L$61,$B$23:$B$45&amp;"_"&amp;$C$23:$C$45,$D$23:$D$45)*$E295)</f>
        <v>1.59648442906574</v>
      </c>
      <c r="M295" s="67" cm="1">
        <f ca="1" t="array" ref="M295">(1+SUMPRODUCT(G295:H295,OFFSET($H$49:$I$49,D295,0)))*(1+OFFSET($J$49,D295,0))^I295*(1+OFFSET($K$49,D295,0))^J295*(1+OFFSET($L$49,D295,0))^K295*(1+OFFSET($M$49,D295,0))^L295</f>
        <v>62.4581409784752</v>
      </c>
      <c r="N295" s="67">
        <f ca="1">MAX(MAX($N$62:N294),OFFSET($C$61,MATCH(M295*1.07,$M$62:$M$2061,1),0)-C295)</f>
        <v>5400</v>
      </c>
    </row>
    <row r="296" spans="2:14">
      <c r="B296" s="67">
        <v>235</v>
      </c>
      <c r="C296" s="67">
        <f t="shared" si="33"/>
        <v>84600</v>
      </c>
      <c r="D296" s="67">
        <f t="shared" si="29"/>
        <v>5</v>
      </c>
      <c r="E296" s="67">
        <f ca="1" t="shared" si="30"/>
        <v>265</v>
      </c>
      <c r="F296" s="67">
        <f ca="1" t="shared" si="31"/>
        <v>0</v>
      </c>
      <c r="G296" s="67">
        <f ca="1" t="shared" si="32"/>
        <v>1.4976489811611</v>
      </c>
      <c r="H296" s="67" cm="1">
        <f ca="1" t="array" ref="H296">MIN(30-SUM(I296:L296),_xlfn.XLOOKUP($D296&amp;"_"&amp;H$61,$B$23:$B$45&amp;"_"&amp;$C$23:$C$45,$D$23:$D$45)*$E296,18)</f>
        <v>18</v>
      </c>
      <c r="I296" s="67" cm="1">
        <f ca="1" t="array" ref="I296">MIN(30-SUM(J296:L296),6-L296,_xlfn.XLOOKUP($D296&amp;"_"&amp;I$61,$B$23:$B$45&amp;"_"&amp;$C$23:$C$45,$D$23:$D$45)*$E296)</f>
        <v>4.39746828143022</v>
      </c>
      <c r="J296" s="67" cm="1">
        <f ca="1" t="array" ref="J296">MIN(8,_xlfn.XLOOKUP($D296&amp;"_"&amp;J$61,$B$23:$B$45&amp;"_"&amp;$C$23:$C$45,$D$23:$D$45)*$E296)</f>
        <v>3.43399653979238</v>
      </c>
      <c r="K296" s="67" cm="1">
        <f ca="1" t="array" ref="K296">MIN(18,_xlfn.XLOOKUP($D296&amp;"_"&amp;K$61,$B$23:$B$45&amp;"_"&amp;$C$23:$C$45,$D$23:$D$45)*$E296)</f>
        <v>1.06835447904652</v>
      </c>
      <c r="L296" s="67" cm="1">
        <f ca="1" t="array" ref="L296">MIN(6,_xlfn.XLOOKUP($D296&amp;"_"&amp;L$61,$B$23:$B$45&amp;"_"&amp;$C$23:$C$45,$D$23:$D$45)*$E296)</f>
        <v>1.60253171856978</v>
      </c>
      <c r="M296" s="67" cm="1">
        <f ca="1" t="array" ref="M296">(1+SUMPRODUCT(G296:H296,OFFSET($H$49:$I$49,D296,0)))*(1+OFFSET($J$49,D296,0))^I296*(1+OFFSET($K$49,D296,0))^J296*(1+OFFSET($L$49,D296,0))^K296*(1+OFFSET($M$49,D296,0))^L296</f>
        <v>62.7232599604069</v>
      </c>
      <c r="N296" s="67">
        <f ca="1">MAX(MAX($N$62:N295),OFFSET($C$61,MATCH(M296*1.07,$M$62:$M$2061,1),0)-C296)</f>
        <v>5400</v>
      </c>
    </row>
    <row r="297" spans="2:14">
      <c r="B297" s="67">
        <v>236</v>
      </c>
      <c r="C297" s="67">
        <f t="shared" si="33"/>
        <v>84960</v>
      </c>
      <c r="D297" s="67">
        <f t="shared" si="29"/>
        <v>5</v>
      </c>
      <c r="E297" s="67">
        <f ca="1" t="shared" si="30"/>
        <v>266</v>
      </c>
      <c r="F297" s="67">
        <f ca="1" t="shared" si="31"/>
        <v>0</v>
      </c>
      <c r="G297" s="67">
        <f ca="1" t="shared" si="32"/>
        <v>1.48065897731642</v>
      </c>
      <c r="H297" s="67" cm="1">
        <f ca="1" t="array" ref="H297">MIN(30-SUM(I297:L297),_xlfn.XLOOKUP($D297&amp;"_"&amp;H$61,$B$23:$B$45&amp;"_"&amp;$C$23:$C$45,$D$23:$D$45)*$E297,18)</f>
        <v>18</v>
      </c>
      <c r="I297" s="67" cm="1">
        <f ca="1" t="array" ref="I297">MIN(30-SUM(J297:L297),6-L297,_xlfn.XLOOKUP($D297&amp;"_"&amp;I$61,$B$23:$B$45&amp;"_"&amp;$C$23:$C$45,$D$23:$D$45)*$E297)</f>
        <v>4.39142099192618</v>
      </c>
      <c r="J297" s="67" cm="1">
        <f ca="1" t="array" ref="J297">MIN(8,_xlfn.XLOOKUP($D297&amp;"_"&amp;J$61,$B$23:$B$45&amp;"_"&amp;$C$23:$C$45,$D$23:$D$45)*$E297)</f>
        <v>3.44695501730103</v>
      </c>
      <c r="K297" s="67" cm="1">
        <f ca="1" t="array" ref="K297">MIN(18,_xlfn.XLOOKUP($D297&amp;"_"&amp;K$61,$B$23:$B$45&amp;"_"&amp;$C$23:$C$45,$D$23:$D$45)*$E297)</f>
        <v>1.07238600538255</v>
      </c>
      <c r="L297" s="67" cm="1">
        <f ca="1" t="array" ref="L297">MIN(6,_xlfn.XLOOKUP($D297&amp;"_"&amp;L$61,$B$23:$B$45&amp;"_"&amp;$C$23:$C$45,$D$23:$D$45)*$E297)</f>
        <v>1.60857900807382</v>
      </c>
      <c r="M297" s="67" cm="1">
        <f ca="1" t="array" ref="M297">(1+SUMPRODUCT(G297:H297,OFFSET($H$49:$I$49,D297,0)))*(1+OFFSET($J$49,D297,0))^I297*(1+OFFSET($K$49,D297,0))^J297*(1+OFFSET($L$49,D297,0))^K297*(1+OFFSET($M$49,D297,0))^L297</f>
        <v>62.9894928444854</v>
      </c>
      <c r="N297" s="67">
        <f ca="1">MAX(MAX($N$62:N296),OFFSET($C$61,MATCH(M297*1.07,$M$62:$M$2061,1),0)-C297)</f>
        <v>5400</v>
      </c>
    </row>
    <row r="298" spans="2:14">
      <c r="B298" s="67">
        <v>237</v>
      </c>
      <c r="C298" s="67">
        <f t="shared" si="33"/>
        <v>85320</v>
      </c>
      <c r="D298" s="67">
        <f t="shared" si="29"/>
        <v>5</v>
      </c>
      <c r="E298" s="67">
        <f ca="1" t="shared" si="30"/>
        <v>267</v>
      </c>
      <c r="F298" s="67">
        <f ca="1" t="shared" si="31"/>
        <v>0</v>
      </c>
      <c r="G298" s="67">
        <f ca="1" t="shared" si="32"/>
        <v>1.46366897347175</v>
      </c>
      <c r="H298" s="67" cm="1">
        <f ca="1" t="array" ref="H298">MIN(30-SUM(I298:L298),_xlfn.XLOOKUP($D298&amp;"_"&amp;H$61,$B$23:$B$45&amp;"_"&amp;$C$23:$C$45,$D$23:$D$45)*$E298,18)</f>
        <v>18</v>
      </c>
      <c r="I298" s="67" cm="1">
        <f ca="1" t="array" ref="I298">MIN(30-SUM(J298:L298),6-L298,_xlfn.XLOOKUP($D298&amp;"_"&amp;I$61,$B$23:$B$45&amp;"_"&amp;$C$23:$C$45,$D$23:$D$45)*$E298)</f>
        <v>4.38537370242214</v>
      </c>
      <c r="J298" s="67" cm="1">
        <f ca="1" t="array" ref="J298">MIN(8,_xlfn.XLOOKUP($D298&amp;"_"&amp;J$61,$B$23:$B$45&amp;"_"&amp;$C$23:$C$45,$D$23:$D$45)*$E298)</f>
        <v>3.45991349480968</v>
      </c>
      <c r="K298" s="67" cm="1">
        <f ca="1" t="array" ref="K298">MIN(18,_xlfn.XLOOKUP($D298&amp;"_"&amp;K$61,$B$23:$B$45&amp;"_"&amp;$C$23:$C$45,$D$23:$D$45)*$E298)</f>
        <v>1.07641753171857</v>
      </c>
      <c r="L298" s="67" cm="1">
        <f ca="1" t="array" ref="L298">MIN(6,_xlfn.XLOOKUP($D298&amp;"_"&amp;L$61,$B$23:$B$45&amp;"_"&amp;$C$23:$C$45,$D$23:$D$45)*$E298)</f>
        <v>1.61462629757786</v>
      </c>
      <c r="M298" s="67" cm="1">
        <f ca="1" t="array" ref="M298">(1+SUMPRODUCT(G298:H298,OFFSET($H$49:$I$49,D298,0)))*(1+OFFSET($J$49,D298,0))^I298*(1+OFFSET($K$49,D298,0))^J298*(1+OFFSET($L$49,D298,0))^K298*(1+OFFSET($M$49,D298,0))^L298</f>
        <v>63.2568442518284</v>
      </c>
      <c r="N298" s="67">
        <f ca="1">MAX(MAX($N$62:N297),OFFSET($C$61,MATCH(M298*1.07,$M$62:$M$2061,1),0)-C298)</f>
        <v>5400</v>
      </c>
    </row>
    <row r="299" spans="2:14">
      <c r="B299" s="67">
        <v>238</v>
      </c>
      <c r="C299" s="67">
        <f t="shared" si="33"/>
        <v>85680</v>
      </c>
      <c r="D299" s="67">
        <f t="shared" si="29"/>
        <v>5</v>
      </c>
      <c r="E299" s="67">
        <f ca="1" t="shared" si="30"/>
        <v>268</v>
      </c>
      <c r="F299" s="67">
        <f ca="1" t="shared" si="31"/>
        <v>0</v>
      </c>
      <c r="G299" s="67">
        <f ca="1" t="shared" si="32"/>
        <v>1.44667896962707</v>
      </c>
      <c r="H299" s="67" cm="1">
        <f ca="1" t="array" ref="H299">MIN(30-SUM(I299:L299),_xlfn.XLOOKUP($D299&amp;"_"&amp;H$61,$B$23:$B$45&amp;"_"&amp;$C$23:$C$45,$D$23:$D$45)*$E299,18)</f>
        <v>18</v>
      </c>
      <c r="I299" s="67" cm="1">
        <f ca="1" t="array" ref="I299">MIN(30-SUM(J299:L299),6-L299,_xlfn.XLOOKUP($D299&amp;"_"&amp;I$61,$B$23:$B$45&amp;"_"&amp;$C$23:$C$45,$D$23:$D$45)*$E299)</f>
        <v>4.37932641291811</v>
      </c>
      <c r="J299" s="67" cm="1">
        <f ca="1" t="array" ref="J299">MIN(8,_xlfn.XLOOKUP($D299&amp;"_"&amp;J$61,$B$23:$B$45&amp;"_"&amp;$C$23:$C$45,$D$23:$D$45)*$E299)</f>
        <v>3.47287197231833</v>
      </c>
      <c r="K299" s="67" cm="1">
        <f ca="1" t="array" ref="K299">MIN(18,_xlfn.XLOOKUP($D299&amp;"_"&amp;K$61,$B$23:$B$45&amp;"_"&amp;$C$23:$C$45,$D$23:$D$45)*$E299)</f>
        <v>1.0804490580546</v>
      </c>
      <c r="L299" s="67" cm="1">
        <f ca="1" t="array" ref="L299">MIN(6,_xlfn.XLOOKUP($D299&amp;"_"&amp;L$61,$B$23:$B$45&amp;"_"&amp;$C$23:$C$45,$D$23:$D$45)*$E299)</f>
        <v>1.62067358708189</v>
      </c>
      <c r="M299" s="67" cm="1">
        <f ca="1" t="array" ref="M299">(1+SUMPRODUCT(G299:H299,OFFSET($H$49:$I$49,D299,0)))*(1+OFFSET($J$49,D299,0))^I299*(1+OFFSET($K$49,D299,0))^J299*(1+OFFSET($L$49,D299,0))^K299*(1+OFFSET($M$49,D299,0))^L299</f>
        <v>63.5253188224182</v>
      </c>
      <c r="N299" s="67">
        <f ca="1">MAX(MAX($N$62:N298),OFFSET($C$61,MATCH(M299*1.07,$M$62:$M$2061,1),0)-C299)</f>
        <v>5400</v>
      </c>
    </row>
    <row r="300" spans="2:14">
      <c r="B300" s="67">
        <v>239</v>
      </c>
      <c r="C300" s="67">
        <f t="shared" si="33"/>
        <v>86040</v>
      </c>
      <c r="D300" s="67">
        <f t="shared" si="29"/>
        <v>5</v>
      </c>
      <c r="E300" s="67">
        <f ca="1" t="shared" si="30"/>
        <v>269</v>
      </c>
      <c r="F300" s="67">
        <f ca="1" t="shared" si="31"/>
        <v>0</v>
      </c>
      <c r="G300" s="67">
        <f ca="1" t="shared" si="32"/>
        <v>1.4296889657824</v>
      </c>
      <c r="H300" s="67" cm="1">
        <f ca="1" t="array" ref="H300">MIN(30-SUM(I300:L300),_xlfn.XLOOKUP($D300&amp;"_"&amp;H$61,$B$23:$B$45&amp;"_"&amp;$C$23:$C$45,$D$23:$D$45)*$E300,18)</f>
        <v>18</v>
      </c>
      <c r="I300" s="67" cm="1">
        <f ca="1" t="array" ref="I300">MIN(30-SUM(J300:L300),6-L300,_xlfn.XLOOKUP($D300&amp;"_"&amp;I$61,$B$23:$B$45&amp;"_"&amp;$C$23:$C$45,$D$23:$D$45)*$E300)</f>
        <v>4.37327912341407</v>
      </c>
      <c r="J300" s="67" cm="1">
        <f ca="1" t="array" ref="J300">MIN(8,_xlfn.XLOOKUP($D300&amp;"_"&amp;J$61,$B$23:$B$45&amp;"_"&amp;$C$23:$C$45,$D$23:$D$45)*$E300)</f>
        <v>3.48583044982698</v>
      </c>
      <c r="K300" s="67" cm="1">
        <f ca="1" t="array" ref="K300">MIN(18,_xlfn.XLOOKUP($D300&amp;"_"&amp;K$61,$B$23:$B$45&amp;"_"&amp;$C$23:$C$45,$D$23:$D$45)*$E300)</f>
        <v>1.08448058439062</v>
      </c>
      <c r="L300" s="67" cm="1">
        <f ca="1" t="array" ref="L300">MIN(6,_xlfn.XLOOKUP($D300&amp;"_"&amp;L$61,$B$23:$B$45&amp;"_"&amp;$C$23:$C$45,$D$23:$D$45)*$E300)</f>
        <v>1.62672087658593</v>
      </c>
      <c r="M300" s="67" cm="1">
        <f ca="1" t="array" ref="M300">(1+SUMPRODUCT(G300:H300,OFFSET($H$49:$I$49,D300,0)))*(1+OFFSET($J$49,D300,0))^I300*(1+OFFSET($K$49,D300,0))^J300*(1+OFFSET($L$49,D300,0))^K300*(1+OFFSET($M$49,D300,0))^L300</f>
        <v>63.7949212151771</v>
      </c>
      <c r="N300" s="67">
        <f ca="1">MAX(MAX($N$62:N299),OFFSET($C$61,MATCH(M300*1.07,$M$62:$M$2061,1),0)-C300)</f>
        <v>5400</v>
      </c>
    </row>
    <row r="301" spans="2:14">
      <c r="B301" s="67">
        <v>240</v>
      </c>
      <c r="C301" s="67">
        <f t="shared" si="33"/>
        <v>86400</v>
      </c>
      <c r="D301" s="67">
        <f t="shared" si="29"/>
        <v>5</v>
      </c>
      <c r="E301" s="67">
        <f ca="1" t="shared" si="30"/>
        <v>270</v>
      </c>
      <c r="F301" s="67">
        <f ca="1" t="shared" si="31"/>
        <v>0</v>
      </c>
      <c r="G301" s="67">
        <f ca="1" t="shared" si="32"/>
        <v>1.41269896193772</v>
      </c>
      <c r="H301" s="67" cm="1">
        <f ca="1" t="array" ref="H301">MIN(30-SUM(I301:L301),_xlfn.XLOOKUP($D301&amp;"_"&amp;H$61,$B$23:$B$45&amp;"_"&amp;$C$23:$C$45,$D$23:$D$45)*$E301,18)</f>
        <v>18</v>
      </c>
      <c r="I301" s="67" cm="1">
        <f ca="1" t="array" ref="I301">MIN(30-SUM(J301:L301),6-L301,_xlfn.XLOOKUP($D301&amp;"_"&amp;I$61,$B$23:$B$45&amp;"_"&amp;$C$23:$C$45,$D$23:$D$45)*$E301)</f>
        <v>4.36723183391003</v>
      </c>
      <c r="J301" s="67" cm="1">
        <f ca="1" t="array" ref="J301">MIN(8,_xlfn.XLOOKUP($D301&amp;"_"&amp;J$61,$B$23:$B$45&amp;"_"&amp;$C$23:$C$45,$D$23:$D$45)*$E301)</f>
        <v>3.49878892733563</v>
      </c>
      <c r="K301" s="67" cm="1">
        <f ca="1" t="array" ref="K301">MIN(18,_xlfn.XLOOKUP($D301&amp;"_"&amp;K$61,$B$23:$B$45&amp;"_"&amp;$C$23:$C$45,$D$23:$D$45)*$E301)</f>
        <v>1.08851211072664</v>
      </c>
      <c r="L301" s="67" cm="1">
        <f ca="1" t="array" ref="L301">MIN(6,_xlfn.XLOOKUP($D301&amp;"_"&amp;L$61,$B$23:$B$45&amp;"_"&amp;$C$23:$C$45,$D$23:$D$45)*$E301)</f>
        <v>1.63276816608997</v>
      </c>
      <c r="M301" s="67" cm="1">
        <f ca="1" t="array" ref="M301">(1+SUMPRODUCT(G301:H301,OFFSET($H$49:$I$49,D301,0)))*(1+OFFSET($J$49,D301,0))^I301*(1+OFFSET($K$49,D301,0))^J301*(1+OFFSET($L$49,D301,0))^K301*(1+OFFSET($M$49,D301,0))^L301</f>
        <v>64.0656561080431</v>
      </c>
      <c r="N301" s="67">
        <f ca="1">MAX(MAX($N$62:N300),OFFSET($C$61,MATCH(M301*1.07,$M$62:$M$2061,1),0)-C301)</f>
        <v>5400</v>
      </c>
    </row>
    <row r="302" spans="2:14">
      <c r="B302" s="67">
        <v>241</v>
      </c>
      <c r="C302" s="67">
        <f t="shared" si="33"/>
        <v>86760</v>
      </c>
      <c r="D302" s="67">
        <f t="shared" si="29"/>
        <v>5</v>
      </c>
      <c r="E302" s="67">
        <f ca="1" t="shared" si="30"/>
        <v>271</v>
      </c>
      <c r="F302" s="67">
        <f ca="1" t="shared" si="31"/>
        <v>0</v>
      </c>
      <c r="G302" s="67">
        <f ca="1" t="shared" si="32"/>
        <v>1.39570895809305</v>
      </c>
      <c r="H302" s="67" cm="1">
        <f ca="1" t="array" ref="H302">MIN(30-SUM(I302:L302),_xlfn.XLOOKUP($D302&amp;"_"&amp;H$61,$B$23:$B$45&amp;"_"&amp;$C$23:$C$45,$D$23:$D$45)*$E302,18)</f>
        <v>18</v>
      </c>
      <c r="I302" s="67" cm="1">
        <f ca="1" t="array" ref="I302">MIN(30-SUM(J302:L302),6-L302,_xlfn.XLOOKUP($D302&amp;"_"&amp;I$61,$B$23:$B$45&amp;"_"&amp;$C$23:$C$45,$D$23:$D$45)*$E302)</f>
        <v>4.361184544406</v>
      </c>
      <c r="J302" s="67" cm="1">
        <f ca="1" t="array" ref="J302">MIN(8,_xlfn.XLOOKUP($D302&amp;"_"&amp;J$61,$B$23:$B$45&amp;"_"&amp;$C$23:$C$45,$D$23:$D$45)*$E302)</f>
        <v>3.51174740484429</v>
      </c>
      <c r="K302" s="67" cm="1">
        <f ca="1" t="array" ref="K302">MIN(18,_xlfn.XLOOKUP($D302&amp;"_"&amp;K$61,$B$23:$B$45&amp;"_"&amp;$C$23:$C$45,$D$23:$D$45)*$E302)</f>
        <v>1.09254363706267</v>
      </c>
      <c r="L302" s="67" cm="1">
        <f ca="1" t="array" ref="L302">MIN(6,_xlfn.XLOOKUP($D302&amp;"_"&amp;L$61,$B$23:$B$45&amp;"_"&amp;$C$23:$C$45,$D$23:$D$45)*$E302)</f>
        <v>1.638815455594</v>
      </c>
      <c r="M302" s="67" cm="1">
        <f ca="1" t="array" ref="M302">(1+SUMPRODUCT(G302:H302,OFFSET($H$49:$I$49,D302,0)))*(1+OFFSET($J$49,D302,0))^I302*(1+OFFSET($K$49,D302,0))^J302*(1+OFFSET($L$49,D302,0))^K302*(1+OFFSET($M$49,D302,0))^L302</f>
        <v>64.3375281980461</v>
      </c>
      <c r="N302" s="67">
        <f ca="1">MAX(MAX($N$62:N301),OFFSET($C$61,MATCH(M302*1.07,$M$62:$M$2061,1),0)-C302)</f>
        <v>5400</v>
      </c>
    </row>
    <row r="303" spans="2:14">
      <c r="B303" s="67">
        <v>242</v>
      </c>
      <c r="C303" s="67">
        <f t="shared" si="33"/>
        <v>87120</v>
      </c>
      <c r="D303" s="67">
        <f t="shared" si="29"/>
        <v>5</v>
      </c>
      <c r="E303" s="67">
        <f ca="1" t="shared" si="30"/>
        <v>272</v>
      </c>
      <c r="F303" s="67">
        <f ca="1" t="shared" si="31"/>
        <v>0</v>
      </c>
      <c r="G303" s="67">
        <f ca="1" t="shared" si="32"/>
        <v>1.37871895424837</v>
      </c>
      <c r="H303" s="67" cm="1">
        <f ca="1" t="array" ref="H303">MIN(30-SUM(I303:L303),_xlfn.XLOOKUP($D303&amp;"_"&amp;H$61,$B$23:$B$45&amp;"_"&amp;$C$23:$C$45,$D$23:$D$45)*$E303,18)</f>
        <v>18</v>
      </c>
      <c r="I303" s="67" cm="1">
        <f ca="1" t="array" ref="I303">MIN(30-SUM(J303:L303),6-L303,_xlfn.XLOOKUP($D303&amp;"_"&amp;I$61,$B$23:$B$45&amp;"_"&amp;$C$23:$C$45,$D$23:$D$45)*$E303)</f>
        <v>4.35513725490196</v>
      </c>
      <c r="J303" s="67" cm="1">
        <f ca="1" t="array" ref="J303">MIN(8,_xlfn.XLOOKUP($D303&amp;"_"&amp;J$61,$B$23:$B$45&amp;"_"&amp;$C$23:$C$45,$D$23:$D$45)*$E303)</f>
        <v>3.52470588235294</v>
      </c>
      <c r="K303" s="67" cm="1">
        <f ca="1" t="array" ref="K303">MIN(18,_xlfn.XLOOKUP($D303&amp;"_"&amp;K$61,$B$23:$B$45&amp;"_"&amp;$C$23:$C$45,$D$23:$D$45)*$E303)</f>
        <v>1.09657516339869</v>
      </c>
      <c r="L303" s="67" cm="1">
        <f ca="1" t="array" ref="L303">MIN(6,_xlfn.XLOOKUP($D303&amp;"_"&amp;L$61,$B$23:$B$45&amp;"_"&amp;$C$23:$C$45,$D$23:$D$45)*$E303)</f>
        <v>1.64486274509804</v>
      </c>
      <c r="M303" s="67" cm="1">
        <f ca="1" t="array" ref="M303">(1+SUMPRODUCT(G303:H303,OFFSET($H$49:$I$49,D303,0)))*(1+OFFSET($J$49,D303,0))^I303*(1+OFFSET($K$49,D303,0))^J303*(1+OFFSET($L$49,D303,0))^K303*(1+OFFSET($M$49,D303,0))^L303</f>
        <v>64.6105422013837</v>
      </c>
      <c r="N303" s="67">
        <f ca="1">MAX(MAX($N$62:N302),OFFSET($C$61,MATCH(M303*1.07,$M$62:$M$2061,1),0)-C303)</f>
        <v>5400</v>
      </c>
    </row>
    <row r="304" spans="2:14">
      <c r="B304" s="67">
        <v>243</v>
      </c>
      <c r="C304" s="67">
        <f t="shared" si="33"/>
        <v>87480</v>
      </c>
      <c r="D304" s="67">
        <f t="shared" si="29"/>
        <v>5</v>
      </c>
      <c r="E304" s="67">
        <f ca="1" t="shared" si="30"/>
        <v>273</v>
      </c>
      <c r="F304" s="67">
        <f ca="1" t="shared" si="31"/>
        <v>0</v>
      </c>
      <c r="G304" s="67">
        <f ca="1" t="shared" si="32"/>
        <v>1.36172895040369</v>
      </c>
      <c r="H304" s="67" cm="1">
        <f ca="1" t="array" ref="H304">MIN(30-SUM(I304:L304),_xlfn.XLOOKUP($D304&amp;"_"&amp;H$61,$B$23:$B$45&amp;"_"&amp;$C$23:$C$45,$D$23:$D$45)*$E304,18)</f>
        <v>18</v>
      </c>
      <c r="I304" s="67" cm="1">
        <f ca="1" t="array" ref="I304">MIN(30-SUM(J304:L304),6-L304,_xlfn.XLOOKUP($D304&amp;"_"&amp;I$61,$B$23:$B$45&amp;"_"&amp;$C$23:$C$45,$D$23:$D$45)*$E304)</f>
        <v>4.34908996539792</v>
      </c>
      <c r="J304" s="67" cm="1">
        <f ca="1" t="array" ref="J304">MIN(8,_xlfn.XLOOKUP($D304&amp;"_"&amp;J$61,$B$23:$B$45&amp;"_"&amp;$C$23:$C$45,$D$23:$D$45)*$E304)</f>
        <v>3.53766435986159</v>
      </c>
      <c r="K304" s="67" cm="1">
        <f ca="1" t="array" ref="K304">MIN(18,_xlfn.XLOOKUP($D304&amp;"_"&amp;K$61,$B$23:$B$45&amp;"_"&amp;$C$23:$C$45,$D$23:$D$45)*$E304)</f>
        <v>1.10060668973472</v>
      </c>
      <c r="L304" s="67" cm="1">
        <f ca="1" t="array" ref="L304">MIN(6,_xlfn.XLOOKUP($D304&amp;"_"&amp;L$61,$B$23:$B$45&amp;"_"&amp;$C$23:$C$45,$D$23:$D$45)*$E304)</f>
        <v>1.65091003460208</v>
      </c>
      <c r="M304" s="67" cm="1">
        <f ca="1" t="array" ref="M304">(1+SUMPRODUCT(G304:H304,OFFSET($H$49:$I$49,D304,0)))*(1+OFFSET($J$49,D304,0))^I304*(1+OFFSET($K$49,D304,0))^J304*(1+OFFSET($L$49,D304,0))^K304*(1+OFFSET($M$49,D304,0))^L304</f>
        <v>64.8847028534982</v>
      </c>
      <c r="N304" s="67">
        <f ca="1">MAX(MAX($N$62:N303),OFFSET($C$61,MATCH(M304*1.07,$M$62:$M$2061,1),0)-C304)</f>
        <v>5400</v>
      </c>
    </row>
    <row r="305" spans="2:14">
      <c r="B305" s="67">
        <v>244</v>
      </c>
      <c r="C305" s="67">
        <f t="shared" si="33"/>
        <v>87840</v>
      </c>
      <c r="D305" s="67">
        <f t="shared" si="29"/>
        <v>5</v>
      </c>
      <c r="E305" s="67">
        <f ca="1" t="shared" si="30"/>
        <v>274</v>
      </c>
      <c r="F305" s="67">
        <f ca="1" t="shared" si="31"/>
        <v>0</v>
      </c>
      <c r="G305" s="67">
        <f ca="1" t="shared" si="32"/>
        <v>1.34473894655902</v>
      </c>
      <c r="H305" s="67" cm="1">
        <f ca="1" t="array" ref="H305">MIN(30-SUM(I305:L305),_xlfn.XLOOKUP($D305&amp;"_"&amp;H$61,$B$23:$B$45&amp;"_"&amp;$C$23:$C$45,$D$23:$D$45)*$E305,18)</f>
        <v>18</v>
      </c>
      <c r="I305" s="67" cm="1">
        <f ca="1" t="array" ref="I305">MIN(30-SUM(J305:L305),6-L305,_xlfn.XLOOKUP($D305&amp;"_"&amp;I$61,$B$23:$B$45&amp;"_"&amp;$C$23:$C$45,$D$23:$D$45)*$E305)</f>
        <v>4.34304267589389</v>
      </c>
      <c r="J305" s="67" cm="1">
        <f ca="1" t="array" ref="J305">MIN(8,_xlfn.XLOOKUP($D305&amp;"_"&amp;J$61,$B$23:$B$45&amp;"_"&amp;$C$23:$C$45,$D$23:$D$45)*$E305)</f>
        <v>3.55062283737024</v>
      </c>
      <c r="K305" s="67" cm="1">
        <f ca="1" t="array" ref="K305">MIN(18,_xlfn.XLOOKUP($D305&amp;"_"&amp;K$61,$B$23:$B$45&amp;"_"&amp;$C$23:$C$45,$D$23:$D$45)*$E305)</f>
        <v>1.10463821607074</v>
      </c>
      <c r="L305" s="67" cm="1">
        <f ca="1" t="array" ref="L305">MIN(6,_xlfn.XLOOKUP($D305&amp;"_"&amp;L$61,$B$23:$B$45&amp;"_"&amp;$C$23:$C$45,$D$23:$D$45)*$E305)</f>
        <v>1.65695732410611</v>
      </c>
      <c r="M305" s="67" cm="1">
        <f ca="1" t="array" ref="M305">(1+SUMPRODUCT(G305:H305,OFFSET($H$49:$I$49,D305,0)))*(1+OFFSET($J$49,D305,0))^I305*(1+OFFSET($K$49,D305,0))^J305*(1+OFFSET($L$49,D305,0))^K305*(1+OFFSET($M$49,D305,0))^L305</f>
        <v>65.1600149091534</v>
      </c>
      <c r="N305" s="67">
        <f ca="1">MAX(MAX($N$62:N304),OFFSET($C$61,MATCH(M305*1.07,$M$62:$M$2061,1),0)-C305)</f>
        <v>5400</v>
      </c>
    </row>
    <row r="306" spans="2:14">
      <c r="B306" s="67">
        <v>245</v>
      </c>
      <c r="C306" s="67">
        <f t="shared" si="33"/>
        <v>88200</v>
      </c>
      <c r="D306" s="67">
        <f t="shared" si="29"/>
        <v>5</v>
      </c>
      <c r="E306" s="67">
        <f ca="1" t="shared" si="30"/>
        <v>275</v>
      </c>
      <c r="F306" s="67">
        <f ca="1" t="shared" si="31"/>
        <v>0</v>
      </c>
      <c r="G306" s="67">
        <f ca="1" t="shared" si="32"/>
        <v>1.32774894271434</v>
      </c>
      <c r="H306" s="67" cm="1">
        <f ca="1" t="array" ref="H306">MIN(30-SUM(I306:L306),_xlfn.XLOOKUP($D306&amp;"_"&amp;H$61,$B$23:$B$45&amp;"_"&amp;$C$23:$C$45,$D$23:$D$45)*$E306,18)</f>
        <v>18</v>
      </c>
      <c r="I306" s="67" cm="1">
        <f ca="1" t="array" ref="I306">MIN(30-SUM(J306:L306),6-L306,_xlfn.XLOOKUP($D306&amp;"_"&amp;I$61,$B$23:$B$45&amp;"_"&amp;$C$23:$C$45,$D$23:$D$45)*$E306)</f>
        <v>4.33699538638985</v>
      </c>
      <c r="J306" s="67" cm="1">
        <f ca="1" t="array" ref="J306">MIN(8,_xlfn.XLOOKUP($D306&amp;"_"&amp;J$61,$B$23:$B$45&amp;"_"&amp;$C$23:$C$45,$D$23:$D$45)*$E306)</f>
        <v>3.56358131487889</v>
      </c>
      <c r="K306" s="67" cm="1">
        <f ca="1" t="array" ref="K306">MIN(18,_xlfn.XLOOKUP($D306&amp;"_"&amp;K$61,$B$23:$B$45&amp;"_"&amp;$C$23:$C$45,$D$23:$D$45)*$E306)</f>
        <v>1.10866974240677</v>
      </c>
      <c r="L306" s="67" cm="1">
        <f ca="1" t="array" ref="L306">MIN(6,_xlfn.XLOOKUP($D306&amp;"_"&amp;L$61,$B$23:$B$45&amp;"_"&amp;$C$23:$C$45,$D$23:$D$45)*$E306)</f>
        <v>1.66300461361015</v>
      </c>
      <c r="M306" s="67" cm="1">
        <f ca="1" t="array" ref="M306">(1+SUMPRODUCT(G306:H306,OFFSET($H$49:$I$49,D306,0)))*(1+OFFSET($J$49,D306,0))^I306*(1+OFFSET($K$49,D306,0))^J306*(1+OFFSET($L$49,D306,0))^K306*(1+OFFSET($M$49,D306,0))^L306</f>
        <v>65.4364831425116</v>
      </c>
      <c r="N306" s="67">
        <f ca="1">MAX(MAX($N$62:N305),OFFSET($C$61,MATCH(M306*1.07,$M$62:$M$2061,1),0)-C306)</f>
        <v>5400</v>
      </c>
    </row>
    <row r="307" spans="2:14">
      <c r="B307" s="67">
        <v>246</v>
      </c>
      <c r="C307" s="67">
        <f t="shared" si="33"/>
        <v>88560</v>
      </c>
      <c r="D307" s="67">
        <f t="shared" si="29"/>
        <v>5</v>
      </c>
      <c r="E307" s="67">
        <f ca="1" t="shared" si="30"/>
        <v>276</v>
      </c>
      <c r="F307" s="67">
        <f ca="1" t="shared" si="31"/>
        <v>0</v>
      </c>
      <c r="G307" s="67">
        <f ca="1" t="shared" si="32"/>
        <v>1.31075893886967</v>
      </c>
      <c r="H307" s="67" cm="1">
        <f ca="1" t="array" ref="H307">MIN(30-SUM(I307:L307),_xlfn.XLOOKUP($D307&amp;"_"&amp;H$61,$B$23:$B$45&amp;"_"&amp;$C$23:$C$45,$D$23:$D$45)*$E307,18)</f>
        <v>18</v>
      </c>
      <c r="I307" s="67" cm="1">
        <f ca="1" t="array" ref="I307">MIN(30-SUM(J307:L307),6-L307,_xlfn.XLOOKUP($D307&amp;"_"&amp;I$61,$B$23:$B$45&amp;"_"&amp;$C$23:$C$45,$D$23:$D$45)*$E307)</f>
        <v>4.33094809688581</v>
      </c>
      <c r="J307" s="67" cm="1">
        <f ca="1" t="array" ref="J307">MIN(8,_xlfn.XLOOKUP($D307&amp;"_"&amp;J$61,$B$23:$B$45&amp;"_"&amp;$C$23:$C$45,$D$23:$D$45)*$E307)</f>
        <v>3.57653979238754</v>
      </c>
      <c r="K307" s="67" cm="1">
        <f ca="1" t="array" ref="K307">MIN(18,_xlfn.XLOOKUP($D307&amp;"_"&amp;K$61,$B$23:$B$45&amp;"_"&amp;$C$23:$C$45,$D$23:$D$45)*$E307)</f>
        <v>1.11270126874279</v>
      </c>
      <c r="L307" s="67" cm="1">
        <f ca="1" t="array" ref="L307">MIN(6,_xlfn.XLOOKUP($D307&amp;"_"&amp;L$61,$B$23:$B$45&amp;"_"&amp;$C$23:$C$45,$D$23:$D$45)*$E307)</f>
        <v>1.66905190311419</v>
      </c>
      <c r="M307" s="67" cm="1">
        <f ca="1" t="array" ref="M307">(1+SUMPRODUCT(G307:H307,OFFSET($H$49:$I$49,D307,0)))*(1+OFFSET($J$49,D307,0))^I307*(1+OFFSET($K$49,D307,0))^J307*(1+OFFSET($L$49,D307,0))^K307*(1+OFFSET($M$49,D307,0))^L307</f>
        <v>65.7141123472112</v>
      </c>
      <c r="N307" s="67">
        <f ca="1">MAX(MAX($N$62:N306),OFFSET($C$61,MATCH(M307*1.07,$M$62:$M$2061,1),0)-C307)</f>
        <v>5400</v>
      </c>
    </row>
    <row r="308" spans="2:14">
      <c r="B308" s="67">
        <v>247</v>
      </c>
      <c r="C308" s="67">
        <f t="shared" si="33"/>
        <v>88920</v>
      </c>
      <c r="D308" s="67">
        <f t="shared" si="29"/>
        <v>5</v>
      </c>
      <c r="E308" s="67">
        <f ca="1" t="shared" si="30"/>
        <v>277</v>
      </c>
      <c r="F308" s="67">
        <f ca="1" t="shared" si="31"/>
        <v>0</v>
      </c>
      <c r="G308" s="67">
        <f ca="1" t="shared" si="32"/>
        <v>1.29376893502499</v>
      </c>
      <c r="H308" s="67" cm="1">
        <f ca="1" t="array" ref="H308">MIN(30-SUM(I308:L308),_xlfn.XLOOKUP($D308&amp;"_"&amp;H$61,$B$23:$B$45&amp;"_"&amp;$C$23:$C$45,$D$23:$D$45)*$E308,18)</f>
        <v>18</v>
      </c>
      <c r="I308" s="67" cm="1">
        <f ca="1" t="array" ref="I308">MIN(30-SUM(J308:L308),6-L308,_xlfn.XLOOKUP($D308&amp;"_"&amp;I$61,$B$23:$B$45&amp;"_"&amp;$C$23:$C$45,$D$23:$D$45)*$E308)</f>
        <v>4.32490080738178</v>
      </c>
      <c r="J308" s="67" cm="1">
        <f ca="1" t="array" ref="J308">MIN(8,_xlfn.XLOOKUP($D308&amp;"_"&amp;J$61,$B$23:$B$45&amp;"_"&amp;$C$23:$C$45,$D$23:$D$45)*$E308)</f>
        <v>3.58949826989619</v>
      </c>
      <c r="K308" s="67" cm="1">
        <f ca="1" t="array" ref="K308">MIN(18,_xlfn.XLOOKUP($D308&amp;"_"&amp;K$61,$B$23:$B$45&amp;"_"&amp;$C$23:$C$45,$D$23:$D$45)*$E308)</f>
        <v>1.11673279507882</v>
      </c>
      <c r="L308" s="67" cm="1">
        <f ca="1" t="array" ref="L308">MIN(6,_xlfn.XLOOKUP($D308&amp;"_"&amp;L$61,$B$23:$B$45&amp;"_"&amp;$C$23:$C$45,$D$23:$D$45)*$E308)</f>
        <v>1.67509919261822</v>
      </c>
      <c r="M308" s="67" cm="1">
        <f ca="1" t="array" ref="M308">(1+SUMPRODUCT(G308:H308,OFFSET($H$49:$I$49,D308,0)))*(1+OFFSET($J$49,D308,0))^I308*(1+OFFSET($K$49,D308,0))^J308*(1+OFFSET($L$49,D308,0))^K308*(1+OFFSET($M$49,D308,0))^L308</f>
        <v>65.9929073364445</v>
      </c>
      <c r="N308" s="67">
        <f ca="1">MAX(MAX($N$62:N307),OFFSET($C$61,MATCH(M308*1.07,$M$62:$M$2061,1),0)-C308)</f>
        <v>5400</v>
      </c>
    </row>
    <row r="309" spans="2:14">
      <c r="B309" s="67">
        <v>248</v>
      </c>
      <c r="C309" s="67">
        <f t="shared" si="33"/>
        <v>89280</v>
      </c>
      <c r="D309" s="67">
        <f t="shared" si="29"/>
        <v>5</v>
      </c>
      <c r="E309" s="67">
        <f ca="1" t="shared" si="30"/>
        <v>278</v>
      </c>
      <c r="F309" s="67">
        <f ca="1" t="shared" si="31"/>
        <v>0</v>
      </c>
      <c r="G309" s="67">
        <f ca="1" t="shared" si="32"/>
        <v>1.27677893118032</v>
      </c>
      <c r="H309" s="67" cm="1">
        <f ca="1" t="array" ref="H309">MIN(30-SUM(I309:L309),_xlfn.XLOOKUP($D309&amp;"_"&amp;H$61,$B$23:$B$45&amp;"_"&amp;$C$23:$C$45,$D$23:$D$45)*$E309,18)</f>
        <v>18</v>
      </c>
      <c r="I309" s="67" cm="1">
        <f ca="1" t="array" ref="I309">MIN(30-SUM(J309:L309),6-L309,_xlfn.XLOOKUP($D309&amp;"_"&amp;I$61,$B$23:$B$45&amp;"_"&amp;$C$23:$C$45,$D$23:$D$45)*$E309)</f>
        <v>4.31885351787774</v>
      </c>
      <c r="J309" s="67" cm="1">
        <f ca="1" t="array" ref="J309">MIN(8,_xlfn.XLOOKUP($D309&amp;"_"&amp;J$61,$B$23:$B$45&amp;"_"&amp;$C$23:$C$45,$D$23:$D$45)*$E309)</f>
        <v>3.60245674740484</v>
      </c>
      <c r="K309" s="67" cm="1">
        <f ca="1" t="array" ref="K309">MIN(18,_xlfn.XLOOKUP($D309&amp;"_"&amp;K$61,$B$23:$B$45&amp;"_"&amp;$C$23:$C$45,$D$23:$D$45)*$E309)</f>
        <v>1.12076432141484</v>
      </c>
      <c r="L309" s="67" cm="1">
        <f ca="1" t="array" ref="L309">MIN(6,_xlfn.XLOOKUP($D309&amp;"_"&amp;L$61,$B$23:$B$45&amp;"_"&amp;$C$23:$C$45,$D$23:$D$45)*$E309)</f>
        <v>1.68114648212226</v>
      </c>
      <c r="M309" s="67" cm="1">
        <f ca="1" t="array" ref="M309">(1+SUMPRODUCT(G309:H309,OFFSET($H$49:$I$49,D309,0)))*(1+OFFSET($J$49,D309,0))^I309*(1+OFFSET($K$49,D309,0))^J309*(1+OFFSET($L$49,D309,0))^K309*(1+OFFSET($M$49,D309,0))^L309</f>
        <v>66.2728729430355</v>
      </c>
      <c r="N309" s="67">
        <f ca="1">MAX(MAX($N$62:N308),OFFSET($C$61,MATCH(M309*1.07,$M$62:$M$2061,1),0)-C309)</f>
        <v>5400</v>
      </c>
    </row>
    <row r="310" spans="2:14">
      <c r="B310" s="67">
        <v>249</v>
      </c>
      <c r="C310" s="67">
        <f t="shared" si="33"/>
        <v>89640</v>
      </c>
      <c r="D310" s="67">
        <f t="shared" si="29"/>
        <v>5</v>
      </c>
      <c r="E310" s="67">
        <f ca="1" t="shared" si="30"/>
        <v>279</v>
      </c>
      <c r="F310" s="67">
        <f ca="1" t="shared" si="31"/>
        <v>0</v>
      </c>
      <c r="G310" s="67">
        <f ca="1" t="shared" si="32"/>
        <v>1.25978892733564</v>
      </c>
      <c r="H310" s="67" cm="1">
        <f ca="1" t="array" ref="H310">MIN(30-SUM(I310:L310),_xlfn.XLOOKUP($D310&amp;"_"&amp;H$61,$B$23:$B$45&amp;"_"&amp;$C$23:$C$45,$D$23:$D$45)*$E310,18)</f>
        <v>18</v>
      </c>
      <c r="I310" s="67" cm="1">
        <f ca="1" t="array" ref="I310">MIN(30-SUM(J310:L310),6-L310,_xlfn.XLOOKUP($D310&amp;"_"&amp;I$61,$B$23:$B$45&amp;"_"&amp;$C$23:$C$45,$D$23:$D$45)*$E310)</f>
        <v>4.3128062283737</v>
      </c>
      <c r="J310" s="67" cm="1">
        <f ca="1" t="array" ref="J310">MIN(8,_xlfn.XLOOKUP($D310&amp;"_"&amp;J$61,$B$23:$B$45&amp;"_"&amp;$C$23:$C$45,$D$23:$D$45)*$E310)</f>
        <v>3.61541522491349</v>
      </c>
      <c r="K310" s="67" cm="1">
        <f ca="1" t="array" ref="K310">MIN(18,_xlfn.XLOOKUP($D310&amp;"_"&amp;K$61,$B$23:$B$45&amp;"_"&amp;$C$23:$C$45,$D$23:$D$45)*$E310)</f>
        <v>1.12479584775087</v>
      </c>
      <c r="L310" s="67" cm="1">
        <f ca="1" t="array" ref="L310">MIN(6,_xlfn.XLOOKUP($D310&amp;"_"&amp;L$61,$B$23:$B$45&amp;"_"&amp;$C$23:$C$45,$D$23:$D$45)*$E310)</f>
        <v>1.6871937716263</v>
      </c>
      <c r="M310" s="67" cm="1">
        <f ca="1" t="array" ref="M310">(1+SUMPRODUCT(G310:H310,OFFSET($H$49:$I$49,D310,0)))*(1+OFFSET($J$49,D310,0))^I310*(1+OFFSET($K$49,D310,0))^J310*(1+OFFSET($L$49,D310,0))^K310*(1+OFFSET($M$49,D310,0))^L310</f>
        <v>66.5540140195188</v>
      </c>
      <c r="N310" s="67">
        <f ca="1">MAX(MAX($N$62:N309),OFFSET($C$61,MATCH(M310*1.07,$M$62:$M$2061,1),0)-C310)</f>
        <v>5400</v>
      </c>
    </row>
    <row r="311" spans="2:14">
      <c r="B311" s="67">
        <v>250</v>
      </c>
      <c r="C311" s="67">
        <f t="shared" si="33"/>
        <v>90000</v>
      </c>
      <c r="D311" s="67">
        <f t="shared" si="29"/>
        <v>5</v>
      </c>
      <c r="E311" s="67">
        <f ca="1" t="shared" si="30"/>
        <v>280</v>
      </c>
      <c r="F311" s="67">
        <f ca="1" t="shared" si="31"/>
        <v>0</v>
      </c>
      <c r="G311" s="67">
        <f ca="1" t="shared" si="32"/>
        <v>1.24279892349097</v>
      </c>
      <c r="H311" s="67" cm="1">
        <f ca="1" t="array" ref="H311">MIN(30-SUM(I311:L311),_xlfn.XLOOKUP($D311&amp;"_"&amp;H$61,$B$23:$B$45&amp;"_"&amp;$C$23:$C$45,$D$23:$D$45)*$E311,18)</f>
        <v>18</v>
      </c>
      <c r="I311" s="67" cm="1">
        <f ca="1" t="array" ref="I311">MIN(30-SUM(J311:L311),6-L311,_xlfn.XLOOKUP($D311&amp;"_"&amp;I$61,$B$23:$B$45&amp;"_"&amp;$C$23:$C$45,$D$23:$D$45)*$E311)</f>
        <v>4.30675893886966</v>
      </c>
      <c r="J311" s="67" cm="1">
        <f ca="1" t="array" ref="J311">MIN(8,_xlfn.XLOOKUP($D311&amp;"_"&amp;J$61,$B$23:$B$45&amp;"_"&amp;$C$23:$C$45,$D$23:$D$45)*$E311)</f>
        <v>3.62837370242214</v>
      </c>
      <c r="K311" s="67" cm="1">
        <f ca="1" t="array" ref="K311">MIN(18,_xlfn.XLOOKUP($D311&amp;"_"&amp;K$61,$B$23:$B$45&amp;"_"&amp;$C$23:$C$45,$D$23:$D$45)*$E311)</f>
        <v>1.12882737408689</v>
      </c>
      <c r="L311" s="67" cm="1">
        <f ca="1" t="array" ref="L311">MIN(6,_xlfn.XLOOKUP($D311&amp;"_"&amp;L$61,$B$23:$B$45&amp;"_"&amp;$C$23:$C$45,$D$23:$D$45)*$E311)</f>
        <v>1.69324106113033</v>
      </c>
      <c r="M311" s="67" cm="1">
        <f ca="1" t="array" ref="M311">(1+SUMPRODUCT(G311:H311,OFFSET($H$49:$I$49,D311,0)))*(1+OFFSET($J$49,D311,0))^I311*(1+OFFSET($K$49,D311,0))^J311*(1+OFFSET($L$49,D311,0))^K311*(1+OFFSET($M$49,D311,0))^L311</f>
        <v>66.8363354382178</v>
      </c>
      <c r="N311" s="67">
        <f ca="1">MAX(MAX($N$62:N310),OFFSET($C$61,MATCH(M311*1.07,$M$62:$M$2061,1),0)-C311)</f>
        <v>5400</v>
      </c>
    </row>
    <row r="312" spans="2:14">
      <c r="B312" s="67">
        <v>251</v>
      </c>
      <c r="C312" s="67">
        <f t="shared" si="33"/>
        <v>90360</v>
      </c>
      <c r="D312" s="67">
        <f t="shared" si="29"/>
        <v>5</v>
      </c>
      <c r="E312" s="67">
        <f ca="1" t="shared" si="30"/>
        <v>281</v>
      </c>
      <c r="F312" s="67">
        <f ca="1" t="shared" si="31"/>
        <v>0</v>
      </c>
      <c r="G312" s="67">
        <f ca="1" t="shared" si="32"/>
        <v>1.2258089196463</v>
      </c>
      <c r="H312" s="67" cm="1">
        <f ca="1" t="array" ref="H312">MIN(30-SUM(I312:L312),_xlfn.XLOOKUP($D312&amp;"_"&amp;H$61,$B$23:$B$45&amp;"_"&amp;$C$23:$C$45,$D$23:$D$45)*$E312,18)</f>
        <v>18</v>
      </c>
      <c r="I312" s="67" cm="1">
        <f ca="1" t="array" ref="I312">MIN(30-SUM(J312:L312),6-L312,_xlfn.XLOOKUP($D312&amp;"_"&amp;I$61,$B$23:$B$45&amp;"_"&amp;$C$23:$C$45,$D$23:$D$45)*$E312)</f>
        <v>4.30071164936563</v>
      </c>
      <c r="J312" s="67" cm="1">
        <f ca="1" t="array" ref="J312">MIN(8,_xlfn.XLOOKUP($D312&amp;"_"&amp;J$61,$B$23:$B$45&amp;"_"&amp;$C$23:$C$45,$D$23:$D$45)*$E312)</f>
        <v>3.64133217993079</v>
      </c>
      <c r="K312" s="67" cm="1">
        <f ca="1" t="array" ref="K312">MIN(18,_xlfn.XLOOKUP($D312&amp;"_"&amp;K$61,$B$23:$B$45&amp;"_"&amp;$C$23:$C$45,$D$23:$D$45)*$E312)</f>
        <v>1.13285890042292</v>
      </c>
      <c r="L312" s="67" cm="1">
        <f ca="1" t="array" ref="L312">MIN(6,_xlfn.XLOOKUP($D312&amp;"_"&amp;L$61,$B$23:$B$45&amp;"_"&amp;$C$23:$C$45,$D$23:$D$45)*$E312)</f>
        <v>1.69928835063437</v>
      </c>
      <c r="M312" s="67" cm="1">
        <f ca="1" t="array" ref="M312">(1+SUMPRODUCT(G312:H312,OFFSET($H$49:$I$49,D312,0)))*(1+OFFSET($J$49,D312,0))^I312*(1+OFFSET($K$49,D312,0))^J312*(1+OFFSET($L$49,D312,0))^K312*(1+OFFSET($M$49,D312,0))^L312</f>
        <v>67.1198420913237</v>
      </c>
      <c r="N312" s="67">
        <f ca="1">MAX(MAX($N$62:N311),OFFSET($C$61,MATCH(M312*1.07,$M$62:$M$2061,1),0)-C312)</f>
        <v>5400</v>
      </c>
    </row>
    <row r="313" spans="2:14">
      <c r="B313" s="67">
        <v>252</v>
      </c>
      <c r="C313" s="67">
        <f t="shared" si="33"/>
        <v>90720</v>
      </c>
      <c r="D313" s="67">
        <f t="shared" si="29"/>
        <v>5</v>
      </c>
      <c r="E313" s="67">
        <f ca="1" t="shared" si="30"/>
        <v>282</v>
      </c>
      <c r="F313" s="67">
        <f ca="1" t="shared" si="31"/>
        <v>0</v>
      </c>
      <c r="G313" s="67">
        <f ca="1" t="shared" si="32"/>
        <v>1.20881891580162</v>
      </c>
      <c r="H313" s="67" cm="1">
        <f ca="1" t="array" ref="H313">MIN(30-SUM(I313:L313),_xlfn.XLOOKUP($D313&amp;"_"&amp;H$61,$B$23:$B$45&amp;"_"&amp;$C$23:$C$45,$D$23:$D$45)*$E313,18)</f>
        <v>18</v>
      </c>
      <c r="I313" s="67" cm="1">
        <f ca="1" t="array" ref="I313">MIN(30-SUM(J313:L313),6-L313,_xlfn.XLOOKUP($D313&amp;"_"&amp;I$61,$B$23:$B$45&amp;"_"&amp;$C$23:$C$45,$D$23:$D$45)*$E313)</f>
        <v>4.29466435986159</v>
      </c>
      <c r="J313" s="67" cm="1">
        <f ca="1" t="array" ref="J313">MIN(8,_xlfn.XLOOKUP($D313&amp;"_"&amp;J$61,$B$23:$B$45&amp;"_"&amp;$C$23:$C$45,$D$23:$D$45)*$E313)</f>
        <v>3.65429065743944</v>
      </c>
      <c r="K313" s="67" cm="1">
        <f ca="1" t="array" ref="K313">MIN(18,_xlfn.XLOOKUP($D313&amp;"_"&amp;K$61,$B$23:$B$45&amp;"_"&amp;$C$23:$C$45,$D$23:$D$45)*$E313)</f>
        <v>1.13689042675894</v>
      </c>
      <c r="L313" s="67" cm="1">
        <f ca="1" t="array" ref="L313">MIN(6,_xlfn.XLOOKUP($D313&amp;"_"&amp;L$61,$B$23:$B$45&amp;"_"&amp;$C$23:$C$45,$D$23:$D$45)*$E313)</f>
        <v>1.70533564013841</v>
      </c>
      <c r="M313" s="67" cm="1">
        <f ca="1" t="array" ref="M313">(1+SUMPRODUCT(G313:H313,OFFSET($H$49:$I$49,D313,0)))*(1+OFFSET($J$49,D313,0))^I313*(1+OFFSET($K$49,D313,0))^J313*(1+OFFSET($L$49,D313,0))^K313*(1+OFFSET($M$49,D313,0))^L313</f>
        <v>67.4045388909752</v>
      </c>
      <c r="N313" s="67">
        <f ca="1">MAX(MAX($N$62:N312),OFFSET($C$61,MATCH(M313*1.07,$M$62:$M$2061,1),0)-C313)</f>
        <v>5400</v>
      </c>
    </row>
    <row r="314" spans="2:14">
      <c r="B314" s="67">
        <v>253</v>
      </c>
      <c r="C314" s="67">
        <f t="shared" si="33"/>
        <v>91080</v>
      </c>
      <c r="D314" s="67">
        <f t="shared" si="29"/>
        <v>5</v>
      </c>
      <c r="E314" s="67">
        <f ca="1" t="shared" si="30"/>
        <v>283</v>
      </c>
      <c r="F314" s="67">
        <f ca="1" t="shared" si="31"/>
        <v>0</v>
      </c>
      <c r="G314" s="67">
        <f ca="1" t="shared" si="32"/>
        <v>1.19182891195695</v>
      </c>
      <c r="H314" s="67" cm="1">
        <f ca="1" t="array" ref="H314">MIN(30-SUM(I314:L314),_xlfn.XLOOKUP($D314&amp;"_"&amp;H$61,$B$23:$B$45&amp;"_"&amp;$C$23:$C$45,$D$23:$D$45)*$E314,18)</f>
        <v>18</v>
      </c>
      <c r="I314" s="67" cm="1">
        <f ca="1" t="array" ref="I314">MIN(30-SUM(J314:L314),6-L314,_xlfn.XLOOKUP($D314&amp;"_"&amp;I$61,$B$23:$B$45&amp;"_"&amp;$C$23:$C$45,$D$23:$D$45)*$E314)</f>
        <v>4.28861707035755</v>
      </c>
      <c r="J314" s="67" cm="1">
        <f ca="1" t="array" ref="J314">MIN(8,_xlfn.XLOOKUP($D314&amp;"_"&amp;J$61,$B$23:$B$45&amp;"_"&amp;$C$23:$C$45,$D$23:$D$45)*$E314)</f>
        <v>3.66724913494809</v>
      </c>
      <c r="K314" s="67" cm="1">
        <f ca="1" t="array" ref="K314">MIN(18,_xlfn.XLOOKUP($D314&amp;"_"&amp;K$61,$B$23:$B$45&amp;"_"&amp;$C$23:$C$45,$D$23:$D$45)*$E314)</f>
        <v>1.14092195309496</v>
      </c>
      <c r="L314" s="67" cm="1">
        <f ca="1" t="array" ref="L314">MIN(6,_xlfn.XLOOKUP($D314&amp;"_"&amp;L$61,$B$23:$B$45&amp;"_"&amp;$C$23:$C$45,$D$23:$D$45)*$E314)</f>
        <v>1.71138292964245</v>
      </c>
      <c r="M314" s="67" cm="1">
        <f ca="1" t="array" ref="M314">(1+SUMPRODUCT(G314:H314,OFFSET($H$49:$I$49,D314,0)))*(1+OFFSET($J$49,D314,0))^I314*(1+OFFSET($K$49,D314,0))^J314*(1+OFFSET($L$49,D314,0))^K314*(1+OFFSET($M$49,D314,0))^L314</f>
        <v>67.6904307693377</v>
      </c>
      <c r="N314" s="67">
        <f ca="1">MAX(MAX($N$62:N313),OFFSET($C$61,MATCH(M314*1.07,$M$62:$M$2061,1),0)-C314)</f>
        <v>5400</v>
      </c>
    </row>
    <row r="315" spans="2:14">
      <c r="B315" s="67">
        <v>254</v>
      </c>
      <c r="C315" s="67">
        <f t="shared" si="33"/>
        <v>91440</v>
      </c>
      <c r="D315" s="67">
        <f t="shared" si="29"/>
        <v>5</v>
      </c>
      <c r="E315" s="67">
        <f ca="1" t="shared" si="30"/>
        <v>284</v>
      </c>
      <c r="F315" s="67">
        <f ca="1" t="shared" si="31"/>
        <v>0</v>
      </c>
      <c r="G315" s="67">
        <f ca="1" t="shared" si="32"/>
        <v>1.17483890811227</v>
      </c>
      <c r="H315" s="67" cm="1">
        <f ca="1" t="array" ref="H315">MIN(30-SUM(I315:L315),_xlfn.XLOOKUP($D315&amp;"_"&amp;H$61,$B$23:$B$45&amp;"_"&amp;$C$23:$C$45,$D$23:$D$45)*$E315,18)</f>
        <v>18</v>
      </c>
      <c r="I315" s="67" cm="1">
        <f ca="1" t="array" ref="I315">MIN(30-SUM(J315:L315),6-L315,_xlfn.XLOOKUP($D315&amp;"_"&amp;I$61,$B$23:$B$45&amp;"_"&amp;$C$23:$C$45,$D$23:$D$45)*$E315)</f>
        <v>4.28256978085352</v>
      </c>
      <c r="J315" s="67" cm="1">
        <f ca="1" t="array" ref="J315">MIN(8,_xlfn.XLOOKUP($D315&amp;"_"&amp;J$61,$B$23:$B$45&amp;"_"&amp;$C$23:$C$45,$D$23:$D$45)*$E315)</f>
        <v>3.68020761245674</v>
      </c>
      <c r="K315" s="67" cm="1">
        <f ca="1" t="array" ref="K315">MIN(18,_xlfn.XLOOKUP($D315&amp;"_"&amp;K$61,$B$23:$B$45&amp;"_"&amp;$C$23:$C$45,$D$23:$D$45)*$E315)</f>
        <v>1.14495347943099</v>
      </c>
      <c r="L315" s="67" cm="1">
        <f ca="1" t="array" ref="L315">MIN(6,_xlfn.XLOOKUP($D315&amp;"_"&amp;L$61,$B$23:$B$45&amp;"_"&amp;$C$23:$C$45,$D$23:$D$45)*$E315)</f>
        <v>1.71743021914648</v>
      </c>
      <c r="M315" s="67" cm="1">
        <f ca="1" t="array" ref="M315">(1+SUMPRODUCT(G315:H315,OFFSET($H$49:$I$49,D315,0)))*(1+OFFSET($J$49,D315,0))^I315*(1+OFFSET($K$49,D315,0))^J315*(1+OFFSET($L$49,D315,0))^K315*(1+OFFSET($M$49,D315,0))^L315</f>
        <v>67.9775226786833</v>
      </c>
      <c r="N315" s="67">
        <f ca="1">MAX(MAX($N$62:N314),OFFSET($C$61,MATCH(M315*1.07,$M$62:$M$2061,1),0)-C315)</f>
        <v>5400</v>
      </c>
    </row>
    <row r="316" spans="2:14">
      <c r="B316" s="67">
        <v>255</v>
      </c>
      <c r="C316" s="67">
        <f t="shared" si="33"/>
        <v>91800</v>
      </c>
      <c r="D316" s="67">
        <f t="shared" si="29"/>
        <v>5</v>
      </c>
      <c r="E316" s="67">
        <f ca="1" t="shared" si="30"/>
        <v>285</v>
      </c>
      <c r="F316" s="67">
        <f ca="1" t="shared" si="31"/>
        <v>0</v>
      </c>
      <c r="G316" s="67">
        <f ca="1" t="shared" si="32"/>
        <v>1.1578489042676</v>
      </c>
      <c r="H316" s="67" cm="1">
        <f ca="1" t="array" ref="H316">MIN(30-SUM(I316:L316),_xlfn.XLOOKUP($D316&amp;"_"&amp;H$61,$B$23:$B$45&amp;"_"&amp;$C$23:$C$45,$D$23:$D$45)*$E316,18)</f>
        <v>18</v>
      </c>
      <c r="I316" s="67" cm="1">
        <f ca="1" t="array" ref="I316">MIN(30-SUM(J316:L316),6-L316,_xlfn.XLOOKUP($D316&amp;"_"&amp;I$61,$B$23:$B$45&amp;"_"&amp;$C$23:$C$45,$D$23:$D$45)*$E316)</f>
        <v>4.27652249134948</v>
      </c>
      <c r="J316" s="67" cm="1">
        <f ca="1" t="array" ref="J316">MIN(8,_xlfn.XLOOKUP($D316&amp;"_"&amp;J$61,$B$23:$B$45&amp;"_"&amp;$C$23:$C$45,$D$23:$D$45)*$E316)</f>
        <v>3.69316608996539</v>
      </c>
      <c r="K316" s="67" cm="1">
        <f ca="1" t="array" ref="K316">MIN(18,_xlfn.XLOOKUP($D316&amp;"_"&amp;K$61,$B$23:$B$45&amp;"_"&amp;$C$23:$C$45,$D$23:$D$45)*$E316)</f>
        <v>1.14898500576701</v>
      </c>
      <c r="L316" s="67" cm="1">
        <f ca="1" t="array" ref="L316">MIN(6,_xlfn.XLOOKUP($D316&amp;"_"&amp;L$61,$B$23:$B$45&amp;"_"&amp;$C$23:$C$45,$D$23:$D$45)*$E316)</f>
        <v>1.72347750865052</v>
      </c>
      <c r="M316" s="67" cm="1">
        <f ca="1" t="array" ref="M316">(1+SUMPRODUCT(G316:H316,OFFSET($H$49:$I$49,D316,0)))*(1+OFFSET($J$49,D316,0))^I316*(1+OFFSET($K$49,D316,0))^J316*(1+OFFSET($L$49,D316,0))^K316*(1+OFFSET($M$49,D316,0))^L316</f>
        <v>68.2658195914711</v>
      </c>
      <c r="N316" s="67">
        <f ca="1">MAX(MAX($N$62:N315),OFFSET($C$61,MATCH(M316*1.07,$M$62:$M$2061,1),0)-C316)</f>
        <v>5400</v>
      </c>
    </row>
    <row r="317" spans="2:14">
      <c r="B317" s="67">
        <v>256</v>
      </c>
      <c r="C317" s="67">
        <f t="shared" si="33"/>
        <v>92160</v>
      </c>
      <c r="D317" s="67">
        <f t="shared" si="29"/>
        <v>5</v>
      </c>
      <c r="E317" s="67">
        <f ca="1" t="shared" si="30"/>
        <v>286</v>
      </c>
      <c r="F317" s="67">
        <f ca="1" t="shared" si="31"/>
        <v>0</v>
      </c>
      <c r="G317" s="67">
        <f ca="1" t="shared" si="32"/>
        <v>1.14085890042292</v>
      </c>
      <c r="H317" s="67" cm="1">
        <f ca="1" t="array" ref="H317">MIN(30-SUM(I317:L317),_xlfn.XLOOKUP($D317&amp;"_"&amp;H$61,$B$23:$B$45&amp;"_"&amp;$C$23:$C$45,$D$23:$D$45)*$E317,18)</f>
        <v>18</v>
      </c>
      <c r="I317" s="67" cm="1">
        <f ca="1" t="array" ref="I317">MIN(30-SUM(J317:L317),6-L317,_xlfn.XLOOKUP($D317&amp;"_"&amp;I$61,$B$23:$B$45&amp;"_"&amp;$C$23:$C$45,$D$23:$D$45)*$E317)</f>
        <v>4.27047520184544</v>
      </c>
      <c r="J317" s="67" cm="1">
        <f ca="1" t="array" ref="J317">MIN(8,_xlfn.XLOOKUP($D317&amp;"_"&amp;J$61,$B$23:$B$45&amp;"_"&amp;$C$23:$C$45,$D$23:$D$45)*$E317)</f>
        <v>3.70612456747404</v>
      </c>
      <c r="K317" s="67" cm="1">
        <f ca="1" t="array" ref="K317">MIN(18,_xlfn.XLOOKUP($D317&amp;"_"&amp;K$61,$B$23:$B$45&amp;"_"&amp;$C$23:$C$45,$D$23:$D$45)*$E317)</f>
        <v>1.15301653210304</v>
      </c>
      <c r="L317" s="67" cm="1">
        <f ca="1" t="array" ref="L317">MIN(6,_xlfn.XLOOKUP($D317&amp;"_"&amp;L$61,$B$23:$B$45&amp;"_"&amp;$C$23:$C$45,$D$23:$D$45)*$E317)</f>
        <v>1.72952479815456</v>
      </c>
      <c r="M317" s="67" cm="1">
        <f ca="1" t="array" ref="M317">(1+SUMPRODUCT(G317:H317,OFFSET($H$49:$I$49,D317,0)))*(1+OFFSET($J$49,D317,0))^I317*(1+OFFSET($K$49,D317,0))^J317*(1+OFFSET($L$49,D317,0))^K317*(1+OFFSET($M$49,D317,0))^L317</f>
        <v>68.5553265004277</v>
      </c>
      <c r="N317" s="67">
        <f ca="1">MAX(MAX($N$62:N316),OFFSET($C$61,MATCH(M317*1.07,$M$62:$M$2061,1),0)-C317)</f>
        <v>5400</v>
      </c>
    </row>
    <row r="318" spans="2:14">
      <c r="B318" s="67">
        <v>257</v>
      </c>
      <c r="C318" s="67">
        <f t="shared" si="33"/>
        <v>92520</v>
      </c>
      <c r="D318" s="67">
        <f t="shared" si="29"/>
        <v>5</v>
      </c>
      <c r="E318" s="67">
        <f ca="1" t="shared" si="30"/>
        <v>287</v>
      </c>
      <c r="F318" s="67">
        <f ca="1" t="shared" si="31"/>
        <v>0</v>
      </c>
      <c r="G318" s="67">
        <f ca="1" t="shared" si="32"/>
        <v>1.12386889657824</v>
      </c>
      <c r="H318" s="67" cm="1">
        <f ca="1" t="array" ref="H318">MIN(30-SUM(I318:L318),_xlfn.XLOOKUP($D318&amp;"_"&amp;H$61,$B$23:$B$45&amp;"_"&amp;$C$23:$C$45,$D$23:$D$45)*$E318,18)</f>
        <v>18</v>
      </c>
      <c r="I318" s="67" cm="1">
        <f ca="1" t="array" ref="I318">MIN(30-SUM(J318:L318),6-L318,_xlfn.XLOOKUP($D318&amp;"_"&amp;I$61,$B$23:$B$45&amp;"_"&amp;$C$23:$C$45,$D$23:$D$45)*$E318)</f>
        <v>4.26442791234141</v>
      </c>
      <c r="J318" s="67" cm="1">
        <f ca="1" t="array" ref="J318">MIN(8,_xlfn.XLOOKUP($D318&amp;"_"&amp;J$61,$B$23:$B$45&amp;"_"&amp;$C$23:$C$45,$D$23:$D$45)*$E318)</f>
        <v>3.71908304498269</v>
      </c>
      <c r="K318" s="67" cm="1">
        <f ca="1" t="array" ref="K318">MIN(18,_xlfn.XLOOKUP($D318&amp;"_"&amp;K$61,$B$23:$B$45&amp;"_"&amp;$C$23:$C$45,$D$23:$D$45)*$E318)</f>
        <v>1.15704805843906</v>
      </c>
      <c r="L318" s="67" cm="1">
        <f ca="1" t="array" ref="L318">MIN(6,_xlfn.XLOOKUP($D318&amp;"_"&amp;L$61,$B$23:$B$45&amp;"_"&amp;$C$23:$C$45,$D$23:$D$45)*$E318)</f>
        <v>1.73557208765859</v>
      </c>
      <c r="M318" s="67" cm="1">
        <f ca="1" t="array" ref="M318">(1+SUMPRODUCT(G318:H318,OFFSET($H$49:$I$49,D318,0)))*(1+OFFSET($J$49,D318,0))^I318*(1+OFFSET($K$49,D318,0))^J318*(1+OFFSET($L$49,D318,0))^K318*(1+OFFSET($M$49,D318,0))^L318</f>
        <v>68.846048418628</v>
      </c>
      <c r="N318" s="67">
        <f ca="1">MAX(MAX($N$62:N317),OFFSET($C$61,MATCH(M318*1.07,$M$62:$M$2061,1),0)-C318)</f>
        <v>5400</v>
      </c>
    </row>
    <row r="319" spans="2:14">
      <c r="B319" s="67">
        <v>258</v>
      </c>
      <c r="C319" s="67">
        <f t="shared" si="33"/>
        <v>92880</v>
      </c>
      <c r="D319" s="67">
        <f t="shared" ref="D319:D382" si="34">_xlfn.XLOOKUP("非R",$B$49:$B$54,$C$49:$C$54)</f>
        <v>5</v>
      </c>
      <c r="E319" s="67">
        <f ca="1" t="shared" ref="E319:E382" si="35">INT(C319/_xlfn.XLOOKUP(D319,$R$14:$R$21,$S$14:$S$21))+OFFSET($R$49,D319,0)</f>
        <v>288</v>
      </c>
      <c r="F319" s="67">
        <f ca="1" t="shared" si="31"/>
        <v>0</v>
      </c>
      <c r="G319" s="67">
        <f ca="1" t="shared" si="32"/>
        <v>1.10687889273357</v>
      </c>
      <c r="H319" s="67" cm="1">
        <f ca="1" t="array" ref="H319">MIN(30-SUM(I319:L319),_xlfn.XLOOKUP($D319&amp;"_"&amp;H$61,$B$23:$B$45&amp;"_"&amp;$C$23:$C$45,$D$23:$D$45)*$E319,18)</f>
        <v>18</v>
      </c>
      <c r="I319" s="67" cm="1">
        <f ca="1" t="array" ref="I319">MIN(30-SUM(J319:L319),6-L319,_xlfn.XLOOKUP($D319&amp;"_"&amp;I$61,$B$23:$B$45&amp;"_"&amp;$C$23:$C$45,$D$23:$D$45)*$E319)</f>
        <v>4.25838062283737</v>
      </c>
      <c r="J319" s="67" cm="1">
        <f ca="1" t="array" ref="J319">MIN(8,_xlfn.XLOOKUP($D319&amp;"_"&amp;J$61,$B$23:$B$45&amp;"_"&amp;$C$23:$C$45,$D$23:$D$45)*$E319)</f>
        <v>3.73204152249134</v>
      </c>
      <c r="K319" s="67" cm="1">
        <f ca="1" t="array" ref="K319">MIN(18,_xlfn.XLOOKUP($D319&amp;"_"&amp;K$61,$B$23:$B$45&amp;"_"&amp;$C$23:$C$45,$D$23:$D$45)*$E319)</f>
        <v>1.16107958477509</v>
      </c>
      <c r="L319" s="67" cm="1">
        <f ca="1" t="array" ref="L319">MIN(6,_xlfn.XLOOKUP($D319&amp;"_"&amp;L$61,$B$23:$B$45&amp;"_"&amp;$C$23:$C$45,$D$23:$D$45)*$E319)</f>
        <v>1.74161937716263</v>
      </c>
      <c r="M319" s="67" cm="1">
        <f ca="1" t="array" ref="M319">(1+SUMPRODUCT(G319:H319,OFFSET($H$49:$I$49,D319,0)))*(1+OFFSET($J$49,D319,0))^I319*(1+OFFSET($K$49,D319,0))^J319*(1+OFFSET($L$49,D319,0))^K319*(1+OFFSET($M$49,D319,0))^L319</f>
        <v>69.1379903795763</v>
      </c>
      <c r="N319" s="67">
        <f ca="1">MAX(MAX($N$62:N318),OFFSET($C$61,MATCH(M319*1.07,$M$62:$M$2061,1),0)-C319)</f>
        <v>5400</v>
      </c>
    </row>
    <row r="320" spans="2:14">
      <c r="B320" s="67">
        <v>259</v>
      </c>
      <c r="C320" s="67">
        <f t="shared" si="33"/>
        <v>93240</v>
      </c>
      <c r="D320" s="67">
        <f t="shared" si="34"/>
        <v>5</v>
      </c>
      <c r="E320" s="67">
        <f ca="1" t="shared" si="35"/>
        <v>289</v>
      </c>
      <c r="F320" s="67">
        <f ca="1" t="shared" ref="F320:F383" si="36">30-SUM(G320:L320)</f>
        <v>0</v>
      </c>
      <c r="G320" s="67">
        <f ca="1" t="shared" ref="G320:G383" si="37">30-SUM(H320:L320)</f>
        <v>1.08988888888889</v>
      </c>
      <c r="H320" s="67" cm="1">
        <f ca="1" t="array" ref="H320">MIN(30-SUM(I320:L320),_xlfn.XLOOKUP($D320&amp;"_"&amp;H$61,$B$23:$B$45&amp;"_"&amp;$C$23:$C$45,$D$23:$D$45)*$E320,18)</f>
        <v>18</v>
      </c>
      <c r="I320" s="67" cm="1">
        <f ca="1" t="array" ref="I320">MIN(30-SUM(J320:L320),6-L320,_xlfn.XLOOKUP($D320&amp;"_"&amp;I$61,$B$23:$B$45&amp;"_"&amp;$C$23:$C$45,$D$23:$D$45)*$E320)</f>
        <v>4.25233333333333</v>
      </c>
      <c r="J320" s="67" cm="1">
        <f ca="1" t="array" ref="J320">MIN(8,_xlfn.XLOOKUP($D320&amp;"_"&amp;J$61,$B$23:$B$45&amp;"_"&amp;$C$23:$C$45,$D$23:$D$45)*$E320)</f>
        <v>3.74499999999999</v>
      </c>
      <c r="K320" s="67" cm="1">
        <f ca="1" t="array" ref="K320">MIN(18,_xlfn.XLOOKUP($D320&amp;"_"&amp;K$61,$B$23:$B$45&amp;"_"&amp;$C$23:$C$45,$D$23:$D$45)*$E320)</f>
        <v>1.16511111111111</v>
      </c>
      <c r="L320" s="67" cm="1">
        <f ca="1" t="array" ref="L320">MIN(6,_xlfn.XLOOKUP($D320&amp;"_"&amp;L$61,$B$23:$B$45&amp;"_"&amp;$C$23:$C$45,$D$23:$D$45)*$E320)</f>
        <v>1.74766666666667</v>
      </c>
      <c r="M320" s="67" cm="1">
        <f ca="1" t="array" ref="M320">(1+SUMPRODUCT(G320:H320,OFFSET($H$49:$I$49,D320,0)))*(1+OFFSET($J$49,D320,0))^I320*(1+OFFSET($K$49,D320,0))^J320*(1+OFFSET($L$49,D320,0))^K320*(1+OFFSET($M$49,D320,0))^L320</f>
        <v>69.4311574372878</v>
      </c>
      <c r="N320" s="67">
        <f ca="1">MAX(MAX($N$62:N319),OFFSET($C$61,MATCH(M320*1.07,$M$62:$M$2061,1),0)-C320)</f>
        <v>5400</v>
      </c>
    </row>
    <row r="321" spans="2:14">
      <c r="B321" s="67">
        <v>260</v>
      </c>
      <c r="C321" s="67">
        <f t="shared" si="33"/>
        <v>93600</v>
      </c>
      <c r="D321" s="67">
        <f t="shared" si="34"/>
        <v>5</v>
      </c>
      <c r="E321" s="67">
        <f ca="1" t="shared" si="35"/>
        <v>290</v>
      </c>
      <c r="F321" s="67">
        <f ca="1" t="shared" si="36"/>
        <v>0</v>
      </c>
      <c r="G321" s="67">
        <f ca="1" t="shared" si="37"/>
        <v>1.07289888504422</v>
      </c>
      <c r="H321" s="67" cm="1">
        <f ca="1" t="array" ref="H321">MIN(30-SUM(I321:L321),_xlfn.XLOOKUP($D321&amp;"_"&amp;H$61,$B$23:$B$45&amp;"_"&amp;$C$23:$C$45,$D$23:$D$45)*$E321,18)</f>
        <v>18</v>
      </c>
      <c r="I321" s="67" cm="1">
        <f ca="1" t="array" ref="I321">MIN(30-SUM(J321:L321),6-L321,_xlfn.XLOOKUP($D321&amp;"_"&amp;I$61,$B$23:$B$45&amp;"_"&amp;$C$23:$C$45,$D$23:$D$45)*$E321)</f>
        <v>4.2462860438293</v>
      </c>
      <c r="J321" s="67" cm="1">
        <f ca="1" t="array" ref="J321">MIN(8,_xlfn.XLOOKUP($D321&amp;"_"&amp;J$61,$B$23:$B$45&amp;"_"&amp;$C$23:$C$45,$D$23:$D$45)*$E321)</f>
        <v>3.75795847750864</v>
      </c>
      <c r="K321" s="67" cm="1">
        <f ca="1" t="array" ref="K321">MIN(18,_xlfn.XLOOKUP($D321&amp;"_"&amp;K$61,$B$23:$B$45&amp;"_"&amp;$C$23:$C$45,$D$23:$D$45)*$E321)</f>
        <v>1.16914263744714</v>
      </c>
      <c r="L321" s="67" cm="1">
        <f ca="1" t="array" ref="L321">MIN(6,_xlfn.XLOOKUP($D321&amp;"_"&amp;L$61,$B$23:$B$45&amp;"_"&amp;$C$23:$C$45,$D$23:$D$45)*$E321)</f>
        <v>1.7537139561707</v>
      </c>
      <c r="M321" s="67" cm="1">
        <f ca="1" t="array" ref="M321">(1+SUMPRODUCT(G321:H321,OFFSET($H$49:$I$49,D321,0)))*(1+OFFSET($J$49,D321,0))^I321*(1+OFFSET($K$49,D321,0))^J321*(1+OFFSET($L$49,D321,0))^K321*(1+OFFSET($M$49,D321,0))^L321</f>
        <v>69.7255546663706</v>
      </c>
      <c r="N321" s="67">
        <f ca="1">MAX(MAX($N$62:N320),OFFSET($C$61,MATCH(M321*1.07,$M$62:$M$2061,1),0)-C321)</f>
        <v>5400</v>
      </c>
    </row>
    <row r="322" spans="2:14">
      <c r="B322" s="67">
        <v>261</v>
      </c>
      <c r="C322" s="67">
        <f t="shared" si="33"/>
        <v>93960</v>
      </c>
      <c r="D322" s="67">
        <f t="shared" si="34"/>
        <v>5</v>
      </c>
      <c r="E322" s="67">
        <f ca="1" t="shared" si="35"/>
        <v>291</v>
      </c>
      <c r="F322" s="67">
        <f ca="1" t="shared" si="36"/>
        <v>0</v>
      </c>
      <c r="G322" s="67">
        <f ca="1" t="shared" si="37"/>
        <v>1.05590888119954</v>
      </c>
      <c r="H322" s="67" cm="1">
        <f ca="1" t="array" ref="H322">MIN(30-SUM(I322:L322),_xlfn.XLOOKUP($D322&amp;"_"&amp;H$61,$B$23:$B$45&amp;"_"&amp;$C$23:$C$45,$D$23:$D$45)*$E322,18)</f>
        <v>18</v>
      </c>
      <c r="I322" s="67" cm="1">
        <f ca="1" t="array" ref="I322">MIN(30-SUM(J322:L322),6-L322,_xlfn.XLOOKUP($D322&amp;"_"&amp;I$61,$B$23:$B$45&amp;"_"&amp;$C$23:$C$45,$D$23:$D$45)*$E322)</f>
        <v>4.24023875432526</v>
      </c>
      <c r="J322" s="67" cm="1">
        <f ca="1" t="array" ref="J322">MIN(8,_xlfn.XLOOKUP($D322&amp;"_"&amp;J$61,$B$23:$B$45&amp;"_"&amp;$C$23:$C$45,$D$23:$D$45)*$E322)</f>
        <v>3.7709169550173</v>
      </c>
      <c r="K322" s="67" cm="1">
        <f ca="1" t="array" ref="K322">MIN(18,_xlfn.XLOOKUP($D322&amp;"_"&amp;K$61,$B$23:$B$45&amp;"_"&amp;$C$23:$C$45,$D$23:$D$45)*$E322)</f>
        <v>1.17317416378316</v>
      </c>
      <c r="L322" s="67" cm="1">
        <f ca="1" t="array" ref="L322">MIN(6,_xlfn.XLOOKUP($D322&amp;"_"&amp;L$61,$B$23:$B$45&amp;"_"&amp;$C$23:$C$45,$D$23:$D$45)*$E322)</f>
        <v>1.75976124567474</v>
      </c>
      <c r="M322" s="67" cm="1">
        <f ca="1" t="array" ref="M322">(1+SUMPRODUCT(G322:H322,OFFSET($H$49:$I$49,D322,0)))*(1+OFFSET($J$49,D322,0))^I322*(1+OFFSET($K$49,D322,0))^J322*(1+OFFSET($L$49,D322,0))^K322*(1+OFFSET($M$49,D322,0))^L322</f>
        <v>70.0211871621072</v>
      </c>
      <c r="N322" s="67">
        <f ca="1">MAX(MAX($N$62:N321),OFFSET($C$61,MATCH(M322*1.07,$M$62:$M$2061,1),0)-C322)</f>
        <v>5400</v>
      </c>
    </row>
    <row r="323" spans="2:14">
      <c r="B323" s="67">
        <v>262</v>
      </c>
      <c r="C323" s="67">
        <f t="shared" si="33"/>
        <v>94320</v>
      </c>
      <c r="D323" s="67">
        <f t="shared" si="34"/>
        <v>5</v>
      </c>
      <c r="E323" s="67">
        <f ca="1" t="shared" si="35"/>
        <v>292</v>
      </c>
      <c r="F323" s="67">
        <f ca="1" t="shared" si="36"/>
        <v>0</v>
      </c>
      <c r="G323" s="67">
        <f ca="1" t="shared" si="37"/>
        <v>1.03891887735487</v>
      </c>
      <c r="H323" s="67" cm="1">
        <f ca="1" t="array" ref="H323">MIN(30-SUM(I323:L323),_xlfn.XLOOKUP($D323&amp;"_"&amp;H$61,$B$23:$B$45&amp;"_"&amp;$C$23:$C$45,$D$23:$D$45)*$E323,18)</f>
        <v>18</v>
      </c>
      <c r="I323" s="67" cm="1">
        <f ca="1" t="array" ref="I323">MIN(30-SUM(J323:L323),6-L323,_xlfn.XLOOKUP($D323&amp;"_"&amp;I$61,$B$23:$B$45&amp;"_"&amp;$C$23:$C$45,$D$23:$D$45)*$E323)</f>
        <v>4.23419146482122</v>
      </c>
      <c r="J323" s="67" cm="1">
        <f ca="1" t="array" ref="J323">MIN(8,_xlfn.XLOOKUP($D323&amp;"_"&amp;J$61,$B$23:$B$45&amp;"_"&amp;$C$23:$C$45,$D$23:$D$45)*$E323)</f>
        <v>3.78387543252595</v>
      </c>
      <c r="K323" s="67" cm="1">
        <f ca="1" t="array" ref="K323">MIN(18,_xlfn.XLOOKUP($D323&amp;"_"&amp;K$61,$B$23:$B$45&amp;"_"&amp;$C$23:$C$45,$D$23:$D$45)*$E323)</f>
        <v>1.17720569011919</v>
      </c>
      <c r="L323" s="67" cm="1">
        <f ca="1" t="array" ref="L323">MIN(6,_xlfn.XLOOKUP($D323&amp;"_"&amp;L$61,$B$23:$B$45&amp;"_"&amp;$C$23:$C$45,$D$23:$D$45)*$E323)</f>
        <v>1.76580853517878</v>
      </c>
      <c r="M323" s="67" cm="1">
        <f ca="1" t="array" ref="M323">(1+SUMPRODUCT(G323:H323,OFFSET($H$49:$I$49,D323,0)))*(1+OFFSET($J$49,D323,0))^I323*(1+OFFSET($K$49,D323,0))^J323*(1+OFFSET($L$49,D323,0))^K323*(1+OFFSET($M$49,D323,0))^L323</f>
        <v>70.3180600405378</v>
      </c>
      <c r="N323" s="67">
        <f ca="1">MAX(MAX($N$62:N322),OFFSET($C$61,MATCH(M323*1.07,$M$62:$M$2061,1),0)-C323)</f>
        <v>5400</v>
      </c>
    </row>
    <row r="324" spans="2:14">
      <c r="B324" s="67">
        <v>263</v>
      </c>
      <c r="C324" s="67">
        <f t="shared" si="33"/>
        <v>94680</v>
      </c>
      <c r="D324" s="67">
        <f t="shared" si="34"/>
        <v>5</v>
      </c>
      <c r="E324" s="67">
        <f ca="1" t="shared" si="35"/>
        <v>293</v>
      </c>
      <c r="F324" s="67">
        <f ca="1" t="shared" si="36"/>
        <v>0</v>
      </c>
      <c r="G324" s="67">
        <f ca="1" t="shared" si="37"/>
        <v>1.02192887351019</v>
      </c>
      <c r="H324" s="67" cm="1">
        <f ca="1" t="array" ref="H324">MIN(30-SUM(I324:L324),_xlfn.XLOOKUP($D324&amp;"_"&amp;H$61,$B$23:$B$45&amp;"_"&amp;$C$23:$C$45,$D$23:$D$45)*$E324,18)</f>
        <v>18</v>
      </c>
      <c r="I324" s="67" cm="1">
        <f ca="1" t="array" ref="I324">MIN(30-SUM(J324:L324),6-L324,_xlfn.XLOOKUP($D324&amp;"_"&amp;I$61,$B$23:$B$45&amp;"_"&amp;$C$23:$C$45,$D$23:$D$45)*$E324)</f>
        <v>4.22814417531719</v>
      </c>
      <c r="J324" s="67" cm="1">
        <f ca="1" t="array" ref="J324">MIN(8,_xlfn.XLOOKUP($D324&amp;"_"&amp;J$61,$B$23:$B$45&amp;"_"&amp;$C$23:$C$45,$D$23:$D$45)*$E324)</f>
        <v>3.7968339100346</v>
      </c>
      <c r="K324" s="67" cm="1">
        <f ca="1" t="array" ref="K324">MIN(18,_xlfn.XLOOKUP($D324&amp;"_"&amp;K$61,$B$23:$B$45&amp;"_"&amp;$C$23:$C$45,$D$23:$D$45)*$E324)</f>
        <v>1.18123721645521</v>
      </c>
      <c r="L324" s="67" cm="1">
        <f ca="1" t="array" ref="L324">MIN(6,_xlfn.XLOOKUP($D324&amp;"_"&amp;L$61,$B$23:$B$45&amp;"_"&amp;$C$23:$C$45,$D$23:$D$45)*$E324)</f>
        <v>1.77185582468281</v>
      </c>
      <c r="M324" s="67" cm="1">
        <f ca="1" t="array" ref="M324">(1+SUMPRODUCT(G324:H324,OFFSET($H$49:$I$49,D324,0)))*(1+OFFSET($J$49,D324,0))^I324*(1+OFFSET($K$49,D324,0))^J324*(1+OFFSET($L$49,D324,0))^K324*(1+OFFSET($M$49,D324,0))^L324</f>
        <v>70.6161784385421</v>
      </c>
      <c r="N324" s="67">
        <f ca="1">MAX(MAX($N$62:N323),OFFSET($C$61,MATCH(M324*1.07,$M$62:$M$2061,1),0)-C324)</f>
        <v>5400</v>
      </c>
    </row>
    <row r="325" spans="2:14">
      <c r="B325" s="67">
        <v>264</v>
      </c>
      <c r="C325" s="67">
        <f t="shared" si="33"/>
        <v>95040</v>
      </c>
      <c r="D325" s="67">
        <f t="shared" si="34"/>
        <v>5</v>
      </c>
      <c r="E325" s="67">
        <f ca="1" t="shared" si="35"/>
        <v>294</v>
      </c>
      <c r="F325" s="67">
        <f ca="1" t="shared" si="36"/>
        <v>0</v>
      </c>
      <c r="G325" s="67">
        <f ca="1" t="shared" si="37"/>
        <v>1.00493886966552</v>
      </c>
      <c r="H325" s="67" cm="1">
        <f ca="1" t="array" ref="H325">MIN(30-SUM(I325:L325),_xlfn.XLOOKUP($D325&amp;"_"&amp;H$61,$B$23:$B$45&amp;"_"&amp;$C$23:$C$45,$D$23:$D$45)*$E325,18)</f>
        <v>18</v>
      </c>
      <c r="I325" s="67" cm="1">
        <f ca="1" t="array" ref="I325">MIN(30-SUM(J325:L325),6-L325,_xlfn.XLOOKUP($D325&amp;"_"&amp;I$61,$B$23:$B$45&amp;"_"&amp;$C$23:$C$45,$D$23:$D$45)*$E325)</f>
        <v>4.22209688581315</v>
      </c>
      <c r="J325" s="67" cm="1">
        <f ca="1" t="array" ref="J325">MIN(8,_xlfn.XLOOKUP($D325&amp;"_"&amp;J$61,$B$23:$B$45&amp;"_"&amp;$C$23:$C$45,$D$23:$D$45)*$E325)</f>
        <v>3.80979238754325</v>
      </c>
      <c r="K325" s="67" cm="1">
        <f ca="1" t="array" ref="K325">MIN(18,_xlfn.XLOOKUP($D325&amp;"_"&amp;K$61,$B$23:$B$45&amp;"_"&amp;$C$23:$C$45,$D$23:$D$45)*$E325)</f>
        <v>1.18526874279124</v>
      </c>
      <c r="L325" s="67" cm="1">
        <f ca="1" t="array" ref="L325">MIN(6,_xlfn.XLOOKUP($D325&amp;"_"&amp;L$61,$B$23:$B$45&amp;"_"&amp;$C$23:$C$45,$D$23:$D$45)*$E325)</f>
        <v>1.77790311418685</v>
      </c>
      <c r="M325" s="67" cm="1">
        <f ca="1" t="array" ref="M325">(1+SUMPRODUCT(G325:H325,OFFSET($H$49:$I$49,D325,0)))*(1+OFFSET($J$49,D325,0))^I325*(1+OFFSET($K$49,D325,0))^J325*(1+OFFSET($L$49,D325,0))^K325*(1+OFFSET($M$49,D325,0))^L325</f>
        <v>70.9155475139231</v>
      </c>
      <c r="N325" s="67">
        <f ca="1">MAX(MAX($N$62:N324),OFFSET($C$61,MATCH(M325*1.07,$M$62:$M$2061,1),0)-C325)</f>
        <v>5400</v>
      </c>
    </row>
    <row r="326" spans="2:14">
      <c r="B326" s="67">
        <v>265</v>
      </c>
      <c r="C326" s="67">
        <f t="shared" si="33"/>
        <v>95400</v>
      </c>
      <c r="D326" s="67">
        <f t="shared" si="34"/>
        <v>5</v>
      </c>
      <c r="E326" s="67">
        <f ca="1" t="shared" si="35"/>
        <v>295</v>
      </c>
      <c r="F326" s="67">
        <f ca="1" t="shared" si="36"/>
        <v>0</v>
      </c>
      <c r="G326" s="67">
        <f ca="1" t="shared" si="37"/>
        <v>0.987948865820844</v>
      </c>
      <c r="H326" s="67" cm="1">
        <f ca="1" t="array" ref="H326">MIN(30-SUM(I326:L326),_xlfn.XLOOKUP($D326&amp;"_"&amp;H$61,$B$23:$B$45&amp;"_"&amp;$C$23:$C$45,$D$23:$D$45)*$E326,18)</f>
        <v>18</v>
      </c>
      <c r="I326" s="67" cm="1">
        <f ca="1" t="array" ref="I326">MIN(30-SUM(J326:L326),6-L326,_xlfn.XLOOKUP($D326&amp;"_"&amp;I$61,$B$23:$B$45&amp;"_"&amp;$C$23:$C$45,$D$23:$D$45)*$E326)</f>
        <v>4.21604959630911</v>
      </c>
      <c r="J326" s="67" cm="1">
        <f ca="1" t="array" ref="J326">MIN(8,_xlfn.XLOOKUP($D326&amp;"_"&amp;J$61,$B$23:$B$45&amp;"_"&amp;$C$23:$C$45,$D$23:$D$45)*$E326)</f>
        <v>3.8227508650519</v>
      </c>
      <c r="K326" s="67" cm="1">
        <f ca="1" t="array" ref="K326">MIN(18,_xlfn.XLOOKUP($D326&amp;"_"&amp;K$61,$B$23:$B$45&amp;"_"&amp;$C$23:$C$45,$D$23:$D$45)*$E326)</f>
        <v>1.18930026912726</v>
      </c>
      <c r="L326" s="67" cm="1">
        <f ca="1" t="array" ref="L326">MIN(6,_xlfn.XLOOKUP($D326&amp;"_"&amp;L$61,$B$23:$B$45&amp;"_"&amp;$C$23:$C$45,$D$23:$D$45)*$E326)</f>
        <v>1.78395040369089</v>
      </c>
      <c r="M326" s="67" cm="1">
        <f ca="1" t="array" ref="M326">(1+SUMPRODUCT(G326:H326,OFFSET($H$49:$I$49,D326,0)))*(1+OFFSET($J$49,D326,0))^I326*(1+OFFSET($K$49,D326,0))^J326*(1+OFFSET($L$49,D326,0))^K326*(1+OFFSET($M$49,D326,0))^L326</f>
        <v>71.2161724454898</v>
      </c>
      <c r="N326" s="67">
        <f ca="1">MAX(MAX($N$62:N325),OFFSET($C$61,MATCH(M326*1.07,$M$62:$M$2061,1),0)-C326)</f>
        <v>5760</v>
      </c>
    </row>
    <row r="327" spans="2:14">
      <c r="B327" s="67">
        <v>266</v>
      </c>
      <c r="C327" s="67">
        <f t="shared" si="33"/>
        <v>95760</v>
      </c>
      <c r="D327" s="67">
        <f t="shared" si="34"/>
        <v>5</v>
      </c>
      <c r="E327" s="67">
        <f ca="1" t="shared" si="35"/>
        <v>296</v>
      </c>
      <c r="F327" s="67">
        <f ca="1" t="shared" si="36"/>
        <v>0</v>
      </c>
      <c r="G327" s="67">
        <f ca="1" t="shared" si="37"/>
        <v>0.970958861976168</v>
      </c>
      <c r="H327" s="67" cm="1">
        <f ca="1" t="array" ref="H327">MIN(30-SUM(I327:L327),_xlfn.XLOOKUP($D327&amp;"_"&amp;H$61,$B$23:$B$45&amp;"_"&amp;$C$23:$C$45,$D$23:$D$45)*$E327,18)</f>
        <v>18</v>
      </c>
      <c r="I327" s="67" cm="1">
        <f ca="1" t="array" ref="I327">MIN(30-SUM(J327:L327),6-L327,_xlfn.XLOOKUP($D327&amp;"_"&amp;I$61,$B$23:$B$45&amp;"_"&amp;$C$23:$C$45,$D$23:$D$45)*$E327)</f>
        <v>4.21000230680507</v>
      </c>
      <c r="J327" s="67" cm="1">
        <f ca="1" t="array" ref="J327">MIN(8,_xlfn.XLOOKUP($D327&amp;"_"&amp;J$61,$B$23:$B$45&amp;"_"&amp;$C$23:$C$45,$D$23:$D$45)*$E327)</f>
        <v>3.83570934256055</v>
      </c>
      <c r="K327" s="67" cm="1">
        <f ca="1" t="array" ref="K327">MIN(18,_xlfn.XLOOKUP($D327&amp;"_"&amp;K$61,$B$23:$B$45&amp;"_"&amp;$C$23:$C$45,$D$23:$D$45)*$E327)</f>
        <v>1.19333179546328</v>
      </c>
      <c r="L327" s="67" cm="1">
        <f ca="1" t="array" ref="L327">MIN(6,_xlfn.XLOOKUP($D327&amp;"_"&amp;L$61,$B$23:$B$45&amp;"_"&amp;$C$23:$C$45,$D$23:$D$45)*$E327)</f>
        <v>1.78999769319493</v>
      </c>
      <c r="M327" s="67" cm="1">
        <f ca="1" t="array" ref="M327">(1+SUMPRODUCT(G327:H327,OFFSET($H$49:$I$49,D327,0)))*(1+OFFSET($J$49,D327,0))^I327*(1+OFFSET($K$49,D327,0))^J327*(1+OFFSET($L$49,D327,0))^K327*(1+OFFSET($M$49,D327,0))^L327</f>
        <v>71.5180584331418</v>
      </c>
      <c r="N327" s="67">
        <f ca="1">MAX(MAX($N$62:N326),OFFSET($C$61,MATCH(M327*1.07,$M$62:$M$2061,1),0)-C327)</f>
        <v>5760</v>
      </c>
    </row>
    <row r="328" spans="2:14">
      <c r="B328" s="67">
        <v>267</v>
      </c>
      <c r="C328" s="67">
        <f t="shared" si="33"/>
        <v>96120</v>
      </c>
      <c r="D328" s="67">
        <f t="shared" si="34"/>
        <v>5</v>
      </c>
      <c r="E328" s="67">
        <f ca="1" t="shared" si="35"/>
        <v>297</v>
      </c>
      <c r="F328" s="67">
        <f ca="1" t="shared" si="36"/>
        <v>0</v>
      </c>
      <c r="G328" s="67">
        <f ca="1" t="shared" si="37"/>
        <v>0.953968858131493</v>
      </c>
      <c r="H328" s="67" cm="1">
        <f ca="1" t="array" ref="H328">MIN(30-SUM(I328:L328),_xlfn.XLOOKUP($D328&amp;"_"&amp;H$61,$B$23:$B$45&amp;"_"&amp;$C$23:$C$45,$D$23:$D$45)*$E328,18)</f>
        <v>18</v>
      </c>
      <c r="I328" s="67" cm="1">
        <f ca="1" t="array" ref="I328">MIN(30-SUM(J328:L328),6-L328,_xlfn.XLOOKUP($D328&amp;"_"&amp;I$61,$B$23:$B$45&amp;"_"&amp;$C$23:$C$45,$D$23:$D$45)*$E328)</f>
        <v>4.20395501730104</v>
      </c>
      <c r="J328" s="67" cm="1">
        <f ca="1" t="array" ref="J328">MIN(8,_xlfn.XLOOKUP($D328&amp;"_"&amp;J$61,$B$23:$B$45&amp;"_"&amp;$C$23:$C$45,$D$23:$D$45)*$E328)</f>
        <v>3.8486678200692</v>
      </c>
      <c r="K328" s="67" cm="1">
        <f ca="1" t="array" ref="K328">MIN(18,_xlfn.XLOOKUP($D328&amp;"_"&amp;K$61,$B$23:$B$45&amp;"_"&amp;$C$23:$C$45,$D$23:$D$45)*$E328)</f>
        <v>1.19736332179931</v>
      </c>
      <c r="L328" s="67" cm="1">
        <f ca="1" t="array" ref="L328">MIN(6,_xlfn.XLOOKUP($D328&amp;"_"&amp;L$61,$B$23:$B$45&amp;"_"&amp;$C$23:$C$45,$D$23:$D$45)*$E328)</f>
        <v>1.79604498269896</v>
      </c>
      <c r="M328" s="67" cm="1">
        <f ca="1" t="array" ref="M328">(1+SUMPRODUCT(G328:H328,OFFSET($H$49:$I$49,D328,0)))*(1+OFFSET($J$49,D328,0))^I328*(1+OFFSET($K$49,D328,0))^J328*(1+OFFSET($L$49,D328,0))^K328*(1+OFFSET($M$49,D328,0))^L328</f>
        <v>71.8212106979521</v>
      </c>
      <c r="N328" s="67">
        <f ca="1">MAX(MAX($N$62:N327),OFFSET($C$61,MATCH(M328*1.07,$M$62:$M$2061,1),0)-C328)</f>
        <v>5760</v>
      </c>
    </row>
    <row r="329" spans="2:14">
      <c r="B329" s="67">
        <v>268</v>
      </c>
      <c r="C329" s="67">
        <f t="shared" si="33"/>
        <v>96480</v>
      </c>
      <c r="D329" s="67">
        <f t="shared" si="34"/>
        <v>5</v>
      </c>
      <c r="E329" s="67">
        <f ca="1" t="shared" si="35"/>
        <v>298</v>
      </c>
      <c r="F329" s="67">
        <f ca="1" t="shared" si="36"/>
        <v>0</v>
      </c>
      <c r="G329" s="67">
        <f ca="1" t="shared" si="37"/>
        <v>0.936978854286817</v>
      </c>
      <c r="H329" s="67" cm="1">
        <f ca="1" t="array" ref="H329">MIN(30-SUM(I329:L329),_xlfn.XLOOKUP($D329&amp;"_"&amp;H$61,$B$23:$B$45&amp;"_"&amp;$C$23:$C$45,$D$23:$D$45)*$E329,18)</f>
        <v>18</v>
      </c>
      <c r="I329" s="67" cm="1">
        <f ca="1" t="array" ref="I329">MIN(30-SUM(J329:L329),6-L329,_xlfn.XLOOKUP($D329&amp;"_"&amp;I$61,$B$23:$B$45&amp;"_"&amp;$C$23:$C$45,$D$23:$D$45)*$E329)</f>
        <v>4.197907727797</v>
      </c>
      <c r="J329" s="67" cm="1">
        <f ca="1" t="array" ref="J329">MIN(8,_xlfn.XLOOKUP($D329&amp;"_"&amp;J$61,$B$23:$B$45&amp;"_"&amp;$C$23:$C$45,$D$23:$D$45)*$E329)</f>
        <v>3.86162629757785</v>
      </c>
      <c r="K329" s="67" cm="1">
        <f ca="1" t="array" ref="K329">MIN(18,_xlfn.XLOOKUP($D329&amp;"_"&amp;K$61,$B$23:$B$45&amp;"_"&amp;$C$23:$C$45,$D$23:$D$45)*$E329)</f>
        <v>1.20139484813533</v>
      </c>
      <c r="L329" s="67" cm="1">
        <f ca="1" t="array" ref="L329">MIN(6,_xlfn.XLOOKUP($D329&amp;"_"&amp;L$61,$B$23:$B$45&amp;"_"&amp;$C$23:$C$45,$D$23:$D$45)*$E329)</f>
        <v>1.802092272203</v>
      </c>
      <c r="M329" s="67" cm="1">
        <f ca="1" t="array" ref="M329">(1+SUMPRODUCT(G329:H329,OFFSET($H$49:$I$49,D329,0)))*(1+OFFSET($J$49,D329,0))^I329*(1+OFFSET($K$49,D329,0))^J329*(1+OFFSET($L$49,D329,0))^K329*(1+OFFSET($M$49,D329,0))^L329</f>
        <v>72.1256344822527</v>
      </c>
      <c r="N329" s="67">
        <f ca="1">MAX(MAX($N$62:N328),OFFSET($C$61,MATCH(M329*1.07,$M$62:$M$2061,1),0)-C329)</f>
        <v>5760</v>
      </c>
    </row>
    <row r="330" spans="2:14">
      <c r="B330" s="67">
        <v>269</v>
      </c>
      <c r="C330" s="67">
        <f t="shared" ref="C330:C393" si="38">C329+360</f>
        <v>96840</v>
      </c>
      <c r="D330" s="67">
        <f t="shared" si="34"/>
        <v>5</v>
      </c>
      <c r="E330" s="67">
        <f ca="1" t="shared" si="35"/>
        <v>299</v>
      </c>
      <c r="F330" s="67">
        <f ca="1" t="shared" si="36"/>
        <v>0</v>
      </c>
      <c r="G330" s="67">
        <f ca="1" t="shared" si="37"/>
        <v>0.919988850442142</v>
      </c>
      <c r="H330" s="67" cm="1">
        <f ca="1" t="array" ref="H330">MIN(30-SUM(I330:L330),_xlfn.XLOOKUP($D330&amp;"_"&amp;H$61,$B$23:$B$45&amp;"_"&amp;$C$23:$C$45,$D$23:$D$45)*$E330,18)</f>
        <v>18</v>
      </c>
      <c r="I330" s="67" cm="1">
        <f ca="1" t="array" ref="I330">MIN(30-SUM(J330:L330),6-L330,_xlfn.XLOOKUP($D330&amp;"_"&amp;I$61,$B$23:$B$45&amp;"_"&amp;$C$23:$C$45,$D$23:$D$45)*$E330)</f>
        <v>4.19186043829296</v>
      </c>
      <c r="J330" s="67" cm="1">
        <f ca="1" t="array" ref="J330">MIN(8,_xlfn.XLOOKUP($D330&amp;"_"&amp;J$61,$B$23:$B$45&amp;"_"&amp;$C$23:$C$45,$D$23:$D$45)*$E330)</f>
        <v>3.8745847750865</v>
      </c>
      <c r="K330" s="67" cm="1">
        <f ca="1" t="array" ref="K330">MIN(18,_xlfn.XLOOKUP($D330&amp;"_"&amp;K$61,$B$23:$B$45&amp;"_"&amp;$C$23:$C$45,$D$23:$D$45)*$E330)</f>
        <v>1.20542637447136</v>
      </c>
      <c r="L330" s="67" cm="1">
        <f ca="1" t="array" ref="L330">MIN(6,_xlfn.XLOOKUP($D330&amp;"_"&amp;L$61,$B$23:$B$45&amp;"_"&amp;$C$23:$C$45,$D$23:$D$45)*$E330)</f>
        <v>1.80813956170704</v>
      </c>
      <c r="M330" s="67" cm="1">
        <f ca="1" t="array" ref="M330">(1+SUMPRODUCT(G330:H330,OFFSET($H$49:$I$49,D330,0)))*(1+OFFSET($J$49,D330,0))^I330*(1+OFFSET($K$49,D330,0))^J330*(1+OFFSET($L$49,D330,0))^K330*(1+OFFSET($M$49,D330,0))^L330</f>
        <v>72.4313350497184</v>
      </c>
      <c r="N330" s="67">
        <f ca="1">MAX(MAX($N$62:N329),OFFSET($C$61,MATCH(M330*1.07,$M$62:$M$2061,1),0)-C330)</f>
        <v>5760</v>
      </c>
    </row>
    <row r="331" spans="2:14">
      <c r="B331" s="67">
        <v>270</v>
      </c>
      <c r="C331" s="67">
        <f t="shared" si="38"/>
        <v>97200</v>
      </c>
      <c r="D331" s="67">
        <f t="shared" si="34"/>
        <v>5</v>
      </c>
      <c r="E331" s="67">
        <f ca="1" t="shared" si="35"/>
        <v>300</v>
      </c>
      <c r="F331" s="67">
        <f ca="1" t="shared" si="36"/>
        <v>0</v>
      </c>
      <c r="G331" s="67">
        <f ca="1" t="shared" si="37"/>
        <v>0.902998846597466</v>
      </c>
      <c r="H331" s="67" cm="1">
        <f ca="1" t="array" ref="H331">MIN(30-SUM(I331:L331),_xlfn.XLOOKUP($D331&amp;"_"&amp;H$61,$B$23:$B$45&amp;"_"&amp;$C$23:$C$45,$D$23:$D$45)*$E331,18)</f>
        <v>18</v>
      </c>
      <c r="I331" s="67" cm="1">
        <f ca="1" t="array" ref="I331">MIN(30-SUM(J331:L331),6-L331,_xlfn.XLOOKUP($D331&amp;"_"&amp;I$61,$B$23:$B$45&amp;"_"&amp;$C$23:$C$45,$D$23:$D$45)*$E331)</f>
        <v>4.18581314878893</v>
      </c>
      <c r="J331" s="67" cm="1">
        <f ca="1" t="array" ref="J331">MIN(8,_xlfn.XLOOKUP($D331&amp;"_"&amp;J$61,$B$23:$B$45&amp;"_"&amp;$C$23:$C$45,$D$23:$D$45)*$E331)</f>
        <v>3.88754325259515</v>
      </c>
      <c r="K331" s="67" cm="1">
        <f ca="1" t="array" ref="K331">MIN(18,_xlfn.XLOOKUP($D331&amp;"_"&amp;K$61,$B$23:$B$45&amp;"_"&amp;$C$23:$C$45,$D$23:$D$45)*$E331)</f>
        <v>1.20945790080738</v>
      </c>
      <c r="L331" s="67" cm="1">
        <f ca="1" t="array" ref="L331">MIN(6,_xlfn.XLOOKUP($D331&amp;"_"&amp;L$61,$B$23:$B$45&amp;"_"&amp;$C$23:$C$45,$D$23:$D$45)*$E331)</f>
        <v>1.81418685121107</v>
      </c>
      <c r="M331" s="67" cm="1">
        <f ca="1" t="array" ref="M331">(1+SUMPRODUCT(G331:H331,OFFSET($H$49:$I$49,D331,0)))*(1+OFFSET($J$49,D331,0))^I331*(1+OFFSET($K$49,D331,0))^J331*(1+OFFSET($L$49,D331,0))^K331*(1+OFFSET($M$49,D331,0))^L331</f>
        <v>72.7383176854521</v>
      </c>
      <c r="N331" s="67">
        <f ca="1">MAX(MAX($N$62:N330),OFFSET($C$61,MATCH(M331*1.07,$M$62:$M$2061,1),0)-C331)</f>
        <v>5760</v>
      </c>
    </row>
    <row r="332" spans="2:14">
      <c r="B332" s="67">
        <v>271</v>
      </c>
      <c r="C332" s="67">
        <f t="shared" si="38"/>
        <v>97560</v>
      </c>
      <c r="D332" s="67">
        <f t="shared" si="34"/>
        <v>5</v>
      </c>
      <c r="E332" s="67">
        <f ca="1" t="shared" si="35"/>
        <v>301</v>
      </c>
      <c r="F332" s="67">
        <f ca="1" t="shared" si="36"/>
        <v>0</v>
      </c>
      <c r="G332" s="67">
        <f ca="1" t="shared" si="37"/>
        <v>0.886008842752787</v>
      </c>
      <c r="H332" s="67" cm="1">
        <f ca="1" t="array" ref="H332">MIN(30-SUM(I332:L332),_xlfn.XLOOKUP($D332&amp;"_"&amp;H$61,$B$23:$B$45&amp;"_"&amp;$C$23:$C$45,$D$23:$D$45)*$E332,18)</f>
        <v>18</v>
      </c>
      <c r="I332" s="67" cm="1">
        <f ca="1" t="array" ref="I332">MIN(30-SUM(J332:L332),6-L332,_xlfn.XLOOKUP($D332&amp;"_"&amp;I$61,$B$23:$B$45&amp;"_"&amp;$C$23:$C$45,$D$23:$D$45)*$E332)</f>
        <v>4.17976585928489</v>
      </c>
      <c r="J332" s="67" cm="1">
        <f ca="1" t="array" ref="J332">MIN(8,_xlfn.XLOOKUP($D332&amp;"_"&amp;J$61,$B$23:$B$45&amp;"_"&amp;$C$23:$C$45,$D$23:$D$45)*$E332)</f>
        <v>3.9005017301038</v>
      </c>
      <c r="K332" s="67" cm="1">
        <f ca="1" t="array" ref="K332">MIN(18,_xlfn.XLOOKUP($D332&amp;"_"&amp;K$61,$B$23:$B$45&amp;"_"&amp;$C$23:$C$45,$D$23:$D$45)*$E332)</f>
        <v>1.21348942714341</v>
      </c>
      <c r="L332" s="67" cm="1">
        <f ca="1" t="array" ref="L332">MIN(6,_xlfn.XLOOKUP($D332&amp;"_"&amp;L$61,$B$23:$B$45&amp;"_"&amp;$C$23:$C$45,$D$23:$D$45)*$E332)</f>
        <v>1.82023414071511</v>
      </c>
      <c r="M332" s="67" cm="1">
        <f ca="1" t="array" ref="M332">(1+SUMPRODUCT(G332:H332,OFFSET($H$49:$I$49,D332,0)))*(1+OFFSET($J$49,D332,0))^I332*(1+OFFSET($K$49,D332,0))^J332*(1+OFFSET($L$49,D332,0))^K332*(1+OFFSET($M$49,D332,0))^L332</f>
        <v>73.04658769607</v>
      </c>
      <c r="N332" s="67">
        <f ca="1">MAX(MAX($N$62:N331),OFFSET($C$61,MATCH(M332*1.07,$M$62:$M$2061,1),0)-C332)</f>
        <v>5760</v>
      </c>
    </row>
    <row r="333" spans="2:14">
      <c r="B333" s="67">
        <v>272</v>
      </c>
      <c r="C333" s="67">
        <f t="shared" si="38"/>
        <v>97920</v>
      </c>
      <c r="D333" s="67">
        <f t="shared" si="34"/>
        <v>5</v>
      </c>
      <c r="E333" s="67">
        <f ca="1" t="shared" si="35"/>
        <v>302</v>
      </c>
      <c r="F333" s="67">
        <f ca="1" t="shared" si="36"/>
        <v>0</v>
      </c>
      <c r="G333" s="67">
        <f ca="1" t="shared" si="37"/>
        <v>0.869018838908115</v>
      </c>
      <c r="H333" s="67" cm="1">
        <f ca="1" t="array" ref="H333">MIN(30-SUM(I333:L333),_xlfn.XLOOKUP($D333&amp;"_"&amp;H$61,$B$23:$B$45&amp;"_"&amp;$C$23:$C$45,$D$23:$D$45)*$E333,18)</f>
        <v>18</v>
      </c>
      <c r="I333" s="67" cm="1">
        <f ca="1" t="array" ref="I333">MIN(30-SUM(J333:L333),6-L333,_xlfn.XLOOKUP($D333&amp;"_"&amp;I$61,$B$23:$B$45&amp;"_"&amp;$C$23:$C$45,$D$23:$D$45)*$E333)</f>
        <v>4.17371856978085</v>
      </c>
      <c r="J333" s="67" cm="1">
        <f ca="1" t="array" ref="J333">MIN(8,_xlfn.XLOOKUP($D333&amp;"_"&amp;J$61,$B$23:$B$45&amp;"_"&amp;$C$23:$C$45,$D$23:$D$45)*$E333)</f>
        <v>3.91346020761245</v>
      </c>
      <c r="K333" s="67" cm="1">
        <f ca="1" t="array" ref="K333">MIN(18,_xlfn.XLOOKUP($D333&amp;"_"&amp;K$61,$B$23:$B$45&amp;"_"&amp;$C$23:$C$45,$D$23:$D$45)*$E333)</f>
        <v>1.21752095347943</v>
      </c>
      <c r="L333" s="67" cm="1">
        <f ca="1" t="array" ref="L333">MIN(6,_xlfn.XLOOKUP($D333&amp;"_"&amp;L$61,$B$23:$B$45&amp;"_"&amp;$C$23:$C$45,$D$23:$D$45)*$E333)</f>
        <v>1.82628143021915</v>
      </c>
      <c r="M333" s="67" cm="1">
        <f ca="1" t="array" ref="M333">(1+SUMPRODUCT(G333:H333,OFFSET($H$49:$I$49,D333,0)))*(1+OFFSET($J$49,D333,0))^I333*(1+OFFSET($K$49,D333,0))^J333*(1+OFFSET($L$49,D333,0))^K333*(1+OFFSET($M$49,D333,0))^L333</f>
        <v>73.3561504097876</v>
      </c>
      <c r="N333" s="67">
        <f ca="1">MAX(MAX($N$62:N332),OFFSET($C$61,MATCH(M333*1.07,$M$62:$M$2061,1),0)-C333)</f>
        <v>5760</v>
      </c>
    </row>
    <row r="334" spans="2:14">
      <c r="B334" s="67">
        <v>273</v>
      </c>
      <c r="C334" s="67">
        <f t="shared" si="38"/>
        <v>98280</v>
      </c>
      <c r="D334" s="67">
        <f t="shared" si="34"/>
        <v>5</v>
      </c>
      <c r="E334" s="67">
        <f ca="1" t="shared" si="35"/>
        <v>303</v>
      </c>
      <c r="F334" s="67">
        <f ca="1" t="shared" si="36"/>
        <v>0</v>
      </c>
      <c r="G334" s="67">
        <f ca="1" t="shared" si="37"/>
        <v>0.85202883506344</v>
      </c>
      <c r="H334" s="67" cm="1">
        <f ca="1" t="array" ref="H334">MIN(30-SUM(I334:L334),_xlfn.XLOOKUP($D334&amp;"_"&amp;H$61,$B$23:$B$45&amp;"_"&amp;$C$23:$C$45,$D$23:$D$45)*$E334,18)</f>
        <v>18</v>
      </c>
      <c r="I334" s="67" cm="1">
        <f ca="1" t="array" ref="I334">MIN(30-SUM(J334:L334),6-L334,_xlfn.XLOOKUP($D334&amp;"_"&amp;I$61,$B$23:$B$45&amp;"_"&amp;$C$23:$C$45,$D$23:$D$45)*$E334)</f>
        <v>4.16767128027682</v>
      </c>
      <c r="J334" s="67" cm="1">
        <f ca="1" t="array" ref="J334">MIN(8,_xlfn.XLOOKUP($D334&amp;"_"&amp;J$61,$B$23:$B$45&amp;"_"&amp;$C$23:$C$45,$D$23:$D$45)*$E334)</f>
        <v>3.9264186851211</v>
      </c>
      <c r="K334" s="67" cm="1">
        <f ca="1" t="array" ref="K334">MIN(18,_xlfn.XLOOKUP($D334&amp;"_"&amp;K$61,$B$23:$B$45&amp;"_"&amp;$C$23:$C$45,$D$23:$D$45)*$E334)</f>
        <v>1.22155247981546</v>
      </c>
      <c r="L334" s="67" cm="1">
        <f ca="1" t="array" ref="L334">MIN(6,_xlfn.XLOOKUP($D334&amp;"_"&amp;L$61,$B$23:$B$45&amp;"_"&amp;$C$23:$C$45,$D$23:$D$45)*$E334)</f>
        <v>1.83232871972318</v>
      </c>
      <c r="M334" s="67" cm="1">
        <f ca="1" t="array" ref="M334">(1+SUMPRODUCT(G334:H334,OFFSET($H$49:$I$49,D334,0)))*(1+OFFSET($J$49,D334,0))^I334*(1+OFFSET($K$49,D334,0))^J334*(1+OFFSET($L$49,D334,0))^K334*(1+OFFSET($M$49,D334,0))^L334</f>
        <v>73.6670111765053</v>
      </c>
      <c r="N334" s="67">
        <f ca="1">MAX(MAX($N$62:N333),OFFSET($C$61,MATCH(M334*1.07,$M$62:$M$2061,1),0)-C334)</f>
        <v>5760</v>
      </c>
    </row>
    <row r="335" spans="2:14">
      <c r="B335" s="67">
        <v>274</v>
      </c>
      <c r="C335" s="67">
        <f t="shared" si="38"/>
        <v>98640</v>
      </c>
      <c r="D335" s="67">
        <f t="shared" si="34"/>
        <v>5</v>
      </c>
      <c r="E335" s="67">
        <f ca="1" t="shared" si="35"/>
        <v>304</v>
      </c>
      <c r="F335" s="67">
        <f ca="1" t="shared" si="36"/>
        <v>0</v>
      </c>
      <c r="G335" s="67">
        <f ca="1" t="shared" si="37"/>
        <v>0.835038831218768</v>
      </c>
      <c r="H335" s="67" cm="1">
        <f ca="1" t="array" ref="H335">MIN(30-SUM(I335:L335),_xlfn.XLOOKUP($D335&amp;"_"&amp;H$61,$B$23:$B$45&amp;"_"&amp;$C$23:$C$45,$D$23:$D$45)*$E335,18)</f>
        <v>18</v>
      </c>
      <c r="I335" s="67" cm="1">
        <f ca="1" t="array" ref="I335">MIN(30-SUM(J335:L335),6-L335,_xlfn.XLOOKUP($D335&amp;"_"&amp;I$61,$B$23:$B$45&amp;"_"&amp;$C$23:$C$45,$D$23:$D$45)*$E335)</f>
        <v>4.16162399077278</v>
      </c>
      <c r="J335" s="67" cm="1">
        <f ca="1" t="array" ref="J335">MIN(8,_xlfn.XLOOKUP($D335&amp;"_"&amp;J$61,$B$23:$B$45&amp;"_"&amp;$C$23:$C$45,$D$23:$D$45)*$E335)</f>
        <v>3.93937716262975</v>
      </c>
      <c r="K335" s="67" cm="1">
        <f ca="1" t="array" ref="K335">MIN(18,_xlfn.XLOOKUP($D335&amp;"_"&amp;K$61,$B$23:$B$45&amp;"_"&amp;$C$23:$C$45,$D$23:$D$45)*$E335)</f>
        <v>1.22558400615148</v>
      </c>
      <c r="L335" s="67" cm="1">
        <f ca="1" t="array" ref="L335">MIN(6,_xlfn.XLOOKUP($D335&amp;"_"&amp;L$61,$B$23:$B$45&amp;"_"&amp;$C$23:$C$45,$D$23:$D$45)*$E335)</f>
        <v>1.83837600922722</v>
      </c>
      <c r="M335" s="67" cm="1">
        <f ca="1" t="array" ref="M335">(1+SUMPRODUCT(G335:H335,OFFSET($H$49:$I$49,D335,0)))*(1+OFFSET($J$49,D335,0))^I335*(1+OFFSET($K$49,D335,0))^J335*(1+OFFSET($L$49,D335,0))^K335*(1+OFFSET($M$49,D335,0))^L335</f>
        <v>73.9791753678947</v>
      </c>
      <c r="N335" s="67">
        <f ca="1">MAX(MAX($N$62:N334),OFFSET($C$61,MATCH(M335*1.07,$M$62:$M$2061,1),0)-C335)</f>
        <v>5760</v>
      </c>
    </row>
    <row r="336" spans="2:14">
      <c r="B336" s="67">
        <v>275</v>
      </c>
      <c r="C336" s="67">
        <f t="shared" si="38"/>
        <v>99000</v>
      </c>
      <c r="D336" s="67">
        <f t="shared" si="34"/>
        <v>5</v>
      </c>
      <c r="E336" s="67">
        <f ca="1" t="shared" si="35"/>
        <v>305</v>
      </c>
      <c r="F336" s="67">
        <f ca="1" t="shared" si="36"/>
        <v>0</v>
      </c>
      <c r="G336" s="67">
        <f ca="1" t="shared" si="37"/>
        <v>0.818048827374092</v>
      </c>
      <c r="H336" s="67" cm="1">
        <f ca="1" t="array" ref="H336">MIN(30-SUM(I336:L336),_xlfn.XLOOKUP($D336&amp;"_"&amp;H$61,$B$23:$B$45&amp;"_"&amp;$C$23:$C$45,$D$23:$D$45)*$E336,18)</f>
        <v>18</v>
      </c>
      <c r="I336" s="67" cm="1">
        <f ca="1" t="array" ref="I336">MIN(30-SUM(J336:L336),6-L336,_xlfn.XLOOKUP($D336&amp;"_"&amp;I$61,$B$23:$B$45&amp;"_"&amp;$C$23:$C$45,$D$23:$D$45)*$E336)</f>
        <v>4.15557670126874</v>
      </c>
      <c r="J336" s="67" cm="1">
        <f ca="1" t="array" ref="J336">MIN(8,_xlfn.XLOOKUP($D336&amp;"_"&amp;J$61,$B$23:$B$45&amp;"_"&amp;$C$23:$C$45,$D$23:$D$45)*$E336)</f>
        <v>3.9523356401384</v>
      </c>
      <c r="K336" s="67" cm="1">
        <f ca="1" t="array" ref="K336">MIN(18,_xlfn.XLOOKUP($D336&amp;"_"&amp;K$61,$B$23:$B$45&amp;"_"&amp;$C$23:$C$45,$D$23:$D$45)*$E336)</f>
        <v>1.22961553248751</v>
      </c>
      <c r="L336" s="67" cm="1">
        <f ca="1" t="array" ref="L336">MIN(6,_xlfn.XLOOKUP($D336&amp;"_"&amp;L$61,$B$23:$B$45&amp;"_"&amp;$C$23:$C$45,$D$23:$D$45)*$E336)</f>
        <v>1.84442329873126</v>
      </c>
      <c r="M336" s="67" cm="1">
        <f ca="1" t="array" ref="M336">(1+SUMPRODUCT(G336:H336,OFFSET($H$49:$I$49,D336,0)))*(1+OFFSET($J$49,D336,0))^I336*(1+OFFSET($K$49,D336,0))^J336*(1+OFFSET($L$49,D336,0))^K336*(1+OFFSET($M$49,D336,0))^L336</f>
        <v>74.2926483774858</v>
      </c>
      <c r="N336" s="67">
        <f ca="1">MAX(MAX($N$62:N335),OFFSET($C$61,MATCH(M336*1.07,$M$62:$M$2061,1),0)-C336)</f>
        <v>5760</v>
      </c>
    </row>
    <row r="337" spans="2:14">
      <c r="B337" s="67">
        <v>276</v>
      </c>
      <c r="C337" s="67">
        <f t="shared" si="38"/>
        <v>99360</v>
      </c>
      <c r="D337" s="67">
        <f t="shared" si="34"/>
        <v>5</v>
      </c>
      <c r="E337" s="67">
        <f ca="1" t="shared" si="35"/>
        <v>306</v>
      </c>
      <c r="F337" s="67">
        <f ca="1" t="shared" si="36"/>
        <v>0</v>
      </c>
      <c r="G337" s="67">
        <f ca="1" t="shared" si="37"/>
        <v>0.801058823529416</v>
      </c>
      <c r="H337" s="67" cm="1">
        <f ca="1" t="array" ref="H337">MIN(30-SUM(I337:L337),_xlfn.XLOOKUP($D337&amp;"_"&amp;H$61,$B$23:$B$45&amp;"_"&amp;$C$23:$C$45,$D$23:$D$45)*$E337,18)</f>
        <v>18</v>
      </c>
      <c r="I337" s="67" cm="1">
        <f ca="1" t="array" ref="I337">MIN(30-SUM(J337:L337),6-L337,_xlfn.XLOOKUP($D337&amp;"_"&amp;I$61,$B$23:$B$45&amp;"_"&amp;$C$23:$C$45,$D$23:$D$45)*$E337)</f>
        <v>4.14952941176471</v>
      </c>
      <c r="J337" s="67" cm="1">
        <f ca="1" t="array" ref="J337">MIN(8,_xlfn.XLOOKUP($D337&amp;"_"&amp;J$61,$B$23:$B$45&amp;"_"&amp;$C$23:$C$45,$D$23:$D$45)*$E337)</f>
        <v>3.96529411764705</v>
      </c>
      <c r="K337" s="67" cm="1">
        <f ca="1" t="array" ref="K337">MIN(18,_xlfn.XLOOKUP($D337&amp;"_"&amp;K$61,$B$23:$B$45&amp;"_"&amp;$C$23:$C$45,$D$23:$D$45)*$E337)</f>
        <v>1.23364705882353</v>
      </c>
      <c r="L337" s="67" cm="1">
        <f ca="1" t="array" ref="L337">MIN(6,_xlfn.XLOOKUP($D337&amp;"_"&amp;L$61,$B$23:$B$45&amp;"_"&amp;$C$23:$C$45,$D$23:$D$45)*$E337)</f>
        <v>1.85047058823529</v>
      </c>
      <c r="M337" s="67" cm="1">
        <f ca="1" t="array" ref="M337">(1+SUMPRODUCT(G337:H337,OFFSET($H$49:$I$49,D337,0)))*(1+OFFSET($J$49,D337,0))^I337*(1+OFFSET($K$49,D337,0))^J337*(1+OFFSET($L$49,D337,0))^K337*(1+OFFSET($M$49,D337,0))^L337</f>
        <v>74.6074356207531</v>
      </c>
      <c r="N337" s="67">
        <f ca="1">MAX(MAX($N$62:N336),OFFSET($C$61,MATCH(M337*1.07,$M$62:$M$2061,1),0)-C337)</f>
        <v>5760</v>
      </c>
    </row>
    <row r="338" spans="2:14">
      <c r="B338" s="67">
        <v>277</v>
      </c>
      <c r="C338" s="67">
        <f t="shared" si="38"/>
        <v>99720</v>
      </c>
      <c r="D338" s="67">
        <f t="shared" si="34"/>
        <v>5</v>
      </c>
      <c r="E338" s="67">
        <f ca="1" t="shared" si="35"/>
        <v>307</v>
      </c>
      <c r="F338" s="67">
        <f ca="1" t="shared" si="36"/>
        <v>0</v>
      </c>
      <c r="G338" s="67">
        <f ca="1" t="shared" si="37"/>
        <v>0.784068819684745</v>
      </c>
      <c r="H338" s="67" cm="1">
        <f ca="1" t="array" ref="H338">MIN(30-SUM(I338:L338),_xlfn.XLOOKUP($D338&amp;"_"&amp;H$61,$B$23:$B$45&amp;"_"&amp;$C$23:$C$45,$D$23:$D$45)*$E338,18)</f>
        <v>18</v>
      </c>
      <c r="I338" s="67" cm="1">
        <f ca="1" t="array" ref="I338">MIN(30-SUM(J338:L338),6-L338,_xlfn.XLOOKUP($D338&amp;"_"&amp;I$61,$B$23:$B$45&amp;"_"&amp;$C$23:$C$45,$D$23:$D$45)*$E338)</f>
        <v>4.14348212226067</v>
      </c>
      <c r="J338" s="67" cm="1">
        <f ca="1" t="array" ref="J338">MIN(8,_xlfn.XLOOKUP($D338&amp;"_"&amp;J$61,$B$23:$B$45&amp;"_"&amp;$C$23:$C$45,$D$23:$D$45)*$E338)</f>
        <v>3.9782525951557</v>
      </c>
      <c r="K338" s="67" cm="1">
        <f ca="1" t="array" ref="K338">MIN(18,_xlfn.XLOOKUP($D338&amp;"_"&amp;K$61,$B$23:$B$45&amp;"_"&amp;$C$23:$C$45,$D$23:$D$45)*$E338)</f>
        <v>1.23767858515956</v>
      </c>
      <c r="L338" s="67" cm="1">
        <f ca="1" t="array" ref="L338">MIN(6,_xlfn.XLOOKUP($D338&amp;"_"&amp;L$61,$B$23:$B$45&amp;"_"&amp;$C$23:$C$45,$D$23:$D$45)*$E338)</f>
        <v>1.85651787773933</v>
      </c>
      <c r="M338" s="67" cm="1">
        <f ca="1" t="array" ref="M338">(1+SUMPRODUCT(G338:H338,OFFSET($H$49:$I$49,D338,0)))*(1+OFFSET($J$49,D338,0))^I338*(1+OFFSET($K$49,D338,0))^J338*(1+OFFSET($L$49,D338,0))^K338*(1+OFFSET($M$49,D338,0))^L338</f>
        <v>74.9235425352037</v>
      </c>
      <c r="N338" s="67">
        <f ca="1">MAX(MAX($N$62:N337),OFFSET($C$61,MATCH(M338*1.07,$M$62:$M$2061,1),0)-C338)</f>
        <v>5760</v>
      </c>
    </row>
    <row r="339" spans="2:14">
      <c r="B339" s="67">
        <v>278</v>
      </c>
      <c r="C339" s="67">
        <f t="shared" si="38"/>
        <v>100080</v>
      </c>
      <c r="D339" s="67">
        <f t="shared" si="34"/>
        <v>5</v>
      </c>
      <c r="E339" s="67">
        <f ca="1" t="shared" si="35"/>
        <v>308</v>
      </c>
      <c r="F339" s="67">
        <f ca="1" t="shared" si="36"/>
        <v>0</v>
      </c>
      <c r="G339" s="67">
        <f ca="1" t="shared" si="37"/>
        <v>0.767078815840069</v>
      </c>
      <c r="H339" s="67" cm="1">
        <f ca="1" t="array" ref="H339">MIN(30-SUM(I339:L339),_xlfn.XLOOKUP($D339&amp;"_"&amp;H$61,$B$23:$B$45&amp;"_"&amp;$C$23:$C$45,$D$23:$D$45)*$E339,18)</f>
        <v>18</v>
      </c>
      <c r="I339" s="67" cm="1">
        <f ca="1" t="array" ref="I339">MIN(30-SUM(J339:L339),6-L339,_xlfn.XLOOKUP($D339&amp;"_"&amp;I$61,$B$23:$B$45&amp;"_"&amp;$C$23:$C$45,$D$23:$D$45)*$E339)</f>
        <v>4.13743483275663</v>
      </c>
      <c r="J339" s="67" cm="1">
        <f ca="1" t="array" ref="J339">MIN(8,_xlfn.XLOOKUP($D339&amp;"_"&amp;J$61,$B$23:$B$45&amp;"_"&amp;$C$23:$C$45,$D$23:$D$45)*$E339)</f>
        <v>3.99121107266435</v>
      </c>
      <c r="K339" s="67" cm="1">
        <f ca="1" t="array" ref="K339">MIN(18,_xlfn.XLOOKUP($D339&amp;"_"&amp;K$61,$B$23:$B$45&amp;"_"&amp;$C$23:$C$45,$D$23:$D$45)*$E339)</f>
        <v>1.24171011149558</v>
      </c>
      <c r="L339" s="67" cm="1">
        <f ca="1" t="array" ref="L339">MIN(6,_xlfn.XLOOKUP($D339&amp;"_"&amp;L$61,$B$23:$B$45&amp;"_"&amp;$C$23:$C$45,$D$23:$D$45)*$E339)</f>
        <v>1.86256516724337</v>
      </c>
      <c r="M339" s="67" cm="1">
        <f ca="1" t="array" ref="M339">(1+SUMPRODUCT(G339:H339,OFFSET($H$49:$I$49,D339,0)))*(1+OFFSET($J$49,D339,0))^I339*(1+OFFSET($K$49,D339,0))^J339*(1+OFFSET($L$49,D339,0))^K339*(1+OFFSET($M$49,D339,0))^L339</f>
        <v>75.2409745804647</v>
      </c>
      <c r="N339" s="67">
        <f ca="1">MAX(MAX($N$62:N338),OFFSET($C$61,MATCH(M339*1.07,$M$62:$M$2061,1),0)-C339)</f>
        <v>5760</v>
      </c>
    </row>
    <row r="340" spans="2:14">
      <c r="B340" s="67">
        <v>279</v>
      </c>
      <c r="C340" s="67">
        <f t="shared" si="38"/>
        <v>100440</v>
      </c>
      <c r="D340" s="67">
        <f t="shared" si="34"/>
        <v>5</v>
      </c>
      <c r="E340" s="67">
        <f ca="1" t="shared" si="35"/>
        <v>309</v>
      </c>
      <c r="F340" s="67">
        <f ca="1" t="shared" si="36"/>
        <v>0</v>
      </c>
      <c r="G340" s="67">
        <f ca="1" t="shared" si="37"/>
        <v>0.750088811995393</v>
      </c>
      <c r="H340" s="67" cm="1">
        <f ca="1" t="array" ref="H340">MIN(30-SUM(I340:L340),_xlfn.XLOOKUP($D340&amp;"_"&amp;H$61,$B$23:$B$45&amp;"_"&amp;$C$23:$C$45,$D$23:$D$45)*$E340,18)</f>
        <v>18</v>
      </c>
      <c r="I340" s="67" cm="1">
        <f ca="1" t="array" ref="I340">MIN(30-SUM(J340:L340),6-L340,_xlfn.XLOOKUP($D340&amp;"_"&amp;I$61,$B$23:$B$45&amp;"_"&amp;$C$23:$C$45,$D$23:$D$45)*$E340)</f>
        <v>4.1313875432526</v>
      </c>
      <c r="J340" s="67" cm="1">
        <f ca="1" t="array" ref="J340">MIN(8,_xlfn.XLOOKUP($D340&amp;"_"&amp;J$61,$B$23:$B$45&amp;"_"&amp;$C$23:$C$45,$D$23:$D$45)*$E340)</f>
        <v>4.004169550173</v>
      </c>
      <c r="K340" s="67" cm="1">
        <f ca="1" t="array" ref="K340">MIN(18,_xlfn.XLOOKUP($D340&amp;"_"&amp;K$61,$B$23:$B$45&amp;"_"&amp;$C$23:$C$45,$D$23:$D$45)*$E340)</f>
        <v>1.2457416378316</v>
      </c>
      <c r="L340" s="67" cm="1">
        <f ca="1" t="array" ref="L340">MIN(6,_xlfn.XLOOKUP($D340&amp;"_"&amp;L$61,$B$23:$B$45&amp;"_"&amp;$C$23:$C$45,$D$23:$D$45)*$E340)</f>
        <v>1.86861245674741</v>
      </c>
      <c r="M340" s="67" cm="1">
        <f ca="1" t="array" ref="M340">(1+SUMPRODUCT(G340:H340,OFFSET($H$49:$I$49,D340,0)))*(1+OFFSET($J$49,D340,0))^I340*(1+OFFSET($K$49,D340,0))^J340*(1+OFFSET($L$49,D340,0))^K340*(1+OFFSET($M$49,D340,0))^L340</f>
        <v>75.5597372383709</v>
      </c>
      <c r="N340" s="67">
        <f ca="1">MAX(MAX($N$62:N339),OFFSET($C$61,MATCH(M340*1.07,$M$62:$M$2061,1),0)-C340)</f>
        <v>5760</v>
      </c>
    </row>
    <row r="341" spans="2:14">
      <c r="B341" s="67">
        <v>280</v>
      </c>
      <c r="C341" s="67">
        <f t="shared" si="38"/>
        <v>100800</v>
      </c>
      <c r="D341" s="67">
        <f t="shared" si="34"/>
        <v>5</v>
      </c>
      <c r="E341" s="67">
        <f ca="1" t="shared" si="35"/>
        <v>310</v>
      </c>
      <c r="F341" s="67">
        <f ca="1" t="shared" si="36"/>
        <v>0</v>
      </c>
      <c r="G341" s="67">
        <f ca="1" t="shared" si="37"/>
        <v>0.733098808150718</v>
      </c>
      <c r="H341" s="67" cm="1">
        <f ca="1" t="array" ref="H341">MIN(30-SUM(I341:L341),_xlfn.XLOOKUP($D341&amp;"_"&amp;H$61,$B$23:$B$45&amp;"_"&amp;$C$23:$C$45,$D$23:$D$45)*$E341,18)</f>
        <v>18</v>
      </c>
      <c r="I341" s="67" cm="1">
        <f ca="1" t="array" ref="I341">MIN(30-SUM(J341:L341),6-L341,_xlfn.XLOOKUP($D341&amp;"_"&amp;I$61,$B$23:$B$45&amp;"_"&amp;$C$23:$C$45,$D$23:$D$45)*$E341)</f>
        <v>4.12534025374856</v>
      </c>
      <c r="J341" s="67" cm="1">
        <f ca="1" t="array" ref="J341">MIN(8,_xlfn.XLOOKUP($D341&amp;"_"&amp;J$61,$B$23:$B$45&amp;"_"&amp;$C$23:$C$45,$D$23:$D$45)*$E341)</f>
        <v>4.01712802768165</v>
      </c>
      <c r="K341" s="67" cm="1">
        <f ca="1" t="array" ref="K341">MIN(18,_xlfn.XLOOKUP($D341&amp;"_"&amp;K$61,$B$23:$B$45&amp;"_"&amp;$C$23:$C$45,$D$23:$D$45)*$E341)</f>
        <v>1.24977316416763</v>
      </c>
      <c r="L341" s="67" cm="1">
        <f ca="1" t="array" ref="L341">MIN(6,_xlfn.XLOOKUP($D341&amp;"_"&amp;L$61,$B$23:$B$45&amp;"_"&amp;$C$23:$C$45,$D$23:$D$45)*$E341)</f>
        <v>1.87465974625144</v>
      </c>
      <c r="M341" s="67" cm="1">
        <f ca="1" t="array" ref="M341">(1+SUMPRODUCT(G341:H341,OFFSET($H$49:$I$49,D341,0)))*(1+OFFSET($J$49,D341,0))^I341*(1+OFFSET($K$49,D341,0))^J341*(1+OFFSET($L$49,D341,0))^K341*(1+OFFSET($M$49,D341,0))^L341</f>
        <v>75.8798360130537</v>
      </c>
      <c r="N341" s="67">
        <f ca="1">MAX(MAX($N$62:N340),OFFSET($C$61,MATCH(M341*1.07,$M$62:$M$2061,1),0)-C341)</f>
        <v>5760</v>
      </c>
    </row>
    <row r="342" spans="2:14">
      <c r="B342" s="67">
        <v>281</v>
      </c>
      <c r="C342" s="67">
        <f t="shared" si="38"/>
        <v>101160</v>
      </c>
      <c r="D342" s="67">
        <f t="shared" si="34"/>
        <v>5</v>
      </c>
      <c r="E342" s="67">
        <f ca="1" t="shared" si="35"/>
        <v>311</v>
      </c>
      <c r="F342" s="67">
        <f ca="1" t="shared" si="36"/>
        <v>0</v>
      </c>
      <c r="G342" s="67">
        <f ca="1" t="shared" si="37"/>
        <v>0.716108804306042</v>
      </c>
      <c r="H342" s="67" cm="1">
        <f ca="1" t="array" ref="H342">MIN(30-SUM(I342:L342),_xlfn.XLOOKUP($D342&amp;"_"&amp;H$61,$B$23:$B$45&amp;"_"&amp;$C$23:$C$45,$D$23:$D$45)*$E342,18)</f>
        <v>18</v>
      </c>
      <c r="I342" s="67" cm="1">
        <f ca="1" t="array" ref="I342">MIN(30-SUM(J342:L342),6-L342,_xlfn.XLOOKUP($D342&amp;"_"&amp;I$61,$B$23:$B$45&amp;"_"&amp;$C$23:$C$45,$D$23:$D$45)*$E342)</f>
        <v>4.11929296424452</v>
      </c>
      <c r="J342" s="67" cm="1">
        <f ca="1" t="array" ref="J342">MIN(8,_xlfn.XLOOKUP($D342&amp;"_"&amp;J$61,$B$23:$B$45&amp;"_"&amp;$C$23:$C$45,$D$23:$D$45)*$E342)</f>
        <v>4.03008650519031</v>
      </c>
      <c r="K342" s="67" cm="1">
        <f ca="1" t="array" ref="K342">MIN(18,_xlfn.XLOOKUP($D342&amp;"_"&amp;K$61,$B$23:$B$45&amp;"_"&amp;$C$23:$C$45,$D$23:$D$45)*$E342)</f>
        <v>1.25380469050365</v>
      </c>
      <c r="L342" s="67" cm="1">
        <f ca="1" t="array" ref="L342">MIN(6,_xlfn.XLOOKUP($D342&amp;"_"&amp;L$61,$B$23:$B$45&amp;"_"&amp;$C$23:$C$45,$D$23:$D$45)*$E342)</f>
        <v>1.88070703575548</v>
      </c>
      <c r="M342" s="67" cm="1">
        <f ca="1" t="array" ref="M342">(1+SUMPRODUCT(G342:H342,OFFSET($H$49:$I$49,D342,0)))*(1+OFFSET($J$49,D342,0))^I342*(1+OFFSET($K$49,D342,0))^J342*(1+OFFSET($L$49,D342,0))^K342*(1+OFFSET($M$49,D342,0))^L342</f>
        <v>76.2012764310292</v>
      </c>
      <c r="N342" s="67">
        <f ca="1">MAX(MAX($N$62:N341),OFFSET($C$61,MATCH(M342*1.07,$M$62:$M$2061,1),0)-C342)</f>
        <v>5760</v>
      </c>
    </row>
    <row r="343" spans="2:14">
      <c r="B343" s="67">
        <v>282</v>
      </c>
      <c r="C343" s="67">
        <f t="shared" si="38"/>
        <v>101520</v>
      </c>
      <c r="D343" s="67">
        <f t="shared" si="34"/>
        <v>5</v>
      </c>
      <c r="E343" s="67">
        <f ca="1" t="shared" si="35"/>
        <v>312</v>
      </c>
      <c r="F343" s="67">
        <f ca="1" t="shared" si="36"/>
        <v>0</v>
      </c>
      <c r="G343" s="67">
        <f ca="1" t="shared" si="37"/>
        <v>0.699118800461367</v>
      </c>
      <c r="H343" s="67" cm="1">
        <f ca="1" t="array" ref="H343">MIN(30-SUM(I343:L343),_xlfn.XLOOKUP($D343&amp;"_"&amp;H$61,$B$23:$B$45&amp;"_"&amp;$C$23:$C$45,$D$23:$D$45)*$E343,18)</f>
        <v>18</v>
      </c>
      <c r="I343" s="67" cm="1">
        <f ca="1" t="array" ref="I343">MIN(30-SUM(J343:L343),6-L343,_xlfn.XLOOKUP($D343&amp;"_"&amp;I$61,$B$23:$B$45&amp;"_"&amp;$C$23:$C$45,$D$23:$D$45)*$E343)</f>
        <v>4.11324567474048</v>
      </c>
      <c r="J343" s="67" cm="1">
        <f ca="1" t="array" ref="J343">MIN(8,_xlfn.XLOOKUP($D343&amp;"_"&amp;J$61,$B$23:$B$45&amp;"_"&amp;$C$23:$C$45,$D$23:$D$45)*$E343)</f>
        <v>4.04304498269896</v>
      </c>
      <c r="K343" s="67" cm="1">
        <f ca="1" t="array" ref="K343">MIN(18,_xlfn.XLOOKUP($D343&amp;"_"&amp;K$61,$B$23:$B$45&amp;"_"&amp;$C$23:$C$45,$D$23:$D$45)*$E343)</f>
        <v>1.25783621683968</v>
      </c>
      <c r="L343" s="67" cm="1">
        <f ca="1" t="array" ref="L343">MIN(6,_xlfn.XLOOKUP($D343&amp;"_"&amp;L$61,$B$23:$B$45&amp;"_"&amp;$C$23:$C$45,$D$23:$D$45)*$E343)</f>
        <v>1.88675432525952</v>
      </c>
      <c r="M343" s="67" cm="1">
        <f ca="1" t="array" ref="M343">(1+SUMPRODUCT(G343:H343,OFFSET($H$49:$I$49,D343,0)))*(1+OFFSET($J$49,D343,0))^I343*(1+OFFSET($K$49,D343,0))^J343*(1+OFFSET($L$49,D343,0))^K343*(1+OFFSET($M$49,D343,0))^L343</f>
        <v>76.5240640412875</v>
      </c>
      <c r="N343" s="67">
        <f ca="1">MAX(MAX($N$62:N342),OFFSET($C$61,MATCH(M343*1.07,$M$62:$M$2061,1),0)-C343)</f>
        <v>5760</v>
      </c>
    </row>
    <row r="344" spans="2:14">
      <c r="B344" s="67">
        <v>283</v>
      </c>
      <c r="C344" s="67">
        <f t="shared" si="38"/>
        <v>101880</v>
      </c>
      <c r="D344" s="67">
        <f t="shared" si="34"/>
        <v>5</v>
      </c>
      <c r="E344" s="67">
        <f ca="1" t="shared" si="35"/>
        <v>313</v>
      </c>
      <c r="F344" s="67">
        <f ca="1" t="shared" si="36"/>
        <v>0</v>
      </c>
      <c r="G344" s="67">
        <f ca="1" t="shared" si="37"/>
        <v>0.682128796616691</v>
      </c>
      <c r="H344" s="67" cm="1">
        <f ca="1" t="array" ref="H344">MIN(30-SUM(I344:L344),_xlfn.XLOOKUP($D344&amp;"_"&amp;H$61,$B$23:$B$45&amp;"_"&amp;$C$23:$C$45,$D$23:$D$45)*$E344,18)</f>
        <v>18</v>
      </c>
      <c r="I344" s="67" cm="1">
        <f ca="1" t="array" ref="I344">MIN(30-SUM(J344:L344),6-L344,_xlfn.XLOOKUP($D344&amp;"_"&amp;I$61,$B$23:$B$45&amp;"_"&amp;$C$23:$C$45,$D$23:$D$45)*$E344)</f>
        <v>4.10719838523645</v>
      </c>
      <c r="J344" s="67" cm="1">
        <f ca="1" t="array" ref="J344">MIN(8,_xlfn.XLOOKUP($D344&amp;"_"&amp;J$61,$B$23:$B$45&amp;"_"&amp;$C$23:$C$45,$D$23:$D$45)*$E344)</f>
        <v>4.05600346020761</v>
      </c>
      <c r="K344" s="67" cm="1">
        <f ca="1" t="array" ref="K344">MIN(18,_xlfn.XLOOKUP($D344&amp;"_"&amp;K$61,$B$23:$B$45&amp;"_"&amp;$C$23:$C$45,$D$23:$D$45)*$E344)</f>
        <v>1.2618677431757</v>
      </c>
      <c r="L344" s="67" cm="1">
        <f ca="1" t="array" ref="L344">MIN(6,_xlfn.XLOOKUP($D344&amp;"_"&amp;L$61,$B$23:$B$45&amp;"_"&amp;$C$23:$C$45,$D$23:$D$45)*$E344)</f>
        <v>1.89280161476355</v>
      </c>
      <c r="M344" s="67" cm="1">
        <f ca="1" t="array" ref="M344">(1+SUMPRODUCT(G344:H344,OFFSET($H$49:$I$49,D344,0)))*(1+OFFSET($J$49,D344,0))^I344*(1+OFFSET($K$49,D344,0))^J344*(1+OFFSET($L$49,D344,0))^K344*(1+OFFSET($M$49,D344,0))^L344</f>
        <v>76.8482044153823</v>
      </c>
      <c r="N344" s="67">
        <f ca="1">MAX(MAX($N$62:N343),OFFSET($C$61,MATCH(M344*1.07,$M$62:$M$2061,1),0)-C344)</f>
        <v>5760</v>
      </c>
    </row>
    <row r="345" spans="2:14">
      <c r="B345" s="67">
        <v>284</v>
      </c>
      <c r="C345" s="67">
        <f t="shared" si="38"/>
        <v>102240</v>
      </c>
      <c r="D345" s="67">
        <f t="shared" si="34"/>
        <v>5</v>
      </c>
      <c r="E345" s="67">
        <f ca="1" t="shared" si="35"/>
        <v>314</v>
      </c>
      <c r="F345" s="67">
        <f ca="1" t="shared" si="36"/>
        <v>0</v>
      </c>
      <c r="G345" s="67">
        <f ca="1" t="shared" si="37"/>
        <v>0.665138792772012</v>
      </c>
      <c r="H345" s="67" cm="1">
        <f ca="1" t="array" ref="H345">MIN(30-SUM(I345:L345),_xlfn.XLOOKUP($D345&amp;"_"&amp;H$61,$B$23:$B$45&amp;"_"&amp;$C$23:$C$45,$D$23:$D$45)*$E345,18)</f>
        <v>18</v>
      </c>
      <c r="I345" s="67" cm="1">
        <f ca="1" t="array" ref="I345">MIN(30-SUM(J345:L345),6-L345,_xlfn.XLOOKUP($D345&amp;"_"&amp;I$61,$B$23:$B$45&amp;"_"&amp;$C$23:$C$45,$D$23:$D$45)*$E345)</f>
        <v>4.10115109573241</v>
      </c>
      <c r="J345" s="67" cm="1">
        <f ca="1" t="array" ref="J345">MIN(8,_xlfn.XLOOKUP($D345&amp;"_"&amp;J$61,$B$23:$B$45&amp;"_"&amp;$C$23:$C$45,$D$23:$D$45)*$E345)</f>
        <v>4.06896193771626</v>
      </c>
      <c r="K345" s="67" cm="1">
        <f ca="1" t="array" ref="K345">MIN(18,_xlfn.XLOOKUP($D345&amp;"_"&amp;K$61,$B$23:$B$45&amp;"_"&amp;$C$23:$C$45,$D$23:$D$45)*$E345)</f>
        <v>1.26589926951173</v>
      </c>
      <c r="L345" s="67" cm="1">
        <f ca="1" t="array" ref="L345">MIN(6,_xlfn.XLOOKUP($D345&amp;"_"&amp;L$61,$B$23:$B$45&amp;"_"&amp;$C$23:$C$45,$D$23:$D$45)*$E345)</f>
        <v>1.89884890426759</v>
      </c>
      <c r="M345" s="67" cm="1">
        <f ca="1" t="array" ref="M345">(1+SUMPRODUCT(G345:H345,OFFSET($H$49:$I$49,D345,0)))*(1+OFFSET($J$49,D345,0))^I345*(1+OFFSET($K$49,D345,0))^J345*(1+OFFSET($L$49,D345,0))^K345*(1+OFFSET($M$49,D345,0))^L345</f>
        <v>77.17370314752</v>
      </c>
      <c r="N345" s="67">
        <f ca="1">MAX(MAX($N$62:N344),OFFSET($C$61,MATCH(M345*1.07,$M$62:$M$2061,1),0)-C345)</f>
        <v>5760</v>
      </c>
    </row>
    <row r="346" spans="2:14">
      <c r="B346" s="67">
        <v>285</v>
      </c>
      <c r="C346" s="67">
        <f t="shared" si="38"/>
        <v>102600</v>
      </c>
      <c r="D346" s="67">
        <f t="shared" si="34"/>
        <v>5</v>
      </c>
      <c r="E346" s="67">
        <f ca="1" t="shared" si="35"/>
        <v>315</v>
      </c>
      <c r="F346" s="67">
        <f ca="1" t="shared" si="36"/>
        <v>0</v>
      </c>
      <c r="G346" s="67">
        <f ca="1" t="shared" si="37"/>
        <v>0.64814878892734</v>
      </c>
      <c r="H346" s="67" cm="1">
        <f ca="1" t="array" ref="H346">MIN(30-SUM(I346:L346),_xlfn.XLOOKUP($D346&amp;"_"&amp;H$61,$B$23:$B$45&amp;"_"&amp;$C$23:$C$45,$D$23:$D$45)*$E346,18)</f>
        <v>18</v>
      </c>
      <c r="I346" s="67" cm="1">
        <f ca="1" t="array" ref="I346">MIN(30-SUM(J346:L346),6-L346,_xlfn.XLOOKUP($D346&amp;"_"&amp;I$61,$B$23:$B$45&amp;"_"&amp;$C$23:$C$45,$D$23:$D$45)*$E346)</f>
        <v>4.09510380622837</v>
      </c>
      <c r="J346" s="67" cm="1">
        <f ca="1" t="array" ref="J346">MIN(8,_xlfn.XLOOKUP($D346&amp;"_"&amp;J$61,$B$23:$B$45&amp;"_"&amp;$C$23:$C$45,$D$23:$D$45)*$E346)</f>
        <v>4.08192041522491</v>
      </c>
      <c r="K346" s="67" cm="1">
        <f ca="1" t="array" ref="K346">MIN(18,_xlfn.XLOOKUP($D346&amp;"_"&amp;K$61,$B$23:$B$45&amp;"_"&amp;$C$23:$C$45,$D$23:$D$45)*$E346)</f>
        <v>1.26993079584775</v>
      </c>
      <c r="L346" s="67" cm="1">
        <f ca="1" t="array" ref="L346">MIN(6,_xlfn.XLOOKUP($D346&amp;"_"&amp;L$61,$B$23:$B$45&amp;"_"&amp;$C$23:$C$45,$D$23:$D$45)*$E346)</f>
        <v>1.90489619377163</v>
      </c>
      <c r="M346" s="67" cm="1">
        <f ca="1" t="array" ref="M346">(1+SUMPRODUCT(G346:H346,OFFSET($H$49:$I$49,D346,0)))*(1+OFFSET($J$49,D346,0))^I346*(1+OFFSET($K$49,D346,0))^J346*(1+OFFSET($L$49,D346,0))^K346*(1+OFFSET($M$49,D346,0))^L346</f>
        <v>77.5005658546502</v>
      </c>
      <c r="N346" s="67">
        <f ca="1">MAX(MAX($N$62:N345),OFFSET($C$61,MATCH(M346*1.07,$M$62:$M$2061,1),0)-C346)</f>
        <v>5760</v>
      </c>
    </row>
    <row r="347" spans="2:14">
      <c r="B347" s="67">
        <v>286</v>
      </c>
      <c r="C347" s="67">
        <f t="shared" si="38"/>
        <v>102960</v>
      </c>
      <c r="D347" s="67">
        <f t="shared" si="34"/>
        <v>5</v>
      </c>
      <c r="E347" s="67">
        <f ca="1" t="shared" si="35"/>
        <v>316</v>
      </c>
      <c r="F347" s="67">
        <f ca="1" t="shared" si="36"/>
        <v>0</v>
      </c>
      <c r="G347" s="67">
        <f ca="1" t="shared" si="37"/>
        <v>0.631158785082665</v>
      </c>
      <c r="H347" s="67" cm="1">
        <f ca="1" t="array" ref="H347">MIN(30-SUM(I347:L347),_xlfn.XLOOKUP($D347&amp;"_"&amp;H$61,$B$23:$B$45&amp;"_"&amp;$C$23:$C$45,$D$23:$D$45)*$E347,18)</f>
        <v>18</v>
      </c>
      <c r="I347" s="67" cm="1">
        <f ca="1" t="array" ref="I347">MIN(30-SUM(J347:L347),6-L347,_xlfn.XLOOKUP($D347&amp;"_"&amp;I$61,$B$23:$B$45&amp;"_"&amp;$C$23:$C$45,$D$23:$D$45)*$E347)</f>
        <v>4.08905651672434</v>
      </c>
      <c r="J347" s="67" cm="1">
        <f ca="1" t="array" ref="J347">MIN(8,_xlfn.XLOOKUP($D347&amp;"_"&amp;J$61,$B$23:$B$45&amp;"_"&amp;$C$23:$C$45,$D$23:$D$45)*$E347)</f>
        <v>4.09487889273356</v>
      </c>
      <c r="K347" s="67" cm="1">
        <f ca="1" t="array" ref="K347">MIN(18,_xlfn.XLOOKUP($D347&amp;"_"&amp;K$61,$B$23:$B$45&amp;"_"&amp;$C$23:$C$45,$D$23:$D$45)*$E347)</f>
        <v>1.27396232218378</v>
      </c>
      <c r="L347" s="67" cm="1">
        <f ca="1" t="array" ref="L347">MIN(6,_xlfn.XLOOKUP($D347&amp;"_"&amp;L$61,$B$23:$B$45&amp;"_"&amp;$C$23:$C$45,$D$23:$D$45)*$E347)</f>
        <v>1.91094348327566</v>
      </c>
      <c r="M347" s="67" cm="1">
        <f ca="1" t="array" ref="M347">(1+SUMPRODUCT(G347:H347,OFFSET($H$49:$I$49,D347,0)))*(1+OFFSET($J$49,D347,0))^I347*(1+OFFSET($K$49,D347,0))^J347*(1+OFFSET($L$49,D347,0))^K347*(1+OFFSET($M$49,D347,0))^L347</f>
        <v>77.8287981765562</v>
      </c>
      <c r="N347" s="67">
        <f ca="1">MAX(MAX($N$62:N346),OFFSET($C$61,MATCH(M347*1.07,$M$62:$M$2061,1),0)-C347)</f>
        <v>5760</v>
      </c>
    </row>
    <row r="348" spans="2:14">
      <c r="B348" s="67">
        <v>287</v>
      </c>
      <c r="C348" s="67">
        <f t="shared" si="38"/>
        <v>103320</v>
      </c>
      <c r="D348" s="67">
        <f t="shared" si="34"/>
        <v>5</v>
      </c>
      <c r="E348" s="67">
        <f ca="1" t="shared" si="35"/>
        <v>317</v>
      </c>
      <c r="F348" s="67">
        <f ca="1" t="shared" si="36"/>
        <v>0</v>
      </c>
      <c r="G348" s="67">
        <f ca="1" t="shared" si="37"/>
        <v>0.614168781237989</v>
      </c>
      <c r="H348" s="67" cm="1">
        <f ca="1" t="array" ref="H348">MIN(30-SUM(I348:L348),_xlfn.XLOOKUP($D348&amp;"_"&amp;H$61,$B$23:$B$45&amp;"_"&amp;$C$23:$C$45,$D$23:$D$45)*$E348,18)</f>
        <v>18</v>
      </c>
      <c r="I348" s="67" cm="1">
        <f ca="1" t="array" ref="I348">MIN(30-SUM(J348:L348),6-L348,_xlfn.XLOOKUP($D348&amp;"_"&amp;I$61,$B$23:$B$45&amp;"_"&amp;$C$23:$C$45,$D$23:$D$45)*$E348)</f>
        <v>4.0830092272203</v>
      </c>
      <c r="J348" s="67" cm="1">
        <f ca="1" t="array" ref="J348">MIN(8,_xlfn.XLOOKUP($D348&amp;"_"&amp;J$61,$B$23:$B$45&amp;"_"&amp;$C$23:$C$45,$D$23:$D$45)*$E348)</f>
        <v>4.10783737024221</v>
      </c>
      <c r="K348" s="67" cm="1">
        <f ca="1" t="array" ref="K348">MIN(18,_xlfn.XLOOKUP($D348&amp;"_"&amp;K$61,$B$23:$B$45&amp;"_"&amp;$C$23:$C$45,$D$23:$D$45)*$E348)</f>
        <v>1.2779938485198</v>
      </c>
      <c r="L348" s="67" cm="1">
        <f ca="1" t="array" ref="L348">MIN(6,_xlfn.XLOOKUP($D348&amp;"_"&amp;L$61,$B$23:$B$45&amp;"_"&amp;$C$23:$C$45,$D$23:$D$45)*$E348)</f>
        <v>1.9169907727797</v>
      </c>
      <c r="M348" s="67" cm="1">
        <f ca="1" t="array" ref="M348">(1+SUMPRODUCT(G348:H348,OFFSET($H$49:$I$49,D348,0)))*(1+OFFSET($J$49,D348,0))^I348*(1+OFFSET($K$49,D348,0))^J348*(1+OFFSET($L$49,D348,0))^K348*(1+OFFSET($M$49,D348,0))^L348</f>
        <v>78.1584057759452</v>
      </c>
      <c r="N348" s="67">
        <f ca="1">MAX(MAX($N$62:N347),OFFSET($C$61,MATCH(M348*1.07,$M$62:$M$2061,1),0)-C348)</f>
        <v>5760</v>
      </c>
    </row>
    <row r="349" spans="2:14">
      <c r="B349" s="67">
        <v>288</v>
      </c>
      <c r="C349" s="67">
        <f t="shared" si="38"/>
        <v>103680</v>
      </c>
      <c r="D349" s="67">
        <f t="shared" si="34"/>
        <v>5</v>
      </c>
      <c r="E349" s="67">
        <f ca="1" t="shared" si="35"/>
        <v>318</v>
      </c>
      <c r="F349" s="67">
        <f ca="1" t="shared" si="36"/>
        <v>0</v>
      </c>
      <c r="G349" s="67">
        <f ca="1" t="shared" si="37"/>
        <v>0.597178777393314</v>
      </c>
      <c r="H349" s="67" cm="1">
        <f ca="1" t="array" ref="H349">MIN(30-SUM(I349:L349),_xlfn.XLOOKUP($D349&amp;"_"&amp;H$61,$B$23:$B$45&amp;"_"&amp;$C$23:$C$45,$D$23:$D$45)*$E349,18)</f>
        <v>18</v>
      </c>
      <c r="I349" s="67" cm="1">
        <f ca="1" t="array" ref="I349">MIN(30-SUM(J349:L349),6-L349,_xlfn.XLOOKUP($D349&amp;"_"&amp;I$61,$B$23:$B$45&amp;"_"&amp;$C$23:$C$45,$D$23:$D$45)*$E349)</f>
        <v>4.07696193771626</v>
      </c>
      <c r="J349" s="67" cm="1">
        <f ca="1" t="array" ref="J349">MIN(8,_xlfn.XLOOKUP($D349&amp;"_"&amp;J$61,$B$23:$B$45&amp;"_"&amp;$C$23:$C$45,$D$23:$D$45)*$E349)</f>
        <v>4.12079584775086</v>
      </c>
      <c r="K349" s="67" cm="1">
        <f ca="1" t="array" ref="K349">MIN(18,_xlfn.XLOOKUP($D349&amp;"_"&amp;K$61,$B$23:$B$45&amp;"_"&amp;$C$23:$C$45,$D$23:$D$45)*$E349)</f>
        <v>1.28202537485583</v>
      </c>
      <c r="L349" s="67" cm="1">
        <f ca="1" t="array" ref="L349">MIN(6,_xlfn.XLOOKUP($D349&amp;"_"&amp;L$61,$B$23:$B$45&amp;"_"&amp;$C$23:$C$45,$D$23:$D$45)*$E349)</f>
        <v>1.92303806228374</v>
      </c>
      <c r="M349" s="67" cm="1">
        <f ca="1" t="array" ref="M349">(1+SUMPRODUCT(G349:H349,OFFSET($H$49:$I$49,D349,0)))*(1+OFFSET($J$49,D349,0))^I349*(1+OFFSET($K$49,D349,0))^J349*(1+OFFSET($L$49,D349,0))^K349*(1+OFFSET($M$49,D349,0))^L349</f>
        <v>78.4893943385399</v>
      </c>
      <c r="N349" s="67">
        <f ca="1">MAX(MAX($N$62:N348),OFFSET($C$61,MATCH(M349*1.07,$M$62:$M$2061,1),0)-C349)</f>
        <v>5760</v>
      </c>
    </row>
    <row r="350" spans="2:14">
      <c r="B350" s="67">
        <v>289</v>
      </c>
      <c r="C350" s="67">
        <f t="shared" si="38"/>
        <v>104040</v>
      </c>
      <c r="D350" s="67">
        <f t="shared" si="34"/>
        <v>5</v>
      </c>
      <c r="E350" s="67">
        <f ca="1" t="shared" si="35"/>
        <v>319</v>
      </c>
      <c r="F350" s="67">
        <f ca="1" t="shared" si="36"/>
        <v>0</v>
      </c>
      <c r="G350" s="67">
        <f ca="1" t="shared" si="37"/>
        <v>0.580188773548642</v>
      </c>
      <c r="H350" s="67" cm="1">
        <f ca="1" t="array" ref="H350">MIN(30-SUM(I350:L350),_xlfn.XLOOKUP($D350&amp;"_"&amp;H$61,$B$23:$B$45&amp;"_"&amp;$C$23:$C$45,$D$23:$D$45)*$E350,18)</f>
        <v>18</v>
      </c>
      <c r="I350" s="67" cm="1">
        <f ca="1" t="array" ref="I350">MIN(30-SUM(J350:L350),6-L350,_xlfn.XLOOKUP($D350&amp;"_"&amp;I$61,$B$23:$B$45&amp;"_"&amp;$C$23:$C$45,$D$23:$D$45)*$E350)</f>
        <v>4.07091464821223</v>
      </c>
      <c r="J350" s="67" cm="1">
        <f ca="1" t="array" ref="J350">MIN(8,_xlfn.XLOOKUP($D350&amp;"_"&amp;J$61,$B$23:$B$45&amp;"_"&amp;$C$23:$C$45,$D$23:$D$45)*$E350)</f>
        <v>4.13375432525951</v>
      </c>
      <c r="K350" s="67" cm="1">
        <f ca="1" t="array" ref="K350">MIN(18,_xlfn.XLOOKUP($D350&amp;"_"&amp;K$61,$B$23:$B$45&amp;"_"&amp;$C$23:$C$45,$D$23:$D$45)*$E350)</f>
        <v>1.28605690119185</v>
      </c>
      <c r="L350" s="67" cm="1">
        <f ca="1" t="array" ref="L350">MIN(6,_xlfn.XLOOKUP($D350&amp;"_"&amp;L$61,$B$23:$B$45&amp;"_"&amp;$C$23:$C$45,$D$23:$D$45)*$E350)</f>
        <v>1.92908535178777</v>
      </c>
      <c r="M350" s="67" cm="1">
        <f ca="1" t="array" ref="M350">(1+SUMPRODUCT(G350:H350,OFFSET($H$49:$I$49,D350,0)))*(1+OFFSET($J$49,D350,0))^I350*(1+OFFSET($K$49,D350,0))^J350*(1+OFFSET($L$49,D350,0))^K350*(1+OFFSET($M$49,D350,0))^L350</f>
        <v>78.8217695731697</v>
      </c>
      <c r="N350" s="67">
        <f ca="1">MAX(MAX($N$62:N349),OFFSET($C$61,MATCH(M350*1.07,$M$62:$M$2061,1),0)-C350)</f>
        <v>5760</v>
      </c>
    </row>
    <row r="351" spans="2:14">
      <c r="B351" s="67">
        <v>290</v>
      </c>
      <c r="C351" s="67">
        <f t="shared" si="38"/>
        <v>104400</v>
      </c>
      <c r="D351" s="67">
        <f t="shared" si="34"/>
        <v>5</v>
      </c>
      <c r="E351" s="67">
        <f ca="1" t="shared" si="35"/>
        <v>320</v>
      </c>
      <c r="F351" s="67">
        <f ca="1" t="shared" si="36"/>
        <v>0</v>
      </c>
      <c r="G351" s="67">
        <f ca="1" t="shared" si="37"/>
        <v>0.563198769703963</v>
      </c>
      <c r="H351" s="67" cm="1">
        <f ca="1" t="array" ref="H351">MIN(30-SUM(I351:L351),_xlfn.XLOOKUP($D351&amp;"_"&amp;H$61,$B$23:$B$45&amp;"_"&amp;$C$23:$C$45,$D$23:$D$45)*$E351,18)</f>
        <v>18</v>
      </c>
      <c r="I351" s="67" cm="1">
        <f ca="1" t="array" ref="I351">MIN(30-SUM(J351:L351),6-L351,_xlfn.XLOOKUP($D351&amp;"_"&amp;I$61,$B$23:$B$45&amp;"_"&amp;$C$23:$C$45,$D$23:$D$45)*$E351)</f>
        <v>4.06486735870819</v>
      </c>
      <c r="J351" s="67" cm="1">
        <f ca="1" t="array" ref="J351">MIN(8,_xlfn.XLOOKUP($D351&amp;"_"&amp;J$61,$B$23:$B$45&amp;"_"&amp;$C$23:$C$45,$D$23:$D$45)*$E351)</f>
        <v>4.14671280276816</v>
      </c>
      <c r="K351" s="67" cm="1">
        <f ca="1" t="array" ref="K351">MIN(18,_xlfn.XLOOKUP($D351&amp;"_"&amp;K$61,$B$23:$B$45&amp;"_"&amp;$C$23:$C$45,$D$23:$D$45)*$E351)</f>
        <v>1.29008842752788</v>
      </c>
      <c r="L351" s="67" cm="1">
        <f ca="1" t="array" ref="L351">MIN(6,_xlfn.XLOOKUP($D351&amp;"_"&amp;L$61,$B$23:$B$45&amp;"_"&amp;$C$23:$C$45,$D$23:$D$45)*$E351)</f>
        <v>1.93513264129181</v>
      </c>
      <c r="M351" s="67" cm="1">
        <f ca="1" t="array" ref="M351">(1+SUMPRODUCT(G351:H351,OFFSET($H$49:$I$49,D351,0)))*(1+OFFSET($J$49,D351,0))^I351*(1+OFFSET($K$49,D351,0))^J351*(1+OFFSET($L$49,D351,0))^K351*(1+OFFSET($M$49,D351,0))^L351</f>
        <v>79.1555372118627</v>
      </c>
      <c r="N351" s="67">
        <f ca="1">MAX(MAX($N$62:N350),OFFSET($C$61,MATCH(M351*1.07,$M$62:$M$2061,1),0)-C351)</f>
        <v>5760</v>
      </c>
    </row>
    <row r="352" spans="2:14">
      <c r="B352" s="67">
        <v>291</v>
      </c>
      <c r="C352" s="67">
        <f t="shared" si="38"/>
        <v>104760</v>
      </c>
      <c r="D352" s="67">
        <f t="shared" si="34"/>
        <v>5</v>
      </c>
      <c r="E352" s="67">
        <f ca="1" t="shared" si="35"/>
        <v>321</v>
      </c>
      <c r="F352" s="67">
        <f ca="1" t="shared" si="36"/>
        <v>0</v>
      </c>
      <c r="G352" s="67">
        <f ca="1" t="shared" si="37"/>
        <v>0.546208765859291</v>
      </c>
      <c r="H352" s="67" cm="1">
        <f ca="1" t="array" ref="H352">MIN(30-SUM(I352:L352),_xlfn.XLOOKUP($D352&amp;"_"&amp;H$61,$B$23:$B$45&amp;"_"&amp;$C$23:$C$45,$D$23:$D$45)*$E352,18)</f>
        <v>18</v>
      </c>
      <c r="I352" s="67" cm="1">
        <f ca="1" t="array" ref="I352">MIN(30-SUM(J352:L352),6-L352,_xlfn.XLOOKUP($D352&amp;"_"&amp;I$61,$B$23:$B$45&amp;"_"&amp;$C$23:$C$45,$D$23:$D$45)*$E352)</f>
        <v>4.05882006920415</v>
      </c>
      <c r="J352" s="67" cm="1">
        <f ca="1" t="array" ref="J352">MIN(8,_xlfn.XLOOKUP($D352&amp;"_"&amp;J$61,$B$23:$B$45&amp;"_"&amp;$C$23:$C$45,$D$23:$D$45)*$E352)</f>
        <v>4.15967128027681</v>
      </c>
      <c r="K352" s="67" cm="1">
        <f ca="1" t="array" ref="K352">MIN(18,_xlfn.XLOOKUP($D352&amp;"_"&amp;K$61,$B$23:$B$45&amp;"_"&amp;$C$23:$C$45,$D$23:$D$45)*$E352)</f>
        <v>1.2941199538639</v>
      </c>
      <c r="L352" s="67" cm="1">
        <f ca="1" t="array" ref="L352">MIN(6,_xlfn.XLOOKUP($D352&amp;"_"&amp;L$61,$B$23:$B$45&amp;"_"&amp;$C$23:$C$45,$D$23:$D$45)*$E352)</f>
        <v>1.94117993079585</v>
      </c>
      <c r="M352" s="67" cm="1">
        <f ca="1" t="array" ref="M352">(1+SUMPRODUCT(G352:H352,OFFSET($H$49:$I$49,D352,0)))*(1+OFFSET($J$49,D352,0))^I352*(1+OFFSET($K$49,D352,0))^J352*(1+OFFSET($L$49,D352,0))^K352*(1+OFFSET($M$49,D352,0))^L352</f>
        <v>79.4907030099374</v>
      </c>
      <c r="N352" s="67">
        <f ca="1">MAX(MAX($N$62:N351),OFFSET($C$61,MATCH(M352*1.07,$M$62:$M$2061,1),0)-C352)</f>
        <v>5760</v>
      </c>
    </row>
    <row r="353" spans="2:14">
      <c r="B353" s="67">
        <v>292</v>
      </c>
      <c r="C353" s="67">
        <f t="shared" si="38"/>
        <v>105120</v>
      </c>
      <c r="D353" s="67">
        <f t="shared" si="34"/>
        <v>5</v>
      </c>
      <c r="E353" s="67">
        <f ca="1" t="shared" si="35"/>
        <v>322</v>
      </c>
      <c r="F353" s="67">
        <f ca="1" t="shared" si="36"/>
        <v>0</v>
      </c>
      <c r="G353" s="67">
        <f ca="1" t="shared" si="37"/>
        <v>0.529218762014615</v>
      </c>
      <c r="H353" s="67" cm="1">
        <f ca="1" t="array" ref="H353">MIN(30-SUM(I353:L353),_xlfn.XLOOKUP($D353&amp;"_"&amp;H$61,$B$23:$B$45&amp;"_"&amp;$C$23:$C$45,$D$23:$D$45)*$E353,18)</f>
        <v>18</v>
      </c>
      <c r="I353" s="67" cm="1">
        <f ca="1" t="array" ref="I353">MIN(30-SUM(J353:L353),6-L353,_xlfn.XLOOKUP($D353&amp;"_"&amp;I$61,$B$23:$B$45&amp;"_"&amp;$C$23:$C$45,$D$23:$D$45)*$E353)</f>
        <v>4.05277277970012</v>
      </c>
      <c r="J353" s="67" cm="1">
        <f ca="1" t="array" ref="J353">MIN(8,_xlfn.XLOOKUP($D353&amp;"_"&amp;J$61,$B$23:$B$45&amp;"_"&amp;$C$23:$C$45,$D$23:$D$45)*$E353)</f>
        <v>4.17262975778546</v>
      </c>
      <c r="K353" s="67" cm="1">
        <f ca="1" t="array" ref="K353">MIN(18,_xlfn.XLOOKUP($D353&amp;"_"&amp;K$61,$B$23:$B$45&amp;"_"&amp;$C$23:$C$45,$D$23:$D$45)*$E353)</f>
        <v>1.29815148019992</v>
      </c>
      <c r="L353" s="67" cm="1">
        <f ca="1" t="array" ref="L353">MIN(6,_xlfn.XLOOKUP($D353&amp;"_"&amp;L$61,$B$23:$B$45&amp;"_"&amp;$C$23:$C$45,$D$23:$D$45)*$E353)</f>
        <v>1.94722722029989</v>
      </c>
      <c r="M353" s="67" cm="1">
        <f ca="1" t="array" ref="M353">(1+SUMPRODUCT(G353:H353,OFFSET($H$49:$I$49,D353,0)))*(1+OFFSET($J$49,D353,0))^I353*(1+OFFSET($K$49,D353,0))^J353*(1+OFFSET($L$49,D353,0))^K353*(1+OFFSET($M$49,D353,0))^L353</f>
        <v>79.8272727460959</v>
      </c>
      <c r="N353" s="67">
        <f ca="1">MAX(MAX($N$62:N352),OFFSET($C$61,MATCH(M353*1.07,$M$62:$M$2061,1),0)-C353)</f>
        <v>5760</v>
      </c>
    </row>
    <row r="354" spans="2:14">
      <c r="B354" s="67">
        <v>293</v>
      </c>
      <c r="C354" s="67">
        <f t="shared" si="38"/>
        <v>105480</v>
      </c>
      <c r="D354" s="67">
        <f t="shared" si="34"/>
        <v>5</v>
      </c>
      <c r="E354" s="67">
        <f ca="1" t="shared" si="35"/>
        <v>323</v>
      </c>
      <c r="F354" s="67">
        <f ca="1" t="shared" si="36"/>
        <v>0</v>
      </c>
      <c r="G354" s="67">
        <f ca="1" t="shared" si="37"/>
        <v>0.51222875816994</v>
      </c>
      <c r="H354" s="67" cm="1">
        <f ca="1" t="array" ref="H354">MIN(30-SUM(I354:L354),_xlfn.XLOOKUP($D354&amp;"_"&amp;H$61,$B$23:$B$45&amp;"_"&amp;$C$23:$C$45,$D$23:$D$45)*$E354,18)</f>
        <v>18</v>
      </c>
      <c r="I354" s="67" cm="1">
        <f ca="1" t="array" ref="I354">MIN(30-SUM(J354:L354),6-L354,_xlfn.XLOOKUP($D354&amp;"_"&amp;I$61,$B$23:$B$45&amp;"_"&amp;$C$23:$C$45,$D$23:$D$45)*$E354)</f>
        <v>4.04672549019608</v>
      </c>
      <c r="J354" s="67" cm="1">
        <f ca="1" t="array" ref="J354">MIN(8,_xlfn.XLOOKUP($D354&amp;"_"&amp;J$61,$B$23:$B$45&amp;"_"&amp;$C$23:$C$45,$D$23:$D$45)*$E354)</f>
        <v>4.18558823529411</v>
      </c>
      <c r="K354" s="67" cm="1">
        <f ca="1" t="array" ref="K354">MIN(18,_xlfn.XLOOKUP($D354&amp;"_"&amp;K$61,$B$23:$B$45&amp;"_"&amp;$C$23:$C$45,$D$23:$D$45)*$E354)</f>
        <v>1.30218300653595</v>
      </c>
      <c r="L354" s="67" cm="1">
        <f ca="1" t="array" ref="L354">MIN(6,_xlfn.XLOOKUP($D354&amp;"_"&amp;L$61,$B$23:$B$45&amp;"_"&amp;$C$23:$C$45,$D$23:$D$45)*$E354)</f>
        <v>1.95327450980392</v>
      </c>
      <c r="M354" s="67" cm="1">
        <f ca="1" t="array" ref="M354">(1+SUMPRODUCT(G354:H354,OFFSET($H$49:$I$49,D354,0)))*(1+OFFSET($J$49,D354,0))^I354*(1+OFFSET($K$49,D354,0))^J354*(1+OFFSET($L$49,D354,0))^K354*(1+OFFSET($M$49,D354,0))^L354</f>
        <v>80.165252222516</v>
      </c>
      <c r="N354" s="67">
        <f ca="1">MAX(MAX($N$62:N353),OFFSET($C$61,MATCH(M354*1.07,$M$62:$M$2061,1),0)-C354)</f>
        <v>5760</v>
      </c>
    </row>
    <row r="355" spans="2:14">
      <c r="B355" s="67">
        <v>294</v>
      </c>
      <c r="C355" s="67">
        <f t="shared" si="38"/>
        <v>105840</v>
      </c>
      <c r="D355" s="67">
        <f t="shared" si="34"/>
        <v>5</v>
      </c>
      <c r="E355" s="67">
        <f ca="1" t="shared" si="35"/>
        <v>324</v>
      </c>
      <c r="F355" s="67">
        <f ca="1" t="shared" si="36"/>
        <v>0</v>
      </c>
      <c r="G355" s="67">
        <f ca="1" t="shared" si="37"/>
        <v>0.495238754325264</v>
      </c>
      <c r="H355" s="67" cm="1">
        <f ca="1" t="array" ref="H355">MIN(30-SUM(I355:L355),_xlfn.XLOOKUP($D355&amp;"_"&amp;H$61,$B$23:$B$45&amp;"_"&amp;$C$23:$C$45,$D$23:$D$45)*$E355,18)</f>
        <v>18</v>
      </c>
      <c r="I355" s="67" cm="1">
        <f ca="1" t="array" ref="I355">MIN(30-SUM(J355:L355),6-L355,_xlfn.XLOOKUP($D355&amp;"_"&amp;I$61,$B$23:$B$45&amp;"_"&amp;$C$23:$C$45,$D$23:$D$45)*$E355)</f>
        <v>4.04067820069204</v>
      </c>
      <c r="J355" s="67" cm="1">
        <f ca="1" t="array" ref="J355">MIN(8,_xlfn.XLOOKUP($D355&amp;"_"&amp;J$61,$B$23:$B$45&amp;"_"&amp;$C$23:$C$45,$D$23:$D$45)*$E355)</f>
        <v>4.19854671280276</v>
      </c>
      <c r="K355" s="67" cm="1">
        <f ca="1" t="array" ref="K355">MIN(18,_xlfn.XLOOKUP($D355&amp;"_"&amp;K$61,$B$23:$B$45&amp;"_"&amp;$C$23:$C$45,$D$23:$D$45)*$E355)</f>
        <v>1.30621453287197</v>
      </c>
      <c r="L355" s="67" cm="1">
        <f ca="1" t="array" ref="L355">MIN(6,_xlfn.XLOOKUP($D355&amp;"_"&amp;L$61,$B$23:$B$45&amp;"_"&amp;$C$23:$C$45,$D$23:$D$45)*$E355)</f>
        <v>1.95932179930796</v>
      </c>
      <c r="M355" s="67" cm="1">
        <f ca="1" t="array" ref="M355">(1+SUMPRODUCT(G355:H355,OFFSET($H$49:$I$49,D355,0)))*(1+OFFSET($J$49,D355,0))^I355*(1+OFFSET($K$49,D355,0))^J355*(1+OFFSET($L$49,D355,0))^K355*(1+OFFSET($M$49,D355,0))^L355</f>
        <v>80.5046472649452</v>
      </c>
      <c r="N355" s="67">
        <f ca="1">MAX(MAX($N$62:N354),OFFSET($C$61,MATCH(M355*1.07,$M$62:$M$2061,1),0)-C355)</f>
        <v>5760</v>
      </c>
    </row>
    <row r="356" spans="2:14">
      <c r="B356" s="67">
        <v>295</v>
      </c>
      <c r="C356" s="67">
        <f t="shared" si="38"/>
        <v>106200</v>
      </c>
      <c r="D356" s="67">
        <f t="shared" si="34"/>
        <v>5</v>
      </c>
      <c r="E356" s="67">
        <f ca="1" t="shared" si="35"/>
        <v>325</v>
      </c>
      <c r="F356" s="67">
        <f ca="1" t="shared" si="36"/>
        <v>0</v>
      </c>
      <c r="G356" s="67">
        <f ca="1" t="shared" si="37"/>
        <v>0.478248750480589</v>
      </c>
      <c r="H356" s="67" cm="1">
        <f ca="1" t="array" ref="H356">MIN(30-SUM(I356:L356),_xlfn.XLOOKUP($D356&amp;"_"&amp;H$61,$B$23:$B$45&amp;"_"&amp;$C$23:$C$45,$D$23:$D$45)*$E356,18)</f>
        <v>18</v>
      </c>
      <c r="I356" s="67" cm="1">
        <f ca="1" t="array" ref="I356">MIN(30-SUM(J356:L356),6-L356,_xlfn.XLOOKUP($D356&amp;"_"&amp;I$61,$B$23:$B$45&amp;"_"&amp;$C$23:$C$45,$D$23:$D$45)*$E356)</f>
        <v>4.034630911188</v>
      </c>
      <c r="J356" s="67" cm="1">
        <f ca="1" t="array" ref="J356">MIN(8,_xlfn.XLOOKUP($D356&amp;"_"&amp;J$61,$B$23:$B$45&amp;"_"&amp;$C$23:$C$45,$D$23:$D$45)*$E356)</f>
        <v>4.21150519031141</v>
      </c>
      <c r="K356" s="67" cm="1">
        <f ca="1" t="array" ref="K356">MIN(18,_xlfn.XLOOKUP($D356&amp;"_"&amp;K$61,$B$23:$B$45&amp;"_"&amp;$C$23:$C$45,$D$23:$D$45)*$E356)</f>
        <v>1.310246059208</v>
      </c>
      <c r="L356" s="67" cm="1">
        <f ca="1" t="array" ref="L356">MIN(6,_xlfn.XLOOKUP($D356&amp;"_"&amp;L$61,$B$23:$B$45&amp;"_"&amp;$C$23:$C$45,$D$23:$D$45)*$E356)</f>
        <v>1.965369088812</v>
      </c>
      <c r="M356" s="67" cm="1">
        <f ca="1" t="array" ref="M356">(1+SUMPRODUCT(G356:H356,OFFSET($H$49:$I$49,D356,0)))*(1+OFFSET($J$49,D356,0))^I356*(1+OFFSET($K$49,D356,0))^J356*(1+OFFSET($L$49,D356,0))^K356*(1+OFFSET($M$49,D356,0))^L356</f>
        <v>80.8454637227935</v>
      </c>
      <c r="N356" s="67">
        <f ca="1">MAX(MAX($N$62:N355),OFFSET($C$61,MATCH(M356*1.07,$M$62:$M$2061,1),0)-C356)</f>
        <v>5760</v>
      </c>
    </row>
    <row r="357" spans="2:14">
      <c r="B357" s="67">
        <v>296</v>
      </c>
      <c r="C357" s="67">
        <f t="shared" si="38"/>
        <v>106560</v>
      </c>
      <c r="D357" s="67">
        <f t="shared" si="34"/>
        <v>5</v>
      </c>
      <c r="E357" s="67">
        <f ca="1" t="shared" si="35"/>
        <v>326</v>
      </c>
      <c r="F357" s="67">
        <f ca="1" t="shared" si="36"/>
        <v>0</v>
      </c>
      <c r="G357" s="67">
        <f ca="1" t="shared" si="37"/>
        <v>0.461258746635913</v>
      </c>
      <c r="H357" s="67" cm="1">
        <f ca="1" t="array" ref="H357">MIN(30-SUM(I357:L357),_xlfn.XLOOKUP($D357&amp;"_"&amp;H$61,$B$23:$B$45&amp;"_"&amp;$C$23:$C$45,$D$23:$D$45)*$E357,18)</f>
        <v>18</v>
      </c>
      <c r="I357" s="67" cm="1">
        <f ca="1" t="array" ref="I357">MIN(30-SUM(J357:L357),6-L357,_xlfn.XLOOKUP($D357&amp;"_"&amp;I$61,$B$23:$B$45&amp;"_"&amp;$C$23:$C$45,$D$23:$D$45)*$E357)</f>
        <v>4.02858362168397</v>
      </c>
      <c r="J357" s="67" cm="1">
        <f ca="1" t="array" ref="J357">MIN(8,_xlfn.XLOOKUP($D357&amp;"_"&amp;J$61,$B$23:$B$45&amp;"_"&amp;$C$23:$C$45,$D$23:$D$45)*$E357)</f>
        <v>4.22446366782006</v>
      </c>
      <c r="K357" s="67" cm="1">
        <f ca="1" t="array" ref="K357">MIN(18,_xlfn.XLOOKUP($D357&amp;"_"&amp;K$61,$B$23:$B$45&amp;"_"&amp;$C$23:$C$45,$D$23:$D$45)*$E357)</f>
        <v>1.31427758554402</v>
      </c>
      <c r="L357" s="67" cm="1">
        <f ca="1" t="array" ref="L357">MIN(6,_xlfn.XLOOKUP($D357&amp;"_"&amp;L$61,$B$23:$B$45&amp;"_"&amp;$C$23:$C$45,$D$23:$D$45)*$E357)</f>
        <v>1.97141637831603</v>
      </c>
      <c r="M357" s="67" cm="1">
        <f ca="1" t="array" ref="M357">(1+SUMPRODUCT(G357:H357,OFFSET($H$49:$I$49,D357,0)))*(1+OFFSET($J$49,D357,0))^I357*(1+OFFSET($K$49,D357,0))^J357*(1+OFFSET($L$49,D357,0))^K357*(1+OFFSET($M$49,D357,0))^L357</f>
        <v>81.187707469228</v>
      </c>
      <c r="N357" s="67">
        <f ca="1">MAX(MAX($N$62:N356),OFFSET($C$61,MATCH(M357*1.07,$M$62:$M$2061,1),0)-C357)</f>
        <v>5760</v>
      </c>
    </row>
    <row r="358" spans="2:14">
      <c r="B358" s="67">
        <v>297</v>
      </c>
      <c r="C358" s="67">
        <f t="shared" si="38"/>
        <v>106920</v>
      </c>
      <c r="D358" s="67">
        <f t="shared" si="34"/>
        <v>5</v>
      </c>
      <c r="E358" s="67">
        <f ca="1" t="shared" si="35"/>
        <v>327</v>
      </c>
      <c r="F358" s="67">
        <f ca="1" t="shared" si="36"/>
        <v>0</v>
      </c>
      <c r="G358" s="67">
        <f ca="1" t="shared" si="37"/>
        <v>0.444268742791238</v>
      </c>
      <c r="H358" s="67" cm="1">
        <f ca="1" t="array" ref="H358">MIN(30-SUM(I358:L358),_xlfn.XLOOKUP($D358&amp;"_"&amp;H$61,$B$23:$B$45&amp;"_"&amp;$C$23:$C$45,$D$23:$D$45)*$E358,18)</f>
        <v>18</v>
      </c>
      <c r="I358" s="67" cm="1">
        <f ca="1" t="array" ref="I358">MIN(30-SUM(J358:L358),6-L358,_xlfn.XLOOKUP($D358&amp;"_"&amp;I$61,$B$23:$B$45&amp;"_"&amp;$C$23:$C$45,$D$23:$D$45)*$E358)</f>
        <v>4.02253633217993</v>
      </c>
      <c r="J358" s="67" cm="1">
        <f ca="1" t="array" ref="J358">MIN(8,_xlfn.XLOOKUP($D358&amp;"_"&amp;J$61,$B$23:$B$45&amp;"_"&amp;$C$23:$C$45,$D$23:$D$45)*$E358)</f>
        <v>4.23742214532871</v>
      </c>
      <c r="K358" s="67" cm="1">
        <f ca="1" t="array" ref="K358">MIN(18,_xlfn.XLOOKUP($D358&amp;"_"&amp;K$61,$B$23:$B$45&amp;"_"&amp;$C$23:$C$45,$D$23:$D$45)*$E358)</f>
        <v>1.31830911188005</v>
      </c>
      <c r="L358" s="67" cm="1">
        <f ca="1" t="array" ref="L358">MIN(6,_xlfn.XLOOKUP($D358&amp;"_"&amp;L$61,$B$23:$B$45&amp;"_"&amp;$C$23:$C$45,$D$23:$D$45)*$E358)</f>
        <v>1.97746366782007</v>
      </c>
      <c r="M358" s="67" cm="1">
        <f ca="1" t="array" ref="M358">(1+SUMPRODUCT(G358:H358,OFFSET($H$49:$I$49,D358,0)))*(1+OFFSET($J$49,D358,0))^I358*(1+OFFSET($K$49,D358,0))^J358*(1+OFFSET($L$49,D358,0))^K358*(1+OFFSET($M$49,D358,0))^L358</f>
        <v>81.5313844012665</v>
      </c>
      <c r="N358" s="67">
        <f ca="1">MAX(MAX($N$62:N357),OFFSET($C$61,MATCH(M358*1.07,$M$62:$M$2061,1),0)-C358)</f>
        <v>5760</v>
      </c>
    </row>
    <row r="359" spans="2:14">
      <c r="B359" s="67">
        <v>298</v>
      </c>
      <c r="C359" s="67">
        <f t="shared" si="38"/>
        <v>107280</v>
      </c>
      <c r="D359" s="67">
        <f t="shared" si="34"/>
        <v>5</v>
      </c>
      <c r="E359" s="67">
        <f ca="1" t="shared" si="35"/>
        <v>328</v>
      </c>
      <c r="F359" s="67">
        <f ca="1" t="shared" si="36"/>
        <v>0</v>
      </c>
      <c r="G359" s="67">
        <f ca="1" t="shared" si="37"/>
        <v>0.427278738946566</v>
      </c>
      <c r="H359" s="67" cm="1">
        <f ca="1" t="array" ref="H359">MIN(30-SUM(I359:L359),_xlfn.XLOOKUP($D359&amp;"_"&amp;H$61,$B$23:$B$45&amp;"_"&amp;$C$23:$C$45,$D$23:$D$45)*$E359,18)</f>
        <v>18</v>
      </c>
      <c r="I359" s="67" cm="1">
        <f ca="1" t="array" ref="I359">MIN(30-SUM(J359:L359),6-L359,_xlfn.XLOOKUP($D359&amp;"_"&amp;I$61,$B$23:$B$45&amp;"_"&amp;$C$23:$C$45,$D$23:$D$45)*$E359)</f>
        <v>4.01648904267589</v>
      </c>
      <c r="J359" s="67" cm="1">
        <f ca="1" t="array" ref="J359">MIN(8,_xlfn.XLOOKUP($D359&amp;"_"&amp;J$61,$B$23:$B$45&amp;"_"&amp;$C$23:$C$45,$D$23:$D$45)*$E359)</f>
        <v>4.25038062283736</v>
      </c>
      <c r="K359" s="67" cm="1">
        <f ca="1" t="array" ref="K359">MIN(18,_xlfn.XLOOKUP($D359&amp;"_"&amp;K$61,$B$23:$B$45&amp;"_"&amp;$C$23:$C$45,$D$23:$D$45)*$E359)</f>
        <v>1.32234063821607</v>
      </c>
      <c r="L359" s="67" cm="1">
        <f ca="1" t="array" ref="L359">MIN(6,_xlfn.XLOOKUP($D359&amp;"_"&amp;L$61,$B$23:$B$45&amp;"_"&amp;$C$23:$C$45,$D$23:$D$45)*$E359)</f>
        <v>1.98351095732411</v>
      </c>
      <c r="M359" s="67" cm="1">
        <f ca="1" t="array" ref="M359">(1+SUMPRODUCT(G359:H359,OFFSET($H$49:$I$49,D359,0)))*(1+OFFSET($J$49,D359,0))^I359*(1+OFFSET($K$49,D359,0))^J359*(1+OFFSET($L$49,D359,0))^K359*(1+OFFSET($M$49,D359,0))^L359</f>
        <v>81.8765004398731</v>
      </c>
      <c r="N359" s="67">
        <f ca="1">MAX(MAX($N$62:N358),OFFSET($C$61,MATCH(M359*1.07,$M$62:$M$2061,1),0)-C359)</f>
        <v>5760</v>
      </c>
    </row>
    <row r="360" spans="2:14">
      <c r="B360" s="67">
        <v>299</v>
      </c>
      <c r="C360" s="67">
        <f t="shared" si="38"/>
        <v>107640</v>
      </c>
      <c r="D360" s="67">
        <f t="shared" si="34"/>
        <v>5</v>
      </c>
      <c r="E360" s="67">
        <f ca="1" t="shared" si="35"/>
        <v>329</v>
      </c>
      <c r="F360" s="67">
        <f ca="1" t="shared" si="36"/>
        <v>0</v>
      </c>
      <c r="G360" s="67">
        <f ca="1" t="shared" si="37"/>
        <v>0.41028873510189</v>
      </c>
      <c r="H360" s="67" cm="1">
        <f ca="1" t="array" ref="H360">MIN(30-SUM(I360:L360),_xlfn.XLOOKUP($D360&amp;"_"&amp;H$61,$B$23:$B$45&amp;"_"&amp;$C$23:$C$45,$D$23:$D$45)*$E360,18)</f>
        <v>18</v>
      </c>
      <c r="I360" s="67" cm="1">
        <f ca="1" t="array" ref="I360">MIN(30-SUM(J360:L360),6-L360,_xlfn.XLOOKUP($D360&amp;"_"&amp;I$61,$B$23:$B$45&amp;"_"&amp;$C$23:$C$45,$D$23:$D$45)*$E360)</f>
        <v>4.01044175317186</v>
      </c>
      <c r="J360" s="67" cm="1">
        <f ca="1" t="array" ref="J360">MIN(8,_xlfn.XLOOKUP($D360&amp;"_"&amp;J$61,$B$23:$B$45&amp;"_"&amp;$C$23:$C$45,$D$23:$D$45)*$E360)</f>
        <v>4.26333910034601</v>
      </c>
      <c r="K360" s="67" cm="1">
        <f ca="1" t="array" ref="K360">MIN(18,_xlfn.XLOOKUP($D360&amp;"_"&amp;K$61,$B$23:$B$45&amp;"_"&amp;$C$23:$C$45,$D$23:$D$45)*$E360)</f>
        <v>1.3263721645521</v>
      </c>
      <c r="L360" s="67" cm="1">
        <f ca="1" t="array" ref="L360">MIN(6,_xlfn.XLOOKUP($D360&amp;"_"&amp;L$61,$B$23:$B$45&amp;"_"&amp;$C$23:$C$45,$D$23:$D$45)*$E360)</f>
        <v>1.98955824682814</v>
      </c>
      <c r="M360" s="67" cm="1">
        <f ca="1" t="array" ref="M360">(1+SUMPRODUCT(G360:H360,OFFSET($H$49:$I$49,D360,0)))*(1+OFFSET($J$49,D360,0))^I360*(1+OFFSET($K$49,D360,0))^J360*(1+OFFSET($L$49,D360,0))^K360*(1+OFFSET($M$49,D360,0))^L360</f>
        <v>82.2230615300523</v>
      </c>
      <c r="N360" s="67">
        <f ca="1">MAX(MAX($N$62:N359),OFFSET($C$61,MATCH(M360*1.07,$M$62:$M$2061,1),0)-C360)</f>
        <v>5760</v>
      </c>
    </row>
    <row r="361" spans="2:14">
      <c r="B361" s="67">
        <v>300</v>
      </c>
      <c r="C361" s="67">
        <f t="shared" si="38"/>
        <v>108000</v>
      </c>
      <c r="D361" s="67">
        <f t="shared" si="34"/>
        <v>5</v>
      </c>
      <c r="E361" s="67">
        <f ca="1" t="shared" si="35"/>
        <v>330</v>
      </c>
      <c r="F361" s="67">
        <f ca="1" t="shared" si="36"/>
        <v>0</v>
      </c>
      <c r="G361" s="67">
        <f ca="1" t="shared" si="37"/>
        <v>0.393298731257211</v>
      </c>
      <c r="H361" s="67" cm="1">
        <f ca="1" t="array" ref="H361">MIN(30-SUM(I361:L361),_xlfn.XLOOKUP($D361&amp;"_"&amp;H$61,$B$23:$B$45&amp;"_"&amp;$C$23:$C$45,$D$23:$D$45)*$E361,18)</f>
        <v>18</v>
      </c>
      <c r="I361" s="67" cm="1">
        <f ca="1" t="array" ref="I361">MIN(30-SUM(J361:L361),6-L361,_xlfn.XLOOKUP($D361&amp;"_"&amp;I$61,$B$23:$B$45&amp;"_"&amp;$C$23:$C$45,$D$23:$D$45)*$E361)</f>
        <v>4.00439446366782</v>
      </c>
      <c r="J361" s="67" cm="1">
        <f ca="1" t="array" ref="J361">MIN(8,_xlfn.XLOOKUP($D361&amp;"_"&amp;J$61,$B$23:$B$45&amp;"_"&amp;$C$23:$C$45,$D$23:$D$45)*$E361)</f>
        <v>4.27629757785467</v>
      </c>
      <c r="K361" s="67" cm="1">
        <f ca="1" t="array" ref="K361">MIN(18,_xlfn.XLOOKUP($D361&amp;"_"&amp;K$61,$B$23:$B$45&amp;"_"&amp;$C$23:$C$45,$D$23:$D$45)*$E361)</f>
        <v>1.33040369088812</v>
      </c>
      <c r="L361" s="67" cm="1">
        <f ca="1" t="array" ref="L361">MIN(6,_xlfn.XLOOKUP($D361&amp;"_"&amp;L$61,$B$23:$B$45&amp;"_"&amp;$C$23:$C$45,$D$23:$D$45)*$E361)</f>
        <v>1.99560553633218</v>
      </c>
      <c r="M361" s="67" cm="1">
        <f ca="1" t="array" ref="M361">(1+SUMPRODUCT(G361:H361,OFFSET($H$49:$I$49,D361,0)))*(1+OFFSET($J$49,D361,0))^I361*(1+OFFSET($K$49,D361,0))^J361*(1+OFFSET($L$49,D361,0))^K361*(1+OFFSET($M$49,D361,0))^L361</f>
        <v>82.5710736409448</v>
      </c>
      <c r="N361" s="67">
        <f ca="1">MAX(MAX($N$62:N360),OFFSET($C$61,MATCH(M361*1.07,$M$62:$M$2061,1),0)-C361)</f>
        <v>5760</v>
      </c>
    </row>
    <row r="362" spans="2:14">
      <c r="B362" s="67">
        <v>301</v>
      </c>
      <c r="C362" s="67">
        <f t="shared" si="38"/>
        <v>108360</v>
      </c>
      <c r="D362" s="67">
        <f t="shared" si="34"/>
        <v>5</v>
      </c>
      <c r="E362" s="67">
        <f ca="1" t="shared" si="35"/>
        <v>331</v>
      </c>
      <c r="F362" s="67">
        <f ca="1" t="shared" si="36"/>
        <v>0</v>
      </c>
      <c r="G362" s="67">
        <f ca="1" t="shared" si="37"/>
        <v>0.376308727412535</v>
      </c>
      <c r="H362" s="67" cm="1">
        <f ca="1" t="array" ref="H362">MIN(30-SUM(I362:L362),_xlfn.XLOOKUP($D362&amp;"_"&amp;H$61,$B$23:$B$45&amp;"_"&amp;$C$23:$C$45,$D$23:$D$45)*$E362,18)</f>
        <v>18</v>
      </c>
      <c r="I362" s="67" cm="1">
        <f ca="1" t="array" ref="I362">MIN(30-SUM(J362:L362),6-L362,_xlfn.XLOOKUP($D362&amp;"_"&amp;I$61,$B$23:$B$45&amp;"_"&amp;$C$23:$C$45,$D$23:$D$45)*$E362)</f>
        <v>3.99834717416378</v>
      </c>
      <c r="J362" s="67" cm="1">
        <f ca="1" t="array" ref="J362">MIN(8,_xlfn.XLOOKUP($D362&amp;"_"&amp;J$61,$B$23:$B$45&amp;"_"&amp;$C$23:$C$45,$D$23:$D$45)*$E362)</f>
        <v>4.28925605536332</v>
      </c>
      <c r="K362" s="67" cm="1">
        <f ca="1" t="array" ref="K362">MIN(18,_xlfn.XLOOKUP($D362&amp;"_"&amp;K$61,$B$23:$B$45&amp;"_"&amp;$C$23:$C$45,$D$23:$D$45)*$E362)</f>
        <v>1.33443521722415</v>
      </c>
      <c r="L362" s="67" cm="1">
        <f ca="1" t="array" ref="L362">MIN(6,_xlfn.XLOOKUP($D362&amp;"_"&amp;L$61,$B$23:$B$45&amp;"_"&amp;$C$23:$C$45,$D$23:$D$45)*$E362)</f>
        <v>2.00165282583622</v>
      </c>
      <c r="M362" s="67" cm="1">
        <f ca="1" t="array" ref="M362">(1+SUMPRODUCT(G362:H362,OFFSET($H$49:$I$49,D362,0)))*(1+OFFSET($J$49,D362,0))^I362*(1+OFFSET($K$49,D362,0))^J362*(1+OFFSET($L$49,D362,0))^K362*(1+OFFSET($M$49,D362,0))^L362</f>
        <v>82.9205427659234</v>
      </c>
      <c r="N362" s="67">
        <f ca="1">MAX(MAX($N$62:N361),OFFSET($C$61,MATCH(M362*1.07,$M$62:$M$2061,1),0)-C362)</f>
        <v>5760</v>
      </c>
    </row>
    <row r="363" spans="2:14">
      <c r="B363" s="67">
        <v>302</v>
      </c>
      <c r="C363" s="67">
        <f t="shared" si="38"/>
        <v>108720</v>
      </c>
      <c r="D363" s="67">
        <f t="shared" si="34"/>
        <v>5</v>
      </c>
      <c r="E363" s="67">
        <f ca="1" t="shared" si="35"/>
        <v>332</v>
      </c>
      <c r="F363" s="67">
        <f ca="1" t="shared" si="36"/>
        <v>0</v>
      </c>
      <c r="G363" s="67">
        <f ca="1" t="shared" si="37"/>
        <v>0.35931872356786</v>
      </c>
      <c r="H363" s="67" cm="1">
        <f ca="1" t="array" ref="H363">MIN(30-SUM(I363:L363),_xlfn.XLOOKUP($D363&amp;"_"&amp;H$61,$B$23:$B$45&amp;"_"&amp;$C$23:$C$45,$D$23:$D$45)*$E363,18)</f>
        <v>18</v>
      </c>
      <c r="I363" s="67" cm="1">
        <f ca="1" t="array" ref="I363">MIN(30-SUM(J363:L363),6-L363,_xlfn.XLOOKUP($D363&amp;"_"&amp;I$61,$B$23:$B$45&amp;"_"&amp;$C$23:$C$45,$D$23:$D$45)*$E363)</f>
        <v>3.99229988465975</v>
      </c>
      <c r="J363" s="67" cm="1">
        <f ca="1" t="array" ref="J363">MIN(8,_xlfn.XLOOKUP($D363&amp;"_"&amp;J$61,$B$23:$B$45&amp;"_"&amp;$C$23:$C$45,$D$23:$D$45)*$E363)</f>
        <v>4.30221453287197</v>
      </c>
      <c r="K363" s="67" cm="1">
        <f ca="1" t="array" ref="K363">MIN(18,_xlfn.XLOOKUP($D363&amp;"_"&amp;K$61,$B$23:$B$45&amp;"_"&amp;$C$23:$C$45,$D$23:$D$45)*$E363)</f>
        <v>1.33846674356017</v>
      </c>
      <c r="L363" s="67" cm="1">
        <f ca="1" t="array" ref="L363">MIN(6,_xlfn.XLOOKUP($D363&amp;"_"&amp;L$61,$B$23:$B$45&amp;"_"&amp;$C$23:$C$45,$D$23:$D$45)*$E363)</f>
        <v>2.00770011534025</v>
      </c>
      <c r="M363" s="67" cm="1">
        <f ca="1" t="array" ref="M363">(1+SUMPRODUCT(G363:H363,OFFSET($H$49:$I$49,D363,0)))*(1+OFFSET($J$49,D363,0))^I363*(1+OFFSET($K$49,D363,0))^J363*(1+OFFSET($L$49,D363,0))^K363*(1+OFFSET($M$49,D363,0))^L363</f>
        <v>83.2714749226889</v>
      </c>
      <c r="N363" s="67">
        <f ca="1">MAX(MAX($N$62:N362),OFFSET($C$61,MATCH(M363*1.07,$M$62:$M$2061,1),0)-C363)</f>
        <v>5760</v>
      </c>
    </row>
    <row r="364" spans="2:14">
      <c r="B364" s="67">
        <v>303</v>
      </c>
      <c r="C364" s="67">
        <f t="shared" si="38"/>
        <v>109080</v>
      </c>
      <c r="D364" s="67">
        <f t="shared" si="34"/>
        <v>5</v>
      </c>
      <c r="E364" s="67">
        <f ca="1" t="shared" si="35"/>
        <v>333</v>
      </c>
      <c r="F364" s="67">
        <f ca="1" t="shared" si="36"/>
        <v>0</v>
      </c>
      <c r="G364" s="67">
        <f ca="1" t="shared" si="37"/>
        <v>0.342328719723188</v>
      </c>
      <c r="H364" s="67" cm="1">
        <f ca="1" t="array" ref="H364">MIN(30-SUM(I364:L364),_xlfn.XLOOKUP($D364&amp;"_"&amp;H$61,$B$23:$B$45&amp;"_"&amp;$C$23:$C$45,$D$23:$D$45)*$E364,18)</f>
        <v>18</v>
      </c>
      <c r="I364" s="67" cm="1">
        <f ca="1" t="array" ref="I364">MIN(30-SUM(J364:L364),6-L364,_xlfn.XLOOKUP($D364&amp;"_"&amp;I$61,$B$23:$B$45&amp;"_"&amp;$C$23:$C$45,$D$23:$D$45)*$E364)</f>
        <v>3.98625259515571</v>
      </c>
      <c r="J364" s="67" cm="1">
        <f ca="1" t="array" ref="J364">MIN(8,_xlfn.XLOOKUP($D364&amp;"_"&amp;J$61,$B$23:$B$45&amp;"_"&amp;$C$23:$C$45,$D$23:$D$45)*$E364)</f>
        <v>4.31517301038062</v>
      </c>
      <c r="K364" s="67" cm="1">
        <f ca="1" t="array" ref="K364">MIN(18,_xlfn.XLOOKUP($D364&amp;"_"&amp;K$61,$B$23:$B$45&amp;"_"&amp;$C$23:$C$45,$D$23:$D$45)*$E364)</f>
        <v>1.3424982698962</v>
      </c>
      <c r="L364" s="67" cm="1">
        <f ca="1" t="array" ref="L364">MIN(6,_xlfn.XLOOKUP($D364&amp;"_"&amp;L$61,$B$23:$B$45&amp;"_"&amp;$C$23:$C$45,$D$23:$D$45)*$E364)</f>
        <v>2.01374740484429</v>
      </c>
      <c r="M364" s="67" cm="1">
        <f ca="1" t="array" ref="M364">(1+SUMPRODUCT(G364:H364,OFFSET($H$49:$I$49,D364,0)))*(1+OFFSET($J$49,D364,0))^I364*(1+OFFSET($K$49,D364,0))^J364*(1+OFFSET($L$49,D364,0))^K364*(1+OFFSET($M$49,D364,0))^L364</f>
        <v>83.6238761533664</v>
      </c>
      <c r="N364" s="67">
        <f ca="1">MAX(MAX($N$62:N363),OFFSET($C$61,MATCH(M364*1.07,$M$62:$M$2061,1),0)-C364)</f>
        <v>5760</v>
      </c>
    </row>
    <row r="365" spans="2:14">
      <c r="B365" s="67">
        <v>304</v>
      </c>
      <c r="C365" s="67">
        <f t="shared" si="38"/>
        <v>109440</v>
      </c>
      <c r="D365" s="67">
        <f t="shared" si="34"/>
        <v>5</v>
      </c>
      <c r="E365" s="67">
        <f ca="1" t="shared" si="35"/>
        <v>334</v>
      </c>
      <c r="F365" s="67">
        <f ca="1" t="shared" si="36"/>
        <v>0</v>
      </c>
      <c r="G365" s="67">
        <f ca="1" t="shared" si="37"/>
        <v>0.325338715878516</v>
      </c>
      <c r="H365" s="67" cm="1">
        <f ca="1" t="array" ref="H365">MIN(30-SUM(I365:L365),_xlfn.XLOOKUP($D365&amp;"_"&amp;H$61,$B$23:$B$45&amp;"_"&amp;$C$23:$C$45,$D$23:$D$45)*$E365,18)</f>
        <v>18</v>
      </c>
      <c r="I365" s="67" cm="1">
        <f ca="1" t="array" ref="I365">MIN(30-SUM(J365:L365),6-L365,_xlfn.XLOOKUP($D365&amp;"_"&amp;I$61,$B$23:$B$45&amp;"_"&amp;$C$23:$C$45,$D$23:$D$45)*$E365)</f>
        <v>3.98020530565167</v>
      </c>
      <c r="J365" s="67" cm="1">
        <f ca="1" t="array" ref="J365">MIN(8,_xlfn.XLOOKUP($D365&amp;"_"&amp;J$61,$B$23:$B$45&amp;"_"&amp;$C$23:$C$45,$D$23:$D$45)*$E365)</f>
        <v>4.32813148788927</v>
      </c>
      <c r="K365" s="67" cm="1">
        <f ca="1" t="array" ref="K365">MIN(18,_xlfn.XLOOKUP($D365&amp;"_"&amp;K$61,$B$23:$B$45&amp;"_"&amp;$C$23:$C$45,$D$23:$D$45)*$E365)</f>
        <v>1.34652979623222</v>
      </c>
      <c r="L365" s="67" cm="1">
        <f ca="1" t="array" ref="L365">MIN(6,_xlfn.XLOOKUP($D365&amp;"_"&amp;L$61,$B$23:$B$45&amp;"_"&amp;$C$23:$C$45,$D$23:$D$45)*$E365)</f>
        <v>2.01979469434833</v>
      </c>
      <c r="M365" s="67" cm="1">
        <f ca="1" t="array" ref="M365">(1+SUMPRODUCT(G365:H365,OFFSET($H$49:$I$49,D365,0)))*(1+OFFSET($J$49,D365,0))^I365*(1+OFFSET($K$49,D365,0))^J365*(1+OFFSET($L$49,D365,0))^K365*(1+OFFSET($M$49,D365,0))^L365</f>
        <v>83.9777525246029</v>
      </c>
      <c r="N365" s="67">
        <f ca="1">MAX(MAX($N$62:N364),OFFSET($C$61,MATCH(M365*1.07,$M$62:$M$2061,1),0)-C365)</f>
        <v>5760</v>
      </c>
    </row>
    <row r="366" spans="2:14">
      <c r="B366" s="67">
        <v>305</v>
      </c>
      <c r="C366" s="67">
        <f t="shared" si="38"/>
        <v>109800</v>
      </c>
      <c r="D366" s="67">
        <f t="shared" si="34"/>
        <v>5</v>
      </c>
      <c r="E366" s="67">
        <f ca="1" t="shared" si="35"/>
        <v>335</v>
      </c>
      <c r="F366" s="67">
        <f ca="1" t="shared" si="36"/>
        <v>0</v>
      </c>
      <c r="G366" s="67">
        <f ca="1" t="shared" si="37"/>
        <v>0.30834871203384</v>
      </c>
      <c r="H366" s="67" cm="1">
        <f ca="1" t="array" ref="H366">MIN(30-SUM(I366:L366),_xlfn.XLOOKUP($D366&amp;"_"&amp;H$61,$B$23:$B$45&amp;"_"&amp;$C$23:$C$45,$D$23:$D$45)*$E366,18)</f>
        <v>18</v>
      </c>
      <c r="I366" s="67" cm="1">
        <f ca="1" t="array" ref="I366">MIN(30-SUM(J366:L366),6-L366,_xlfn.XLOOKUP($D366&amp;"_"&amp;I$61,$B$23:$B$45&amp;"_"&amp;$C$23:$C$45,$D$23:$D$45)*$E366)</f>
        <v>3.97415801614763</v>
      </c>
      <c r="J366" s="67" cm="1">
        <f ca="1" t="array" ref="J366">MIN(8,_xlfn.XLOOKUP($D366&amp;"_"&amp;J$61,$B$23:$B$45&amp;"_"&amp;$C$23:$C$45,$D$23:$D$45)*$E366)</f>
        <v>4.34108996539792</v>
      </c>
      <c r="K366" s="67" cm="1">
        <f ca="1" t="array" ref="K366">MIN(18,_xlfn.XLOOKUP($D366&amp;"_"&amp;K$61,$B$23:$B$45&amp;"_"&amp;$C$23:$C$45,$D$23:$D$45)*$E366)</f>
        <v>1.35056132256824</v>
      </c>
      <c r="L366" s="67" cm="1">
        <f ca="1" t="array" ref="L366">MIN(6,_xlfn.XLOOKUP($D366&amp;"_"&amp;L$61,$B$23:$B$45&amp;"_"&amp;$C$23:$C$45,$D$23:$D$45)*$E366)</f>
        <v>2.02584198385237</v>
      </c>
      <c r="M366" s="67" cm="1">
        <f ca="1" t="array" ref="M366">(1+SUMPRODUCT(G366:H366,OFFSET($H$49:$I$49,D366,0)))*(1+OFFSET($J$49,D366,0))^I366*(1+OFFSET($K$49,D366,0))^J366*(1+OFFSET($L$49,D366,0))^K366*(1+OFFSET($M$49,D366,0))^L366</f>
        <v>84.3331101276636</v>
      </c>
      <c r="N366" s="67">
        <f ca="1">MAX(MAX($N$62:N365),OFFSET($C$61,MATCH(M366*1.07,$M$62:$M$2061,1),0)-C366)</f>
        <v>5760</v>
      </c>
    </row>
    <row r="367" spans="2:14">
      <c r="B367" s="67">
        <v>306</v>
      </c>
      <c r="C367" s="67">
        <f t="shared" si="38"/>
        <v>110160</v>
      </c>
      <c r="D367" s="67">
        <f t="shared" si="34"/>
        <v>5</v>
      </c>
      <c r="E367" s="67">
        <f ca="1" t="shared" si="35"/>
        <v>336</v>
      </c>
      <c r="F367" s="67">
        <f ca="1" t="shared" si="36"/>
        <v>0</v>
      </c>
      <c r="G367" s="67">
        <f ca="1" t="shared" si="37"/>
        <v>0.291358708189165</v>
      </c>
      <c r="H367" s="67" cm="1">
        <f ca="1" t="array" ref="H367">MIN(30-SUM(I367:L367),_xlfn.XLOOKUP($D367&amp;"_"&amp;H$61,$B$23:$B$45&amp;"_"&amp;$C$23:$C$45,$D$23:$D$45)*$E367,18)</f>
        <v>18</v>
      </c>
      <c r="I367" s="67" cm="1">
        <f ca="1" t="array" ref="I367">MIN(30-SUM(J367:L367),6-L367,_xlfn.XLOOKUP($D367&amp;"_"&amp;I$61,$B$23:$B$45&amp;"_"&amp;$C$23:$C$45,$D$23:$D$45)*$E367)</f>
        <v>3.9681107266436</v>
      </c>
      <c r="J367" s="67" cm="1">
        <f ca="1" t="array" ref="J367">MIN(8,_xlfn.XLOOKUP($D367&amp;"_"&amp;J$61,$B$23:$B$45&amp;"_"&amp;$C$23:$C$45,$D$23:$D$45)*$E367)</f>
        <v>4.35404844290657</v>
      </c>
      <c r="K367" s="67" cm="1">
        <f ca="1" t="array" ref="K367">MIN(18,_xlfn.XLOOKUP($D367&amp;"_"&amp;K$61,$B$23:$B$45&amp;"_"&amp;$C$23:$C$45,$D$23:$D$45)*$E367)</f>
        <v>1.35459284890427</v>
      </c>
      <c r="L367" s="67" cm="1">
        <f ca="1" t="array" ref="L367">MIN(6,_xlfn.XLOOKUP($D367&amp;"_"&amp;L$61,$B$23:$B$45&amp;"_"&amp;$C$23:$C$45,$D$23:$D$45)*$E367)</f>
        <v>2.0318892733564</v>
      </c>
      <c r="M367" s="67" cm="1">
        <f ca="1" t="array" ref="M367">(1+SUMPRODUCT(G367:H367,OFFSET($H$49:$I$49,D367,0)))*(1+OFFSET($J$49,D367,0))^I367*(1+OFFSET($K$49,D367,0))^J367*(1+OFFSET($L$49,D367,0))^K367*(1+OFFSET($M$49,D367,0))^L367</f>
        <v>84.68995507853</v>
      </c>
      <c r="N367" s="67">
        <f ca="1">MAX(MAX($N$62:N366),OFFSET($C$61,MATCH(M367*1.07,$M$62:$M$2061,1),0)-C367)</f>
        <v>5760</v>
      </c>
    </row>
    <row r="368" spans="2:14">
      <c r="B368" s="67">
        <v>307</v>
      </c>
      <c r="C368" s="67">
        <f t="shared" si="38"/>
        <v>110520</v>
      </c>
      <c r="D368" s="67">
        <f t="shared" si="34"/>
        <v>5</v>
      </c>
      <c r="E368" s="67">
        <f ca="1" t="shared" si="35"/>
        <v>337</v>
      </c>
      <c r="F368" s="67">
        <f ca="1" t="shared" si="36"/>
        <v>0</v>
      </c>
      <c r="G368" s="67">
        <f ca="1" t="shared" si="37"/>
        <v>0.274368704344489</v>
      </c>
      <c r="H368" s="67" cm="1">
        <f ca="1" t="array" ref="H368">MIN(30-SUM(I368:L368),_xlfn.XLOOKUP($D368&amp;"_"&amp;H$61,$B$23:$B$45&amp;"_"&amp;$C$23:$C$45,$D$23:$D$45)*$E368,18)</f>
        <v>18</v>
      </c>
      <c r="I368" s="67" cm="1">
        <f ca="1" t="array" ref="I368">MIN(30-SUM(J368:L368),6-L368,_xlfn.XLOOKUP($D368&amp;"_"&amp;I$61,$B$23:$B$45&amp;"_"&amp;$C$23:$C$45,$D$23:$D$45)*$E368)</f>
        <v>3.96206343713956</v>
      </c>
      <c r="J368" s="67" cm="1">
        <f ca="1" t="array" ref="J368">MIN(8,_xlfn.XLOOKUP($D368&amp;"_"&amp;J$61,$B$23:$B$45&amp;"_"&amp;$C$23:$C$45,$D$23:$D$45)*$E368)</f>
        <v>4.36700692041522</v>
      </c>
      <c r="K368" s="67" cm="1">
        <f ca="1" t="array" ref="K368">MIN(18,_xlfn.XLOOKUP($D368&amp;"_"&amp;K$61,$B$23:$B$45&amp;"_"&amp;$C$23:$C$45,$D$23:$D$45)*$E368)</f>
        <v>1.35862437524029</v>
      </c>
      <c r="L368" s="67" cm="1">
        <f ca="1" t="array" ref="L368">MIN(6,_xlfn.XLOOKUP($D368&amp;"_"&amp;L$61,$B$23:$B$45&amp;"_"&amp;$C$23:$C$45,$D$23:$D$45)*$E368)</f>
        <v>2.03793656286044</v>
      </c>
      <c r="M368" s="67" cm="1">
        <f ca="1" t="array" ref="M368">(1+SUMPRODUCT(G368:H368,OFFSET($H$49:$I$49,D368,0)))*(1+OFFSET($J$49,D368,0))^I368*(1+OFFSET($K$49,D368,0))^J368*(1+OFFSET($L$49,D368,0))^K368*(1+OFFSET($M$49,D368,0))^L368</f>
        <v>85.0482935179982</v>
      </c>
      <c r="N368" s="67">
        <f ca="1">MAX(MAX($N$62:N367),OFFSET($C$61,MATCH(M368*1.07,$M$62:$M$2061,1),0)-C368)</f>
        <v>5760</v>
      </c>
    </row>
    <row r="369" spans="2:14">
      <c r="B369" s="67">
        <v>308</v>
      </c>
      <c r="C369" s="67">
        <f t="shared" si="38"/>
        <v>110880</v>
      </c>
      <c r="D369" s="67">
        <f t="shared" si="34"/>
        <v>5</v>
      </c>
      <c r="E369" s="67">
        <f ca="1" t="shared" si="35"/>
        <v>338</v>
      </c>
      <c r="F369" s="67">
        <f ca="1" t="shared" si="36"/>
        <v>0</v>
      </c>
      <c r="G369" s="67">
        <f ca="1" t="shared" si="37"/>
        <v>0.257378700499814</v>
      </c>
      <c r="H369" s="67" cm="1">
        <f ca="1" t="array" ref="H369">MIN(30-SUM(I369:L369),_xlfn.XLOOKUP($D369&amp;"_"&amp;H$61,$B$23:$B$45&amp;"_"&amp;$C$23:$C$45,$D$23:$D$45)*$E369,18)</f>
        <v>18</v>
      </c>
      <c r="I369" s="67" cm="1">
        <f ca="1" t="array" ref="I369">MIN(30-SUM(J369:L369),6-L369,_xlfn.XLOOKUP($D369&amp;"_"&amp;I$61,$B$23:$B$45&amp;"_"&amp;$C$23:$C$45,$D$23:$D$45)*$E369)</f>
        <v>3.95601614763552</v>
      </c>
      <c r="J369" s="67" cm="1">
        <f ca="1" t="array" ref="J369">MIN(8,_xlfn.XLOOKUP($D369&amp;"_"&amp;J$61,$B$23:$B$45&amp;"_"&amp;$C$23:$C$45,$D$23:$D$45)*$E369)</f>
        <v>4.37996539792387</v>
      </c>
      <c r="K369" s="67" cm="1">
        <f ca="1" t="array" ref="K369">MIN(18,_xlfn.XLOOKUP($D369&amp;"_"&amp;K$61,$B$23:$B$45&amp;"_"&amp;$C$23:$C$45,$D$23:$D$45)*$E369)</f>
        <v>1.36265590157632</v>
      </c>
      <c r="L369" s="67" cm="1">
        <f ca="1" t="array" ref="L369">MIN(6,_xlfn.XLOOKUP($D369&amp;"_"&amp;L$61,$B$23:$B$45&amp;"_"&amp;$C$23:$C$45,$D$23:$D$45)*$E369)</f>
        <v>2.04398385236448</v>
      </c>
      <c r="M369" s="67" cm="1">
        <f ca="1" t="array" ref="M369">(1+SUMPRODUCT(G369:H369,OFFSET($H$49:$I$49,D369,0)))*(1+OFFSET($J$49,D369,0))^I369*(1+OFFSET($K$49,D369,0))^J369*(1+OFFSET($L$49,D369,0))^K369*(1+OFFSET($M$49,D369,0))^L369</f>
        <v>85.4081316117764</v>
      </c>
      <c r="N369" s="67">
        <f ca="1">MAX(MAX($N$62:N368),OFFSET($C$61,MATCH(M369*1.07,$M$62:$M$2061,1),0)-C369)</f>
        <v>5760</v>
      </c>
    </row>
    <row r="370" spans="2:14">
      <c r="B370" s="67">
        <v>309</v>
      </c>
      <c r="C370" s="67">
        <f t="shared" si="38"/>
        <v>111240</v>
      </c>
      <c r="D370" s="67">
        <f t="shared" si="34"/>
        <v>5</v>
      </c>
      <c r="E370" s="67">
        <f ca="1" t="shared" si="35"/>
        <v>339</v>
      </c>
      <c r="F370" s="67">
        <f ca="1" t="shared" si="36"/>
        <v>0</v>
      </c>
      <c r="G370" s="67">
        <f ca="1" t="shared" si="37"/>
        <v>0.240388696655138</v>
      </c>
      <c r="H370" s="67" cm="1">
        <f ca="1" t="array" ref="H370">MIN(30-SUM(I370:L370),_xlfn.XLOOKUP($D370&amp;"_"&amp;H$61,$B$23:$B$45&amp;"_"&amp;$C$23:$C$45,$D$23:$D$45)*$E370,18)</f>
        <v>18</v>
      </c>
      <c r="I370" s="67" cm="1">
        <f ca="1" t="array" ref="I370">MIN(30-SUM(J370:L370),6-L370,_xlfn.XLOOKUP($D370&amp;"_"&amp;I$61,$B$23:$B$45&amp;"_"&amp;$C$23:$C$45,$D$23:$D$45)*$E370)</f>
        <v>3.94996885813149</v>
      </c>
      <c r="J370" s="67" cm="1">
        <f ca="1" t="array" ref="J370">MIN(8,_xlfn.XLOOKUP($D370&amp;"_"&amp;J$61,$B$23:$B$45&amp;"_"&amp;$C$23:$C$45,$D$23:$D$45)*$E370)</f>
        <v>4.39292387543252</v>
      </c>
      <c r="K370" s="67" cm="1">
        <f ca="1" t="array" ref="K370">MIN(18,_xlfn.XLOOKUP($D370&amp;"_"&amp;K$61,$B$23:$B$45&amp;"_"&amp;$C$23:$C$45,$D$23:$D$45)*$E370)</f>
        <v>1.36668742791234</v>
      </c>
      <c r="L370" s="67" cm="1">
        <f ca="1" t="array" ref="L370">MIN(6,_xlfn.XLOOKUP($D370&amp;"_"&amp;L$61,$B$23:$B$45&amp;"_"&amp;$C$23:$C$45,$D$23:$D$45)*$E370)</f>
        <v>2.05003114186851</v>
      </c>
      <c r="M370" s="67" cm="1">
        <f ca="1" t="array" ref="M370">(1+SUMPRODUCT(G370:H370,OFFSET($H$49:$I$49,D370,0)))*(1+OFFSET($J$49,D370,0))^I370*(1+OFFSET($K$49,D370,0))^J370*(1+OFFSET($L$49,D370,0))^K370*(1+OFFSET($M$49,D370,0))^L370</f>
        <v>85.7694755505844</v>
      </c>
      <c r="N370" s="67">
        <f ca="1">MAX(MAX($N$62:N369),OFFSET($C$61,MATCH(M370*1.07,$M$62:$M$2061,1),0)-C370)</f>
        <v>5760</v>
      </c>
    </row>
    <row r="371" spans="2:14">
      <c r="B371" s="67">
        <v>310</v>
      </c>
      <c r="C371" s="67">
        <f t="shared" si="38"/>
        <v>111600</v>
      </c>
      <c r="D371" s="67">
        <f t="shared" si="34"/>
        <v>5</v>
      </c>
      <c r="E371" s="67">
        <f ca="1" t="shared" si="35"/>
        <v>340</v>
      </c>
      <c r="F371" s="67">
        <f ca="1" t="shared" si="36"/>
        <v>0</v>
      </c>
      <c r="G371" s="67">
        <f ca="1" t="shared" si="37"/>
        <v>0.223398692810463</v>
      </c>
      <c r="H371" s="67" cm="1">
        <f ca="1" t="array" ref="H371">MIN(30-SUM(I371:L371),_xlfn.XLOOKUP($D371&amp;"_"&amp;H$61,$B$23:$B$45&amp;"_"&amp;$C$23:$C$45,$D$23:$D$45)*$E371,18)</f>
        <v>18</v>
      </c>
      <c r="I371" s="67" cm="1">
        <f ca="1" t="array" ref="I371">MIN(30-SUM(J371:L371),6-L371,_xlfn.XLOOKUP($D371&amp;"_"&amp;I$61,$B$23:$B$45&amp;"_"&amp;$C$23:$C$45,$D$23:$D$45)*$E371)</f>
        <v>3.94392156862745</v>
      </c>
      <c r="J371" s="67" cm="1">
        <f ca="1" t="array" ref="J371">MIN(8,_xlfn.XLOOKUP($D371&amp;"_"&amp;J$61,$B$23:$B$45&amp;"_"&amp;$C$23:$C$45,$D$23:$D$45)*$E371)</f>
        <v>4.40588235294117</v>
      </c>
      <c r="K371" s="67" cm="1">
        <f ca="1" t="array" ref="K371">MIN(18,_xlfn.XLOOKUP($D371&amp;"_"&amp;K$61,$B$23:$B$45&amp;"_"&amp;$C$23:$C$45,$D$23:$D$45)*$E371)</f>
        <v>1.37071895424837</v>
      </c>
      <c r="L371" s="67" cm="1">
        <f ca="1" t="array" ref="L371">MIN(6,_xlfn.XLOOKUP($D371&amp;"_"&amp;L$61,$B$23:$B$45&amp;"_"&amp;$C$23:$C$45,$D$23:$D$45)*$E371)</f>
        <v>2.05607843137255</v>
      </c>
      <c r="M371" s="67" cm="1">
        <f ca="1" t="array" ref="M371">(1+SUMPRODUCT(G371:H371,OFFSET($H$49:$I$49,D371,0)))*(1+OFFSET($J$49,D371,0))^I371*(1+OFFSET($K$49,D371,0))^J371*(1+OFFSET($L$49,D371,0))^K371*(1+OFFSET($M$49,D371,0))^L371</f>
        <v>86.1323315502525</v>
      </c>
      <c r="N371" s="67">
        <f ca="1">MAX(MAX($N$62:N370),OFFSET($C$61,MATCH(M371*1.07,$M$62:$M$2061,1),0)-C371)</f>
        <v>5760</v>
      </c>
    </row>
    <row r="372" spans="2:14">
      <c r="B372" s="67">
        <v>311</v>
      </c>
      <c r="C372" s="67">
        <f t="shared" si="38"/>
        <v>111960</v>
      </c>
      <c r="D372" s="67">
        <f t="shared" si="34"/>
        <v>5</v>
      </c>
      <c r="E372" s="67">
        <f ca="1" t="shared" si="35"/>
        <v>341</v>
      </c>
      <c r="F372" s="67">
        <f ca="1" t="shared" si="36"/>
        <v>0</v>
      </c>
      <c r="G372" s="67">
        <f ca="1" t="shared" si="37"/>
        <v>0.206408688965787</v>
      </c>
      <c r="H372" s="67" cm="1">
        <f ca="1" t="array" ref="H372">MIN(30-SUM(I372:L372),_xlfn.XLOOKUP($D372&amp;"_"&amp;H$61,$B$23:$B$45&amp;"_"&amp;$C$23:$C$45,$D$23:$D$45)*$E372,18)</f>
        <v>18</v>
      </c>
      <c r="I372" s="67" cm="1">
        <f ca="1" t="array" ref="I372">MIN(30-SUM(J372:L372),6-L372,_xlfn.XLOOKUP($D372&amp;"_"&amp;I$61,$B$23:$B$45&amp;"_"&amp;$C$23:$C$45,$D$23:$D$45)*$E372)</f>
        <v>3.93787427912341</v>
      </c>
      <c r="J372" s="67" cm="1">
        <f ca="1" t="array" ref="J372">MIN(8,_xlfn.XLOOKUP($D372&amp;"_"&amp;J$61,$B$23:$B$45&amp;"_"&amp;$C$23:$C$45,$D$23:$D$45)*$E372)</f>
        <v>4.41884083044982</v>
      </c>
      <c r="K372" s="67" cm="1">
        <f ca="1" t="array" ref="K372">MIN(18,_xlfn.XLOOKUP($D372&amp;"_"&amp;K$61,$B$23:$B$45&amp;"_"&amp;$C$23:$C$45,$D$23:$D$45)*$E372)</f>
        <v>1.37475048058439</v>
      </c>
      <c r="L372" s="67" cm="1">
        <f ca="1" t="array" ref="L372">MIN(6,_xlfn.XLOOKUP($D372&amp;"_"&amp;L$61,$B$23:$B$45&amp;"_"&amp;$C$23:$C$45,$D$23:$D$45)*$E372)</f>
        <v>2.06212572087659</v>
      </c>
      <c r="M372" s="67" cm="1">
        <f ca="1" t="array" ref="M372">(1+SUMPRODUCT(G372:H372,OFFSET($H$49:$I$49,D372,0)))*(1+OFFSET($J$49,D372,0))^I372*(1+OFFSET($K$49,D372,0))^J372*(1+OFFSET($L$49,D372,0))^K372*(1+OFFSET($M$49,D372,0))^L372</f>
        <v>86.4967058518209</v>
      </c>
      <c r="N372" s="67">
        <f ca="1">MAX(MAX($N$62:N371),OFFSET($C$61,MATCH(M372*1.07,$M$62:$M$2061,1),0)-C372)</f>
        <v>5760</v>
      </c>
    </row>
    <row r="373" spans="2:14">
      <c r="B373" s="67">
        <v>312</v>
      </c>
      <c r="C373" s="67">
        <f t="shared" si="38"/>
        <v>112320</v>
      </c>
      <c r="D373" s="67">
        <f t="shared" si="34"/>
        <v>5</v>
      </c>
      <c r="E373" s="67">
        <f ca="1" t="shared" si="35"/>
        <v>342</v>
      </c>
      <c r="F373" s="67">
        <f ca="1" t="shared" si="36"/>
        <v>0</v>
      </c>
      <c r="G373" s="67">
        <f ca="1" t="shared" si="37"/>
        <v>0.189418685121112</v>
      </c>
      <c r="H373" s="67" cm="1">
        <f ca="1" t="array" ref="H373">MIN(30-SUM(I373:L373),_xlfn.XLOOKUP($D373&amp;"_"&amp;H$61,$B$23:$B$45&amp;"_"&amp;$C$23:$C$45,$D$23:$D$45)*$E373,18)</f>
        <v>18</v>
      </c>
      <c r="I373" s="67" cm="1">
        <f ca="1" t="array" ref="I373">MIN(30-SUM(J373:L373),6-L373,_xlfn.XLOOKUP($D373&amp;"_"&amp;I$61,$B$23:$B$45&amp;"_"&amp;$C$23:$C$45,$D$23:$D$45)*$E373)</f>
        <v>3.93182698961938</v>
      </c>
      <c r="J373" s="67" cm="1">
        <f ca="1" t="array" ref="J373">MIN(8,_xlfn.XLOOKUP($D373&amp;"_"&amp;J$61,$B$23:$B$45&amp;"_"&amp;$C$23:$C$45,$D$23:$D$45)*$E373)</f>
        <v>4.43179930795847</v>
      </c>
      <c r="K373" s="67" cm="1">
        <f ca="1" t="array" ref="K373">MIN(18,_xlfn.XLOOKUP($D373&amp;"_"&amp;K$61,$B$23:$B$45&amp;"_"&amp;$C$23:$C$45,$D$23:$D$45)*$E373)</f>
        <v>1.37878200692042</v>
      </c>
      <c r="L373" s="67" cm="1">
        <f ca="1" t="array" ref="L373">MIN(6,_xlfn.XLOOKUP($D373&amp;"_"&amp;L$61,$B$23:$B$45&amp;"_"&amp;$C$23:$C$45,$D$23:$D$45)*$E373)</f>
        <v>2.06817301038062</v>
      </c>
      <c r="M373" s="67" cm="1">
        <f ca="1" t="array" ref="M373">(1+SUMPRODUCT(G373:H373,OFFSET($H$49:$I$49,D373,0)))*(1+OFFSET($J$49,D373,0))^I373*(1+OFFSET($K$49,D373,0))^J373*(1+OFFSET($L$49,D373,0))^K373*(1+OFFSET($M$49,D373,0))^L373</f>
        <v>86.8626047216393</v>
      </c>
      <c r="N373" s="67">
        <f ca="1">MAX(MAX($N$62:N372),OFFSET($C$61,MATCH(M373*1.07,$M$62:$M$2061,1),0)-C373)</f>
        <v>5760</v>
      </c>
    </row>
    <row r="374" spans="2:14">
      <c r="B374" s="67">
        <v>313</v>
      </c>
      <c r="C374" s="67">
        <f t="shared" si="38"/>
        <v>112680</v>
      </c>
      <c r="D374" s="67">
        <f t="shared" si="34"/>
        <v>5</v>
      </c>
      <c r="E374" s="67">
        <f ca="1" t="shared" si="35"/>
        <v>343</v>
      </c>
      <c r="F374" s="67">
        <f ca="1" t="shared" si="36"/>
        <v>0</v>
      </c>
      <c r="G374" s="67">
        <f ca="1" t="shared" si="37"/>
        <v>0.172428681276436</v>
      </c>
      <c r="H374" s="67" cm="1">
        <f ca="1" t="array" ref="H374">MIN(30-SUM(I374:L374),_xlfn.XLOOKUP($D374&amp;"_"&amp;H$61,$B$23:$B$45&amp;"_"&amp;$C$23:$C$45,$D$23:$D$45)*$E374,18)</f>
        <v>18</v>
      </c>
      <c r="I374" s="67" cm="1">
        <f ca="1" t="array" ref="I374">MIN(30-SUM(J374:L374),6-L374,_xlfn.XLOOKUP($D374&amp;"_"&amp;I$61,$B$23:$B$45&amp;"_"&amp;$C$23:$C$45,$D$23:$D$45)*$E374)</f>
        <v>3.92577970011534</v>
      </c>
      <c r="J374" s="67" cm="1">
        <f ca="1" t="array" ref="J374">MIN(8,_xlfn.XLOOKUP($D374&amp;"_"&amp;J$61,$B$23:$B$45&amp;"_"&amp;$C$23:$C$45,$D$23:$D$45)*$E374)</f>
        <v>4.44475778546712</v>
      </c>
      <c r="K374" s="67" cm="1">
        <f ca="1" t="array" ref="K374">MIN(18,_xlfn.XLOOKUP($D374&amp;"_"&amp;K$61,$B$23:$B$45&amp;"_"&amp;$C$23:$C$45,$D$23:$D$45)*$E374)</f>
        <v>1.38281353325644</v>
      </c>
      <c r="L374" s="67" cm="1">
        <f ca="1" t="array" ref="L374">MIN(6,_xlfn.XLOOKUP($D374&amp;"_"&amp;L$61,$B$23:$B$45&amp;"_"&amp;$C$23:$C$45,$D$23:$D$45)*$E374)</f>
        <v>2.07422029988466</v>
      </c>
      <c r="M374" s="67" cm="1">
        <f ca="1" t="array" ref="M374">(1+SUMPRODUCT(G374:H374,OFFSET($H$49:$I$49,D374,0)))*(1+OFFSET($J$49,D374,0))^I374*(1+OFFSET($K$49,D374,0))^J374*(1+OFFSET($L$49,D374,0))^K374*(1+OFFSET($M$49,D374,0))^L374</f>
        <v>87.2300344514679</v>
      </c>
      <c r="N374" s="67">
        <f ca="1">MAX(MAX($N$62:N373),OFFSET($C$61,MATCH(M374*1.07,$M$62:$M$2061,1),0)-C374)</f>
        <v>5760</v>
      </c>
    </row>
    <row r="375" spans="2:14">
      <c r="B375" s="67">
        <v>314</v>
      </c>
      <c r="C375" s="67">
        <f t="shared" si="38"/>
        <v>113040</v>
      </c>
      <c r="D375" s="67">
        <f t="shared" si="34"/>
        <v>5</v>
      </c>
      <c r="E375" s="67">
        <f ca="1" t="shared" si="35"/>
        <v>344</v>
      </c>
      <c r="F375" s="67">
        <f ca="1" t="shared" si="36"/>
        <v>0</v>
      </c>
      <c r="G375" s="67">
        <f ca="1" t="shared" si="37"/>
        <v>0.155438677431761</v>
      </c>
      <c r="H375" s="67" cm="1">
        <f ca="1" t="array" ref="H375">MIN(30-SUM(I375:L375),_xlfn.XLOOKUP($D375&amp;"_"&amp;H$61,$B$23:$B$45&amp;"_"&amp;$C$23:$C$45,$D$23:$D$45)*$E375,18)</f>
        <v>18</v>
      </c>
      <c r="I375" s="67" cm="1">
        <f ca="1" t="array" ref="I375">MIN(30-SUM(J375:L375),6-L375,_xlfn.XLOOKUP($D375&amp;"_"&amp;I$61,$B$23:$B$45&amp;"_"&amp;$C$23:$C$45,$D$23:$D$45)*$E375)</f>
        <v>3.9197324106113</v>
      </c>
      <c r="J375" s="67" cm="1">
        <f ca="1" t="array" ref="J375">MIN(8,_xlfn.XLOOKUP($D375&amp;"_"&amp;J$61,$B$23:$B$45&amp;"_"&amp;$C$23:$C$45,$D$23:$D$45)*$E375)</f>
        <v>4.45771626297577</v>
      </c>
      <c r="K375" s="67" cm="1">
        <f ca="1" t="array" ref="K375">MIN(18,_xlfn.XLOOKUP($D375&amp;"_"&amp;K$61,$B$23:$B$45&amp;"_"&amp;$C$23:$C$45,$D$23:$D$45)*$E375)</f>
        <v>1.38684505959247</v>
      </c>
      <c r="L375" s="67" cm="1">
        <f ca="1" t="array" ref="L375">MIN(6,_xlfn.XLOOKUP($D375&amp;"_"&amp;L$61,$B$23:$B$45&amp;"_"&amp;$C$23:$C$45,$D$23:$D$45)*$E375)</f>
        <v>2.0802675893887</v>
      </c>
      <c r="M375" s="67" cm="1">
        <f ca="1" t="array" ref="M375">(1+SUMPRODUCT(G375:H375,OFFSET($H$49:$I$49,D375,0)))*(1+OFFSET($J$49,D375,0))^I375*(1+OFFSET($K$49,D375,0))^J375*(1+OFFSET($L$49,D375,0))^K375*(1+OFFSET($M$49,D375,0))^L375</f>
        <v>87.5990013585775</v>
      </c>
      <c r="N375" s="67">
        <f ca="1">MAX(MAX($N$62:N374),OFFSET($C$61,MATCH(M375*1.07,$M$62:$M$2061,1),0)-C375)</f>
        <v>5760</v>
      </c>
    </row>
    <row r="376" spans="2:14">
      <c r="B376" s="67">
        <v>315</v>
      </c>
      <c r="C376" s="67">
        <f t="shared" si="38"/>
        <v>113400</v>
      </c>
      <c r="D376" s="67">
        <f t="shared" si="34"/>
        <v>5</v>
      </c>
      <c r="E376" s="67">
        <f ca="1" t="shared" si="35"/>
        <v>345</v>
      </c>
      <c r="F376" s="67">
        <f ca="1" t="shared" si="36"/>
        <v>0</v>
      </c>
      <c r="G376" s="67">
        <f ca="1" t="shared" si="37"/>
        <v>0.138448673587085</v>
      </c>
      <c r="H376" s="67" cm="1">
        <f ca="1" t="array" ref="H376">MIN(30-SUM(I376:L376),_xlfn.XLOOKUP($D376&amp;"_"&amp;H$61,$B$23:$B$45&amp;"_"&amp;$C$23:$C$45,$D$23:$D$45)*$E376,18)</f>
        <v>18</v>
      </c>
      <c r="I376" s="67" cm="1">
        <f ca="1" t="array" ref="I376">MIN(30-SUM(J376:L376),6-L376,_xlfn.XLOOKUP($D376&amp;"_"&amp;I$61,$B$23:$B$45&amp;"_"&amp;$C$23:$C$45,$D$23:$D$45)*$E376)</f>
        <v>3.91368512110727</v>
      </c>
      <c r="J376" s="67" cm="1">
        <f ca="1" t="array" ref="J376">MIN(8,_xlfn.XLOOKUP($D376&amp;"_"&amp;J$61,$B$23:$B$45&amp;"_"&amp;$C$23:$C$45,$D$23:$D$45)*$E376)</f>
        <v>4.47067474048442</v>
      </c>
      <c r="K376" s="67" cm="1">
        <f ca="1" t="array" ref="K376">MIN(18,_xlfn.XLOOKUP($D376&amp;"_"&amp;K$61,$B$23:$B$45&amp;"_"&amp;$C$23:$C$45,$D$23:$D$45)*$E376)</f>
        <v>1.39087658592849</v>
      </c>
      <c r="L376" s="67" cm="1">
        <f ca="1" t="array" ref="L376">MIN(6,_xlfn.XLOOKUP($D376&amp;"_"&amp;L$61,$B$23:$B$45&amp;"_"&amp;$C$23:$C$45,$D$23:$D$45)*$E376)</f>
        <v>2.08631487889273</v>
      </c>
      <c r="M376" s="67" cm="1">
        <f ca="1" t="array" ref="M376">(1+SUMPRODUCT(G376:H376,OFFSET($H$49:$I$49,D376,0)))*(1+OFFSET($J$49,D376,0))^I376*(1+OFFSET($K$49,D376,0))^J376*(1+OFFSET($L$49,D376,0))^K376*(1+OFFSET($M$49,D376,0))^L376</f>
        <v>87.9695117858504</v>
      </c>
      <c r="N376" s="67">
        <f ca="1">MAX(MAX($N$62:N375),OFFSET($C$61,MATCH(M376*1.07,$M$62:$M$2061,1),0)-C376)</f>
        <v>5760</v>
      </c>
    </row>
    <row r="377" spans="2:14">
      <c r="B377" s="67">
        <v>316</v>
      </c>
      <c r="C377" s="67">
        <f t="shared" si="38"/>
        <v>113760</v>
      </c>
      <c r="D377" s="67">
        <f t="shared" si="34"/>
        <v>5</v>
      </c>
      <c r="E377" s="67">
        <f ca="1" t="shared" si="35"/>
        <v>346</v>
      </c>
      <c r="F377" s="67">
        <f ca="1" t="shared" si="36"/>
        <v>0</v>
      </c>
      <c r="G377" s="67">
        <f ca="1" t="shared" si="37"/>
        <v>0.121458669742413</v>
      </c>
      <c r="H377" s="67" cm="1">
        <f ca="1" t="array" ref="H377">MIN(30-SUM(I377:L377),_xlfn.XLOOKUP($D377&amp;"_"&amp;H$61,$B$23:$B$45&amp;"_"&amp;$C$23:$C$45,$D$23:$D$45)*$E377,18)</f>
        <v>18</v>
      </c>
      <c r="I377" s="67" cm="1">
        <f ca="1" t="array" ref="I377">MIN(30-SUM(J377:L377),6-L377,_xlfn.XLOOKUP($D377&amp;"_"&amp;I$61,$B$23:$B$45&amp;"_"&amp;$C$23:$C$45,$D$23:$D$45)*$E377)</f>
        <v>3.90763783160323</v>
      </c>
      <c r="J377" s="67" cm="1">
        <f ca="1" t="array" ref="J377">MIN(8,_xlfn.XLOOKUP($D377&amp;"_"&amp;J$61,$B$23:$B$45&amp;"_"&amp;$C$23:$C$45,$D$23:$D$45)*$E377)</f>
        <v>4.48363321799307</v>
      </c>
      <c r="K377" s="67" cm="1">
        <f ca="1" t="array" ref="K377">MIN(18,_xlfn.XLOOKUP($D377&amp;"_"&amp;K$61,$B$23:$B$45&amp;"_"&amp;$C$23:$C$45,$D$23:$D$45)*$E377)</f>
        <v>1.39490811226452</v>
      </c>
      <c r="L377" s="67" cm="1">
        <f ca="1" t="array" ref="L377">MIN(6,_xlfn.XLOOKUP($D377&amp;"_"&amp;L$61,$B$23:$B$45&amp;"_"&amp;$C$23:$C$45,$D$23:$D$45)*$E377)</f>
        <v>2.09236216839677</v>
      </c>
      <c r="M377" s="67" cm="1">
        <f ca="1" t="array" ref="M377">(1+SUMPRODUCT(G377:H377,OFFSET($H$49:$I$49,D377,0)))*(1+OFFSET($J$49,D377,0))^I377*(1+OFFSET($K$49,D377,0))^J377*(1+OFFSET($L$49,D377,0))^K377*(1+OFFSET($M$49,D377,0))^L377</f>
        <v>88.3415721018824</v>
      </c>
      <c r="N377" s="67">
        <f ca="1">MAX(MAX($N$62:N376),OFFSET($C$61,MATCH(M377*1.07,$M$62:$M$2061,1),0)-C377)</f>
        <v>5760</v>
      </c>
    </row>
    <row r="378" spans="2:14">
      <c r="B378" s="67">
        <v>317</v>
      </c>
      <c r="C378" s="67">
        <f t="shared" si="38"/>
        <v>114120</v>
      </c>
      <c r="D378" s="67">
        <f t="shared" si="34"/>
        <v>5</v>
      </c>
      <c r="E378" s="67">
        <f ca="1" t="shared" si="35"/>
        <v>347</v>
      </c>
      <c r="F378" s="67">
        <f ca="1" t="shared" si="36"/>
        <v>0</v>
      </c>
      <c r="G378" s="67">
        <f ca="1" t="shared" si="37"/>
        <v>0.104468665897738</v>
      </c>
      <c r="H378" s="67" cm="1">
        <f ca="1" t="array" ref="H378">MIN(30-SUM(I378:L378),_xlfn.XLOOKUP($D378&amp;"_"&amp;H$61,$B$23:$B$45&amp;"_"&amp;$C$23:$C$45,$D$23:$D$45)*$E378,18)</f>
        <v>18</v>
      </c>
      <c r="I378" s="67" cm="1">
        <f ca="1" t="array" ref="I378">MIN(30-SUM(J378:L378),6-L378,_xlfn.XLOOKUP($D378&amp;"_"&amp;I$61,$B$23:$B$45&amp;"_"&amp;$C$23:$C$45,$D$23:$D$45)*$E378)</f>
        <v>3.90159054209919</v>
      </c>
      <c r="J378" s="67" cm="1">
        <f ca="1" t="array" ref="J378">MIN(8,_xlfn.XLOOKUP($D378&amp;"_"&amp;J$61,$B$23:$B$45&amp;"_"&amp;$C$23:$C$45,$D$23:$D$45)*$E378)</f>
        <v>4.49659169550172</v>
      </c>
      <c r="K378" s="67" cm="1">
        <f ca="1" t="array" ref="K378">MIN(18,_xlfn.XLOOKUP($D378&amp;"_"&amp;K$61,$B$23:$B$45&amp;"_"&amp;$C$23:$C$45,$D$23:$D$45)*$E378)</f>
        <v>1.39893963860054</v>
      </c>
      <c r="L378" s="67" cm="1">
        <f ca="1" t="array" ref="L378">MIN(6,_xlfn.XLOOKUP($D378&amp;"_"&amp;L$61,$B$23:$B$45&amp;"_"&amp;$C$23:$C$45,$D$23:$D$45)*$E378)</f>
        <v>2.09840945790081</v>
      </c>
      <c r="M378" s="67" cm="1">
        <f ca="1" t="array" ref="M378">(1+SUMPRODUCT(G378:H378,OFFSET($H$49:$I$49,D378,0)))*(1+OFFSET($J$49,D378,0))^I378*(1+OFFSET($K$49,D378,0))^J378*(1+OFFSET($L$49,D378,0))^K378*(1+OFFSET($M$49,D378,0))^L378</f>
        <v>88.7151887010842</v>
      </c>
      <c r="N378" s="67">
        <f ca="1">MAX(MAX($N$62:N377),OFFSET($C$61,MATCH(M378*1.07,$M$62:$M$2061,1),0)-C378)</f>
        <v>5760</v>
      </c>
    </row>
    <row r="379" spans="2:14">
      <c r="B379" s="67">
        <v>318</v>
      </c>
      <c r="C379" s="67">
        <f t="shared" si="38"/>
        <v>114480</v>
      </c>
      <c r="D379" s="67">
        <f t="shared" si="34"/>
        <v>5</v>
      </c>
      <c r="E379" s="67">
        <f ca="1" t="shared" si="35"/>
        <v>348</v>
      </c>
      <c r="F379" s="67">
        <f ca="1" t="shared" si="36"/>
        <v>0</v>
      </c>
      <c r="G379" s="67">
        <f ca="1" t="shared" si="37"/>
        <v>0.0874786620530656</v>
      </c>
      <c r="H379" s="67" cm="1">
        <f ca="1" t="array" ref="H379">MIN(30-SUM(I379:L379),_xlfn.XLOOKUP($D379&amp;"_"&amp;H$61,$B$23:$B$45&amp;"_"&amp;$C$23:$C$45,$D$23:$D$45)*$E379,18)</f>
        <v>18</v>
      </c>
      <c r="I379" s="67" cm="1">
        <f ca="1" t="array" ref="I379">MIN(30-SUM(J379:L379),6-L379,_xlfn.XLOOKUP($D379&amp;"_"&amp;I$61,$B$23:$B$45&amp;"_"&amp;$C$23:$C$45,$D$23:$D$45)*$E379)</f>
        <v>3.89554325259516</v>
      </c>
      <c r="J379" s="67" cm="1">
        <f ca="1" t="array" ref="J379">MIN(8,_xlfn.XLOOKUP($D379&amp;"_"&amp;J$61,$B$23:$B$45&amp;"_"&amp;$C$23:$C$45,$D$23:$D$45)*$E379)</f>
        <v>4.50955017301037</v>
      </c>
      <c r="K379" s="67" cm="1">
        <f ca="1" t="array" ref="K379">MIN(18,_xlfn.XLOOKUP($D379&amp;"_"&amp;K$61,$B$23:$B$45&amp;"_"&amp;$C$23:$C$45,$D$23:$D$45)*$E379)</f>
        <v>1.40297116493656</v>
      </c>
      <c r="L379" s="67" cm="1">
        <f ca="1" t="array" ref="L379">MIN(6,_xlfn.XLOOKUP($D379&amp;"_"&amp;L$61,$B$23:$B$45&amp;"_"&amp;$C$23:$C$45,$D$23:$D$45)*$E379)</f>
        <v>2.10445674740484</v>
      </c>
      <c r="M379" s="67" cm="1">
        <f ca="1" t="array" ref="M379">(1+SUMPRODUCT(G379:H379,OFFSET($H$49:$I$49,D379,0)))*(1+OFFSET($J$49,D379,0))^I379*(1+OFFSET($K$49,D379,0))^J379*(1+OFFSET($L$49,D379,0))^K379*(1+OFFSET($M$49,D379,0))^L379</f>
        <v>89.0903680037833</v>
      </c>
      <c r="N379" s="67">
        <f ca="1">MAX(MAX($N$62:N378),OFFSET($C$61,MATCH(M379*1.07,$M$62:$M$2061,1),0)-C379)</f>
        <v>5760</v>
      </c>
    </row>
    <row r="380" spans="2:14">
      <c r="B380" s="67">
        <v>319</v>
      </c>
      <c r="C380" s="67">
        <f t="shared" si="38"/>
        <v>114840</v>
      </c>
      <c r="D380" s="67">
        <f t="shared" si="34"/>
        <v>5</v>
      </c>
      <c r="E380" s="67">
        <f ca="1" t="shared" si="35"/>
        <v>349</v>
      </c>
      <c r="F380" s="67">
        <f ca="1" t="shared" si="36"/>
        <v>0</v>
      </c>
      <c r="G380" s="67">
        <f ca="1" t="shared" si="37"/>
        <v>0.0704886582083866</v>
      </c>
      <c r="H380" s="67" cm="1">
        <f ca="1" t="array" ref="H380">MIN(30-SUM(I380:L380),_xlfn.XLOOKUP($D380&amp;"_"&amp;H$61,$B$23:$B$45&amp;"_"&amp;$C$23:$C$45,$D$23:$D$45)*$E380,18)</f>
        <v>18</v>
      </c>
      <c r="I380" s="67" cm="1">
        <f ca="1" t="array" ref="I380">MIN(30-SUM(J380:L380),6-L380,_xlfn.XLOOKUP($D380&amp;"_"&amp;I$61,$B$23:$B$45&amp;"_"&amp;$C$23:$C$45,$D$23:$D$45)*$E380)</f>
        <v>3.88949596309112</v>
      </c>
      <c r="J380" s="67" cm="1">
        <f ca="1" t="array" ref="J380">MIN(8,_xlfn.XLOOKUP($D380&amp;"_"&amp;J$61,$B$23:$B$45&amp;"_"&amp;$C$23:$C$45,$D$23:$D$45)*$E380)</f>
        <v>4.52250865051902</v>
      </c>
      <c r="K380" s="67" cm="1">
        <f ca="1" t="array" ref="K380">MIN(18,_xlfn.XLOOKUP($D380&amp;"_"&amp;K$61,$B$23:$B$45&amp;"_"&amp;$C$23:$C$45,$D$23:$D$45)*$E380)</f>
        <v>1.40700269127259</v>
      </c>
      <c r="L380" s="67" cm="1">
        <f ca="1" t="array" ref="L380">MIN(6,_xlfn.XLOOKUP($D380&amp;"_"&amp;L$61,$B$23:$B$45&amp;"_"&amp;$C$23:$C$45,$D$23:$D$45)*$E380)</f>
        <v>2.11050403690888</v>
      </c>
      <c r="M380" s="67" cm="1">
        <f ca="1" t="array" ref="M380">(1+SUMPRODUCT(G380:H380,OFFSET($H$49:$I$49,D380,0)))*(1+OFFSET($J$49,D380,0))^I380*(1+OFFSET($K$49,D380,0))^J380*(1+OFFSET($L$49,D380,0))^K380*(1+OFFSET($M$49,D380,0))^L380</f>
        <v>89.4671164563276</v>
      </c>
      <c r="N380" s="67">
        <f ca="1">MAX(MAX($N$62:N379),OFFSET($C$61,MATCH(M380*1.07,$M$62:$M$2061,1),0)-C380)</f>
        <v>5760</v>
      </c>
    </row>
    <row r="381" spans="2:14">
      <c r="B381" s="67">
        <v>320</v>
      </c>
      <c r="C381" s="67">
        <f t="shared" si="38"/>
        <v>115200</v>
      </c>
      <c r="D381" s="67">
        <f t="shared" si="34"/>
        <v>5</v>
      </c>
      <c r="E381" s="67">
        <f ca="1" t="shared" si="35"/>
        <v>350</v>
      </c>
      <c r="F381" s="67">
        <f ca="1" t="shared" si="36"/>
        <v>0</v>
      </c>
      <c r="G381" s="67">
        <f ca="1" t="shared" si="37"/>
        <v>0.053498654363711</v>
      </c>
      <c r="H381" s="67" cm="1">
        <f ca="1" t="array" ref="H381">MIN(30-SUM(I381:L381),_xlfn.XLOOKUP($D381&amp;"_"&amp;H$61,$B$23:$B$45&amp;"_"&amp;$C$23:$C$45,$D$23:$D$45)*$E381,18)</f>
        <v>18</v>
      </c>
      <c r="I381" s="67" cm="1">
        <f ca="1" t="array" ref="I381">MIN(30-SUM(J381:L381),6-L381,_xlfn.XLOOKUP($D381&amp;"_"&amp;I$61,$B$23:$B$45&amp;"_"&amp;$C$23:$C$45,$D$23:$D$45)*$E381)</f>
        <v>3.88344867358708</v>
      </c>
      <c r="J381" s="67" cm="1">
        <f ca="1" t="array" ref="J381">MIN(8,_xlfn.XLOOKUP($D381&amp;"_"&amp;J$61,$B$23:$B$45&amp;"_"&amp;$C$23:$C$45,$D$23:$D$45)*$E381)</f>
        <v>4.53546712802768</v>
      </c>
      <c r="K381" s="67" cm="1">
        <f ca="1" t="array" ref="K381">MIN(18,_xlfn.XLOOKUP($D381&amp;"_"&amp;K$61,$B$23:$B$45&amp;"_"&amp;$C$23:$C$45,$D$23:$D$45)*$E381)</f>
        <v>1.41103421760861</v>
      </c>
      <c r="L381" s="67" cm="1">
        <f ca="1" t="array" ref="L381">MIN(6,_xlfn.XLOOKUP($D381&amp;"_"&amp;L$61,$B$23:$B$45&amp;"_"&amp;$C$23:$C$45,$D$23:$D$45)*$E381)</f>
        <v>2.11655132641292</v>
      </c>
      <c r="M381" s="67" cm="1">
        <f ca="1" t="array" ref="M381">(1+SUMPRODUCT(G381:H381,OFFSET($H$49:$I$49,D381,0)))*(1+OFFSET($J$49,D381,0))^I381*(1+OFFSET($K$49,D381,0))^J381*(1+OFFSET($L$49,D381,0))^K381*(1+OFFSET($M$49,D381,0))^L381</f>
        <v>89.8454405311872</v>
      </c>
      <c r="N381" s="67">
        <f ca="1">MAX(MAX($N$62:N380),OFFSET($C$61,MATCH(M381*1.07,$M$62:$M$2061,1),0)-C381)</f>
        <v>6120</v>
      </c>
    </row>
    <row r="382" spans="2:14">
      <c r="B382" s="67">
        <v>321</v>
      </c>
      <c r="C382" s="67">
        <f t="shared" si="38"/>
        <v>115560</v>
      </c>
      <c r="D382" s="67">
        <f t="shared" si="34"/>
        <v>5</v>
      </c>
      <c r="E382" s="67">
        <f ca="1" t="shared" si="35"/>
        <v>351</v>
      </c>
      <c r="F382" s="67">
        <f ca="1" t="shared" si="36"/>
        <v>0</v>
      </c>
      <c r="G382" s="67">
        <f ca="1" t="shared" si="37"/>
        <v>0.0365086505190391</v>
      </c>
      <c r="H382" s="67" cm="1">
        <f ca="1" t="array" ref="H382">MIN(30-SUM(I382:L382),_xlfn.XLOOKUP($D382&amp;"_"&amp;H$61,$B$23:$B$45&amp;"_"&amp;$C$23:$C$45,$D$23:$D$45)*$E382,18)</f>
        <v>18</v>
      </c>
      <c r="I382" s="67" cm="1">
        <f ca="1" t="array" ref="I382">MIN(30-SUM(J382:L382),6-L382,_xlfn.XLOOKUP($D382&amp;"_"&amp;I$61,$B$23:$B$45&amp;"_"&amp;$C$23:$C$45,$D$23:$D$45)*$E382)</f>
        <v>3.87740138408304</v>
      </c>
      <c r="J382" s="67" cm="1">
        <f ca="1" t="array" ref="J382">MIN(8,_xlfn.XLOOKUP($D382&amp;"_"&amp;J$61,$B$23:$B$45&amp;"_"&amp;$C$23:$C$45,$D$23:$D$45)*$E382)</f>
        <v>4.54842560553633</v>
      </c>
      <c r="K382" s="67" cm="1">
        <f ca="1" t="array" ref="K382">MIN(18,_xlfn.XLOOKUP($D382&amp;"_"&amp;K$61,$B$23:$B$45&amp;"_"&amp;$C$23:$C$45,$D$23:$D$45)*$E382)</f>
        <v>1.41506574394464</v>
      </c>
      <c r="L382" s="67" cm="1">
        <f ca="1" t="array" ref="L382">MIN(6,_xlfn.XLOOKUP($D382&amp;"_"&amp;L$61,$B$23:$B$45&amp;"_"&amp;$C$23:$C$45,$D$23:$D$45)*$E382)</f>
        <v>2.12259861591696</v>
      </c>
      <c r="M382" s="67" cm="1">
        <f ca="1" t="array" ref="M382">(1+SUMPRODUCT(G382:H382,OFFSET($H$49:$I$49,D382,0)))*(1+OFFSET($J$49,D382,0))^I382*(1+OFFSET($K$49,D382,0))^J382*(1+OFFSET($L$49,D382,0))^K382*(1+OFFSET($M$49,D382,0))^L382</f>
        <v>90.2253467270584</v>
      </c>
      <c r="N382" s="67">
        <f ca="1">MAX(MAX($N$62:N381),OFFSET($C$61,MATCH(M382*1.07,$M$62:$M$2061,1),0)-C382)</f>
        <v>6120</v>
      </c>
    </row>
    <row r="383" spans="2:14">
      <c r="B383" s="67">
        <v>322</v>
      </c>
      <c r="C383" s="67">
        <f t="shared" si="38"/>
        <v>115920</v>
      </c>
      <c r="D383" s="67">
        <f t="shared" ref="D383:D446" si="39">_xlfn.XLOOKUP("非R",$B$49:$B$54,$C$49:$C$54)</f>
        <v>5</v>
      </c>
      <c r="E383" s="67">
        <f ca="1" t="shared" ref="E383:E446" si="40">INT(C383/_xlfn.XLOOKUP(D383,$R$14:$R$21,$S$14:$S$21))+OFFSET($R$49,D383,0)</f>
        <v>352</v>
      </c>
      <c r="F383" s="67">
        <f ca="1" t="shared" si="36"/>
        <v>0</v>
      </c>
      <c r="G383" s="67">
        <f ca="1" t="shared" si="37"/>
        <v>0.0195186466743635</v>
      </c>
      <c r="H383" s="67" cm="1">
        <f ca="1" t="array" ref="H383">MIN(30-SUM(I383:L383),_xlfn.XLOOKUP($D383&amp;"_"&amp;H$61,$B$23:$B$45&amp;"_"&amp;$C$23:$C$45,$D$23:$D$45)*$E383,18)</f>
        <v>18</v>
      </c>
      <c r="I383" s="67" cm="1">
        <f ca="1" t="array" ref="I383">MIN(30-SUM(J383:L383),6-L383,_xlfn.XLOOKUP($D383&amp;"_"&amp;I$61,$B$23:$B$45&amp;"_"&amp;$C$23:$C$45,$D$23:$D$45)*$E383)</f>
        <v>3.87135409457901</v>
      </c>
      <c r="J383" s="67" cm="1">
        <f ca="1" t="array" ref="J383">MIN(8,_xlfn.XLOOKUP($D383&amp;"_"&amp;J$61,$B$23:$B$45&amp;"_"&amp;$C$23:$C$45,$D$23:$D$45)*$E383)</f>
        <v>4.56138408304498</v>
      </c>
      <c r="K383" s="67" cm="1">
        <f ca="1" t="array" ref="K383">MIN(18,_xlfn.XLOOKUP($D383&amp;"_"&amp;K$61,$B$23:$B$45&amp;"_"&amp;$C$23:$C$45,$D$23:$D$45)*$E383)</f>
        <v>1.41909727028066</v>
      </c>
      <c r="L383" s="67" cm="1">
        <f ca="1" t="array" ref="L383">MIN(6,_xlfn.XLOOKUP($D383&amp;"_"&amp;L$61,$B$23:$B$45&amp;"_"&amp;$C$23:$C$45,$D$23:$D$45)*$E383)</f>
        <v>2.12864590542099</v>
      </c>
      <c r="M383" s="67" cm="1">
        <f ca="1" t="array" ref="M383">(1+SUMPRODUCT(G383:H383,OFFSET($H$49:$I$49,D383,0)))*(1+OFFSET($J$49,D383,0))^I383*(1+OFFSET($K$49,D383,0))^J383*(1+OFFSET($L$49,D383,0))^K383*(1+OFFSET($M$49,D383,0))^L383</f>
        <v>90.6068415689675</v>
      </c>
      <c r="N383" s="67">
        <f ca="1">MAX(MAX($N$62:N382),OFFSET($C$61,MATCH(M383*1.07,$M$62:$M$2061,1),0)-C383)</f>
        <v>6120</v>
      </c>
    </row>
    <row r="384" spans="2:14">
      <c r="B384" s="67">
        <v>323</v>
      </c>
      <c r="C384" s="67">
        <f t="shared" si="38"/>
        <v>116280</v>
      </c>
      <c r="D384" s="67">
        <f t="shared" si="39"/>
        <v>5</v>
      </c>
      <c r="E384" s="67">
        <f ca="1" t="shared" si="40"/>
        <v>353</v>
      </c>
      <c r="F384" s="67">
        <f ca="1" t="shared" ref="F384:F447" si="41">30-SUM(G384:L384)</f>
        <v>0</v>
      </c>
      <c r="G384" s="67">
        <f ca="1" t="shared" ref="G384:G447" si="42">30-SUM(H384:L384)</f>
        <v>0.00252864282968801</v>
      </c>
      <c r="H384" s="67" cm="1">
        <f ca="1" t="array" ref="H384">MIN(30-SUM(I384:L384),_xlfn.XLOOKUP($D384&amp;"_"&amp;H$61,$B$23:$B$45&amp;"_"&amp;$C$23:$C$45,$D$23:$D$45)*$E384,18)</f>
        <v>18</v>
      </c>
      <c r="I384" s="67" cm="1">
        <f ca="1" t="array" ref="I384">MIN(30-SUM(J384:L384),6-L384,_xlfn.XLOOKUP($D384&amp;"_"&amp;I$61,$B$23:$B$45&amp;"_"&amp;$C$23:$C$45,$D$23:$D$45)*$E384)</f>
        <v>3.86530680507497</v>
      </c>
      <c r="J384" s="67" cm="1">
        <f ca="1" t="array" ref="J384">MIN(8,_xlfn.XLOOKUP($D384&amp;"_"&amp;J$61,$B$23:$B$45&amp;"_"&amp;$C$23:$C$45,$D$23:$D$45)*$E384)</f>
        <v>4.57434256055363</v>
      </c>
      <c r="K384" s="67" cm="1">
        <f ca="1" t="array" ref="K384">MIN(18,_xlfn.XLOOKUP($D384&amp;"_"&amp;K$61,$B$23:$B$45&amp;"_"&amp;$C$23:$C$45,$D$23:$D$45)*$E384)</f>
        <v>1.42312879661669</v>
      </c>
      <c r="L384" s="67" cm="1">
        <f ca="1" t="array" ref="L384">MIN(6,_xlfn.XLOOKUP($D384&amp;"_"&amp;L$61,$B$23:$B$45&amp;"_"&amp;$C$23:$C$45,$D$23:$D$45)*$E384)</f>
        <v>2.13469319492503</v>
      </c>
      <c r="M384" s="67" cm="1">
        <f ca="1" t="array" ref="M384">(1+SUMPRODUCT(G384:H384,OFFSET($H$49:$I$49,D384,0)))*(1+OFFSET($J$49,D384,0))^I384*(1+OFFSET($K$49,D384,0))^J384*(1+OFFSET($L$49,D384,0))^K384*(1+OFFSET($M$49,D384,0))^L384</f>
        <v>90.989931608375</v>
      </c>
      <c r="N384" s="67">
        <f ca="1">MAX(MAX($N$62:N383),OFFSET($C$61,MATCH(M384*1.07,$M$62:$M$2061,1),0)-C384)</f>
        <v>6120</v>
      </c>
    </row>
    <row r="385" spans="2:14">
      <c r="B385" s="67">
        <v>324</v>
      </c>
      <c r="C385" s="67">
        <f t="shared" si="38"/>
        <v>116640</v>
      </c>
      <c r="D385" s="67">
        <f t="shared" si="39"/>
        <v>5</v>
      </c>
      <c r="E385" s="67">
        <f ca="1" t="shared" si="40"/>
        <v>354</v>
      </c>
      <c r="F385" s="67">
        <f ca="1" t="shared" si="41"/>
        <v>0</v>
      </c>
      <c r="G385" s="67">
        <f ca="1" t="shared" si="42"/>
        <v>0</v>
      </c>
      <c r="H385" s="67" cm="1">
        <f ca="1" t="array" ref="H385">MIN(30-SUM(I385:L385),_xlfn.XLOOKUP($D385&amp;"_"&amp;H$61,$B$23:$B$45&amp;"_"&amp;$C$23:$C$45,$D$23:$D$45)*$E385,18)</f>
        <v>17.985538638985</v>
      </c>
      <c r="I385" s="67" cm="1">
        <f ca="1" t="array" ref="I385">MIN(30-SUM(J385:L385),6-L385,_xlfn.XLOOKUP($D385&amp;"_"&amp;I$61,$B$23:$B$45&amp;"_"&amp;$C$23:$C$45,$D$23:$D$45)*$E385)</f>
        <v>3.85925951557093</v>
      </c>
      <c r="J385" s="67" cm="1">
        <f ca="1" t="array" ref="J385">MIN(8,_xlfn.XLOOKUP($D385&amp;"_"&amp;J$61,$B$23:$B$45&amp;"_"&amp;$C$23:$C$45,$D$23:$D$45)*$E385)</f>
        <v>4.58730103806228</v>
      </c>
      <c r="K385" s="67" cm="1">
        <f ca="1" t="array" ref="K385">MIN(18,_xlfn.XLOOKUP($D385&amp;"_"&amp;K$61,$B$23:$B$45&amp;"_"&amp;$C$23:$C$45,$D$23:$D$45)*$E385)</f>
        <v>1.42716032295271</v>
      </c>
      <c r="L385" s="67" cm="1">
        <f ca="1" t="array" ref="L385">MIN(6,_xlfn.XLOOKUP($D385&amp;"_"&amp;L$61,$B$23:$B$45&amp;"_"&amp;$C$23:$C$45,$D$23:$D$45)*$E385)</f>
        <v>2.14074048442907</v>
      </c>
      <c r="M385" s="67" cm="1">
        <f ca="1" t="array" ref="M385">(1+SUMPRODUCT(G385:H385,OFFSET($H$49:$I$49,D385,0)))*(1+OFFSET($J$49,D385,0))^I385*(1+OFFSET($K$49,D385,0))^J385*(1+OFFSET($L$49,D385,0))^K385*(1+OFFSET($M$49,D385,0))^L385</f>
        <v>91.3516338561912</v>
      </c>
      <c r="N385" s="67">
        <f ca="1">MAX(MAX($N$62:N384),OFFSET($C$61,MATCH(M385*1.07,$M$62:$M$2061,1),0)-C385)</f>
        <v>6120</v>
      </c>
    </row>
    <row r="386" spans="2:14">
      <c r="B386" s="67">
        <v>325</v>
      </c>
      <c r="C386" s="67">
        <f t="shared" si="38"/>
        <v>117000</v>
      </c>
      <c r="D386" s="67">
        <f t="shared" si="39"/>
        <v>5</v>
      </c>
      <c r="E386" s="67">
        <f ca="1" t="shared" si="40"/>
        <v>355</v>
      </c>
      <c r="F386" s="67">
        <f ca="1" t="shared" si="41"/>
        <v>0</v>
      </c>
      <c r="G386" s="67">
        <f ca="1" t="shared" si="42"/>
        <v>0</v>
      </c>
      <c r="H386" s="67" cm="1">
        <f ca="1" t="array" ref="H386">MIN(30-SUM(I386:L386),_xlfn.XLOOKUP($D386&amp;"_"&amp;H$61,$B$23:$B$45&amp;"_"&amp;$C$23:$C$45,$D$23:$D$45)*$E386,18)</f>
        <v>17.9685486351403</v>
      </c>
      <c r="I386" s="67" cm="1">
        <f ca="1" t="array" ref="I386">MIN(30-SUM(J386:L386),6-L386,_xlfn.XLOOKUP($D386&amp;"_"&amp;I$61,$B$23:$B$45&amp;"_"&amp;$C$23:$C$45,$D$23:$D$45)*$E386)</f>
        <v>3.8532122260669</v>
      </c>
      <c r="J386" s="67" cm="1">
        <f ca="1" t="array" ref="J386">MIN(8,_xlfn.XLOOKUP($D386&amp;"_"&amp;J$61,$B$23:$B$45&amp;"_"&amp;$C$23:$C$45,$D$23:$D$45)*$E386)</f>
        <v>4.60025951557093</v>
      </c>
      <c r="K386" s="67" cm="1">
        <f ca="1" t="array" ref="K386">MIN(18,_xlfn.XLOOKUP($D386&amp;"_"&amp;K$61,$B$23:$B$45&amp;"_"&amp;$C$23:$C$45,$D$23:$D$45)*$E386)</f>
        <v>1.43119184928874</v>
      </c>
      <c r="L386" s="67" cm="1">
        <f ca="1" t="array" ref="L386">MIN(6,_xlfn.XLOOKUP($D386&amp;"_"&amp;L$61,$B$23:$B$45&amp;"_"&amp;$C$23:$C$45,$D$23:$D$45)*$E386)</f>
        <v>2.1467877739331</v>
      </c>
      <c r="M386" s="67" cm="1">
        <f ca="1" t="array" ref="M386">(1+SUMPRODUCT(G386:H386,OFFSET($H$49:$I$49,D386,0)))*(1+OFFSET($J$49,D386,0))^I386*(1+OFFSET($K$49,D386,0))^J386*(1+OFFSET($L$49,D386,0))^K386*(1+OFFSET($M$49,D386,0))^L386</f>
        <v>91.7106909902254</v>
      </c>
      <c r="N386" s="67">
        <f ca="1">MAX(MAX($N$62:N385),OFFSET($C$61,MATCH(M386*1.07,$M$62:$M$2061,1),0)-C386)</f>
        <v>6120</v>
      </c>
    </row>
    <row r="387" spans="2:14">
      <c r="B387" s="67">
        <v>326</v>
      </c>
      <c r="C387" s="67">
        <f t="shared" si="38"/>
        <v>117360</v>
      </c>
      <c r="D387" s="67">
        <f t="shared" si="39"/>
        <v>5</v>
      </c>
      <c r="E387" s="67">
        <f ca="1" t="shared" si="40"/>
        <v>356</v>
      </c>
      <c r="F387" s="67">
        <f ca="1" t="shared" si="41"/>
        <v>0</v>
      </c>
      <c r="G387" s="67">
        <f ca="1" t="shared" si="42"/>
        <v>0</v>
      </c>
      <c r="H387" s="67" cm="1">
        <f ca="1" t="array" ref="H387">MIN(30-SUM(I387:L387),_xlfn.XLOOKUP($D387&amp;"_"&amp;H$61,$B$23:$B$45&amp;"_"&amp;$C$23:$C$45,$D$23:$D$45)*$E387,18)</f>
        <v>17.9515586312957</v>
      </c>
      <c r="I387" s="67" cm="1">
        <f ca="1" t="array" ref="I387">MIN(30-SUM(J387:L387),6-L387,_xlfn.XLOOKUP($D387&amp;"_"&amp;I$61,$B$23:$B$45&amp;"_"&amp;$C$23:$C$45,$D$23:$D$45)*$E387)</f>
        <v>3.84716493656286</v>
      </c>
      <c r="J387" s="67" cm="1">
        <f ca="1" t="array" ref="J387">MIN(8,_xlfn.XLOOKUP($D387&amp;"_"&amp;J$61,$B$23:$B$45&amp;"_"&amp;$C$23:$C$45,$D$23:$D$45)*$E387)</f>
        <v>4.61321799307958</v>
      </c>
      <c r="K387" s="67" cm="1">
        <f ca="1" t="array" ref="K387">MIN(18,_xlfn.XLOOKUP($D387&amp;"_"&amp;K$61,$B$23:$B$45&amp;"_"&amp;$C$23:$C$45,$D$23:$D$45)*$E387)</f>
        <v>1.43522337562476</v>
      </c>
      <c r="L387" s="67" cm="1">
        <f ca="1" t="array" ref="L387">MIN(6,_xlfn.XLOOKUP($D387&amp;"_"&amp;L$61,$B$23:$B$45&amp;"_"&amp;$C$23:$C$45,$D$23:$D$45)*$E387)</f>
        <v>2.15283506343714</v>
      </c>
      <c r="M387" s="67" cm="1">
        <f ca="1" t="array" ref="M387">(1+SUMPRODUCT(G387:H387,OFFSET($H$49:$I$49,D387,0)))*(1+OFFSET($J$49,D387,0))^I387*(1+OFFSET($K$49,D387,0))^J387*(1+OFFSET($L$49,D387,0))^K387*(1+OFFSET($M$49,D387,0))^L387</f>
        <v>92.0711090182114</v>
      </c>
      <c r="N387" s="67">
        <f ca="1">MAX(MAX($N$62:N386),OFFSET($C$61,MATCH(M387*1.07,$M$62:$M$2061,1),0)-C387)</f>
        <v>6120</v>
      </c>
    </row>
    <row r="388" spans="2:14">
      <c r="B388" s="67">
        <v>327</v>
      </c>
      <c r="C388" s="67">
        <f t="shared" si="38"/>
        <v>117720</v>
      </c>
      <c r="D388" s="67">
        <f t="shared" si="39"/>
        <v>5</v>
      </c>
      <c r="E388" s="67">
        <f ca="1" t="shared" si="40"/>
        <v>357</v>
      </c>
      <c r="F388" s="67">
        <f ca="1" t="shared" si="41"/>
        <v>0</v>
      </c>
      <c r="G388" s="67">
        <f ca="1" t="shared" si="42"/>
        <v>0</v>
      </c>
      <c r="H388" s="67" cm="1">
        <f ca="1" t="array" ref="H388">MIN(30-SUM(I388:L388),_xlfn.XLOOKUP($D388&amp;"_"&amp;H$61,$B$23:$B$45&amp;"_"&amp;$C$23:$C$45,$D$23:$D$45)*$E388,18)</f>
        <v>17.934568627451</v>
      </c>
      <c r="I388" s="67" cm="1">
        <f ca="1" t="array" ref="I388">MIN(30-SUM(J388:L388),6-L388,_xlfn.XLOOKUP($D388&amp;"_"&amp;I$61,$B$23:$B$45&amp;"_"&amp;$C$23:$C$45,$D$23:$D$45)*$E388)</f>
        <v>3.84111764705882</v>
      </c>
      <c r="J388" s="67" cm="1">
        <f ca="1" t="array" ref="J388">MIN(8,_xlfn.XLOOKUP($D388&amp;"_"&amp;J$61,$B$23:$B$45&amp;"_"&amp;$C$23:$C$45,$D$23:$D$45)*$E388)</f>
        <v>4.62617647058823</v>
      </c>
      <c r="K388" s="67" cm="1">
        <f ca="1" t="array" ref="K388">MIN(18,_xlfn.XLOOKUP($D388&amp;"_"&amp;K$61,$B$23:$B$45&amp;"_"&amp;$C$23:$C$45,$D$23:$D$45)*$E388)</f>
        <v>1.43925490196079</v>
      </c>
      <c r="L388" s="67" cm="1">
        <f ca="1" t="array" ref="L388">MIN(6,_xlfn.XLOOKUP($D388&amp;"_"&amp;L$61,$B$23:$B$45&amp;"_"&amp;$C$23:$C$45,$D$23:$D$45)*$E388)</f>
        <v>2.15888235294118</v>
      </c>
      <c r="M388" s="67" cm="1">
        <f ca="1" t="array" ref="M388">(1+SUMPRODUCT(G388:H388,OFFSET($H$49:$I$49,D388,0)))*(1+OFFSET($J$49,D388,0))^I388*(1+OFFSET($K$49,D388,0))^J388*(1+OFFSET($L$49,D388,0))^K388*(1+OFFSET($M$49,D388,0))^L388</f>
        <v>92.4328928182893</v>
      </c>
      <c r="N388" s="67">
        <f ca="1">MAX(MAX($N$62:N387),OFFSET($C$61,MATCH(M388*1.07,$M$62:$M$2061,1),0)-C388)</f>
        <v>6120</v>
      </c>
    </row>
    <row r="389" spans="2:14">
      <c r="B389" s="67">
        <v>328</v>
      </c>
      <c r="C389" s="67">
        <f t="shared" si="38"/>
        <v>118080</v>
      </c>
      <c r="D389" s="67">
        <f t="shared" si="39"/>
        <v>5</v>
      </c>
      <c r="E389" s="67">
        <f ca="1" t="shared" si="40"/>
        <v>358</v>
      </c>
      <c r="F389" s="67">
        <f ca="1" t="shared" si="41"/>
        <v>0</v>
      </c>
      <c r="G389" s="67">
        <f ca="1" t="shared" si="42"/>
        <v>0</v>
      </c>
      <c r="H389" s="67" cm="1">
        <f ca="1" t="array" ref="H389">MIN(30-SUM(I389:L389),_xlfn.XLOOKUP($D389&amp;"_"&amp;H$61,$B$23:$B$45&amp;"_"&amp;$C$23:$C$45,$D$23:$D$45)*$E389,18)</f>
        <v>17.9175786236063</v>
      </c>
      <c r="I389" s="67" cm="1">
        <f ca="1" t="array" ref="I389">MIN(30-SUM(J389:L389),6-L389,_xlfn.XLOOKUP($D389&amp;"_"&amp;I$61,$B$23:$B$45&amp;"_"&amp;$C$23:$C$45,$D$23:$D$45)*$E389)</f>
        <v>3.83507035755479</v>
      </c>
      <c r="J389" s="67" cm="1">
        <f ca="1" t="array" ref="J389">MIN(8,_xlfn.XLOOKUP($D389&amp;"_"&amp;J$61,$B$23:$B$45&amp;"_"&amp;$C$23:$C$45,$D$23:$D$45)*$E389)</f>
        <v>4.63913494809688</v>
      </c>
      <c r="K389" s="67" cm="1">
        <f ca="1" t="array" ref="K389">MIN(18,_xlfn.XLOOKUP($D389&amp;"_"&amp;K$61,$B$23:$B$45&amp;"_"&amp;$C$23:$C$45,$D$23:$D$45)*$E389)</f>
        <v>1.44328642829681</v>
      </c>
      <c r="L389" s="67" cm="1">
        <f ca="1" t="array" ref="L389">MIN(6,_xlfn.XLOOKUP($D389&amp;"_"&amp;L$61,$B$23:$B$45&amp;"_"&amp;$C$23:$C$45,$D$23:$D$45)*$E389)</f>
        <v>2.16492964244521</v>
      </c>
      <c r="M389" s="67" cm="1">
        <f ca="1" t="array" ref="M389">(1+SUMPRODUCT(G389:H389,OFFSET($H$49:$I$49,D389,0)))*(1+OFFSET($J$49,D389,0))^I389*(1+OFFSET($K$49,D389,0))^J389*(1+OFFSET($L$49,D389,0))^K389*(1+OFFSET($M$49,D389,0))^L389</f>
        <v>92.7960472844724</v>
      </c>
      <c r="N389" s="67">
        <f ca="1">MAX(MAX($N$62:N388),OFFSET($C$61,MATCH(M389*1.07,$M$62:$M$2061,1),0)-C389)</f>
        <v>6120</v>
      </c>
    </row>
    <row r="390" spans="2:14">
      <c r="B390" s="67">
        <v>329</v>
      </c>
      <c r="C390" s="67">
        <f t="shared" si="38"/>
        <v>118440</v>
      </c>
      <c r="D390" s="67">
        <f t="shared" si="39"/>
        <v>5</v>
      </c>
      <c r="E390" s="67">
        <f ca="1" t="shared" si="40"/>
        <v>359</v>
      </c>
      <c r="F390" s="67">
        <f ca="1" t="shared" si="41"/>
        <v>0</v>
      </c>
      <c r="G390" s="67">
        <f ca="1" t="shared" si="42"/>
        <v>0</v>
      </c>
      <c r="H390" s="67" cm="1">
        <f ca="1" t="array" ref="H390">MIN(30-SUM(I390:L390),_xlfn.XLOOKUP($D390&amp;"_"&amp;H$61,$B$23:$B$45&amp;"_"&amp;$C$23:$C$45,$D$23:$D$45)*$E390,18)</f>
        <v>17.9005886197616</v>
      </c>
      <c r="I390" s="67" cm="1">
        <f ca="1" t="array" ref="I390">MIN(30-SUM(J390:L390),6-L390,_xlfn.XLOOKUP($D390&amp;"_"&amp;I$61,$B$23:$B$45&amp;"_"&amp;$C$23:$C$45,$D$23:$D$45)*$E390)</f>
        <v>3.82902306805075</v>
      </c>
      <c r="J390" s="67" cm="1">
        <f ca="1" t="array" ref="J390">MIN(8,_xlfn.XLOOKUP($D390&amp;"_"&amp;J$61,$B$23:$B$45&amp;"_"&amp;$C$23:$C$45,$D$23:$D$45)*$E390)</f>
        <v>4.65209342560553</v>
      </c>
      <c r="K390" s="67" cm="1">
        <f ca="1" t="array" ref="K390">MIN(18,_xlfn.XLOOKUP($D390&amp;"_"&amp;K$61,$B$23:$B$45&amp;"_"&amp;$C$23:$C$45,$D$23:$D$45)*$E390)</f>
        <v>1.44731795463283</v>
      </c>
      <c r="L390" s="67" cm="1">
        <f ca="1" t="array" ref="L390">MIN(6,_xlfn.XLOOKUP($D390&amp;"_"&amp;L$61,$B$23:$B$45&amp;"_"&amp;$C$23:$C$45,$D$23:$D$45)*$E390)</f>
        <v>2.17097693194925</v>
      </c>
      <c r="M390" s="67" cm="1">
        <f ca="1" t="array" ref="M390">(1+SUMPRODUCT(G390:H390,OFFSET($H$49:$I$49,D390,0)))*(1+OFFSET($J$49,D390,0))^I390*(1+OFFSET($K$49,D390,0))^J390*(1+OFFSET($L$49,D390,0))^K390*(1+OFFSET($M$49,D390,0))^L390</f>
        <v>93.1605773266888</v>
      </c>
      <c r="N390" s="67">
        <f ca="1">MAX(MAX($N$62:N389),OFFSET($C$61,MATCH(M390*1.07,$M$62:$M$2061,1),0)-C390)</f>
        <v>6120</v>
      </c>
    </row>
    <row r="391" spans="2:14">
      <c r="B391" s="67">
        <v>330</v>
      </c>
      <c r="C391" s="67">
        <f t="shared" si="38"/>
        <v>118800</v>
      </c>
      <c r="D391" s="67">
        <f t="shared" si="39"/>
        <v>5</v>
      </c>
      <c r="E391" s="67">
        <f ca="1" t="shared" si="40"/>
        <v>360</v>
      </c>
      <c r="F391" s="67">
        <f ca="1" t="shared" si="41"/>
        <v>0</v>
      </c>
      <c r="G391" s="67">
        <f ca="1" t="shared" si="42"/>
        <v>0</v>
      </c>
      <c r="H391" s="67" cm="1">
        <f ca="1" t="array" ref="H391">MIN(30-SUM(I391:L391),_xlfn.XLOOKUP($D391&amp;"_"&amp;H$61,$B$23:$B$45&amp;"_"&amp;$C$23:$C$45,$D$23:$D$45)*$E391,18)</f>
        <v>17.883598615917</v>
      </c>
      <c r="I391" s="67" cm="1">
        <f ca="1" t="array" ref="I391">MIN(30-SUM(J391:L391),6-L391,_xlfn.XLOOKUP($D391&amp;"_"&amp;I$61,$B$23:$B$45&amp;"_"&amp;$C$23:$C$45,$D$23:$D$45)*$E391)</f>
        <v>3.82297577854671</v>
      </c>
      <c r="J391" s="67" cm="1">
        <f ca="1" t="array" ref="J391">MIN(8,_xlfn.XLOOKUP($D391&amp;"_"&amp;J$61,$B$23:$B$45&amp;"_"&amp;$C$23:$C$45,$D$23:$D$45)*$E391)</f>
        <v>4.66505190311418</v>
      </c>
      <c r="K391" s="67" cm="1">
        <f ca="1" t="array" ref="K391">MIN(18,_xlfn.XLOOKUP($D391&amp;"_"&amp;K$61,$B$23:$B$45&amp;"_"&amp;$C$23:$C$45,$D$23:$D$45)*$E391)</f>
        <v>1.45134948096886</v>
      </c>
      <c r="L391" s="67" cm="1">
        <f ca="1" t="array" ref="L391">MIN(6,_xlfn.XLOOKUP($D391&amp;"_"&amp;L$61,$B$23:$B$45&amp;"_"&amp;$C$23:$C$45,$D$23:$D$45)*$E391)</f>
        <v>2.17702422145329</v>
      </c>
      <c r="M391" s="67" cm="1">
        <f ca="1" t="array" ref="M391">(1+SUMPRODUCT(G391:H391,OFFSET($H$49:$I$49,D391,0)))*(1+OFFSET($J$49,D391,0))^I391*(1+OFFSET($K$49,D391,0))^J391*(1+OFFSET($L$49,D391,0))^K391*(1+OFFSET($M$49,D391,0))^L391</f>
        <v>93.5264878708233</v>
      </c>
      <c r="N391" s="67">
        <f ca="1">MAX(MAX($N$62:N390),OFFSET($C$61,MATCH(M391*1.07,$M$62:$M$2061,1),0)-C391)</f>
        <v>6120</v>
      </c>
    </row>
    <row r="392" spans="2:14">
      <c r="B392" s="67">
        <v>331</v>
      </c>
      <c r="C392" s="67">
        <f t="shared" si="38"/>
        <v>119160</v>
      </c>
      <c r="D392" s="67">
        <f t="shared" si="39"/>
        <v>5</v>
      </c>
      <c r="E392" s="67">
        <f ca="1" t="shared" si="40"/>
        <v>361</v>
      </c>
      <c r="F392" s="67">
        <f ca="1" t="shared" si="41"/>
        <v>0</v>
      </c>
      <c r="G392" s="67">
        <f ca="1" t="shared" si="42"/>
        <v>0</v>
      </c>
      <c r="H392" s="67" cm="1">
        <f ca="1" t="array" ref="H392">MIN(30-SUM(I392:L392),_xlfn.XLOOKUP($D392&amp;"_"&amp;H$61,$B$23:$B$45&amp;"_"&amp;$C$23:$C$45,$D$23:$D$45)*$E392,18)</f>
        <v>17.8666086120723</v>
      </c>
      <c r="I392" s="67" cm="1">
        <f ca="1" t="array" ref="I392">MIN(30-SUM(J392:L392),6-L392,_xlfn.XLOOKUP($D392&amp;"_"&amp;I$61,$B$23:$B$45&amp;"_"&amp;$C$23:$C$45,$D$23:$D$45)*$E392)</f>
        <v>3.81692848904268</v>
      </c>
      <c r="J392" s="67" cm="1">
        <f ca="1" t="array" ref="J392">MIN(8,_xlfn.XLOOKUP($D392&amp;"_"&amp;J$61,$B$23:$B$45&amp;"_"&amp;$C$23:$C$45,$D$23:$D$45)*$E392)</f>
        <v>4.67801038062283</v>
      </c>
      <c r="K392" s="67" cm="1">
        <f ca="1" t="array" ref="K392">MIN(18,_xlfn.XLOOKUP($D392&amp;"_"&amp;K$61,$B$23:$B$45&amp;"_"&amp;$C$23:$C$45,$D$23:$D$45)*$E392)</f>
        <v>1.45538100730488</v>
      </c>
      <c r="L392" s="67" cm="1">
        <f ca="1" t="array" ref="L392">MIN(6,_xlfn.XLOOKUP($D392&amp;"_"&amp;L$61,$B$23:$B$45&amp;"_"&amp;$C$23:$C$45,$D$23:$D$45)*$E392)</f>
        <v>2.18307151095732</v>
      </c>
      <c r="M392" s="67" cm="1">
        <f ca="1" t="array" ref="M392">(1+SUMPRODUCT(G392:H392,OFFSET($H$49:$I$49,D392,0)))*(1+OFFSET($J$49,D392,0))^I392*(1+OFFSET($K$49,D392,0))^J392*(1+OFFSET($L$49,D392,0))^K392*(1+OFFSET($M$49,D392,0))^L392</f>
        <v>93.8937838587593</v>
      </c>
      <c r="N392" s="67">
        <f ca="1">MAX(MAX($N$62:N391),OFFSET($C$61,MATCH(M392*1.07,$M$62:$M$2061,1),0)-C392)</f>
        <v>6120</v>
      </c>
    </row>
    <row r="393" spans="2:14">
      <c r="B393" s="67">
        <v>332</v>
      </c>
      <c r="C393" s="67">
        <f t="shared" si="38"/>
        <v>119520</v>
      </c>
      <c r="D393" s="67">
        <f t="shared" si="39"/>
        <v>5</v>
      </c>
      <c r="E393" s="67">
        <f ca="1" t="shared" si="40"/>
        <v>362</v>
      </c>
      <c r="F393" s="67">
        <f ca="1" t="shared" si="41"/>
        <v>0</v>
      </c>
      <c r="G393" s="67">
        <f ca="1" t="shared" si="42"/>
        <v>0</v>
      </c>
      <c r="H393" s="67" cm="1">
        <f ca="1" t="array" ref="H393">MIN(30-SUM(I393:L393),_xlfn.XLOOKUP($D393&amp;"_"&amp;H$61,$B$23:$B$45&amp;"_"&amp;$C$23:$C$45,$D$23:$D$45)*$E393,18)</f>
        <v>17.8496186082276</v>
      </c>
      <c r="I393" s="67" cm="1">
        <f ca="1" t="array" ref="I393">MIN(30-SUM(J393:L393),6-L393,_xlfn.XLOOKUP($D393&amp;"_"&amp;I$61,$B$23:$B$45&amp;"_"&amp;$C$23:$C$45,$D$23:$D$45)*$E393)</f>
        <v>3.81088119953864</v>
      </c>
      <c r="J393" s="67" cm="1">
        <f ca="1" t="array" ref="J393">MIN(8,_xlfn.XLOOKUP($D393&amp;"_"&amp;J$61,$B$23:$B$45&amp;"_"&amp;$C$23:$C$45,$D$23:$D$45)*$E393)</f>
        <v>4.69096885813148</v>
      </c>
      <c r="K393" s="67" cm="1">
        <f ca="1" t="array" ref="K393">MIN(18,_xlfn.XLOOKUP($D393&amp;"_"&amp;K$61,$B$23:$B$45&amp;"_"&amp;$C$23:$C$45,$D$23:$D$45)*$E393)</f>
        <v>1.45941253364091</v>
      </c>
      <c r="L393" s="67" cm="1">
        <f ca="1" t="array" ref="L393">MIN(6,_xlfn.XLOOKUP($D393&amp;"_"&amp;L$61,$B$23:$B$45&amp;"_"&amp;$C$23:$C$45,$D$23:$D$45)*$E393)</f>
        <v>2.18911880046136</v>
      </c>
      <c r="M393" s="67" cm="1">
        <f ca="1" t="array" ref="M393">(1+SUMPRODUCT(G393:H393,OFFSET($H$49:$I$49,D393,0)))*(1+OFFSET($J$49,D393,0))^I393*(1+OFFSET($K$49,D393,0))^J393*(1+OFFSET($L$49,D393,0))^K393*(1+OFFSET($M$49,D393,0))^L393</f>
        <v>94.2624702484207</v>
      </c>
      <c r="N393" s="67">
        <f ca="1">MAX(MAX($N$62:N392),OFFSET($C$61,MATCH(M393*1.07,$M$62:$M$2061,1),0)-C393)</f>
        <v>6120</v>
      </c>
    </row>
    <row r="394" spans="2:14">
      <c r="B394" s="67">
        <v>333</v>
      </c>
      <c r="C394" s="67">
        <f t="shared" ref="C394:C457" si="43">C393+360</f>
        <v>119880</v>
      </c>
      <c r="D394" s="67">
        <f t="shared" si="39"/>
        <v>5</v>
      </c>
      <c r="E394" s="67">
        <f ca="1" t="shared" si="40"/>
        <v>363</v>
      </c>
      <c r="F394" s="67">
        <f ca="1" t="shared" si="41"/>
        <v>0</v>
      </c>
      <c r="G394" s="67">
        <f ca="1" t="shared" si="42"/>
        <v>0</v>
      </c>
      <c r="H394" s="67" cm="1">
        <f ca="1" t="array" ref="H394">MIN(30-SUM(I394:L394),_xlfn.XLOOKUP($D394&amp;"_"&amp;H$61,$B$23:$B$45&amp;"_"&amp;$C$23:$C$45,$D$23:$D$45)*$E394,18)</f>
        <v>17.8326286043829</v>
      </c>
      <c r="I394" s="67" cm="1">
        <f ca="1" t="array" ref="I394">MIN(30-SUM(J394:L394),6-L394,_xlfn.XLOOKUP($D394&amp;"_"&amp;I$61,$B$23:$B$45&amp;"_"&amp;$C$23:$C$45,$D$23:$D$45)*$E394)</f>
        <v>3.8048339100346</v>
      </c>
      <c r="J394" s="67" cm="1">
        <f ca="1" t="array" ref="J394">MIN(8,_xlfn.XLOOKUP($D394&amp;"_"&amp;J$61,$B$23:$B$45&amp;"_"&amp;$C$23:$C$45,$D$23:$D$45)*$E394)</f>
        <v>4.70392733564013</v>
      </c>
      <c r="K394" s="67" cm="1">
        <f ca="1" t="array" ref="K394">MIN(18,_xlfn.XLOOKUP($D394&amp;"_"&amp;K$61,$B$23:$B$45&amp;"_"&amp;$C$23:$C$45,$D$23:$D$45)*$E394)</f>
        <v>1.46344405997693</v>
      </c>
      <c r="L394" s="67" cm="1">
        <f ca="1" t="array" ref="L394">MIN(6,_xlfn.XLOOKUP($D394&amp;"_"&amp;L$61,$B$23:$B$45&amp;"_"&amp;$C$23:$C$45,$D$23:$D$45)*$E394)</f>
        <v>2.1951660899654</v>
      </c>
      <c r="M394" s="67" cm="1">
        <f ca="1" t="array" ref="M394">(1+SUMPRODUCT(G394:H394,OFFSET($H$49:$I$49,D394,0)))*(1+OFFSET($J$49,D394,0))^I394*(1+OFFSET($K$49,D394,0))^J394*(1+OFFSET($L$49,D394,0))^K394*(1+OFFSET($M$49,D394,0))^L394</f>
        <v>94.6325520138143</v>
      </c>
      <c r="N394" s="67">
        <f ca="1">MAX(MAX($N$62:N393),OFFSET($C$61,MATCH(M394*1.07,$M$62:$M$2061,1),0)-C394)</f>
        <v>6120</v>
      </c>
    </row>
    <row r="395" spans="2:14">
      <c r="B395" s="67">
        <v>334</v>
      </c>
      <c r="C395" s="67">
        <f t="shared" si="43"/>
        <v>120240</v>
      </c>
      <c r="D395" s="67">
        <f t="shared" si="39"/>
        <v>5</v>
      </c>
      <c r="E395" s="67">
        <f ca="1" t="shared" si="40"/>
        <v>364</v>
      </c>
      <c r="F395" s="67">
        <f ca="1" t="shared" si="41"/>
        <v>0</v>
      </c>
      <c r="G395" s="67">
        <f ca="1" t="shared" si="42"/>
        <v>0</v>
      </c>
      <c r="H395" s="67" cm="1">
        <f ca="1" t="array" ref="H395">MIN(30-SUM(I395:L395),_xlfn.XLOOKUP($D395&amp;"_"&amp;H$61,$B$23:$B$45&amp;"_"&amp;$C$23:$C$45,$D$23:$D$45)*$E395,18)</f>
        <v>17.8156386005383</v>
      </c>
      <c r="I395" s="67" cm="1">
        <f ca="1" t="array" ref="I395">MIN(30-SUM(J395:L395),6-L395,_xlfn.XLOOKUP($D395&amp;"_"&amp;I$61,$B$23:$B$45&amp;"_"&amp;$C$23:$C$45,$D$23:$D$45)*$E395)</f>
        <v>3.79878662053056</v>
      </c>
      <c r="J395" s="67" cm="1">
        <f ca="1" t="array" ref="J395">MIN(8,_xlfn.XLOOKUP($D395&amp;"_"&amp;J$61,$B$23:$B$45&amp;"_"&amp;$C$23:$C$45,$D$23:$D$45)*$E395)</f>
        <v>4.71688581314878</v>
      </c>
      <c r="K395" s="67" cm="1">
        <f ca="1" t="array" ref="K395">MIN(18,_xlfn.XLOOKUP($D395&amp;"_"&amp;K$61,$B$23:$B$45&amp;"_"&amp;$C$23:$C$45,$D$23:$D$45)*$E395)</f>
        <v>1.46747558631296</v>
      </c>
      <c r="L395" s="67" cm="1">
        <f ca="1" t="array" ref="L395">MIN(6,_xlfn.XLOOKUP($D395&amp;"_"&amp;L$61,$B$23:$B$45&amp;"_"&amp;$C$23:$C$45,$D$23:$D$45)*$E395)</f>
        <v>2.20121337946944</v>
      </c>
      <c r="M395" s="67" cm="1">
        <f ca="1" t="array" ref="M395">(1+SUMPRODUCT(G395:H395,OFFSET($H$49:$I$49,D395,0)))*(1+OFFSET($J$49,D395,0))^I395*(1+OFFSET($K$49,D395,0))^J395*(1+OFFSET($L$49,D395,0))^K395*(1+OFFSET($M$49,D395,0))^L395</f>
        <v>95.0040341450712</v>
      </c>
      <c r="N395" s="67">
        <f ca="1">MAX(MAX($N$62:N394),OFFSET($C$61,MATCH(M395*1.07,$M$62:$M$2061,1),0)-C395)</f>
        <v>6120</v>
      </c>
    </row>
    <row r="396" spans="2:14">
      <c r="B396" s="67">
        <v>335</v>
      </c>
      <c r="C396" s="67">
        <f t="shared" si="43"/>
        <v>120600</v>
      </c>
      <c r="D396" s="67">
        <f t="shared" si="39"/>
        <v>5</v>
      </c>
      <c r="E396" s="67">
        <f ca="1" t="shared" si="40"/>
        <v>365</v>
      </c>
      <c r="F396" s="67">
        <f ca="1" t="shared" si="41"/>
        <v>0</v>
      </c>
      <c r="G396" s="67">
        <f ca="1" t="shared" si="42"/>
        <v>0</v>
      </c>
      <c r="H396" s="67" cm="1">
        <f ca="1" t="array" ref="H396">MIN(30-SUM(I396:L396),_xlfn.XLOOKUP($D396&amp;"_"&amp;H$61,$B$23:$B$45&amp;"_"&amp;$C$23:$C$45,$D$23:$D$45)*$E396,18)</f>
        <v>17.7986485966936</v>
      </c>
      <c r="I396" s="67" cm="1">
        <f ca="1" t="array" ref="I396">MIN(30-SUM(J396:L396),6-L396,_xlfn.XLOOKUP($D396&amp;"_"&amp;I$61,$B$23:$B$45&amp;"_"&amp;$C$23:$C$45,$D$23:$D$45)*$E396)</f>
        <v>3.79273933102653</v>
      </c>
      <c r="J396" s="67" cm="1">
        <f ca="1" t="array" ref="J396">MIN(8,_xlfn.XLOOKUP($D396&amp;"_"&amp;J$61,$B$23:$B$45&amp;"_"&amp;$C$23:$C$45,$D$23:$D$45)*$E396)</f>
        <v>4.72984429065743</v>
      </c>
      <c r="K396" s="67" cm="1">
        <f ca="1" t="array" ref="K396">MIN(18,_xlfn.XLOOKUP($D396&amp;"_"&amp;K$61,$B$23:$B$45&amp;"_"&amp;$C$23:$C$45,$D$23:$D$45)*$E396)</f>
        <v>1.47150711264898</v>
      </c>
      <c r="L396" s="67" cm="1">
        <f ca="1" t="array" ref="L396">MIN(6,_xlfn.XLOOKUP($D396&amp;"_"&amp;L$61,$B$23:$B$45&amp;"_"&amp;$C$23:$C$45,$D$23:$D$45)*$E396)</f>
        <v>2.20726066897347</v>
      </c>
      <c r="M396" s="67" cm="1">
        <f ca="1" t="array" ref="M396">(1+SUMPRODUCT(G396:H396,OFFSET($H$49:$I$49,D396,0)))*(1+OFFSET($J$49,D396,0))^I396*(1+OFFSET($K$49,D396,0))^J396*(1+OFFSET($L$49,D396,0))^K396*(1+OFFSET($M$49,D396,0))^L396</f>
        <v>95.3769216484895</v>
      </c>
      <c r="N396" s="67">
        <f ca="1">MAX(MAX($N$62:N395),OFFSET($C$61,MATCH(M396*1.07,$M$62:$M$2061,1),0)-C396)</f>
        <v>6120</v>
      </c>
    </row>
    <row r="397" spans="2:14">
      <c r="B397" s="67">
        <v>336</v>
      </c>
      <c r="C397" s="67">
        <f t="shared" si="43"/>
        <v>120960</v>
      </c>
      <c r="D397" s="67">
        <f t="shared" si="39"/>
        <v>5</v>
      </c>
      <c r="E397" s="67">
        <f ca="1" t="shared" si="40"/>
        <v>366</v>
      </c>
      <c r="F397" s="67">
        <f ca="1" t="shared" si="41"/>
        <v>0</v>
      </c>
      <c r="G397" s="67">
        <f ca="1" t="shared" si="42"/>
        <v>0</v>
      </c>
      <c r="H397" s="67" cm="1">
        <f ca="1" t="array" ref="H397">MIN(30-SUM(I397:L397),_xlfn.XLOOKUP($D397&amp;"_"&amp;H$61,$B$23:$B$45&amp;"_"&amp;$C$23:$C$45,$D$23:$D$45)*$E397,18)</f>
        <v>17.7816585928489</v>
      </c>
      <c r="I397" s="67" cm="1">
        <f ca="1" t="array" ref="I397">MIN(30-SUM(J397:L397),6-L397,_xlfn.XLOOKUP($D397&amp;"_"&amp;I$61,$B$23:$B$45&amp;"_"&amp;$C$23:$C$45,$D$23:$D$45)*$E397)</f>
        <v>3.78669204152249</v>
      </c>
      <c r="J397" s="67" cm="1">
        <f ca="1" t="array" ref="J397">MIN(8,_xlfn.XLOOKUP($D397&amp;"_"&amp;J$61,$B$23:$B$45&amp;"_"&amp;$C$23:$C$45,$D$23:$D$45)*$E397)</f>
        <v>4.74280276816608</v>
      </c>
      <c r="K397" s="67" cm="1">
        <f ca="1" t="array" ref="K397">MIN(18,_xlfn.XLOOKUP($D397&amp;"_"&amp;K$61,$B$23:$B$45&amp;"_"&amp;$C$23:$C$45,$D$23:$D$45)*$E397)</f>
        <v>1.47553863898501</v>
      </c>
      <c r="L397" s="67" cm="1">
        <f ca="1" t="array" ref="L397">MIN(6,_xlfn.XLOOKUP($D397&amp;"_"&amp;L$61,$B$23:$B$45&amp;"_"&amp;$C$23:$C$45,$D$23:$D$45)*$E397)</f>
        <v>2.21330795847751</v>
      </c>
      <c r="M397" s="67" cm="1">
        <f ca="1" t="array" ref="M397">(1+SUMPRODUCT(G397:H397,OFFSET($H$49:$I$49,D397,0)))*(1+OFFSET($J$49,D397,0))^I397*(1+OFFSET($K$49,D397,0))^J397*(1+OFFSET($L$49,D397,0))^K397*(1+OFFSET($M$49,D397,0))^L397</f>
        <v>95.7512195465758</v>
      </c>
      <c r="N397" s="67">
        <f ca="1">MAX(MAX($N$62:N396),OFFSET($C$61,MATCH(M397*1.07,$M$62:$M$2061,1),0)-C397)</f>
        <v>6120</v>
      </c>
    </row>
    <row r="398" spans="2:14">
      <c r="B398" s="67">
        <v>337</v>
      </c>
      <c r="C398" s="67">
        <f t="shared" si="43"/>
        <v>121320</v>
      </c>
      <c r="D398" s="67">
        <f t="shared" si="39"/>
        <v>5</v>
      </c>
      <c r="E398" s="67">
        <f ca="1" t="shared" si="40"/>
        <v>367</v>
      </c>
      <c r="F398" s="67">
        <f ca="1" t="shared" si="41"/>
        <v>0</v>
      </c>
      <c r="G398" s="67">
        <f ca="1" t="shared" si="42"/>
        <v>0</v>
      </c>
      <c r="H398" s="67" cm="1">
        <f ca="1" t="array" ref="H398">MIN(30-SUM(I398:L398),_xlfn.XLOOKUP($D398&amp;"_"&amp;H$61,$B$23:$B$45&amp;"_"&amp;$C$23:$C$45,$D$23:$D$45)*$E398,18)</f>
        <v>17.7646685890042</v>
      </c>
      <c r="I398" s="67" cm="1">
        <f ca="1" t="array" ref="I398">MIN(30-SUM(J398:L398),6-L398,_xlfn.XLOOKUP($D398&amp;"_"&amp;I$61,$B$23:$B$45&amp;"_"&amp;$C$23:$C$45,$D$23:$D$45)*$E398)</f>
        <v>3.78064475201845</v>
      </c>
      <c r="J398" s="67" cm="1">
        <f ca="1" t="array" ref="J398">MIN(8,_xlfn.XLOOKUP($D398&amp;"_"&amp;J$61,$B$23:$B$45&amp;"_"&amp;$C$23:$C$45,$D$23:$D$45)*$E398)</f>
        <v>4.75576124567473</v>
      </c>
      <c r="K398" s="67" cm="1">
        <f ca="1" t="array" ref="K398">MIN(18,_xlfn.XLOOKUP($D398&amp;"_"&amp;K$61,$B$23:$B$45&amp;"_"&amp;$C$23:$C$45,$D$23:$D$45)*$E398)</f>
        <v>1.47957016532103</v>
      </c>
      <c r="L398" s="67" cm="1">
        <f ca="1" t="array" ref="L398">MIN(6,_xlfn.XLOOKUP($D398&amp;"_"&amp;L$61,$B$23:$B$45&amp;"_"&amp;$C$23:$C$45,$D$23:$D$45)*$E398)</f>
        <v>2.21935524798155</v>
      </c>
      <c r="M398" s="67" cm="1">
        <f ca="1" t="array" ref="M398">(1+SUMPRODUCT(G398:H398,OFFSET($H$49:$I$49,D398,0)))*(1+OFFSET($J$49,D398,0))^I398*(1+OFFSET($K$49,D398,0))^J398*(1+OFFSET($L$49,D398,0))^K398*(1+OFFSET($M$49,D398,0))^L398</f>
        <v>96.126932878088</v>
      </c>
      <c r="N398" s="67">
        <f ca="1">MAX(MAX($N$62:N397),OFFSET($C$61,MATCH(M398*1.07,$M$62:$M$2061,1),0)-C398)</f>
        <v>6120</v>
      </c>
    </row>
    <row r="399" spans="2:14">
      <c r="B399" s="67">
        <v>338</v>
      </c>
      <c r="C399" s="67">
        <f t="shared" si="43"/>
        <v>121680</v>
      </c>
      <c r="D399" s="67">
        <f t="shared" si="39"/>
        <v>5</v>
      </c>
      <c r="E399" s="67">
        <f ca="1" t="shared" si="40"/>
        <v>368</v>
      </c>
      <c r="F399" s="67">
        <f ca="1" t="shared" si="41"/>
        <v>0</v>
      </c>
      <c r="G399" s="67">
        <f ca="1" t="shared" si="42"/>
        <v>0</v>
      </c>
      <c r="H399" s="67" cm="1">
        <f ca="1" t="array" ref="H399">MIN(30-SUM(I399:L399),_xlfn.XLOOKUP($D399&amp;"_"&amp;H$61,$B$23:$B$45&amp;"_"&amp;$C$23:$C$45,$D$23:$D$45)*$E399,18)</f>
        <v>17.7476785851596</v>
      </c>
      <c r="I399" s="67" cm="1">
        <f ca="1" t="array" ref="I399">MIN(30-SUM(J399:L399),6-L399,_xlfn.XLOOKUP($D399&amp;"_"&amp;I$61,$B$23:$B$45&amp;"_"&amp;$C$23:$C$45,$D$23:$D$45)*$E399)</f>
        <v>3.77459746251442</v>
      </c>
      <c r="J399" s="67" cm="1">
        <f ca="1" t="array" ref="J399">MIN(8,_xlfn.XLOOKUP($D399&amp;"_"&amp;J$61,$B$23:$B$45&amp;"_"&amp;$C$23:$C$45,$D$23:$D$45)*$E399)</f>
        <v>4.76871972318338</v>
      </c>
      <c r="K399" s="67" cm="1">
        <f ca="1" t="array" ref="K399">MIN(18,_xlfn.XLOOKUP($D399&amp;"_"&amp;K$61,$B$23:$B$45&amp;"_"&amp;$C$23:$C$45,$D$23:$D$45)*$E399)</f>
        <v>1.48360169165706</v>
      </c>
      <c r="L399" s="67" cm="1">
        <f ca="1" t="array" ref="L399">MIN(6,_xlfn.XLOOKUP($D399&amp;"_"&amp;L$61,$B$23:$B$45&amp;"_"&amp;$C$23:$C$45,$D$23:$D$45)*$E399)</f>
        <v>2.22540253748558</v>
      </c>
      <c r="M399" s="67" cm="1">
        <f ca="1" t="array" ref="M399">(1+SUMPRODUCT(G399:H399,OFFSET($H$49:$I$49,D399,0)))*(1+OFFSET($J$49,D399,0))^I399*(1+OFFSET($K$49,D399,0))^J399*(1+OFFSET($L$49,D399,0))^K399*(1+OFFSET($M$49,D399,0))^L399</f>
        <v>96.5040666980769</v>
      </c>
      <c r="N399" s="67">
        <f ca="1">MAX(MAX($N$62:N398),OFFSET($C$61,MATCH(M399*1.07,$M$62:$M$2061,1),0)-C399)</f>
        <v>6120</v>
      </c>
    </row>
    <row r="400" spans="2:14">
      <c r="B400" s="67">
        <v>339</v>
      </c>
      <c r="C400" s="67">
        <f t="shared" si="43"/>
        <v>122040</v>
      </c>
      <c r="D400" s="67">
        <f t="shared" si="39"/>
        <v>5</v>
      </c>
      <c r="E400" s="67">
        <f ca="1" t="shared" si="40"/>
        <v>369</v>
      </c>
      <c r="F400" s="67">
        <f ca="1" t="shared" si="41"/>
        <v>0</v>
      </c>
      <c r="G400" s="67">
        <f ca="1" t="shared" si="42"/>
        <v>0</v>
      </c>
      <c r="H400" s="67" cm="1">
        <f ca="1" t="array" ref="H400">MIN(30-SUM(I400:L400),_xlfn.XLOOKUP($D400&amp;"_"&amp;H$61,$B$23:$B$45&amp;"_"&amp;$C$23:$C$45,$D$23:$D$45)*$E400,18)</f>
        <v>17.7306885813149</v>
      </c>
      <c r="I400" s="67" cm="1">
        <f ca="1" t="array" ref="I400">MIN(30-SUM(J400:L400),6-L400,_xlfn.XLOOKUP($D400&amp;"_"&amp;I$61,$B$23:$B$45&amp;"_"&amp;$C$23:$C$45,$D$23:$D$45)*$E400)</f>
        <v>3.76855017301038</v>
      </c>
      <c r="J400" s="67" cm="1">
        <f ca="1" t="array" ref="J400">MIN(8,_xlfn.XLOOKUP($D400&amp;"_"&amp;J$61,$B$23:$B$45&amp;"_"&amp;$C$23:$C$45,$D$23:$D$45)*$E400)</f>
        <v>4.78167820069203</v>
      </c>
      <c r="K400" s="67" cm="1">
        <f ca="1" t="array" ref="K400">MIN(18,_xlfn.XLOOKUP($D400&amp;"_"&amp;K$61,$B$23:$B$45&amp;"_"&amp;$C$23:$C$45,$D$23:$D$45)*$E400)</f>
        <v>1.48763321799308</v>
      </c>
      <c r="L400" s="67" cm="1">
        <f ca="1" t="array" ref="L400">MIN(6,_xlfn.XLOOKUP($D400&amp;"_"&amp;L$61,$B$23:$B$45&amp;"_"&amp;$C$23:$C$45,$D$23:$D$45)*$E400)</f>
        <v>2.23144982698962</v>
      </c>
      <c r="M400" s="67" cm="1">
        <f ca="1" t="array" ref="M400">(1+SUMPRODUCT(G400:H400,OFFSET($H$49:$I$49,D400,0)))*(1+OFFSET($J$49,D400,0))^I400*(1+OFFSET($K$49,D400,0))^J400*(1+OFFSET($L$49,D400,0))^K400*(1+OFFSET($M$49,D400,0))^L400</f>
        <v>96.8826260779291</v>
      </c>
      <c r="N400" s="67">
        <f ca="1">MAX(MAX($N$62:N399),OFFSET($C$61,MATCH(M400*1.07,$M$62:$M$2061,1),0)-C400)</f>
        <v>6120</v>
      </c>
    </row>
    <row r="401" spans="2:14">
      <c r="B401" s="67">
        <v>340</v>
      </c>
      <c r="C401" s="67">
        <f t="shared" si="43"/>
        <v>122400</v>
      </c>
      <c r="D401" s="67">
        <f t="shared" si="39"/>
        <v>5</v>
      </c>
      <c r="E401" s="67">
        <f ca="1" t="shared" si="40"/>
        <v>370</v>
      </c>
      <c r="F401" s="67">
        <f ca="1" t="shared" si="41"/>
        <v>0</v>
      </c>
      <c r="G401" s="67">
        <f ca="1" t="shared" si="42"/>
        <v>0</v>
      </c>
      <c r="H401" s="67" cm="1">
        <f ca="1" t="array" ref="H401">MIN(30-SUM(I401:L401),_xlfn.XLOOKUP($D401&amp;"_"&amp;H$61,$B$23:$B$45&amp;"_"&amp;$C$23:$C$45,$D$23:$D$45)*$E401,18)</f>
        <v>17.7136985774702</v>
      </c>
      <c r="I401" s="67" cm="1">
        <f ca="1" t="array" ref="I401">MIN(30-SUM(J401:L401),6-L401,_xlfn.XLOOKUP($D401&amp;"_"&amp;I$61,$B$23:$B$45&amp;"_"&amp;$C$23:$C$45,$D$23:$D$45)*$E401)</f>
        <v>3.76250288350634</v>
      </c>
      <c r="J401" s="67" cm="1">
        <f ca="1" t="array" ref="J401">MIN(8,_xlfn.XLOOKUP($D401&amp;"_"&amp;J$61,$B$23:$B$45&amp;"_"&amp;$C$23:$C$45,$D$23:$D$45)*$E401)</f>
        <v>4.79463667820068</v>
      </c>
      <c r="K401" s="67" cm="1">
        <f ca="1" t="array" ref="K401">MIN(18,_xlfn.XLOOKUP($D401&amp;"_"&amp;K$61,$B$23:$B$45&amp;"_"&amp;$C$23:$C$45,$D$23:$D$45)*$E401)</f>
        <v>1.49166474432911</v>
      </c>
      <c r="L401" s="67" cm="1">
        <f ca="1" t="array" ref="L401">MIN(6,_xlfn.XLOOKUP($D401&amp;"_"&amp;L$61,$B$23:$B$45&amp;"_"&amp;$C$23:$C$45,$D$23:$D$45)*$E401)</f>
        <v>2.23749711649366</v>
      </c>
      <c r="M401" s="67" cm="1">
        <f ca="1" t="array" ref="M401">(1+SUMPRODUCT(G401:H401,OFFSET($H$49:$I$49,D401,0)))*(1+OFFSET($J$49,D401,0))^I401*(1+OFFSET($K$49,D401,0))^J401*(1+OFFSET($L$49,D401,0))^K401*(1+OFFSET($M$49,D401,0))^L401</f>
        <v>97.2626161054087</v>
      </c>
      <c r="N401" s="67">
        <f ca="1">MAX(MAX($N$62:N400),OFFSET($C$61,MATCH(M401*1.07,$M$62:$M$2061,1),0)-C401)</f>
        <v>6120</v>
      </c>
    </row>
    <row r="402" spans="2:14">
      <c r="B402" s="67">
        <v>341</v>
      </c>
      <c r="C402" s="67">
        <f t="shared" si="43"/>
        <v>122760</v>
      </c>
      <c r="D402" s="67">
        <f t="shared" si="39"/>
        <v>5</v>
      </c>
      <c r="E402" s="67">
        <f ca="1" t="shared" si="40"/>
        <v>371</v>
      </c>
      <c r="F402" s="67">
        <f ca="1" t="shared" si="41"/>
        <v>0</v>
      </c>
      <c r="G402" s="67">
        <f ca="1" t="shared" si="42"/>
        <v>0</v>
      </c>
      <c r="H402" s="67" cm="1">
        <f ca="1" t="array" ref="H402">MIN(30-SUM(I402:L402),_xlfn.XLOOKUP($D402&amp;"_"&amp;H$61,$B$23:$B$45&amp;"_"&amp;$C$23:$C$45,$D$23:$D$45)*$E402,18)</f>
        <v>17.6967085736255</v>
      </c>
      <c r="I402" s="67" cm="1">
        <f ca="1" t="array" ref="I402">MIN(30-SUM(J402:L402),6-L402,_xlfn.XLOOKUP($D402&amp;"_"&amp;I$61,$B$23:$B$45&amp;"_"&amp;$C$23:$C$45,$D$23:$D$45)*$E402)</f>
        <v>3.75645559400231</v>
      </c>
      <c r="J402" s="67" cm="1">
        <f ca="1" t="array" ref="J402">MIN(8,_xlfn.XLOOKUP($D402&amp;"_"&amp;J$61,$B$23:$B$45&amp;"_"&amp;$C$23:$C$45,$D$23:$D$45)*$E402)</f>
        <v>4.80759515570934</v>
      </c>
      <c r="K402" s="67" cm="1">
        <f ca="1" t="array" ref="K402">MIN(18,_xlfn.XLOOKUP($D402&amp;"_"&amp;K$61,$B$23:$B$45&amp;"_"&amp;$C$23:$C$45,$D$23:$D$45)*$E402)</f>
        <v>1.49569627066513</v>
      </c>
      <c r="L402" s="67" cm="1">
        <f ca="1" t="array" ref="L402">MIN(6,_xlfn.XLOOKUP($D402&amp;"_"&amp;L$61,$B$23:$B$45&amp;"_"&amp;$C$23:$C$45,$D$23:$D$45)*$E402)</f>
        <v>2.24354440599769</v>
      </c>
      <c r="M402" s="67" cm="1">
        <f ca="1" t="array" ref="M402">(1+SUMPRODUCT(G402:H402,OFFSET($H$49:$I$49,D402,0)))*(1+OFFSET($J$49,D402,0))^I402*(1+OFFSET($K$49,D402,0))^J402*(1+OFFSET($L$49,D402,0))^K402*(1+OFFSET($M$49,D402,0))^L402</f>
        <v>97.6440418846999</v>
      </c>
      <c r="N402" s="67">
        <f ca="1">MAX(MAX($N$62:N401),OFFSET($C$61,MATCH(M402*1.07,$M$62:$M$2061,1),0)-C402)</f>
        <v>6120</v>
      </c>
    </row>
    <row r="403" spans="2:14">
      <c r="B403" s="67">
        <v>342</v>
      </c>
      <c r="C403" s="67">
        <f t="shared" si="43"/>
        <v>123120</v>
      </c>
      <c r="D403" s="67">
        <f t="shared" si="39"/>
        <v>5</v>
      </c>
      <c r="E403" s="67">
        <f ca="1" t="shared" si="40"/>
        <v>372</v>
      </c>
      <c r="F403" s="67">
        <f ca="1" t="shared" si="41"/>
        <v>0</v>
      </c>
      <c r="G403" s="67">
        <f ca="1" t="shared" si="42"/>
        <v>0</v>
      </c>
      <c r="H403" s="67" cm="1">
        <f ca="1" t="array" ref="H403">MIN(30-SUM(I403:L403),_xlfn.XLOOKUP($D403&amp;"_"&amp;H$61,$B$23:$B$45&amp;"_"&amp;$C$23:$C$45,$D$23:$D$45)*$E403,18)</f>
        <v>17.6797185697809</v>
      </c>
      <c r="I403" s="67" cm="1">
        <f ca="1" t="array" ref="I403">MIN(30-SUM(J403:L403),6-L403,_xlfn.XLOOKUP($D403&amp;"_"&amp;I$61,$B$23:$B$45&amp;"_"&amp;$C$23:$C$45,$D$23:$D$45)*$E403)</f>
        <v>3.75040830449827</v>
      </c>
      <c r="J403" s="67" cm="1">
        <f ca="1" t="array" ref="J403">MIN(8,_xlfn.XLOOKUP($D403&amp;"_"&amp;J$61,$B$23:$B$45&amp;"_"&amp;$C$23:$C$45,$D$23:$D$45)*$E403)</f>
        <v>4.82055363321799</v>
      </c>
      <c r="K403" s="67" cm="1">
        <f ca="1" t="array" ref="K403">MIN(18,_xlfn.XLOOKUP($D403&amp;"_"&amp;K$61,$B$23:$B$45&amp;"_"&amp;$C$23:$C$45,$D$23:$D$45)*$E403)</f>
        <v>1.49972779700115</v>
      </c>
      <c r="L403" s="67" cm="1">
        <f ca="1" t="array" ref="L403">MIN(6,_xlfn.XLOOKUP($D403&amp;"_"&amp;L$61,$B$23:$B$45&amp;"_"&amp;$C$23:$C$45,$D$23:$D$45)*$E403)</f>
        <v>2.24959169550173</v>
      </c>
      <c r="M403" s="67" cm="1">
        <f ca="1" t="array" ref="M403">(1+SUMPRODUCT(G403:H403,OFFSET($H$49:$I$49,D403,0)))*(1+OFFSET($J$49,D403,0))^I403*(1+OFFSET($K$49,D403,0))^J403*(1+OFFSET($L$49,D403,0))^K403*(1+OFFSET($M$49,D403,0))^L403</f>
        <v>98.0269085364492</v>
      </c>
      <c r="N403" s="67">
        <f ca="1">MAX(MAX($N$62:N402),OFFSET($C$61,MATCH(M403*1.07,$M$62:$M$2061,1),0)-C403)</f>
        <v>6120</v>
      </c>
    </row>
    <row r="404" spans="2:14">
      <c r="B404" s="67">
        <v>343</v>
      </c>
      <c r="C404" s="67">
        <f t="shared" si="43"/>
        <v>123480</v>
      </c>
      <c r="D404" s="67">
        <f t="shared" si="39"/>
        <v>5</v>
      </c>
      <c r="E404" s="67">
        <f ca="1" t="shared" si="40"/>
        <v>373</v>
      </c>
      <c r="F404" s="67">
        <f ca="1" t="shared" si="41"/>
        <v>0</v>
      </c>
      <c r="G404" s="67">
        <f ca="1" t="shared" si="42"/>
        <v>0</v>
      </c>
      <c r="H404" s="67" cm="1">
        <f ca="1" t="array" ref="H404">MIN(30-SUM(I404:L404),_xlfn.XLOOKUP($D404&amp;"_"&amp;H$61,$B$23:$B$45&amp;"_"&amp;$C$23:$C$45,$D$23:$D$45)*$E404,18)</f>
        <v>17.6627285659362</v>
      </c>
      <c r="I404" s="67" cm="1">
        <f ca="1" t="array" ref="I404">MIN(30-SUM(J404:L404),6-L404,_xlfn.XLOOKUP($D404&amp;"_"&amp;I$61,$B$23:$B$45&amp;"_"&amp;$C$23:$C$45,$D$23:$D$45)*$E404)</f>
        <v>3.74436101499423</v>
      </c>
      <c r="J404" s="67" cm="1">
        <f ca="1" t="array" ref="J404">MIN(8,_xlfn.XLOOKUP($D404&amp;"_"&amp;J$61,$B$23:$B$45&amp;"_"&amp;$C$23:$C$45,$D$23:$D$45)*$E404)</f>
        <v>4.83351211072664</v>
      </c>
      <c r="K404" s="67" cm="1">
        <f ca="1" t="array" ref="K404">MIN(18,_xlfn.XLOOKUP($D404&amp;"_"&amp;K$61,$B$23:$B$45&amp;"_"&amp;$C$23:$C$45,$D$23:$D$45)*$E404)</f>
        <v>1.50375932333718</v>
      </c>
      <c r="L404" s="67" cm="1">
        <f ca="1" t="array" ref="L404">MIN(6,_xlfn.XLOOKUP($D404&amp;"_"&amp;L$61,$B$23:$B$45&amp;"_"&amp;$C$23:$C$45,$D$23:$D$45)*$E404)</f>
        <v>2.25563898500577</v>
      </c>
      <c r="M404" s="67" cm="1">
        <f ca="1" t="array" ref="M404">(1+SUMPRODUCT(G404:H404,OFFSET($H$49:$I$49,D404,0)))*(1+OFFSET($J$49,D404,0))^I404*(1+OFFSET($K$49,D404,0))^J404*(1+OFFSET($L$49,D404,0))^K404*(1+OFFSET($M$49,D404,0))^L404</f>
        <v>98.4112211978082</v>
      </c>
      <c r="N404" s="67">
        <f ca="1">MAX(MAX($N$62:N403),OFFSET($C$61,MATCH(M404*1.07,$M$62:$M$2061,1),0)-C404)</f>
        <v>6120</v>
      </c>
    </row>
    <row r="405" spans="2:14">
      <c r="B405" s="67">
        <v>344</v>
      </c>
      <c r="C405" s="67">
        <f t="shared" si="43"/>
        <v>123840</v>
      </c>
      <c r="D405" s="67">
        <f t="shared" si="39"/>
        <v>5</v>
      </c>
      <c r="E405" s="67">
        <f ca="1" t="shared" si="40"/>
        <v>374</v>
      </c>
      <c r="F405" s="67">
        <f ca="1" t="shared" si="41"/>
        <v>0</v>
      </c>
      <c r="G405" s="67">
        <f ca="1" t="shared" si="42"/>
        <v>0</v>
      </c>
      <c r="H405" s="67" cm="1">
        <f ca="1" t="array" ref="H405">MIN(30-SUM(I405:L405),_xlfn.XLOOKUP($D405&amp;"_"&amp;H$61,$B$23:$B$45&amp;"_"&amp;$C$23:$C$45,$D$23:$D$45)*$E405,18)</f>
        <v>17.6457385620915</v>
      </c>
      <c r="I405" s="67" cm="1">
        <f ca="1" t="array" ref="I405">MIN(30-SUM(J405:L405),6-L405,_xlfn.XLOOKUP($D405&amp;"_"&amp;I$61,$B$23:$B$45&amp;"_"&amp;$C$23:$C$45,$D$23:$D$45)*$E405)</f>
        <v>3.7383137254902</v>
      </c>
      <c r="J405" s="67" cm="1">
        <f ca="1" t="array" ref="J405">MIN(8,_xlfn.XLOOKUP($D405&amp;"_"&amp;J$61,$B$23:$B$45&amp;"_"&amp;$C$23:$C$45,$D$23:$D$45)*$E405)</f>
        <v>4.84647058823529</v>
      </c>
      <c r="K405" s="67" cm="1">
        <f ca="1" t="array" ref="K405">MIN(18,_xlfn.XLOOKUP($D405&amp;"_"&amp;K$61,$B$23:$B$45&amp;"_"&amp;$C$23:$C$45,$D$23:$D$45)*$E405)</f>
        <v>1.5077908496732</v>
      </c>
      <c r="L405" s="67" cm="1">
        <f ca="1" t="array" ref="L405">MIN(6,_xlfn.XLOOKUP($D405&amp;"_"&amp;L$61,$B$23:$B$45&amp;"_"&amp;$C$23:$C$45,$D$23:$D$45)*$E405)</f>
        <v>2.2616862745098</v>
      </c>
      <c r="M405" s="67" cm="1">
        <f ca="1" t="array" ref="M405">(1+SUMPRODUCT(G405:H405,OFFSET($H$49:$I$49,D405,0)))*(1+OFFSET($J$49,D405,0))^I405*(1+OFFSET($K$49,D405,0))^J405*(1+OFFSET($L$49,D405,0))^K405*(1+OFFSET($M$49,D405,0))^L405</f>
        <v>98.7969850224754</v>
      </c>
      <c r="N405" s="67">
        <f ca="1">MAX(MAX($N$62:N404),OFFSET($C$61,MATCH(M405*1.07,$M$62:$M$2061,1),0)-C405)</f>
        <v>6120</v>
      </c>
    </row>
    <row r="406" spans="2:14">
      <c r="B406" s="67">
        <v>345</v>
      </c>
      <c r="C406" s="67">
        <f t="shared" si="43"/>
        <v>124200</v>
      </c>
      <c r="D406" s="67">
        <f t="shared" si="39"/>
        <v>5</v>
      </c>
      <c r="E406" s="67">
        <f ca="1" t="shared" si="40"/>
        <v>375</v>
      </c>
      <c r="F406" s="67">
        <f ca="1" t="shared" si="41"/>
        <v>0</v>
      </c>
      <c r="G406" s="67">
        <f ca="1" t="shared" si="42"/>
        <v>0</v>
      </c>
      <c r="H406" s="67" cm="1">
        <f ca="1" t="array" ref="H406">MIN(30-SUM(I406:L406),_xlfn.XLOOKUP($D406&amp;"_"&amp;H$61,$B$23:$B$45&amp;"_"&amp;$C$23:$C$45,$D$23:$D$45)*$E406,18)</f>
        <v>17.6287485582468</v>
      </c>
      <c r="I406" s="67" cm="1">
        <f ca="1" t="array" ref="I406">MIN(30-SUM(J406:L406),6-L406,_xlfn.XLOOKUP($D406&amp;"_"&amp;I$61,$B$23:$B$45&amp;"_"&amp;$C$23:$C$45,$D$23:$D$45)*$E406)</f>
        <v>3.73226643598616</v>
      </c>
      <c r="J406" s="67" cm="1">
        <f ca="1" t="array" ref="J406">MIN(8,_xlfn.XLOOKUP($D406&amp;"_"&amp;J$61,$B$23:$B$45&amp;"_"&amp;$C$23:$C$45,$D$23:$D$45)*$E406)</f>
        <v>4.85942906574394</v>
      </c>
      <c r="K406" s="67" cm="1">
        <f ca="1" t="array" ref="K406">MIN(18,_xlfn.XLOOKUP($D406&amp;"_"&amp;K$61,$B$23:$B$45&amp;"_"&amp;$C$23:$C$45,$D$23:$D$45)*$E406)</f>
        <v>1.51182237600923</v>
      </c>
      <c r="L406" s="67" cm="1">
        <f ca="1" t="array" ref="L406">MIN(6,_xlfn.XLOOKUP($D406&amp;"_"&amp;L$61,$B$23:$B$45&amp;"_"&amp;$C$23:$C$45,$D$23:$D$45)*$E406)</f>
        <v>2.26773356401384</v>
      </c>
      <c r="M406" s="67" cm="1">
        <f ca="1" t="array" ref="M406">(1+SUMPRODUCT(G406:H406,OFFSET($H$49:$I$49,D406,0)))*(1+OFFSET($J$49,D406,0))^I406*(1+OFFSET($K$49,D406,0))^J406*(1+OFFSET($L$49,D406,0))^K406*(1+OFFSET($M$49,D406,0))^L406</f>
        <v>99.1842051807391</v>
      </c>
      <c r="N406" s="67">
        <f ca="1">MAX(MAX($N$62:N405),OFFSET($C$61,MATCH(M406*1.07,$M$62:$M$2061,1),0)-C406)</f>
        <v>6120</v>
      </c>
    </row>
    <row r="407" spans="2:14">
      <c r="B407" s="67">
        <v>346</v>
      </c>
      <c r="C407" s="67">
        <f t="shared" si="43"/>
        <v>124560</v>
      </c>
      <c r="D407" s="67">
        <f t="shared" si="39"/>
        <v>5</v>
      </c>
      <c r="E407" s="67">
        <f ca="1" t="shared" si="40"/>
        <v>376</v>
      </c>
      <c r="F407" s="67">
        <f ca="1" t="shared" si="41"/>
        <v>0</v>
      </c>
      <c r="G407" s="67">
        <f ca="1" t="shared" si="42"/>
        <v>0</v>
      </c>
      <c r="H407" s="67" cm="1">
        <f ca="1" t="array" ref="H407">MIN(30-SUM(I407:L407),_xlfn.XLOOKUP($D407&amp;"_"&amp;H$61,$B$23:$B$45&amp;"_"&amp;$C$23:$C$45,$D$23:$D$45)*$E407,18)</f>
        <v>17.6117585544022</v>
      </c>
      <c r="I407" s="67" cm="1">
        <f ca="1" t="array" ref="I407">MIN(30-SUM(J407:L407),6-L407,_xlfn.XLOOKUP($D407&amp;"_"&amp;I$61,$B$23:$B$45&amp;"_"&amp;$C$23:$C$45,$D$23:$D$45)*$E407)</f>
        <v>3.72621914648212</v>
      </c>
      <c r="J407" s="67" cm="1">
        <f ca="1" t="array" ref="J407">MIN(8,_xlfn.XLOOKUP($D407&amp;"_"&amp;J$61,$B$23:$B$45&amp;"_"&amp;$C$23:$C$45,$D$23:$D$45)*$E407)</f>
        <v>4.87238754325259</v>
      </c>
      <c r="K407" s="67" cm="1">
        <f ca="1" t="array" ref="K407">MIN(18,_xlfn.XLOOKUP($D407&amp;"_"&amp;K$61,$B$23:$B$45&amp;"_"&amp;$C$23:$C$45,$D$23:$D$45)*$E407)</f>
        <v>1.51585390234525</v>
      </c>
      <c r="L407" s="67" cm="1">
        <f ca="1" t="array" ref="L407">MIN(6,_xlfn.XLOOKUP($D407&amp;"_"&amp;L$61,$B$23:$B$45&amp;"_"&amp;$C$23:$C$45,$D$23:$D$45)*$E407)</f>
        <v>2.27378085351788</v>
      </c>
      <c r="M407" s="67" cm="1">
        <f ca="1" t="array" ref="M407">(1+SUMPRODUCT(G407:H407,OFFSET($H$49:$I$49,D407,0)))*(1+OFFSET($J$49,D407,0))^I407*(1+OFFSET($K$49,D407,0))^J407*(1+OFFSET($L$49,D407,0))^K407*(1+OFFSET($M$49,D407,0))^L407</f>
        <v>99.5728868595201</v>
      </c>
      <c r="N407" s="67">
        <f ca="1">MAX(MAX($N$62:N406),OFFSET($C$61,MATCH(M407*1.07,$M$62:$M$2061,1),0)-C407)</f>
        <v>6120</v>
      </c>
    </row>
    <row r="408" spans="2:14">
      <c r="B408" s="67">
        <v>347</v>
      </c>
      <c r="C408" s="67">
        <f t="shared" si="43"/>
        <v>124920</v>
      </c>
      <c r="D408" s="67">
        <f t="shared" si="39"/>
        <v>5</v>
      </c>
      <c r="E408" s="67">
        <f ca="1" t="shared" si="40"/>
        <v>377</v>
      </c>
      <c r="F408" s="67">
        <f ca="1" t="shared" si="41"/>
        <v>0</v>
      </c>
      <c r="G408" s="67">
        <f ca="1" t="shared" si="42"/>
        <v>0</v>
      </c>
      <c r="H408" s="67" cm="1">
        <f ca="1" t="array" ref="H408">MIN(30-SUM(I408:L408),_xlfn.XLOOKUP($D408&amp;"_"&amp;H$61,$B$23:$B$45&amp;"_"&amp;$C$23:$C$45,$D$23:$D$45)*$E408,18)</f>
        <v>17.5947685505575</v>
      </c>
      <c r="I408" s="67" cm="1">
        <f ca="1" t="array" ref="I408">MIN(30-SUM(J408:L408),6-L408,_xlfn.XLOOKUP($D408&amp;"_"&amp;I$61,$B$23:$B$45&amp;"_"&amp;$C$23:$C$45,$D$23:$D$45)*$E408)</f>
        <v>3.72017185697808</v>
      </c>
      <c r="J408" s="67" cm="1">
        <f ca="1" t="array" ref="J408">MIN(8,_xlfn.XLOOKUP($D408&amp;"_"&amp;J$61,$B$23:$B$45&amp;"_"&amp;$C$23:$C$45,$D$23:$D$45)*$E408)</f>
        <v>4.88534602076124</v>
      </c>
      <c r="K408" s="67" cm="1">
        <f ca="1" t="array" ref="K408">MIN(18,_xlfn.XLOOKUP($D408&amp;"_"&amp;K$61,$B$23:$B$45&amp;"_"&amp;$C$23:$C$45,$D$23:$D$45)*$E408)</f>
        <v>1.51988542868128</v>
      </c>
      <c r="L408" s="67" cm="1">
        <f ca="1" t="array" ref="L408">MIN(6,_xlfn.XLOOKUP($D408&amp;"_"&amp;L$61,$B$23:$B$45&amp;"_"&amp;$C$23:$C$45,$D$23:$D$45)*$E408)</f>
        <v>2.27982814302192</v>
      </c>
      <c r="M408" s="67" cm="1">
        <f ca="1" t="array" ref="M408">(1+SUMPRODUCT(G408:H408,OFFSET($H$49:$I$49,D408,0)))*(1+OFFSET($J$49,D408,0))^I408*(1+OFFSET($K$49,D408,0))^J408*(1+OFFSET($L$49,D408,0))^K408*(1+OFFSET($M$49,D408,0))^L408</f>
        <v>99.9630352624135</v>
      </c>
      <c r="N408" s="67">
        <f ca="1">MAX(MAX($N$62:N407),OFFSET($C$61,MATCH(M408*1.07,$M$62:$M$2061,1),0)-C408)</f>
        <v>6120</v>
      </c>
    </row>
    <row r="409" spans="2:14">
      <c r="B409" s="67">
        <v>348</v>
      </c>
      <c r="C409" s="67">
        <f t="shared" si="43"/>
        <v>125280</v>
      </c>
      <c r="D409" s="67">
        <f t="shared" si="39"/>
        <v>5</v>
      </c>
      <c r="E409" s="67">
        <f ca="1" t="shared" si="40"/>
        <v>378</v>
      </c>
      <c r="F409" s="67">
        <f ca="1" t="shared" si="41"/>
        <v>0</v>
      </c>
      <c r="G409" s="67">
        <f ca="1" t="shared" si="42"/>
        <v>0</v>
      </c>
      <c r="H409" s="67" cm="1">
        <f ca="1" t="array" ref="H409">MIN(30-SUM(I409:L409),_xlfn.XLOOKUP($D409&amp;"_"&amp;H$61,$B$23:$B$45&amp;"_"&amp;$C$23:$C$45,$D$23:$D$45)*$E409,18)</f>
        <v>17.5777785467128</v>
      </c>
      <c r="I409" s="67" cm="1">
        <f ca="1" t="array" ref="I409">MIN(30-SUM(J409:L409),6-L409,_xlfn.XLOOKUP($D409&amp;"_"&amp;I$61,$B$23:$B$45&amp;"_"&amp;$C$23:$C$45,$D$23:$D$45)*$E409)</f>
        <v>3.71412456747405</v>
      </c>
      <c r="J409" s="67" cm="1">
        <f ca="1" t="array" ref="J409">MIN(8,_xlfn.XLOOKUP($D409&amp;"_"&amp;J$61,$B$23:$B$45&amp;"_"&amp;$C$23:$C$45,$D$23:$D$45)*$E409)</f>
        <v>4.89830449826989</v>
      </c>
      <c r="K409" s="67" cm="1">
        <f ca="1" t="array" ref="K409">MIN(18,_xlfn.XLOOKUP($D409&amp;"_"&amp;K$61,$B$23:$B$45&amp;"_"&amp;$C$23:$C$45,$D$23:$D$45)*$E409)</f>
        <v>1.5239169550173</v>
      </c>
      <c r="L409" s="67" cm="1">
        <f ca="1" t="array" ref="L409">MIN(6,_xlfn.XLOOKUP($D409&amp;"_"&amp;L$61,$B$23:$B$45&amp;"_"&amp;$C$23:$C$45,$D$23:$D$45)*$E409)</f>
        <v>2.28587543252595</v>
      </c>
      <c r="M409" s="67" cm="1">
        <f ca="1" t="array" ref="M409">(1+SUMPRODUCT(G409:H409,OFFSET($H$49:$I$49,D409,0)))*(1+OFFSET($J$49,D409,0))^I409*(1+OFFSET($K$49,D409,0))^J409*(1+OFFSET($L$49,D409,0))^K409*(1+OFFSET($M$49,D409,0))^L409</f>
        <v>100.354655609732</v>
      </c>
      <c r="N409" s="67">
        <f ca="1">MAX(MAX($N$62:N408),OFFSET($C$61,MATCH(M409*1.07,$M$62:$M$2061,1),0)-C409)</f>
        <v>6120</v>
      </c>
    </row>
    <row r="410" spans="2:14">
      <c r="B410" s="67">
        <v>349</v>
      </c>
      <c r="C410" s="67">
        <f t="shared" si="43"/>
        <v>125640</v>
      </c>
      <c r="D410" s="67">
        <f t="shared" si="39"/>
        <v>5</v>
      </c>
      <c r="E410" s="67">
        <f ca="1" t="shared" si="40"/>
        <v>379</v>
      </c>
      <c r="F410" s="67">
        <f ca="1" t="shared" si="41"/>
        <v>0</v>
      </c>
      <c r="G410" s="67">
        <f ca="1" t="shared" si="42"/>
        <v>0</v>
      </c>
      <c r="H410" s="67" cm="1">
        <f ca="1" t="array" ref="H410">MIN(30-SUM(I410:L410),_xlfn.XLOOKUP($D410&amp;"_"&amp;H$61,$B$23:$B$45&amp;"_"&amp;$C$23:$C$45,$D$23:$D$45)*$E410,18)</f>
        <v>17.5607885428681</v>
      </c>
      <c r="I410" s="67" cm="1">
        <f ca="1" t="array" ref="I410">MIN(30-SUM(J410:L410),6-L410,_xlfn.XLOOKUP($D410&amp;"_"&amp;I$61,$B$23:$B$45&amp;"_"&amp;$C$23:$C$45,$D$23:$D$45)*$E410)</f>
        <v>3.70807727797001</v>
      </c>
      <c r="J410" s="67" cm="1">
        <f ca="1" t="array" ref="J410">MIN(8,_xlfn.XLOOKUP($D410&amp;"_"&amp;J$61,$B$23:$B$45&amp;"_"&amp;$C$23:$C$45,$D$23:$D$45)*$E410)</f>
        <v>4.91126297577854</v>
      </c>
      <c r="K410" s="67" cm="1">
        <f ca="1" t="array" ref="K410">MIN(18,_xlfn.XLOOKUP($D410&amp;"_"&amp;K$61,$B$23:$B$45&amp;"_"&amp;$C$23:$C$45,$D$23:$D$45)*$E410)</f>
        <v>1.52794848135333</v>
      </c>
      <c r="L410" s="67" cm="1">
        <f ca="1" t="array" ref="L410">MIN(6,_xlfn.XLOOKUP($D410&amp;"_"&amp;L$61,$B$23:$B$45&amp;"_"&amp;$C$23:$C$45,$D$23:$D$45)*$E410)</f>
        <v>2.29192272202999</v>
      </c>
      <c r="M410" s="67" cm="1">
        <f ca="1" t="array" ref="M410">(1+SUMPRODUCT(G410:H410,OFFSET($H$49:$I$49,D410,0)))*(1+OFFSET($J$49,D410,0))^I410*(1+OFFSET($K$49,D410,0))^J410*(1+OFFSET($L$49,D410,0))^K410*(1+OFFSET($M$49,D410,0))^L410</f>
        <v>100.747753138548</v>
      </c>
      <c r="N410" s="67">
        <f ca="1">MAX(MAX($N$62:N409),OFFSET($C$61,MATCH(M410*1.07,$M$62:$M$2061,1),0)-C410)</f>
        <v>6120</v>
      </c>
    </row>
    <row r="411" spans="2:14">
      <c r="B411" s="67">
        <v>350</v>
      </c>
      <c r="C411" s="67">
        <f t="shared" si="43"/>
        <v>126000</v>
      </c>
      <c r="D411" s="67">
        <f t="shared" si="39"/>
        <v>5</v>
      </c>
      <c r="E411" s="67">
        <f ca="1" t="shared" si="40"/>
        <v>380</v>
      </c>
      <c r="F411" s="67">
        <f ca="1" t="shared" si="41"/>
        <v>0</v>
      </c>
      <c r="G411" s="67">
        <f ca="1" t="shared" si="42"/>
        <v>0</v>
      </c>
      <c r="H411" s="67" cm="1">
        <f ca="1" t="array" ref="H411">MIN(30-SUM(I411:L411),_xlfn.XLOOKUP($D411&amp;"_"&amp;H$61,$B$23:$B$45&amp;"_"&amp;$C$23:$C$45,$D$23:$D$45)*$E411,18)</f>
        <v>17.5437985390235</v>
      </c>
      <c r="I411" s="67" cm="1">
        <f ca="1" t="array" ref="I411">MIN(30-SUM(J411:L411),6-L411,_xlfn.XLOOKUP($D411&amp;"_"&amp;I$61,$B$23:$B$45&amp;"_"&amp;$C$23:$C$45,$D$23:$D$45)*$E411)</f>
        <v>3.70202998846597</v>
      </c>
      <c r="J411" s="67" cm="1">
        <f ca="1" t="array" ref="J411">MIN(8,_xlfn.XLOOKUP($D411&amp;"_"&amp;J$61,$B$23:$B$45&amp;"_"&amp;$C$23:$C$45,$D$23:$D$45)*$E411)</f>
        <v>4.92422145328719</v>
      </c>
      <c r="K411" s="67" cm="1">
        <f ca="1" t="array" ref="K411">MIN(18,_xlfn.XLOOKUP($D411&amp;"_"&amp;K$61,$B$23:$B$45&amp;"_"&amp;$C$23:$C$45,$D$23:$D$45)*$E411)</f>
        <v>1.53198000768935</v>
      </c>
      <c r="L411" s="67" cm="1">
        <f ca="1" t="array" ref="L411">MIN(6,_xlfn.XLOOKUP($D411&amp;"_"&amp;L$61,$B$23:$B$45&amp;"_"&amp;$C$23:$C$45,$D$23:$D$45)*$E411)</f>
        <v>2.29797001153403</v>
      </c>
      <c r="M411" s="67" cm="1">
        <f ca="1" t="array" ref="M411">(1+SUMPRODUCT(G411:H411,OFFSET($H$49:$I$49,D411,0)))*(1+OFFSET($J$49,D411,0))^I411*(1+OFFSET($K$49,D411,0))^J411*(1+OFFSET($L$49,D411,0))^K411*(1+OFFSET($M$49,D411,0))^L411</f>
        <v>101.142333102737</v>
      </c>
      <c r="N411" s="67">
        <f ca="1">MAX(MAX($N$62:N410),OFFSET($C$61,MATCH(M411*1.07,$M$62:$M$2061,1),0)-C411)</f>
        <v>6120</v>
      </c>
    </row>
    <row r="412" spans="2:14">
      <c r="B412" s="67">
        <v>351</v>
      </c>
      <c r="C412" s="67">
        <f t="shared" si="43"/>
        <v>126360</v>
      </c>
      <c r="D412" s="67">
        <f t="shared" si="39"/>
        <v>5</v>
      </c>
      <c r="E412" s="67">
        <f ca="1" t="shared" si="40"/>
        <v>381</v>
      </c>
      <c r="F412" s="67">
        <f ca="1" t="shared" si="41"/>
        <v>0</v>
      </c>
      <c r="G412" s="67">
        <f ca="1" t="shared" si="42"/>
        <v>0</v>
      </c>
      <c r="H412" s="67" cm="1">
        <f ca="1" t="array" ref="H412">MIN(30-SUM(I412:L412),_xlfn.XLOOKUP($D412&amp;"_"&amp;H$61,$B$23:$B$45&amp;"_"&amp;$C$23:$C$45,$D$23:$D$45)*$E412,18)</f>
        <v>17.5268085351788</v>
      </c>
      <c r="I412" s="67" cm="1">
        <f ca="1" t="array" ref="I412">MIN(30-SUM(J412:L412),6-L412,_xlfn.XLOOKUP($D412&amp;"_"&amp;I$61,$B$23:$B$45&amp;"_"&amp;$C$23:$C$45,$D$23:$D$45)*$E412)</f>
        <v>3.69598269896194</v>
      </c>
      <c r="J412" s="67" cm="1">
        <f ca="1" t="array" ref="J412">MIN(8,_xlfn.XLOOKUP($D412&amp;"_"&amp;J$61,$B$23:$B$45&amp;"_"&amp;$C$23:$C$45,$D$23:$D$45)*$E412)</f>
        <v>4.93717993079584</v>
      </c>
      <c r="K412" s="67" cm="1">
        <f ca="1" t="array" ref="K412">MIN(18,_xlfn.XLOOKUP($D412&amp;"_"&amp;K$61,$B$23:$B$45&amp;"_"&amp;$C$23:$C$45,$D$23:$D$45)*$E412)</f>
        <v>1.53601153402538</v>
      </c>
      <c r="L412" s="67" cm="1">
        <f ca="1" t="array" ref="L412">MIN(6,_xlfn.XLOOKUP($D412&amp;"_"&amp;L$61,$B$23:$B$45&amp;"_"&amp;$C$23:$C$45,$D$23:$D$45)*$E412)</f>
        <v>2.30401730103806</v>
      </c>
      <c r="M412" s="67" cm="1">
        <f ca="1" t="array" ref="M412">(1+SUMPRODUCT(G412:H412,OFFSET($H$49:$I$49,D412,0)))*(1+OFFSET($J$49,D412,0))^I412*(1+OFFSET($K$49,D412,0))^J412*(1+OFFSET($L$49,D412,0))^K412*(1+OFFSET($M$49,D412,0))^L412</f>
        <v>101.53840077302</v>
      </c>
      <c r="N412" s="67">
        <f ca="1">MAX(MAX($N$62:N411),OFFSET($C$61,MATCH(M412*1.07,$M$62:$M$2061,1),0)-C412)</f>
        <v>6120</v>
      </c>
    </row>
    <row r="413" spans="2:14">
      <c r="B413" s="67">
        <v>352</v>
      </c>
      <c r="C413" s="67">
        <f t="shared" si="43"/>
        <v>126720</v>
      </c>
      <c r="D413" s="67">
        <f t="shared" si="39"/>
        <v>5</v>
      </c>
      <c r="E413" s="67">
        <f ca="1" t="shared" si="40"/>
        <v>382</v>
      </c>
      <c r="F413" s="67">
        <f ca="1" t="shared" si="41"/>
        <v>0</v>
      </c>
      <c r="G413" s="67">
        <f ca="1" t="shared" si="42"/>
        <v>0</v>
      </c>
      <c r="H413" s="67" cm="1">
        <f ca="1" t="array" ref="H413">MIN(30-SUM(I413:L413),_xlfn.XLOOKUP($D413&amp;"_"&amp;H$61,$B$23:$B$45&amp;"_"&amp;$C$23:$C$45,$D$23:$D$45)*$E413,18)</f>
        <v>17.5098185313341</v>
      </c>
      <c r="I413" s="67" cm="1">
        <f ca="1" t="array" ref="I413">MIN(30-SUM(J413:L413),6-L413,_xlfn.XLOOKUP($D413&amp;"_"&amp;I$61,$B$23:$B$45&amp;"_"&amp;$C$23:$C$45,$D$23:$D$45)*$E413)</f>
        <v>3.6899354094579</v>
      </c>
      <c r="J413" s="67" cm="1">
        <f ca="1" t="array" ref="J413">MIN(8,_xlfn.XLOOKUP($D413&amp;"_"&amp;J$61,$B$23:$B$45&amp;"_"&amp;$C$23:$C$45,$D$23:$D$45)*$E413)</f>
        <v>4.95013840830449</v>
      </c>
      <c r="K413" s="67" cm="1">
        <f ca="1" t="array" ref="K413">MIN(18,_xlfn.XLOOKUP($D413&amp;"_"&amp;K$61,$B$23:$B$45&amp;"_"&amp;$C$23:$C$45,$D$23:$D$45)*$E413)</f>
        <v>1.5400430603614</v>
      </c>
      <c r="L413" s="67" cm="1">
        <f ca="1" t="array" ref="L413">MIN(6,_xlfn.XLOOKUP($D413&amp;"_"&amp;L$61,$B$23:$B$45&amp;"_"&amp;$C$23:$C$45,$D$23:$D$45)*$E413)</f>
        <v>2.3100645905421</v>
      </c>
      <c r="M413" s="67" cm="1">
        <f ca="1" t="array" ref="M413">(1+SUMPRODUCT(G413:H413,OFFSET($H$49:$I$49,D413,0)))*(1+OFFSET($J$49,D413,0))^I413*(1+OFFSET($K$49,D413,0))^J413*(1+OFFSET($L$49,D413,0))^K413*(1+OFFSET($M$49,D413,0))^L413</f>
        <v>101.935961437004</v>
      </c>
      <c r="N413" s="67">
        <f ca="1">MAX(MAX($N$62:N412),OFFSET($C$61,MATCH(M413*1.07,$M$62:$M$2061,1),0)-C413)</f>
        <v>6120</v>
      </c>
    </row>
    <row r="414" spans="2:14">
      <c r="B414" s="67">
        <v>353</v>
      </c>
      <c r="C414" s="67">
        <f t="shared" si="43"/>
        <v>127080</v>
      </c>
      <c r="D414" s="67">
        <f t="shared" si="39"/>
        <v>5</v>
      </c>
      <c r="E414" s="67">
        <f ca="1" t="shared" si="40"/>
        <v>383</v>
      </c>
      <c r="F414" s="67">
        <f ca="1" t="shared" si="41"/>
        <v>0</v>
      </c>
      <c r="G414" s="67">
        <f ca="1" t="shared" si="42"/>
        <v>0</v>
      </c>
      <c r="H414" s="67" cm="1">
        <f ca="1" t="array" ref="H414">MIN(30-SUM(I414:L414),_xlfn.XLOOKUP($D414&amp;"_"&amp;H$61,$B$23:$B$45&amp;"_"&amp;$C$23:$C$45,$D$23:$D$45)*$E414,18)</f>
        <v>17.4928285274894</v>
      </c>
      <c r="I414" s="67" cm="1">
        <f ca="1" t="array" ref="I414">MIN(30-SUM(J414:L414),6-L414,_xlfn.XLOOKUP($D414&amp;"_"&amp;I$61,$B$23:$B$45&amp;"_"&amp;$C$23:$C$45,$D$23:$D$45)*$E414)</f>
        <v>3.68388811995386</v>
      </c>
      <c r="J414" s="67" cm="1">
        <f ca="1" t="array" ref="J414">MIN(8,_xlfn.XLOOKUP($D414&amp;"_"&amp;J$61,$B$23:$B$45&amp;"_"&amp;$C$23:$C$45,$D$23:$D$45)*$E414)</f>
        <v>4.96309688581314</v>
      </c>
      <c r="K414" s="67" cm="1">
        <f ca="1" t="array" ref="K414">MIN(18,_xlfn.XLOOKUP($D414&amp;"_"&amp;K$61,$B$23:$B$45&amp;"_"&amp;$C$23:$C$45,$D$23:$D$45)*$E414)</f>
        <v>1.54407458669743</v>
      </c>
      <c r="L414" s="67" cm="1">
        <f ca="1" t="array" ref="L414">MIN(6,_xlfn.XLOOKUP($D414&amp;"_"&amp;L$61,$B$23:$B$45&amp;"_"&amp;$C$23:$C$45,$D$23:$D$45)*$E414)</f>
        <v>2.31611188004614</v>
      </c>
      <c r="M414" s="67" cm="1">
        <f ca="1" t="array" ref="M414">(1+SUMPRODUCT(G414:H414,OFFSET($H$49:$I$49,D414,0)))*(1+OFFSET($J$49,D414,0))^I414*(1+OFFSET($K$49,D414,0))^J414*(1+OFFSET($L$49,D414,0))^K414*(1+OFFSET($M$49,D414,0))^L414</f>
        <v>102.335020399228</v>
      </c>
      <c r="N414" s="67">
        <f ca="1">MAX(MAX($N$62:N413),OFFSET($C$61,MATCH(M414*1.07,$M$62:$M$2061,1),0)-C414)</f>
        <v>6120</v>
      </c>
    </row>
    <row r="415" spans="2:14">
      <c r="B415" s="67">
        <v>354</v>
      </c>
      <c r="C415" s="67">
        <f t="shared" si="43"/>
        <v>127440</v>
      </c>
      <c r="D415" s="67">
        <f t="shared" si="39"/>
        <v>5</v>
      </c>
      <c r="E415" s="67">
        <f ca="1" t="shared" si="40"/>
        <v>384</v>
      </c>
      <c r="F415" s="67">
        <f ca="1" t="shared" si="41"/>
        <v>0</v>
      </c>
      <c r="G415" s="67">
        <f ca="1" t="shared" si="42"/>
        <v>0</v>
      </c>
      <c r="H415" s="67" cm="1">
        <f ca="1" t="array" ref="H415">MIN(30-SUM(I415:L415),_xlfn.XLOOKUP($D415&amp;"_"&amp;H$61,$B$23:$B$45&amp;"_"&amp;$C$23:$C$45,$D$23:$D$45)*$E415,18)</f>
        <v>17.4758385236448</v>
      </c>
      <c r="I415" s="67" cm="1">
        <f ca="1" t="array" ref="I415">MIN(30-SUM(J415:L415),6-L415,_xlfn.XLOOKUP($D415&amp;"_"&amp;I$61,$B$23:$B$45&amp;"_"&amp;$C$23:$C$45,$D$23:$D$45)*$E415)</f>
        <v>3.67784083044983</v>
      </c>
      <c r="J415" s="67" cm="1">
        <f ca="1" t="array" ref="J415">MIN(8,_xlfn.XLOOKUP($D415&amp;"_"&amp;J$61,$B$23:$B$45&amp;"_"&amp;$C$23:$C$45,$D$23:$D$45)*$E415)</f>
        <v>4.97605536332179</v>
      </c>
      <c r="K415" s="67" cm="1">
        <f ca="1" t="array" ref="K415">MIN(18,_xlfn.XLOOKUP($D415&amp;"_"&amp;K$61,$B$23:$B$45&amp;"_"&amp;$C$23:$C$45,$D$23:$D$45)*$E415)</f>
        <v>1.54810611303345</v>
      </c>
      <c r="L415" s="67" cm="1">
        <f ca="1" t="array" ref="L415">MIN(6,_xlfn.XLOOKUP($D415&amp;"_"&amp;L$61,$B$23:$B$45&amp;"_"&amp;$C$23:$C$45,$D$23:$D$45)*$E415)</f>
        <v>2.32215916955017</v>
      </c>
      <c r="M415" s="67" cm="1">
        <f ca="1" t="array" ref="M415">(1+SUMPRODUCT(G415:H415,OFFSET($H$49:$I$49,D415,0)))*(1+OFFSET($J$49,D415,0))^I415*(1+OFFSET($K$49,D415,0))^J415*(1+OFFSET($L$49,D415,0))^K415*(1+OFFSET($M$49,D415,0))^L415</f>
        <v>102.735582981206</v>
      </c>
      <c r="N415" s="67">
        <f ca="1">MAX(MAX($N$62:N414),OFFSET($C$61,MATCH(M415*1.07,$M$62:$M$2061,1),0)-C415)</f>
        <v>6120</v>
      </c>
    </row>
    <row r="416" spans="2:14">
      <c r="B416" s="67">
        <v>355</v>
      </c>
      <c r="C416" s="67">
        <f t="shared" si="43"/>
        <v>127800</v>
      </c>
      <c r="D416" s="67">
        <f t="shared" si="39"/>
        <v>5</v>
      </c>
      <c r="E416" s="67">
        <f ca="1" t="shared" si="40"/>
        <v>385</v>
      </c>
      <c r="F416" s="67">
        <f ca="1" t="shared" si="41"/>
        <v>0</v>
      </c>
      <c r="G416" s="67">
        <f ca="1" t="shared" si="42"/>
        <v>0</v>
      </c>
      <c r="H416" s="67" cm="1">
        <f ca="1" t="array" ref="H416">MIN(30-SUM(I416:L416),_xlfn.XLOOKUP($D416&amp;"_"&amp;H$61,$B$23:$B$45&amp;"_"&amp;$C$23:$C$45,$D$23:$D$45)*$E416,18)</f>
        <v>17.4588485198001</v>
      </c>
      <c r="I416" s="67" cm="1">
        <f ca="1" t="array" ref="I416">MIN(30-SUM(J416:L416),6-L416,_xlfn.XLOOKUP($D416&amp;"_"&amp;I$61,$B$23:$B$45&amp;"_"&amp;$C$23:$C$45,$D$23:$D$45)*$E416)</f>
        <v>3.67179354094579</v>
      </c>
      <c r="J416" s="67" cm="1">
        <f ca="1" t="array" ref="J416">MIN(8,_xlfn.XLOOKUP($D416&amp;"_"&amp;J$61,$B$23:$B$45&amp;"_"&amp;$C$23:$C$45,$D$23:$D$45)*$E416)</f>
        <v>4.98901384083044</v>
      </c>
      <c r="K416" s="67" cm="1">
        <f ca="1" t="array" ref="K416">MIN(18,_xlfn.XLOOKUP($D416&amp;"_"&amp;K$61,$B$23:$B$45&amp;"_"&amp;$C$23:$C$45,$D$23:$D$45)*$E416)</f>
        <v>1.55213763936947</v>
      </c>
      <c r="L416" s="67" cm="1">
        <f ca="1" t="array" ref="L416">MIN(6,_xlfn.XLOOKUP($D416&amp;"_"&amp;L$61,$B$23:$B$45&amp;"_"&amp;$C$23:$C$45,$D$23:$D$45)*$E416)</f>
        <v>2.32820645905421</v>
      </c>
      <c r="M416" s="67" cm="1">
        <f ca="1" t="array" ref="M416">(1+SUMPRODUCT(G416:H416,OFFSET($H$49:$I$49,D416,0)))*(1+OFFSET($J$49,D416,0))^I416*(1+OFFSET($K$49,D416,0))^J416*(1+OFFSET($L$49,D416,0))^K416*(1+OFFSET($M$49,D416,0))^L416</f>
        <v>103.137654521465</v>
      </c>
      <c r="N416" s="67">
        <f ca="1">MAX(MAX($N$62:N415),OFFSET($C$61,MATCH(M416*1.07,$M$62:$M$2061,1),0)-C416)</f>
        <v>6120</v>
      </c>
    </row>
    <row r="417" spans="2:14">
      <c r="B417" s="67">
        <v>356</v>
      </c>
      <c r="C417" s="67">
        <f t="shared" si="43"/>
        <v>128160</v>
      </c>
      <c r="D417" s="67">
        <f t="shared" si="39"/>
        <v>5</v>
      </c>
      <c r="E417" s="67">
        <f ca="1" t="shared" si="40"/>
        <v>386</v>
      </c>
      <c r="F417" s="67">
        <f ca="1" t="shared" si="41"/>
        <v>0</v>
      </c>
      <c r="G417" s="67">
        <f ca="1" t="shared" si="42"/>
        <v>0</v>
      </c>
      <c r="H417" s="67" cm="1">
        <f ca="1" t="array" ref="H417">MIN(30-SUM(I417:L417),_xlfn.XLOOKUP($D417&amp;"_"&amp;H$61,$B$23:$B$45&amp;"_"&amp;$C$23:$C$45,$D$23:$D$45)*$E417,18)</f>
        <v>17.4418585159554</v>
      </c>
      <c r="I417" s="67" cm="1">
        <f ca="1" t="array" ref="I417">MIN(30-SUM(J417:L417),6-L417,_xlfn.XLOOKUP($D417&amp;"_"&amp;I$61,$B$23:$B$45&amp;"_"&amp;$C$23:$C$45,$D$23:$D$45)*$E417)</f>
        <v>3.66574625144175</v>
      </c>
      <c r="J417" s="67" cm="1">
        <f ca="1" t="array" ref="J417">MIN(8,_xlfn.XLOOKUP($D417&amp;"_"&amp;J$61,$B$23:$B$45&amp;"_"&amp;$C$23:$C$45,$D$23:$D$45)*$E417)</f>
        <v>5.00197231833909</v>
      </c>
      <c r="K417" s="67" cm="1">
        <f ca="1" t="array" ref="K417">MIN(18,_xlfn.XLOOKUP($D417&amp;"_"&amp;K$61,$B$23:$B$45&amp;"_"&amp;$C$23:$C$45,$D$23:$D$45)*$E417)</f>
        <v>1.5561691657055</v>
      </c>
      <c r="L417" s="67" cm="1">
        <f ca="1" t="array" ref="L417">MIN(6,_xlfn.XLOOKUP($D417&amp;"_"&amp;L$61,$B$23:$B$45&amp;"_"&amp;$C$23:$C$45,$D$23:$D$45)*$E417)</f>
        <v>2.33425374855825</v>
      </c>
      <c r="M417" s="67" cm="1">
        <f ca="1" t="array" ref="M417">(1+SUMPRODUCT(G417:H417,OFFSET($H$49:$I$49,D417,0)))*(1+OFFSET($J$49,D417,0))^I417*(1+OFFSET($K$49,D417,0))^J417*(1+OFFSET($L$49,D417,0))^K417*(1+OFFSET($M$49,D417,0))^L417</f>
        <v>103.541240375595</v>
      </c>
      <c r="N417" s="67">
        <f ca="1">MAX(MAX($N$62:N416),OFFSET($C$61,MATCH(M417*1.07,$M$62:$M$2061,1),0)-C417)</f>
        <v>6120</v>
      </c>
    </row>
    <row r="418" spans="2:14">
      <c r="B418" s="67">
        <v>357</v>
      </c>
      <c r="C418" s="67">
        <f t="shared" si="43"/>
        <v>128520</v>
      </c>
      <c r="D418" s="67">
        <f t="shared" si="39"/>
        <v>5</v>
      </c>
      <c r="E418" s="67">
        <f ca="1" t="shared" si="40"/>
        <v>387</v>
      </c>
      <c r="F418" s="67">
        <f ca="1" t="shared" si="41"/>
        <v>0</v>
      </c>
      <c r="G418" s="67">
        <f ca="1" t="shared" si="42"/>
        <v>0</v>
      </c>
      <c r="H418" s="67" cm="1">
        <f ca="1" t="array" ref="H418">MIN(30-SUM(I418:L418),_xlfn.XLOOKUP($D418&amp;"_"&amp;H$61,$B$23:$B$45&amp;"_"&amp;$C$23:$C$45,$D$23:$D$45)*$E418,18)</f>
        <v>17.4248685121107</v>
      </c>
      <c r="I418" s="67" cm="1">
        <f ca="1" t="array" ref="I418">MIN(30-SUM(J418:L418),6-L418,_xlfn.XLOOKUP($D418&amp;"_"&amp;I$61,$B$23:$B$45&amp;"_"&amp;$C$23:$C$45,$D$23:$D$45)*$E418)</f>
        <v>3.65969896193772</v>
      </c>
      <c r="J418" s="67" cm="1">
        <f ca="1" t="array" ref="J418">MIN(8,_xlfn.XLOOKUP($D418&amp;"_"&amp;J$61,$B$23:$B$45&amp;"_"&amp;$C$23:$C$45,$D$23:$D$45)*$E418)</f>
        <v>5.01493079584774</v>
      </c>
      <c r="K418" s="67" cm="1">
        <f ca="1" t="array" ref="K418">MIN(18,_xlfn.XLOOKUP($D418&amp;"_"&amp;K$61,$B$23:$B$45&amp;"_"&amp;$C$23:$C$45,$D$23:$D$45)*$E418)</f>
        <v>1.56020069204152</v>
      </c>
      <c r="L418" s="67" cm="1">
        <f ca="1" t="array" ref="L418">MIN(6,_xlfn.XLOOKUP($D418&amp;"_"&amp;L$61,$B$23:$B$45&amp;"_"&amp;$C$23:$C$45,$D$23:$D$45)*$E418)</f>
        <v>2.34030103806228</v>
      </c>
      <c r="M418" s="67" cm="1">
        <f ca="1" t="array" ref="M418">(1+SUMPRODUCT(G418:H418,OFFSET($H$49:$I$49,D418,0)))*(1+OFFSET($J$49,D418,0))^I418*(1+OFFSET($K$49,D418,0))^J418*(1+OFFSET($L$49,D418,0))^K418*(1+OFFSET($M$49,D418,0))^L418</f>
        <v>103.946345916283</v>
      </c>
      <c r="N418" s="67">
        <f ca="1">MAX(MAX($N$62:N417),OFFSET($C$61,MATCH(M418*1.07,$M$62:$M$2061,1),0)-C418)</f>
        <v>6120</v>
      </c>
    </row>
    <row r="419" spans="2:14">
      <c r="B419" s="67">
        <v>358</v>
      </c>
      <c r="C419" s="67">
        <f t="shared" si="43"/>
        <v>128880</v>
      </c>
      <c r="D419" s="67">
        <f t="shared" si="39"/>
        <v>5</v>
      </c>
      <c r="E419" s="67">
        <f ca="1" t="shared" si="40"/>
        <v>388</v>
      </c>
      <c r="F419" s="67">
        <f ca="1" t="shared" si="41"/>
        <v>0</v>
      </c>
      <c r="G419" s="67">
        <f ca="1" t="shared" si="42"/>
        <v>0</v>
      </c>
      <c r="H419" s="67" cm="1">
        <f ca="1" t="array" ref="H419">MIN(30-SUM(I419:L419),_xlfn.XLOOKUP($D419&amp;"_"&amp;H$61,$B$23:$B$45&amp;"_"&amp;$C$23:$C$45,$D$23:$D$45)*$E419,18)</f>
        <v>17.4078785082661</v>
      </c>
      <c r="I419" s="67" cm="1">
        <f ca="1" t="array" ref="I419">MIN(30-SUM(J419:L419),6-L419,_xlfn.XLOOKUP($D419&amp;"_"&amp;I$61,$B$23:$B$45&amp;"_"&amp;$C$23:$C$45,$D$23:$D$45)*$E419)</f>
        <v>3.65365167243368</v>
      </c>
      <c r="J419" s="67" cm="1">
        <f ca="1" t="array" ref="J419">MIN(8,_xlfn.XLOOKUP($D419&amp;"_"&amp;J$61,$B$23:$B$45&amp;"_"&amp;$C$23:$C$45,$D$23:$D$45)*$E419)</f>
        <v>5.02788927335639</v>
      </c>
      <c r="K419" s="67" cm="1">
        <f ca="1" t="array" ref="K419">MIN(18,_xlfn.XLOOKUP($D419&amp;"_"&amp;K$61,$B$23:$B$45&amp;"_"&amp;$C$23:$C$45,$D$23:$D$45)*$E419)</f>
        <v>1.56423221837755</v>
      </c>
      <c r="L419" s="67" cm="1">
        <f ca="1" t="array" ref="L419">MIN(6,_xlfn.XLOOKUP($D419&amp;"_"&amp;L$61,$B$23:$B$45&amp;"_"&amp;$C$23:$C$45,$D$23:$D$45)*$E419)</f>
        <v>2.34634832756632</v>
      </c>
      <c r="M419" s="67" cm="1">
        <f ca="1" t="array" ref="M419">(1+SUMPRODUCT(G419:H419,OFFSET($H$49:$I$49,D419,0)))*(1+OFFSET($J$49,D419,0))^I419*(1+OFFSET($K$49,D419,0))^J419*(1+OFFSET($L$49,D419,0))^K419*(1+OFFSET($M$49,D419,0))^L419</f>
        <v>104.352976533366</v>
      </c>
      <c r="N419" s="67">
        <f ca="1">MAX(MAX($N$62:N418),OFFSET($C$61,MATCH(M419*1.07,$M$62:$M$2061,1),0)-C419)</f>
        <v>6120</v>
      </c>
    </row>
    <row r="420" spans="2:14">
      <c r="B420" s="67">
        <v>359</v>
      </c>
      <c r="C420" s="67">
        <f t="shared" si="43"/>
        <v>129240</v>
      </c>
      <c r="D420" s="67">
        <f t="shared" si="39"/>
        <v>5</v>
      </c>
      <c r="E420" s="67">
        <f ca="1" t="shared" si="40"/>
        <v>389</v>
      </c>
      <c r="F420" s="67">
        <f ca="1" t="shared" si="41"/>
        <v>0</v>
      </c>
      <c r="G420" s="67">
        <f ca="1" t="shared" si="42"/>
        <v>0</v>
      </c>
      <c r="H420" s="67" cm="1">
        <f ca="1" t="array" ref="H420">MIN(30-SUM(I420:L420),_xlfn.XLOOKUP($D420&amp;"_"&amp;H$61,$B$23:$B$45&amp;"_"&amp;$C$23:$C$45,$D$23:$D$45)*$E420,18)</f>
        <v>17.3908885044214</v>
      </c>
      <c r="I420" s="67" cm="1">
        <f ca="1" t="array" ref="I420">MIN(30-SUM(J420:L420),6-L420,_xlfn.XLOOKUP($D420&amp;"_"&amp;I$61,$B$23:$B$45&amp;"_"&amp;$C$23:$C$45,$D$23:$D$45)*$E420)</f>
        <v>3.64760438292964</v>
      </c>
      <c r="J420" s="67" cm="1">
        <f ca="1" t="array" ref="J420">MIN(8,_xlfn.XLOOKUP($D420&amp;"_"&amp;J$61,$B$23:$B$45&amp;"_"&amp;$C$23:$C$45,$D$23:$D$45)*$E420)</f>
        <v>5.04084775086504</v>
      </c>
      <c r="K420" s="67" cm="1">
        <f ca="1" t="array" ref="K420">MIN(18,_xlfn.XLOOKUP($D420&amp;"_"&amp;K$61,$B$23:$B$45&amp;"_"&amp;$C$23:$C$45,$D$23:$D$45)*$E420)</f>
        <v>1.56826374471357</v>
      </c>
      <c r="L420" s="67" cm="1">
        <f ca="1" t="array" ref="L420">MIN(6,_xlfn.XLOOKUP($D420&amp;"_"&amp;L$61,$B$23:$B$45&amp;"_"&amp;$C$23:$C$45,$D$23:$D$45)*$E420)</f>
        <v>2.35239561707036</v>
      </c>
      <c r="M420" s="67" cm="1">
        <f ca="1" t="array" ref="M420">(1+SUMPRODUCT(G420:H420,OFFSET($H$49:$I$49,D420,0)))*(1+OFFSET($J$49,D420,0))^I420*(1+OFFSET($K$49,D420,0))^J420*(1+OFFSET($L$49,D420,0))^K420*(1+OFFSET($M$49,D420,0))^L420</f>
        <v>104.761137633865</v>
      </c>
      <c r="N420" s="67">
        <f ca="1">MAX(MAX($N$62:N419),OFFSET($C$61,MATCH(M420*1.07,$M$62:$M$2061,1),0)-C420)</f>
        <v>6120</v>
      </c>
    </row>
    <row r="421" spans="2:14">
      <c r="B421" s="67">
        <v>360</v>
      </c>
      <c r="C421" s="67">
        <f t="shared" si="43"/>
        <v>129600</v>
      </c>
      <c r="D421" s="67">
        <f t="shared" si="39"/>
        <v>5</v>
      </c>
      <c r="E421" s="67">
        <f ca="1" t="shared" si="40"/>
        <v>390</v>
      </c>
      <c r="F421" s="67">
        <f ca="1" t="shared" si="41"/>
        <v>0</v>
      </c>
      <c r="G421" s="67">
        <f ca="1" t="shared" si="42"/>
        <v>0</v>
      </c>
      <c r="H421" s="67" cm="1">
        <f ca="1" t="array" ref="H421">MIN(30-SUM(I421:L421),_xlfn.XLOOKUP($D421&amp;"_"&amp;H$61,$B$23:$B$45&amp;"_"&amp;$C$23:$C$45,$D$23:$D$45)*$E421,18)</f>
        <v>17.3738985005767</v>
      </c>
      <c r="I421" s="67" cm="1">
        <f ca="1" t="array" ref="I421">MIN(30-SUM(J421:L421),6-L421,_xlfn.XLOOKUP($D421&amp;"_"&amp;I$61,$B$23:$B$45&amp;"_"&amp;$C$23:$C$45,$D$23:$D$45)*$E421)</f>
        <v>3.6415570934256</v>
      </c>
      <c r="J421" s="67" cm="1">
        <f ca="1" t="array" ref="J421">MIN(8,_xlfn.XLOOKUP($D421&amp;"_"&amp;J$61,$B$23:$B$45&amp;"_"&amp;$C$23:$C$45,$D$23:$D$45)*$E421)</f>
        <v>5.05380622837369</v>
      </c>
      <c r="K421" s="67" cm="1">
        <f ca="1" t="array" ref="K421">MIN(18,_xlfn.XLOOKUP($D421&amp;"_"&amp;K$61,$B$23:$B$45&amp;"_"&amp;$C$23:$C$45,$D$23:$D$45)*$E421)</f>
        <v>1.5722952710496</v>
      </c>
      <c r="L421" s="67" cm="1">
        <f ca="1" t="array" ref="L421">MIN(6,_xlfn.XLOOKUP($D421&amp;"_"&amp;L$61,$B$23:$B$45&amp;"_"&amp;$C$23:$C$45,$D$23:$D$45)*$E421)</f>
        <v>2.35844290657439</v>
      </c>
      <c r="M421" s="67" cm="1">
        <f ca="1" t="array" ref="M421">(1+SUMPRODUCT(G421:H421,OFFSET($H$49:$I$49,D421,0)))*(1+OFFSET($J$49,D421,0))^I421*(1+OFFSET($K$49,D421,0))^J421*(1+OFFSET($L$49,D421,0))^K421*(1+OFFSET($M$49,D421,0))^L421</f>
        <v>105.170834642034</v>
      </c>
      <c r="N421" s="67">
        <f ca="1">MAX(MAX($N$62:N420),OFFSET($C$61,MATCH(M421*1.07,$M$62:$M$2061,1),0)-C421)</f>
        <v>6120</v>
      </c>
    </row>
    <row r="422" spans="2:14">
      <c r="B422" s="67">
        <v>361</v>
      </c>
      <c r="C422" s="67">
        <f t="shared" si="43"/>
        <v>129960</v>
      </c>
      <c r="D422" s="67">
        <f t="shared" si="39"/>
        <v>5</v>
      </c>
      <c r="E422" s="67">
        <f ca="1" t="shared" si="40"/>
        <v>391</v>
      </c>
      <c r="F422" s="67">
        <f ca="1" t="shared" si="41"/>
        <v>0</v>
      </c>
      <c r="G422" s="67">
        <f ca="1" t="shared" si="42"/>
        <v>0</v>
      </c>
      <c r="H422" s="67" cm="1">
        <f ca="1" t="array" ref="H422">MIN(30-SUM(I422:L422),_xlfn.XLOOKUP($D422&amp;"_"&amp;H$61,$B$23:$B$45&amp;"_"&amp;$C$23:$C$45,$D$23:$D$45)*$E422,18)</f>
        <v>17.356908496732</v>
      </c>
      <c r="I422" s="67" cm="1">
        <f ca="1" t="array" ref="I422">MIN(30-SUM(J422:L422),6-L422,_xlfn.XLOOKUP($D422&amp;"_"&amp;I$61,$B$23:$B$45&amp;"_"&amp;$C$23:$C$45,$D$23:$D$45)*$E422)</f>
        <v>3.63550980392157</v>
      </c>
      <c r="J422" s="67" cm="1">
        <f ca="1" t="array" ref="J422">MIN(8,_xlfn.XLOOKUP($D422&amp;"_"&amp;J$61,$B$23:$B$45&amp;"_"&amp;$C$23:$C$45,$D$23:$D$45)*$E422)</f>
        <v>5.06676470588235</v>
      </c>
      <c r="K422" s="67" cm="1">
        <f ca="1" t="array" ref="K422">MIN(18,_xlfn.XLOOKUP($D422&amp;"_"&amp;K$61,$B$23:$B$45&amp;"_"&amp;$C$23:$C$45,$D$23:$D$45)*$E422)</f>
        <v>1.57632679738562</v>
      </c>
      <c r="L422" s="67" cm="1">
        <f ca="1" t="array" ref="L422">MIN(6,_xlfn.XLOOKUP($D422&amp;"_"&amp;L$61,$B$23:$B$45&amp;"_"&amp;$C$23:$C$45,$D$23:$D$45)*$E422)</f>
        <v>2.36449019607843</v>
      </c>
      <c r="M422" s="67" cm="1">
        <f ca="1" t="array" ref="M422">(1+SUMPRODUCT(G422:H422,OFFSET($H$49:$I$49,D422,0)))*(1+OFFSET($J$49,D422,0))^I422*(1+OFFSET($K$49,D422,0))^J422*(1+OFFSET($L$49,D422,0))^K422*(1+OFFSET($M$49,D422,0))^L422</f>
        <v>105.582072999398</v>
      </c>
      <c r="N422" s="67">
        <f ca="1">MAX(MAX($N$62:N421),OFFSET($C$61,MATCH(M422*1.07,$M$62:$M$2061,1),0)-C422)</f>
        <v>6120</v>
      </c>
    </row>
    <row r="423" spans="2:14">
      <c r="B423" s="67">
        <v>362</v>
      </c>
      <c r="C423" s="67">
        <f t="shared" si="43"/>
        <v>130320</v>
      </c>
      <c r="D423" s="67">
        <f t="shared" si="39"/>
        <v>5</v>
      </c>
      <c r="E423" s="67">
        <f ca="1" t="shared" si="40"/>
        <v>392</v>
      </c>
      <c r="F423" s="67">
        <f ca="1" t="shared" si="41"/>
        <v>0</v>
      </c>
      <c r="G423" s="67">
        <f ca="1" t="shared" si="42"/>
        <v>0</v>
      </c>
      <c r="H423" s="67" cm="1">
        <f ca="1" t="array" ref="H423">MIN(30-SUM(I423:L423),_xlfn.XLOOKUP($D423&amp;"_"&amp;H$61,$B$23:$B$45&amp;"_"&amp;$C$23:$C$45,$D$23:$D$45)*$E423,18)</f>
        <v>17.3399184928874</v>
      </c>
      <c r="I423" s="67" cm="1">
        <f ca="1" t="array" ref="I423">MIN(30-SUM(J423:L423),6-L423,_xlfn.XLOOKUP($D423&amp;"_"&amp;I$61,$B$23:$B$45&amp;"_"&amp;$C$23:$C$45,$D$23:$D$45)*$E423)</f>
        <v>3.62946251441753</v>
      </c>
      <c r="J423" s="67" cm="1">
        <f ca="1" t="array" ref="J423">MIN(8,_xlfn.XLOOKUP($D423&amp;"_"&amp;J$61,$B$23:$B$45&amp;"_"&amp;$C$23:$C$45,$D$23:$D$45)*$E423)</f>
        <v>5.079723183391</v>
      </c>
      <c r="K423" s="67" cm="1">
        <f ca="1" t="array" ref="K423">MIN(18,_xlfn.XLOOKUP($D423&amp;"_"&amp;K$61,$B$23:$B$45&amp;"_"&amp;$C$23:$C$45,$D$23:$D$45)*$E423)</f>
        <v>1.58035832372165</v>
      </c>
      <c r="L423" s="67" cm="1">
        <f ca="1" t="array" ref="L423">MIN(6,_xlfn.XLOOKUP($D423&amp;"_"&amp;L$61,$B$23:$B$45&amp;"_"&amp;$C$23:$C$45,$D$23:$D$45)*$E423)</f>
        <v>2.37053748558247</v>
      </c>
      <c r="M423" s="67" cm="1">
        <f ca="1" t="array" ref="M423">(1+SUMPRODUCT(G423:H423,OFFSET($H$49:$I$49,D423,0)))*(1+OFFSET($J$49,D423,0))^I423*(1+OFFSET($K$49,D423,0))^J423*(1+OFFSET($L$49,D423,0))^K423*(1+OFFSET($M$49,D423,0))^L423</f>
        <v>105.994858164802</v>
      </c>
      <c r="N423" s="67">
        <f ca="1">MAX(MAX($N$62:N422),OFFSET($C$61,MATCH(M423*1.07,$M$62:$M$2061,1),0)-C423)</f>
        <v>6120</v>
      </c>
    </row>
    <row r="424" spans="2:14">
      <c r="B424" s="67">
        <v>363</v>
      </c>
      <c r="C424" s="67">
        <f t="shared" si="43"/>
        <v>130680</v>
      </c>
      <c r="D424" s="67">
        <f t="shared" si="39"/>
        <v>5</v>
      </c>
      <c r="E424" s="67">
        <f ca="1" t="shared" si="40"/>
        <v>393</v>
      </c>
      <c r="F424" s="67">
        <f ca="1" t="shared" si="41"/>
        <v>0</v>
      </c>
      <c r="G424" s="67">
        <f ca="1" t="shared" si="42"/>
        <v>0</v>
      </c>
      <c r="H424" s="67" cm="1">
        <f ca="1" t="array" ref="H424">MIN(30-SUM(I424:L424),_xlfn.XLOOKUP($D424&amp;"_"&amp;H$61,$B$23:$B$45&amp;"_"&amp;$C$23:$C$45,$D$23:$D$45)*$E424,18)</f>
        <v>17.3229284890427</v>
      </c>
      <c r="I424" s="67" cm="1">
        <f ca="1" t="array" ref="I424">MIN(30-SUM(J424:L424),6-L424,_xlfn.XLOOKUP($D424&amp;"_"&amp;I$61,$B$23:$B$45&amp;"_"&amp;$C$23:$C$45,$D$23:$D$45)*$E424)</f>
        <v>3.62341522491349</v>
      </c>
      <c r="J424" s="67" cm="1">
        <f ca="1" t="array" ref="J424">MIN(8,_xlfn.XLOOKUP($D424&amp;"_"&amp;J$61,$B$23:$B$45&amp;"_"&amp;$C$23:$C$45,$D$23:$D$45)*$E424)</f>
        <v>5.09268166089965</v>
      </c>
      <c r="K424" s="67" cm="1">
        <f ca="1" t="array" ref="K424">MIN(18,_xlfn.XLOOKUP($D424&amp;"_"&amp;K$61,$B$23:$B$45&amp;"_"&amp;$C$23:$C$45,$D$23:$D$45)*$E424)</f>
        <v>1.58438985005767</v>
      </c>
      <c r="L424" s="67" cm="1">
        <f ca="1" t="array" ref="L424">MIN(6,_xlfn.XLOOKUP($D424&amp;"_"&amp;L$61,$B$23:$B$45&amp;"_"&amp;$C$23:$C$45,$D$23:$D$45)*$E424)</f>
        <v>2.37658477508651</v>
      </c>
      <c r="M424" s="67" cm="1">
        <f ca="1" t="array" ref="M424">(1+SUMPRODUCT(G424:H424,OFFSET($H$49:$I$49,D424,0)))*(1+OFFSET($J$49,D424,0))^I424*(1+OFFSET($K$49,D424,0))^J424*(1+OFFSET($L$49,D424,0))^K424*(1+OFFSET($M$49,D424,0))^L424</f>
        <v>106.409195614448</v>
      </c>
      <c r="N424" s="67">
        <f ca="1">MAX(MAX($N$62:N423),OFFSET($C$61,MATCH(M424*1.07,$M$62:$M$2061,1),0)-C424)</f>
        <v>6120</v>
      </c>
    </row>
    <row r="425" spans="2:14">
      <c r="B425" s="67">
        <v>364</v>
      </c>
      <c r="C425" s="67">
        <f t="shared" si="43"/>
        <v>131040</v>
      </c>
      <c r="D425" s="67">
        <f t="shared" si="39"/>
        <v>5</v>
      </c>
      <c r="E425" s="67">
        <f ca="1" t="shared" si="40"/>
        <v>394</v>
      </c>
      <c r="F425" s="67">
        <f ca="1" t="shared" si="41"/>
        <v>0</v>
      </c>
      <c r="G425" s="67">
        <f ca="1" t="shared" si="42"/>
        <v>0</v>
      </c>
      <c r="H425" s="67" cm="1">
        <f ca="1" t="array" ref="H425">MIN(30-SUM(I425:L425),_xlfn.XLOOKUP($D425&amp;"_"&amp;H$61,$B$23:$B$45&amp;"_"&amp;$C$23:$C$45,$D$23:$D$45)*$E425,18)</f>
        <v>17.305938485198</v>
      </c>
      <c r="I425" s="67" cm="1">
        <f ca="1" t="array" ref="I425">MIN(30-SUM(J425:L425),6-L425,_xlfn.XLOOKUP($D425&amp;"_"&amp;I$61,$B$23:$B$45&amp;"_"&amp;$C$23:$C$45,$D$23:$D$45)*$E425)</f>
        <v>3.61736793540946</v>
      </c>
      <c r="J425" s="67" cm="1">
        <f ca="1" t="array" ref="J425">MIN(8,_xlfn.XLOOKUP($D425&amp;"_"&amp;J$61,$B$23:$B$45&amp;"_"&amp;$C$23:$C$45,$D$23:$D$45)*$E425)</f>
        <v>5.1056401384083</v>
      </c>
      <c r="K425" s="67" cm="1">
        <f ca="1" t="array" ref="K425">MIN(18,_xlfn.XLOOKUP($D425&amp;"_"&amp;K$61,$B$23:$B$45&amp;"_"&amp;$C$23:$C$45,$D$23:$D$45)*$E425)</f>
        <v>1.5884213763937</v>
      </c>
      <c r="L425" s="67" cm="1">
        <f ca="1" t="array" ref="L425">MIN(6,_xlfn.XLOOKUP($D425&amp;"_"&amp;L$61,$B$23:$B$45&amp;"_"&amp;$C$23:$C$45,$D$23:$D$45)*$E425)</f>
        <v>2.38263206459054</v>
      </c>
      <c r="M425" s="67" cm="1">
        <f ca="1" t="array" ref="M425">(1+SUMPRODUCT(G425:H425,OFFSET($H$49:$I$49,D425,0)))*(1+OFFSET($J$49,D425,0))^I425*(1+OFFSET($K$49,D425,0))^J425*(1+OFFSET($L$49,D425,0))^K425*(1+OFFSET($M$49,D425,0))^L425</f>
        <v>106.825090841942</v>
      </c>
      <c r="N425" s="67">
        <f ca="1">MAX(MAX($N$62:N424),OFFSET($C$61,MATCH(M425*1.07,$M$62:$M$2061,1),0)-C425)</f>
        <v>6120</v>
      </c>
    </row>
    <row r="426" spans="2:14">
      <c r="B426" s="67">
        <v>365</v>
      </c>
      <c r="C426" s="67">
        <f t="shared" si="43"/>
        <v>131400</v>
      </c>
      <c r="D426" s="67">
        <f t="shared" si="39"/>
        <v>5</v>
      </c>
      <c r="E426" s="67">
        <f ca="1" t="shared" si="40"/>
        <v>395</v>
      </c>
      <c r="F426" s="67">
        <f ca="1" t="shared" si="41"/>
        <v>0</v>
      </c>
      <c r="G426" s="67">
        <f ca="1" t="shared" si="42"/>
        <v>0</v>
      </c>
      <c r="H426" s="67" cm="1">
        <f ca="1" t="array" ref="H426">MIN(30-SUM(I426:L426),_xlfn.XLOOKUP($D426&amp;"_"&amp;H$61,$B$23:$B$45&amp;"_"&amp;$C$23:$C$45,$D$23:$D$45)*$E426,18)</f>
        <v>17.2889484813533</v>
      </c>
      <c r="I426" s="67" cm="1">
        <f ca="1" t="array" ref="I426">MIN(30-SUM(J426:L426),6-L426,_xlfn.XLOOKUP($D426&amp;"_"&amp;I$61,$B$23:$B$45&amp;"_"&amp;$C$23:$C$45,$D$23:$D$45)*$E426)</f>
        <v>3.61132064590542</v>
      </c>
      <c r="J426" s="67" cm="1">
        <f ca="1" t="array" ref="J426">MIN(8,_xlfn.XLOOKUP($D426&amp;"_"&amp;J$61,$B$23:$B$45&amp;"_"&amp;$C$23:$C$45,$D$23:$D$45)*$E426)</f>
        <v>5.11859861591695</v>
      </c>
      <c r="K426" s="67" cm="1">
        <f ca="1" t="array" ref="K426">MIN(18,_xlfn.XLOOKUP($D426&amp;"_"&amp;K$61,$B$23:$B$45&amp;"_"&amp;$C$23:$C$45,$D$23:$D$45)*$E426)</f>
        <v>1.59245290272972</v>
      </c>
      <c r="L426" s="67" cm="1">
        <f ca="1" t="array" ref="L426">MIN(6,_xlfn.XLOOKUP($D426&amp;"_"&amp;L$61,$B$23:$B$45&amp;"_"&amp;$C$23:$C$45,$D$23:$D$45)*$E426)</f>
        <v>2.38867935409458</v>
      </c>
      <c r="M426" s="67" cm="1">
        <f ca="1" t="array" ref="M426">(1+SUMPRODUCT(G426:H426,OFFSET($H$49:$I$49,D426,0)))*(1+OFFSET($J$49,D426,0))^I426*(1+OFFSET($K$49,D426,0))^J426*(1+OFFSET($L$49,D426,0))^K426*(1+OFFSET($M$49,D426,0))^L426</f>
        <v>107.242549358334</v>
      </c>
      <c r="N426" s="67">
        <f ca="1">MAX(MAX($N$62:N425),OFFSET($C$61,MATCH(M426*1.07,$M$62:$M$2061,1),0)-C426)</f>
        <v>6120</v>
      </c>
    </row>
    <row r="427" spans="2:14">
      <c r="B427" s="67">
        <v>366</v>
      </c>
      <c r="C427" s="67">
        <f t="shared" si="43"/>
        <v>131760</v>
      </c>
      <c r="D427" s="67">
        <f t="shared" si="39"/>
        <v>5</v>
      </c>
      <c r="E427" s="67">
        <f ca="1" t="shared" si="40"/>
        <v>396</v>
      </c>
      <c r="F427" s="67">
        <f ca="1" t="shared" si="41"/>
        <v>0</v>
      </c>
      <c r="G427" s="67">
        <f ca="1" t="shared" si="42"/>
        <v>0</v>
      </c>
      <c r="H427" s="67" cm="1">
        <f ca="1" t="array" ref="H427">MIN(30-SUM(I427:L427),_xlfn.XLOOKUP($D427&amp;"_"&amp;H$61,$B$23:$B$45&amp;"_"&amp;$C$23:$C$45,$D$23:$D$45)*$E427,18)</f>
        <v>17.2719584775087</v>
      </c>
      <c r="I427" s="67" cm="1">
        <f ca="1" t="array" ref="I427">MIN(30-SUM(J427:L427),6-L427,_xlfn.XLOOKUP($D427&amp;"_"&amp;I$61,$B$23:$B$45&amp;"_"&amp;$C$23:$C$45,$D$23:$D$45)*$E427)</f>
        <v>3.60527335640138</v>
      </c>
      <c r="J427" s="67" cm="1">
        <f ca="1" t="array" ref="J427">MIN(8,_xlfn.XLOOKUP($D427&amp;"_"&amp;J$61,$B$23:$B$45&amp;"_"&amp;$C$23:$C$45,$D$23:$D$45)*$E427)</f>
        <v>5.1315570934256</v>
      </c>
      <c r="K427" s="67" cm="1">
        <f ca="1" t="array" ref="K427">MIN(18,_xlfn.XLOOKUP($D427&amp;"_"&amp;K$61,$B$23:$B$45&amp;"_"&amp;$C$23:$C$45,$D$23:$D$45)*$E427)</f>
        <v>1.59648442906575</v>
      </c>
      <c r="L427" s="67" cm="1">
        <f ca="1" t="array" ref="L427">MIN(6,_xlfn.XLOOKUP($D427&amp;"_"&amp;L$61,$B$23:$B$45&amp;"_"&amp;$C$23:$C$45,$D$23:$D$45)*$E427)</f>
        <v>2.39472664359862</v>
      </c>
      <c r="M427" s="67" cm="1">
        <f ca="1" t="array" ref="M427">(1+SUMPRODUCT(G427:H427,OFFSET($H$49:$I$49,D427,0)))*(1+OFFSET($J$49,D427,0))^I427*(1+OFFSET($K$49,D427,0))^J427*(1+OFFSET($L$49,D427,0))^K427*(1+OFFSET($M$49,D427,0))^L427</f>
        <v>107.661576692166</v>
      </c>
      <c r="N427" s="67">
        <f ca="1">MAX(MAX($N$62:N426),OFFSET($C$61,MATCH(M427*1.07,$M$62:$M$2061,1),0)-C427)</f>
        <v>6120</v>
      </c>
    </row>
    <row r="428" spans="2:14">
      <c r="B428" s="67">
        <v>367</v>
      </c>
      <c r="C428" s="67">
        <f t="shared" si="43"/>
        <v>132120</v>
      </c>
      <c r="D428" s="67">
        <f t="shared" si="39"/>
        <v>5</v>
      </c>
      <c r="E428" s="67">
        <f ca="1" t="shared" si="40"/>
        <v>397</v>
      </c>
      <c r="F428" s="67">
        <f ca="1" t="shared" si="41"/>
        <v>0</v>
      </c>
      <c r="G428" s="67">
        <f ca="1" t="shared" si="42"/>
        <v>0</v>
      </c>
      <c r="H428" s="67" cm="1">
        <f ca="1" t="array" ref="H428">MIN(30-SUM(I428:L428),_xlfn.XLOOKUP($D428&amp;"_"&amp;H$61,$B$23:$B$45&amp;"_"&amp;$C$23:$C$45,$D$23:$D$45)*$E428,18)</f>
        <v>17.254968473664</v>
      </c>
      <c r="I428" s="67" cm="1">
        <f ca="1" t="array" ref="I428">MIN(30-SUM(J428:L428),6-L428,_xlfn.XLOOKUP($D428&amp;"_"&amp;I$61,$B$23:$B$45&amp;"_"&amp;$C$23:$C$45,$D$23:$D$45)*$E428)</f>
        <v>3.59922606689735</v>
      </c>
      <c r="J428" s="67" cm="1">
        <f ca="1" t="array" ref="J428">MIN(8,_xlfn.XLOOKUP($D428&amp;"_"&amp;J$61,$B$23:$B$45&amp;"_"&amp;$C$23:$C$45,$D$23:$D$45)*$E428)</f>
        <v>5.14451557093425</v>
      </c>
      <c r="K428" s="67" cm="1">
        <f ca="1" t="array" ref="K428">MIN(18,_xlfn.XLOOKUP($D428&amp;"_"&amp;K$61,$B$23:$B$45&amp;"_"&amp;$C$23:$C$45,$D$23:$D$45)*$E428)</f>
        <v>1.60051595540177</v>
      </c>
      <c r="L428" s="67" cm="1">
        <f ca="1" t="array" ref="L428">MIN(6,_xlfn.XLOOKUP($D428&amp;"_"&amp;L$61,$B$23:$B$45&amp;"_"&amp;$C$23:$C$45,$D$23:$D$45)*$E428)</f>
        <v>2.40077393310265</v>
      </c>
      <c r="M428" s="67" cm="1">
        <f ca="1" t="array" ref="M428">(1+SUMPRODUCT(G428:H428,OFFSET($H$49:$I$49,D428,0)))*(1+OFFSET($J$49,D428,0))^I428*(1+OFFSET($K$49,D428,0))^J428*(1+OFFSET($L$49,D428,0))^K428*(1+OFFSET($M$49,D428,0))^L428</f>
        <v>108.082178389509</v>
      </c>
      <c r="N428" s="67">
        <f ca="1">MAX(MAX($N$62:N427),OFFSET($C$61,MATCH(M428*1.07,$M$62:$M$2061,1),0)-C428)</f>
        <v>6120</v>
      </c>
    </row>
    <row r="429" spans="2:14">
      <c r="B429" s="67">
        <v>368</v>
      </c>
      <c r="C429" s="67">
        <f t="shared" si="43"/>
        <v>132480</v>
      </c>
      <c r="D429" s="67">
        <f t="shared" si="39"/>
        <v>5</v>
      </c>
      <c r="E429" s="67">
        <f ca="1" t="shared" si="40"/>
        <v>398</v>
      </c>
      <c r="F429" s="67">
        <f ca="1" t="shared" si="41"/>
        <v>0</v>
      </c>
      <c r="G429" s="67">
        <f ca="1" t="shared" si="42"/>
        <v>0</v>
      </c>
      <c r="H429" s="67" cm="1">
        <f ca="1" t="array" ref="H429">MIN(30-SUM(I429:L429),_xlfn.XLOOKUP($D429&amp;"_"&amp;H$61,$B$23:$B$45&amp;"_"&amp;$C$23:$C$45,$D$23:$D$45)*$E429,18)</f>
        <v>17.2379784698193</v>
      </c>
      <c r="I429" s="67" cm="1">
        <f ca="1" t="array" ref="I429">MIN(30-SUM(J429:L429),6-L429,_xlfn.XLOOKUP($D429&amp;"_"&amp;I$61,$B$23:$B$45&amp;"_"&amp;$C$23:$C$45,$D$23:$D$45)*$E429)</f>
        <v>3.59317877739331</v>
      </c>
      <c r="J429" s="67" cm="1">
        <f ca="1" t="array" ref="J429">MIN(8,_xlfn.XLOOKUP($D429&amp;"_"&amp;J$61,$B$23:$B$45&amp;"_"&amp;$C$23:$C$45,$D$23:$D$45)*$E429)</f>
        <v>5.1574740484429</v>
      </c>
      <c r="K429" s="67" cm="1">
        <f ca="1" t="array" ref="K429">MIN(18,_xlfn.XLOOKUP($D429&amp;"_"&amp;K$61,$B$23:$B$45&amp;"_"&amp;$C$23:$C$45,$D$23:$D$45)*$E429)</f>
        <v>1.60454748173779</v>
      </c>
      <c r="L429" s="67" cm="1">
        <f ca="1" t="array" ref="L429">MIN(6,_xlfn.XLOOKUP($D429&amp;"_"&amp;L$61,$B$23:$B$45&amp;"_"&amp;$C$23:$C$45,$D$23:$D$45)*$E429)</f>
        <v>2.40682122260669</v>
      </c>
      <c r="M429" s="67" cm="1">
        <f ca="1" t="array" ref="M429">(1+SUMPRODUCT(G429:H429,OFFSET($H$49:$I$49,D429,0)))*(1+OFFSET($J$49,D429,0))^I429*(1+OFFSET($K$49,D429,0))^J429*(1+OFFSET($L$49,D429,0))^K429*(1+OFFSET($M$49,D429,0))^L429</f>
        <v>108.504360014009</v>
      </c>
      <c r="N429" s="67">
        <f ca="1">MAX(MAX($N$62:N428),OFFSET($C$61,MATCH(M429*1.07,$M$62:$M$2061,1),0)-C429)</f>
        <v>6120</v>
      </c>
    </row>
    <row r="430" spans="2:14">
      <c r="B430" s="67">
        <v>369</v>
      </c>
      <c r="C430" s="67">
        <f t="shared" si="43"/>
        <v>132840</v>
      </c>
      <c r="D430" s="67">
        <f t="shared" si="39"/>
        <v>5</v>
      </c>
      <c r="E430" s="67">
        <f ca="1" t="shared" si="40"/>
        <v>399</v>
      </c>
      <c r="F430" s="67">
        <f ca="1" t="shared" si="41"/>
        <v>0</v>
      </c>
      <c r="G430" s="67">
        <f ca="1" t="shared" si="42"/>
        <v>0</v>
      </c>
      <c r="H430" s="67" cm="1">
        <f ca="1" t="array" ref="H430">MIN(30-SUM(I430:L430),_xlfn.XLOOKUP($D430&amp;"_"&amp;H$61,$B$23:$B$45&amp;"_"&amp;$C$23:$C$45,$D$23:$D$45)*$E430,18)</f>
        <v>17.2209884659746</v>
      </c>
      <c r="I430" s="67" cm="1">
        <f ca="1" t="array" ref="I430">MIN(30-SUM(J430:L430),6-L430,_xlfn.XLOOKUP($D430&amp;"_"&amp;I$61,$B$23:$B$45&amp;"_"&amp;$C$23:$C$45,$D$23:$D$45)*$E430)</f>
        <v>3.58713148788927</v>
      </c>
      <c r="J430" s="67" cm="1">
        <f ca="1" t="array" ref="J430">MIN(8,_xlfn.XLOOKUP($D430&amp;"_"&amp;J$61,$B$23:$B$45&amp;"_"&amp;$C$23:$C$45,$D$23:$D$45)*$E430)</f>
        <v>5.17043252595155</v>
      </c>
      <c r="K430" s="67" cm="1">
        <f ca="1" t="array" ref="K430">MIN(18,_xlfn.XLOOKUP($D430&amp;"_"&amp;K$61,$B$23:$B$45&amp;"_"&amp;$C$23:$C$45,$D$23:$D$45)*$E430)</f>
        <v>1.60857900807382</v>
      </c>
      <c r="L430" s="67" cm="1">
        <f ca="1" t="array" ref="L430">MIN(6,_xlfn.XLOOKUP($D430&amp;"_"&amp;L$61,$B$23:$B$45&amp;"_"&amp;$C$23:$C$45,$D$23:$D$45)*$E430)</f>
        <v>2.41286851211073</v>
      </c>
      <c r="M430" s="67" cm="1">
        <f ca="1" t="array" ref="M430">(1+SUMPRODUCT(G430:H430,OFFSET($H$49:$I$49,D430,0)))*(1+OFFSET($J$49,D430,0))^I430*(1+OFFSET($K$49,D430,0))^J430*(1+OFFSET($L$49,D430,0))^K430*(1+OFFSET($M$49,D430,0))^L430</f>
        <v>108.928127146934</v>
      </c>
      <c r="N430" s="67">
        <f ca="1">MAX(MAX($N$62:N429),OFFSET($C$61,MATCH(M430*1.07,$M$62:$M$2061,1),0)-C430)</f>
        <v>6120</v>
      </c>
    </row>
    <row r="431" spans="2:14">
      <c r="B431" s="67">
        <v>370</v>
      </c>
      <c r="C431" s="67">
        <f t="shared" si="43"/>
        <v>133200</v>
      </c>
      <c r="D431" s="67">
        <f t="shared" si="39"/>
        <v>5</v>
      </c>
      <c r="E431" s="67">
        <f ca="1" t="shared" si="40"/>
        <v>400</v>
      </c>
      <c r="F431" s="67">
        <f ca="1" t="shared" si="41"/>
        <v>0</v>
      </c>
      <c r="G431" s="67">
        <f ca="1" t="shared" si="42"/>
        <v>0</v>
      </c>
      <c r="H431" s="67" cm="1">
        <f ca="1" t="array" ref="H431">MIN(30-SUM(I431:L431),_xlfn.XLOOKUP($D431&amp;"_"&amp;H$61,$B$23:$B$45&amp;"_"&amp;$C$23:$C$45,$D$23:$D$45)*$E431,18)</f>
        <v>17.20399846213</v>
      </c>
      <c r="I431" s="67" cm="1">
        <f ca="1" t="array" ref="I431">MIN(30-SUM(J431:L431),6-L431,_xlfn.XLOOKUP($D431&amp;"_"&amp;I$61,$B$23:$B$45&amp;"_"&amp;$C$23:$C$45,$D$23:$D$45)*$E431)</f>
        <v>3.58108419838524</v>
      </c>
      <c r="J431" s="67" cm="1">
        <f ca="1" t="array" ref="J431">MIN(8,_xlfn.XLOOKUP($D431&amp;"_"&amp;J$61,$B$23:$B$45&amp;"_"&amp;$C$23:$C$45,$D$23:$D$45)*$E431)</f>
        <v>5.1833910034602</v>
      </c>
      <c r="K431" s="67" cm="1">
        <f ca="1" t="array" ref="K431">MIN(18,_xlfn.XLOOKUP($D431&amp;"_"&amp;K$61,$B$23:$B$45&amp;"_"&amp;$C$23:$C$45,$D$23:$D$45)*$E431)</f>
        <v>1.61261053440984</v>
      </c>
      <c r="L431" s="67" cm="1">
        <f ca="1" t="array" ref="L431">MIN(6,_xlfn.XLOOKUP($D431&amp;"_"&amp;L$61,$B$23:$B$45&amp;"_"&amp;$C$23:$C$45,$D$23:$D$45)*$E431)</f>
        <v>2.41891580161476</v>
      </c>
      <c r="M431" s="67" cm="1">
        <f ca="1" t="array" ref="M431">(1+SUMPRODUCT(G431:H431,OFFSET($H$49:$I$49,D431,0)))*(1+OFFSET($J$49,D431,0))^I431*(1+OFFSET($K$49,D431,0))^J431*(1+OFFSET($L$49,D431,0))^K431*(1+OFFSET($M$49,D431,0))^L431</f>
        <v>109.353485387208</v>
      </c>
      <c r="N431" s="67">
        <f ca="1">MAX(MAX($N$62:N430),OFFSET($C$61,MATCH(M431*1.07,$M$62:$M$2061,1),0)-C431)</f>
        <v>6120</v>
      </c>
    </row>
    <row r="432" spans="2:14">
      <c r="B432" s="67">
        <v>371</v>
      </c>
      <c r="C432" s="67">
        <f t="shared" si="43"/>
        <v>133560</v>
      </c>
      <c r="D432" s="67">
        <f t="shared" si="39"/>
        <v>5</v>
      </c>
      <c r="E432" s="67">
        <f ca="1" t="shared" si="40"/>
        <v>401</v>
      </c>
      <c r="F432" s="67">
        <f ca="1" t="shared" si="41"/>
        <v>0</v>
      </c>
      <c r="G432" s="67">
        <f ca="1" t="shared" si="42"/>
        <v>0</v>
      </c>
      <c r="H432" s="67" cm="1">
        <f ca="1" t="array" ref="H432">MIN(30-SUM(I432:L432),_xlfn.XLOOKUP($D432&amp;"_"&amp;H$61,$B$23:$B$45&amp;"_"&amp;$C$23:$C$45,$D$23:$D$45)*$E432,18)</f>
        <v>17.1870084582853</v>
      </c>
      <c r="I432" s="67" cm="1">
        <f ca="1" t="array" ref="I432">MIN(30-SUM(J432:L432),6-L432,_xlfn.XLOOKUP($D432&amp;"_"&amp;I$61,$B$23:$B$45&amp;"_"&amp;$C$23:$C$45,$D$23:$D$45)*$E432)</f>
        <v>3.5750369088812</v>
      </c>
      <c r="J432" s="67" cm="1">
        <f ca="1" t="array" ref="J432">MIN(8,_xlfn.XLOOKUP($D432&amp;"_"&amp;J$61,$B$23:$B$45&amp;"_"&amp;$C$23:$C$45,$D$23:$D$45)*$E432)</f>
        <v>5.19634948096885</v>
      </c>
      <c r="K432" s="67" cm="1">
        <f ca="1" t="array" ref="K432">MIN(18,_xlfn.XLOOKUP($D432&amp;"_"&amp;K$61,$B$23:$B$45&amp;"_"&amp;$C$23:$C$45,$D$23:$D$45)*$E432)</f>
        <v>1.61664206074587</v>
      </c>
      <c r="L432" s="67" cm="1">
        <f ca="1" t="array" ref="L432">MIN(6,_xlfn.XLOOKUP($D432&amp;"_"&amp;L$61,$B$23:$B$45&amp;"_"&amp;$C$23:$C$45,$D$23:$D$45)*$E432)</f>
        <v>2.4249630911188</v>
      </c>
      <c r="M432" s="67" cm="1">
        <f ca="1" t="array" ref="M432">(1+SUMPRODUCT(G432:H432,OFFSET($H$49:$I$49,D432,0)))*(1+OFFSET($J$49,D432,0))^I432*(1+OFFSET($K$49,D432,0))^J432*(1+OFFSET($L$49,D432,0))^K432*(1+OFFSET($M$49,D432,0))^L432</f>
        <v>109.780440351463</v>
      </c>
      <c r="N432" s="67">
        <f ca="1">MAX(MAX($N$62:N431),OFFSET($C$61,MATCH(M432*1.07,$M$62:$M$2061,1),0)-C432)</f>
        <v>6120</v>
      </c>
    </row>
    <row r="433" spans="2:14">
      <c r="B433" s="67">
        <v>372</v>
      </c>
      <c r="C433" s="67">
        <f t="shared" si="43"/>
        <v>133920</v>
      </c>
      <c r="D433" s="67">
        <f t="shared" si="39"/>
        <v>5</v>
      </c>
      <c r="E433" s="67">
        <f ca="1" t="shared" si="40"/>
        <v>402</v>
      </c>
      <c r="F433" s="67">
        <f ca="1" t="shared" si="41"/>
        <v>0</v>
      </c>
      <c r="G433" s="67">
        <f ca="1" t="shared" si="42"/>
        <v>0</v>
      </c>
      <c r="H433" s="67" cm="1">
        <f ca="1" t="array" ref="H433">MIN(30-SUM(I433:L433),_xlfn.XLOOKUP($D433&amp;"_"&amp;H$61,$B$23:$B$45&amp;"_"&amp;$C$23:$C$45,$D$23:$D$45)*$E433,18)</f>
        <v>17.1700184544406</v>
      </c>
      <c r="I433" s="67" cm="1">
        <f ca="1" t="array" ref="I433">MIN(30-SUM(J433:L433),6-L433,_xlfn.XLOOKUP($D433&amp;"_"&amp;I$61,$B$23:$B$45&amp;"_"&amp;$C$23:$C$45,$D$23:$D$45)*$E433)</f>
        <v>3.56898961937716</v>
      </c>
      <c r="J433" s="67" cm="1">
        <f ca="1" t="array" ref="J433">MIN(8,_xlfn.XLOOKUP($D433&amp;"_"&amp;J$61,$B$23:$B$45&amp;"_"&amp;$C$23:$C$45,$D$23:$D$45)*$E433)</f>
        <v>5.2093079584775</v>
      </c>
      <c r="K433" s="67" cm="1">
        <f ca="1" t="array" ref="K433">MIN(18,_xlfn.XLOOKUP($D433&amp;"_"&amp;K$61,$B$23:$B$45&amp;"_"&amp;$C$23:$C$45,$D$23:$D$45)*$E433)</f>
        <v>1.62067358708189</v>
      </c>
      <c r="L433" s="67" cm="1">
        <f ca="1" t="array" ref="L433">MIN(6,_xlfn.XLOOKUP($D433&amp;"_"&amp;L$61,$B$23:$B$45&amp;"_"&amp;$C$23:$C$45,$D$23:$D$45)*$E433)</f>
        <v>2.43101038062284</v>
      </c>
      <c r="M433" s="67" cm="1">
        <f ca="1" t="array" ref="M433">(1+SUMPRODUCT(G433:H433,OFFSET($H$49:$I$49,D433,0)))*(1+OFFSET($J$49,D433,0))^I433*(1+OFFSET($K$49,D433,0))^J433*(1+OFFSET($L$49,D433,0))^K433*(1+OFFSET($M$49,D433,0))^L433</f>
        <v>110.208997674078</v>
      </c>
      <c r="N433" s="67">
        <f ca="1">MAX(MAX($N$62:N432),OFFSET($C$61,MATCH(M433*1.07,$M$62:$M$2061,1),0)-C433)</f>
        <v>6120</v>
      </c>
    </row>
    <row r="434" spans="2:14">
      <c r="B434" s="67">
        <v>373</v>
      </c>
      <c r="C434" s="67">
        <f t="shared" si="43"/>
        <v>134280</v>
      </c>
      <c r="D434" s="67">
        <f t="shared" si="39"/>
        <v>5</v>
      </c>
      <c r="E434" s="67">
        <f ca="1" t="shared" si="40"/>
        <v>403</v>
      </c>
      <c r="F434" s="67">
        <f ca="1" t="shared" si="41"/>
        <v>0</v>
      </c>
      <c r="G434" s="67">
        <f ca="1" t="shared" si="42"/>
        <v>0</v>
      </c>
      <c r="H434" s="67" cm="1">
        <f ca="1" t="array" ref="H434">MIN(30-SUM(I434:L434),_xlfn.XLOOKUP($D434&amp;"_"&amp;H$61,$B$23:$B$45&amp;"_"&amp;$C$23:$C$45,$D$23:$D$45)*$E434,18)</f>
        <v>17.1530284505959</v>
      </c>
      <c r="I434" s="67" cm="1">
        <f ca="1" t="array" ref="I434">MIN(30-SUM(J434:L434),6-L434,_xlfn.XLOOKUP($D434&amp;"_"&amp;I$61,$B$23:$B$45&amp;"_"&amp;$C$23:$C$45,$D$23:$D$45)*$E434)</f>
        <v>3.56294232987313</v>
      </c>
      <c r="J434" s="67" cm="1">
        <f ca="1" t="array" ref="J434">MIN(8,_xlfn.XLOOKUP($D434&amp;"_"&amp;J$61,$B$23:$B$45&amp;"_"&amp;$C$23:$C$45,$D$23:$D$45)*$E434)</f>
        <v>5.22226643598615</v>
      </c>
      <c r="K434" s="67" cm="1">
        <f ca="1" t="array" ref="K434">MIN(18,_xlfn.XLOOKUP($D434&amp;"_"&amp;K$61,$B$23:$B$45&amp;"_"&amp;$C$23:$C$45,$D$23:$D$45)*$E434)</f>
        <v>1.62470511341792</v>
      </c>
      <c r="L434" s="67" cm="1">
        <f ca="1" t="array" ref="L434">MIN(6,_xlfn.XLOOKUP($D434&amp;"_"&amp;L$61,$B$23:$B$45&amp;"_"&amp;$C$23:$C$45,$D$23:$D$45)*$E434)</f>
        <v>2.43705767012687</v>
      </c>
      <c r="M434" s="67" cm="1">
        <f ca="1" t="array" ref="M434">(1+SUMPRODUCT(G434:H434,OFFSET($H$49:$I$49,D434,0)))*(1+OFFSET($J$49,D434,0))^I434*(1+OFFSET($K$49,D434,0))^J434*(1+OFFSET($L$49,D434,0))^K434*(1+OFFSET($M$49,D434,0))^L434</f>
        <v>110.639163007223</v>
      </c>
      <c r="N434" s="67">
        <f ca="1">MAX(MAX($N$62:N433),OFFSET($C$61,MATCH(M434*1.07,$M$62:$M$2061,1),0)-C434)</f>
        <v>6120</v>
      </c>
    </row>
    <row r="435" spans="2:14">
      <c r="B435" s="67">
        <v>374</v>
      </c>
      <c r="C435" s="67">
        <f t="shared" si="43"/>
        <v>134640</v>
      </c>
      <c r="D435" s="67">
        <f t="shared" si="39"/>
        <v>5</v>
      </c>
      <c r="E435" s="67">
        <f ca="1" t="shared" si="40"/>
        <v>404</v>
      </c>
      <c r="F435" s="67">
        <f ca="1" t="shared" si="41"/>
        <v>0</v>
      </c>
      <c r="G435" s="67">
        <f ca="1" t="shared" si="42"/>
        <v>0</v>
      </c>
      <c r="H435" s="67" cm="1">
        <f ca="1" t="array" ref="H435">MIN(30-SUM(I435:L435),_xlfn.XLOOKUP($D435&amp;"_"&amp;H$61,$B$23:$B$45&amp;"_"&amp;$C$23:$C$45,$D$23:$D$45)*$E435,18)</f>
        <v>17.1360384467513</v>
      </c>
      <c r="I435" s="67" cm="1">
        <f ca="1" t="array" ref="I435">MIN(30-SUM(J435:L435),6-L435,_xlfn.XLOOKUP($D435&amp;"_"&amp;I$61,$B$23:$B$45&amp;"_"&amp;$C$23:$C$45,$D$23:$D$45)*$E435)</f>
        <v>3.55689504036909</v>
      </c>
      <c r="J435" s="67" cm="1">
        <f ca="1" t="array" ref="J435">MIN(8,_xlfn.XLOOKUP($D435&amp;"_"&amp;J$61,$B$23:$B$45&amp;"_"&amp;$C$23:$C$45,$D$23:$D$45)*$E435)</f>
        <v>5.2352249134948</v>
      </c>
      <c r="K435" s="67" cm="1">
        <f ca="1" t="array" ref="K435">MIN(18,_xlfn.XLOOKUP($D435&amp;"_"&amp;K$61,$B$23:$B$45&amp;"_"&amp;$C$23:$C$45,$D$23:$D$45)*$E435)</f>
        <v>1.62873663975394</v>
      </c>
      <c r="L435" s="67" cm="1">
        <f ca="1" t="array" ref="L435">MIN(6,_xlfn.XLOOKUP($D435&amp;"_"&amp;L$61,$B$23:$B$45&amp;"_"&amp;$C$23:$C$45,$D$23:$D$45)*$E435)</f>
        <v>2.44310495963091</v>
      </c>
      <c r="M435" s="67" cm="1">
        <f ca="1" t="array" ref="M435">(1+SUMPRODUCT(G435:H435,OFFSET($H$49:$I$49,D435,0)))*(1+OFFSET($J$49,D435,0))^I435*(1+OFFSET($K$49,D435,0))^J435*(1+OFFSET($L$49,D435,0))^K435*(1+OFFSET($M$49,D435,0))^L435</f>
        <v>111.070942020901</v>
      </c>
      <c r="N435" s="67">
        <f ca="1">MAX(MAX($N$62:N434),OFFSET($C$61,MATCH(M435*1.07,$M$62:$M$2061,1),0)-C435)</f>
        <v>6120</v>
      </c>
    </row>
    <row r="436" spans="2:14">
      <c r="B436" s="67">
        <v>375</v>
      </c>
      <c r="C436" s="67">
        <f t="shared" si="43"/>
        <v>135000</v>
      </c>
      <c r="D436" s="67">
        <f t="shared" si="39"/>
        <v>5</v>
      </c>
      <c r="E436" s="67">
        <f ca="1" t="shared" si="40"/>
        <v>405</v>
      </c>
      <c r="F436" s="67">
        <f ca="1" t="shared" si="41"/>
        <v>0</v>
      </c>
      <c r="G436" s="67">
        <f ca="1" t="shared" si="42"/>
        <v>0</v>
      </c>
      <c r="H436" s="67" cm="1">
        <f ca="1" t="array" ref="H436">MIN(30-SUM(I436:L436),_xlfn.XLOOKUP($D436&amp;"_"&amp;H$61,$B$23:$B$45&amp;"_"&amp;$C$23:$C$45,$D$23:$D$45)*$E436,18)</f>
        <v>17.1190484429066</v>
      </c>
      <c r="I436" s="67" cm="1">
        <f ca="1" t="array" ref="I436">MIN(30-SUM(J436:L436),6-L436,_xlfn.XLOOKUP($D436&amp;"_"&amp;I$61,$B$23:$B$45&amp;"_"&amp;$C$23:$C$45,$D$23:$D$45)*$E436)</f>
        <v>3.55084775086505</v>
      </c>
      <c r="J436" s="67" cm="1">
        <f ca="1" t="array" ref="J436">MIN(8,_xlfn.XLOOKUP($D436&amp;"_"&amp;J$61,$B$23:$B$45&amp;"_"&amp;$C$23:$C$45,$D$23:$D$45)*$E436)</f>
        <v>5.24818339100345</v>
      </c>
      <c r="K436" s="67" cm="1">
        <f ca="1" t="array" ref="K436">MIN(18,_xlfn.XLOOKUP($D436&amp;"_"&amp;K$61,$B$23:$B$45&amp;"_"&amp;$C$23:$C$45,$D$23:$D$45)*$E436)</f>
        <v>1.63276816608997</v>
      </c>
      <c r="L436" s="67" cm="1">
        <f ca="1" t="array" ref="L436">MIN(6,_xlfn.XLOOKUP($D436&amp;"_"&amp;L$61,$B$23:$B$45&amp;"_"&amp;$C$23:$C$45,$D$23:$D$45)*$E436)</f>
        <v>2.44915224913495</v>
      </c>
      <c r="M436" s="67" cm="1">
        <f ca="1" t="array" ref="M436">(1+SUMPRODUCT(G436:H436,OFFSET($H$49:$I$49,D436,0)))*(1+OFFSET($J$49,D436,0))^I436*(1+OFFSET($K$49,D436,0))^J436*(1+OFFSET($L$49,D436,0))^K436*(1+OFFSET($M$49,D436,0))^L436</f>
        <v>111.504340402995</v>
      </c>
      <c r="N436" s="67">
        <f ca="1">MAX(MAX($N$62:N435),OFFSET($C$61,MATCH(M436*1.07,$M$62:$M$2061,1),0)-C436)</f>
        <v>6120</v>
      </c>
    </row>
    <row r="437" spans="2:14">
      <c r="B437" s="67">
        <v>376</v>
      </c>
      <c r="C437" s="67">
        <f t="shared" si="43"/>
        <v>135360</v>
      </c>
      <c r="D437" s="67">
        <f t="shared" si="39"/>
        <v>5</v>
      </c>
      <c r="E437" s="67">
        <f ca="1" t="shared" si="40"/>
        <v>406</v>
      </c>
      <c r="F437" s="67">
        <f ca="1" t="shared" si="41"/>
        <v>0</v>
      </c>
      <c r="G437" s="67">
        <f ca="1" t="shared" si="42"/>
        <v>0</v>
      </c>
      <c r="H437" s="67" cm="1">
        <f ca="1" t="array" ref="H437">MIN(30-SUM(I437:L437),_xlfn.XLOOKUP($D437&amp;"_"&amp;H$61,$B$23:$B$45&amp;"_"&amp;$C$23:$C$45,$D$23:$D$45)*$E437,18)</f>
        <v>17.1020584390619</v>
      </c>
      <c r="I437" s="67" cm="1">
        <f ca="1" t="array" ref="I437">MIN(30-SUM(J437:L437),6-L437,_xlfn.XLOOKUP($D437&amp;"_"&amp;I$61,$B$23:$B$45&amp;"_"&amp;$C$23:$C$45,$D$23:$D$45)*$E437)</f>
        <v>3.54480046136101</v>
      </c>
      <c r="J437" s="67" cm="1">
        <f ca="1" t="array" ref="J437">MIN(8,_xlfn.XLOOKUP($D437&amp;"_"&amp;J$61,$B$23:$B$45&amp;"_"&amp;$C$23:$C$45,$D$23:$D$45)*$E437)</f>
        <v>5.2611418685121</v>
      </c>
      <c r="K437" s="67" cm="1">
        <f ca="1" t="array" ref="K437">MIN(18,_xlfn.XLOOKUP($D437&amp;"_"&amp;K$61,$B$23:$B$45&amp;"_"&amp;$C$23:$C$45,$D$23:$D$45)*$E437)</f>
        <v>1.63679969242599</v>
      </c>
      <c r="L437" s="67" cm="1">
        <f ca="1" t="array" ref="L437">MIN(6,_xlfn.XLOOKUP($D437&amp;"_"&amp;L$61,$B$23:$B$45&amp;"_"&amp;$C$23:$C$45,$D$23:$D$45)*$E437)</f>
        <v>2.45519953863899</v>
      </c>
      <c r="M437" s="67" cm="1">
        <f ca="1" t="array" ref="M437">(1+SUMPRODUCT(G437:H437,OFFSET($H$49:$I$49,D437,0)))*(1+OFFSET($J$49,D437,0))^I437*(1+OFFSET($K$49,D437,0))^J437*(1+OFFSET($L$49,D437,0))^K437*(1+OFFSET($M$49,D437,0))^L437</f>
        <v>111.939363859306</v>
      </c>
      <c r="N437" s="67">
        <f ca="1">MAX(MAX($N$62:N436),OFFSET($C$61,MATCH(M437*1.07,$M$62:$M$2061,1),0)-C437)</f>
        <v>6120</v>
      </c>
    </row>
    <row r="438" spans="2:14">
      <c r="B438" s="67">
        <v>377</v>
      </c>
      <c r="C438" s="67">
        <f t="shared" si="43"/>
        <v>135720</v>
      </c>
      <c r="D438" s="67">
        <f t="shared" si="39"/>
        <v>5</v>
      </c>
      <c r="E438" s="67">
        <f ca="1" t="shared" si="40"/>
        <v>407</v>
      </c>
      <c r="F438" s="67">
        <f ca="1" t="shared" si="41"/>
        <v>0</v>
      </c>
      <c r="G438" s="67">
        <f ca="1" t="shared" si="42"/>
        <v>0</v>
      </c>
      <c r="H438" s="67" cm="1">
        <f ca="1" t="array" ref="H438">MIN(30-SUM(I438:L438),_xlfn.XLOOKUP($D438&amp;"_"&amp;H$61,$B$23:$B$45&amp;"_"&amp;$C$23:$C$45,$D$23:$D$45)*$E438,18)</f>
        <v>17.0850684352172</v>
      </c>
      <c r="I438" s="67" cm="1">
        <f ca="1" t="array" ref="I438">MIN(30-SUM(J438:L438),6-L438,_xlfn.XLOOKUP($D438&amp;"_"&amp;I$61,$B$23:$B$45&amp;"_"&amp;$C$23:$C$45,$D$23:$D$45)*$E438)</f>
        <v>3.53875317185698</v>
      </c>
      <c r="J438" s="67" cm="1">
        <f ca="1" t="array" ref="J438">MIN(8,_xlfn.XLOOKUP($D438&amp;"_"&amp;J$61,$B$23:$B$45&amp;"_"&amp;$C$23:$C$45,$D$23:$D$45)*$E438)</f>
        <v>5.27410034602075</v>
      </c>
      <c r="K438" s="67" cm="1">
        <f ca="1" t="array" ref="K438">MIN(18,_xlfn.XLOOKUP($D438&amp;"_"&amp;K$61,$B$23:$B$45&amp;"_"&amp;$C$23:$C$45,$D$23:$D$45)*$E438)</f>
        <v>1.64083121876202</v>
      </c>
      <c r="L438" s="67" cm="1">
        <f ca="1" t="array" ref="L438">MIN(6,_xlfn.XLOOKUP($D438&amp;"_"&amp;L$61,$B$23:$B$45&amp;"_"&amp;$C$23:$C$45,$D$23:$D$45)*$E438)</f>
        <v>2.46124682814302</v>
      </c>
      <c r="M438" s="67" cm="1">
        <f ca="1" t="array" ref="M438">(1+SUMPRODUCT(G438:H438,OFFSET($H$49:$I$49,D438,0)))*(1+OFFSET($J$49,D438,0))^I438*(1+OFFSET($K$49,D438,0))^J438*(1+OFFSET($L$49,D438,0))^K438*(1+OFFSET($M$49,D438,0))^L438</f>
        <v>112.3760181136</v>
      </c>
      <c r="N438" s="67">
        <f ca="1">MAX(MAX($N$62:N437),OFFSET($C$61,MATCH(M438*1.07,$M$62:$M$2061,1),0)-C438)</f>
        <v>6120</v>
      </c>
    </row>
    <row r="439" spans="2:14">
      <c r="B439" s="67">
        <v>378</v>
      </c>
      <c r="C439" s="67">
        <f t="shared" si="43"/>
        <v>136080</v>
      </c>
      <c r="D439" s="67">
        <f t="shared" si="39"/>
        <v>5</v>
      </c>
      <c r="E439" s="67">
        <f ca="1" t="shared" si="40"/>
        <v>408</v>
      </c>
      <c r="F439" s="67">
        <f ca="1" t="shared" si="41"/>
        <v>0</v>
      </c>
      <c r="G439" s="67">
        <f ca="1" t="shared" si="42"/>
        <v>0</v>
      </c>
      <c r="H439" s="67" cm="1">
        <f ca="1" t="array" ref="H439">MIN(30-SUM(I439:L439),_xlfn.XLOOKUP($D439&amp;"_"&amp;H$61,$B$23:$B$45&amp;"_"&amp;$C$23:$C$45,$D$23:$D$45)*$E439,18)</f>
        <v>17.0680784313726</v>
      </c>
      <c r="I439" s="67" cm="1">
        <f ca="1" t="array" ref="I439">MIN(30-SUM(J439:L439),6-L439,_xlfn.XLOOKUP($D439&amp;"_"&amp;I$61,$B$23:$B$45&amp;"_"&amp;$C$23:$C$45,$D$23:$D$45)*$E439)</f>
        <v>3.53270588235294</v>
      </c>
      <c r="J439" s="67" cm="1">
        <f ca="1" t="array" ref="J439">MIN(8,_xlfn.XLOOKUP($D439&amp;"_"&amp;J$61,$B$23:$B$45&amp;"_"&amp;$C$23:$C$45,$D$23:$D$45)*$E439)</f>
        <v>5.2870588235294</v>
      </c>
      <c r="K439" s="67" cm="1">
        <f ca="1" t="array" ref="K439">MIN(18,_xlfn.XLOOKUP($D439&amp;"_"&amp;K$61,$B$23:$B$45&amp;"_"&amp;$C$23:$C$45,$D$23:$D$45)*$E439)</f>
        <v>1.64486274509804</v>
      </c>
      <c r="L439" s="67" cm="1">
        <f ca="1" t="array" ref="L439">MIN(6,_xlfn.XLOOKUP($D439&amp;"_"&amp;L$61,$B$23:$B$45&amp;"_"&amp;$C$23:$C$45,$D$23:$D$45)*$E439)</f>
        <v>2.46729411764706</v>
      </c>
      <c r="M439" s="67" cm="1">
        <f ca="1" t="array" ref="M439">(1+SUMPRODUCT(G439:H439,OFFSET($H$49:$I$49,D439,0)))*(1+OFFSET($J$49,D439,0))^I439*(1+OFFSET($K$49,D439,0))^J439*(1+OFFSET($L$49,D439,0))^K439*(1+OFFSET($M$49,D439,0))^L439</f>
        <v>112.814308907652</v>
      </c>
      <c r="N439" s="67">
        <f ca="1">MAX(MAX($N$62:N438),OFFSET($C$61,MATCH(M439*1.07,$M$62:$M$2061,1),0)-C439)</f>
        <v>6120</v>
      </c>
    </row>
    <row r="440" spans="2:14">
      <c r="B440" s="67">
        <v>379</v>
      </c>
      <c r="C440" s="67">
        <f t="shared" si="43"/>
        <v>136440</v>
      </c>
      <c r="D440" s="67">
        <f t="shared" si="39"/>
        <v>5</v>
      </c>
      <c r="E440" s="67">
        <f ca="1" t="shared" si="40"/>
        <v>409</v>
      </c>
      <c r="F440" s="67">
        <f ca="1" t="shared" si="41"/>
        <v>0</v>
      </c>
      <c r="G440" s="67">
        <f ca="1" t="shared" si="42"/>
        <v>0</v>
      </c>
      <c r="H440" s="67" cm="1">
        <f ca="1" t="array" ref="H440">MIN(30-SUM(I440:L440),_xlfn.XLOOKUP($D440&amp;"_"&amp;H$61,$B$23:$B$45&amp;"_"&amp;$C$23:$C$45,$D$23:$D$45)*$E440,18)</f>
        <v>17.0510884275279</v>
      </c>
      <c r="I440" s="67" cm="1">
        <f ca="1" t="array" ref="I440">MIN(30-SUM(J440:L440),6-L440,_xlfn.XLOOKUP($D440&amp;"_"&amp;I$61,$B$23:$B$45&amp;"_"&amp;$C$23:$C$45,$D$23:$D$45)*$E440)</f>
        <v>3.5266585928489</v>
      </c>
      <c r="J440" s="67" cm="1">
        <f ca="1" t="array" ref="J440">MIN(8,_xlfn.XLOOKUP($D440&amp;"_"&amp;J$61,$B$23:$B$45&amp;"_"&amp;$C$23:$C$45,$D$23:$D$45)*$E440)</f>
        <v>5.30001730103805</v>
      </c>
      <c r="K440" s="67" cm="1">
        <f ca="1" t="array" ref="K440">MIN(18,_xlfn.XLOOKUP($D440&amp;"_"&amp;K$61,$B$23:$B$45&amp;"_"&amp;$C$23:$C$45,$D$23:$D$45)*$E440)</f>
        <v>1.64889427143407</v>
      </c>
      <c r="L440" s="67" cm="1">
        <f ca="1" t="array" ref="L440">MIN(6,_xlfn.XLOOKUP($D440&amp;"_"&amp;L$61,$B$23:$B$45&amp;"_"&amp;$C$23:$C$45,$D$23:$D$45)*$E440)</f>
        <v>2.4733414071511</v>
      </c>
      <c r="M440" s="67" cm="1">
        <f ca="1" t="array" ref="M440">(1+SUMPRODUCT(G440:H440,OFFSET($H$49:$I$49,D440,0)))*(1+OFFSET($J$49,D440,0))^I440*(1+OFFSET($K$49,D440,0))^J440*(1+OFFSET($L$49,D440,0))^K440*(1+OFFSET($M$49,D440,0))^L440</f>
        <v>113.254242001284</v>
      </c>
      <c r="N440" s="67">
        <f ca="1">MAX(MAX($N$62:N439),OFFSET($C$61,MATCH(M440*1.07,$M$62:$M$2061,1),0)-C440)</f>
        <v>6120</v>
      </c>
    </row>
    <row r="441" spans="2:14">
      <c r="B441" s="67">
        <v>380</v>
      </c>
      <c r="C441" s="67">
        <f t="shared" si="43"/>
        <v>136800</v>
      </c>
      <c r="D441" s="67">
        <f t="shared" si="39"/>
        <v>5</v>
      </c>
      <c r="E441" s="67">
        <f ca="1" t="shared" si="40"/>
        <v>410</v>
      </c>
      <c r="F441" s="67">
        <f ca="1" t="shared" si="41"/>
        <v>0</v>
      </c>
      <c r="G441" s="67">
        <f ca="1" t="shared" si="42"/>
        <v>0</v>
      </c>
      <c r="H441" s="67" cm="1">
        <f ca="1" t="array" ref="H441">MIN(30-SUM(I441:L441),_xlfn.XLOOKUP($D441&amp;"_"&amp;H$61,$B$23:$B$45&amp;"_"&amp;$C$23:$C$45,$D$23:$D$45)*$E441,18)</f>
        <v>17.0340984236832</v>
      </c>
      <c r="I441" s="67" cm="1">
        <f ca="1" t="array" ref="I441">MIN(30-SUM(J441:L441),6-L441,_xlfn.XLOOKUP($D441&amp;"_"&amp;I$61,$B$23:$B$45&amp;"_"&amp;$C$23:$C$45,$D$23:$D$45)*$E441)</f>
        <v>3.52061130334487</v>
      </c>
      <c r="J441" s="67" cm="1">
        <f ca="1" t="array" ref="J441">MIN(8,_xlfn.XLOOKUP($D441&amp;"_"&amp;J$61,$B$23:$B$45&amp;"_"&amp;$C$23:$C$45,$D$23:$D$45)*$E441)</f>
        <v>5.31297577854671</v>
      </c>
      <c r="K441" s="67" cm="1">
        <f ca="1" t="array" ref="K441">MIN(18,_xlfn.XLOOKUP($D441&amp;"_"&amp;K$61,$B$23:$B$45&amp;"_"&amp;$C$23:$C$45,$D$23:$D$45)*$E441)</f>
        <v>1.65292579777009</v>
      </c>
      <c r="L441" s="67" cm="1">
        <f ca="1" t="array" ref="L441">MIN(6,_xlfn.XLOOKUP($D441&amp;"_"&amp;L$61,$B$23:$B$45&amp;"_"&amp;$C$23:$C$45,$D$23:$D$45)*$E441)</f>
        <v>2.47938869665513</v>
      </c>
      <c r="M441" s="67" cm="1">
        <f ca="1" t="array" ref="M441">(1+SUMPRODUCT(G441:H441,OFFSET($H$49:$I$49,D441,0)))*(1+OFFSET($J$49,D441,0))^I441*(1+OFFSET($K$49,D441,0))^J441*(1+OFFSET($L$49,D441,0))^K441*(1+OFFSET($M$49,D441,0))^L441</f>
        <v>113.695823172416</v>
      </c>
      <c r="N441" s="67">
        <f ca="1">MAX(MAX($N$62:N440),OFFSET($C$61,MATCH(M441*1.07,$M$62:$M$2061,1),0)-C441)</f>
        <v>6120</v>
      </c>
    </row>
    <row r="442" spans="2:14">
      <c r="B442" s="67">
        <v>381</v>
      </c>
      <c r="C442" s="67">
        <f t="shared" si="43"/>
        <v>137160</v>
      </c>
      <c r="D442" s="67">
        <f t="shared" si="39"/>
        <v>5</v>
      </c>
      <c r="E442" s="67">
        <f ca="1" t="shared" si="40"/>
        <v>411</v>
      </c>
      <c r="F442" s="67">
        <f ca="1" t="shared" si="41"/>
        <v>0</v>
      </c>
      <c r="G442" s="67">
        <f ca="1" t="shared" si="42"/>
        <v>0</v>
      </c>
      <c r="H442" s="67" cm="1">
        <f ca="1" t="array" ref="H442">MIN(30-SUM(I442:L442),_xlfn.XLOOKUP($D442&amp;"_"&amp;H$61,$B$23:$B$45&amp;"_"&amp;$C$23:$C$45,$D$23:$D$45)*$E442,18)</f>
        <v>17.0171084198385</v>
      </c>
      <c r="I442" s="67" cm="1">
        <f ca="1" t="array" ref="I442">MIN(30-SUM(J442:L442),6-L442,_xlfn.XLOOKUP($D442&amp;"_"&amp;I$61,$B$23:$B$45&amp;"_"&amp;$C$23:$C$45,$D$23:$D$45)*$E442)</f>
        <v>3.51456401384083</v>
      </c>
      <c r="J442" s="67" cm="1">
        <f ca="1" t="array" ref="J442">MIN(8,_xlfn.XLOOKUP($D442&amp;"_"&amp;J$61,$B$23:$B$45&amp;"_"&amp;$C$23:$C$45,$D$23:$D$45)*$E442)</f>
        <v>5.32593425605536</v>
      </c>
      <c r="K442" s="67" cm="1">
        <f ca="1" t="array" ref="K442">MIN(18,_xlfn.XLOOKUP($D442&amp;"_"&amp;K$61,$B$23:$B$45&amp;"_"&amp;$C$23:$C$45,$D$23:$D$45)*$E442)</f>
        <v>1.65695732410611</v>
      </c>
      <c r="L442" s="67" cm="1">
        <f ca="1" t="array" ref="L442">MIN(6,_xlfn.XLOOKUP($D442&amp;"_"&amp;L$61,$B$23:$B$45&amp;"_"&amp;$C$23:$C$45,$D$23:$D$45)*$E442)</f>
        <v>2.48543598615917</v>
      </c>
      <c r="M442" s="67" cm="1">
        <f ca="1" t="array" ref="M442">(1+SUMPRODUCT(G442:H442,OFFSET($H$49:$I$49,D442,0)))*(1+OFFSET($J$49,D442,0))^I442*(1+OFFSET($K$49,D442,0))^J442*(1+OFFSET($L$49,D442,0))^K442*(1+OFFSET($M$49,D442,0))^L442</f>
        <v>114.139058217101</v>
      </c>
      <c r="N442" s="67">
        <f ca="1">MAX(MAX($N$62:N441),OFFSET($C$61,MATCH(M442*1.07,$M$62:$M$2061,1),0)-C442)</f>
        <v>6120</v>
      </c>
    </row>
    <row r="443" spans="2:14">
      <c r="B443" s="67">
        <v>382</v>
      </c>
      <c r="C443" s="67">
        <f t="shared" si="43"/>
        <v>137520</v>
      </c>
      <c r="D443" s="67">
        <f t="shared" si="39"/>
        <v>5</v>
      </c>
      <c r="E443" s="67">
        <f ca="1" t="shared" si="40"/>
        <v>412</v>
      </c>
      <c r="F443" s="67">
        <f ca="1" t="shared" si="41"/>
        <v>0</v>
      </c>
      <c r="G443" s="67">
        <f ca="1" t="shared" si="42"/>
        <v>0</v>
      </c>
      <c r="H443" s="67" cm="1">
        <f ca="1" t="array" ref="H443">MIN(30-SUM(I443:L443),_xlfn.XLOOKUP($D443&amp;"_"&amp;H$61,$B$23:$B$45&amp;"_"&amp;$C$23:$C$45,$D$23:$D$45)*$E443,18)</f>
        <v>17.0001184159939</v>
      </c>
      <c r="I443" s="67" cm="1">
        <f ca="1" t="array" ref="I443">MIN(30-SUM(J443:L443),6-L443,_xlfn.XLOOKUP($D443&amp;"_"&amp;I$61,$B$23:$B$45&amp;"_"&amp;$C$23:$C$45,$D$23:$D$45)*$E443)</f>
        <v>3.50851672433679</v>
      </c>
      <c r="J443" s="67" cm="1">
        <f ca="1" t="array" ref="J443">MIN(8,_xlfn.XLOOKUP($D443&amp;"_"&amp;J$61,$B$23:$B$45&amp;"_"&amp;$C$23:$C$45,$D$23:$D$45)*$E443)</f>
        <v>5.33889273356401</v>
      </c>
      <c r="K443" s="67" cm="1">
        <f ca="1" t="array" ref="K443">MIN(18,_xlfn.XLOOKUP($D443&amp;"_"&amp;K$61,$B$23:$B$45&amp;"_"&amp;$C$23:$C$45,$D$23:$D$45)*$E443)</f>
        <v>1.66098885044214</v>
      </c>
      <c r="L443" s="67" cm="1">
        <f ca="1" t="array" ref="L443">MIN(6,_xlfn.XLOOKUP($D443&amp;"_"&amp;L$61,$B$23:$B$45&amp;"_"&amp;$C$23:$C$45,$D$23:$D$45)*$E443)</f>
        <v>2.49148327566321</v>
      </c>
      <c r="M443" s="67" cm="1">
        <f ca="1" t="array" ref="M443">(1+SUMPRODUCT(G443:H443,OFFSET($H$49:$I$49,D443,0)))*(1+OFFSET($J$49,D443,0))^I443*(1+OFFSET($K$49,D443,0))^J443*(1+OFFSET($L$49,D443,0))^K443*(1+OFFSET($M$49,D443,0))^L443</f>
        <v>114.583952949576</v>
      </c>
      <c r="N443" s="67">
        <f ca="1">MAX(MAX($N$62:N442),OFFSET($C$61,MATCH(M443*1.07,$M$62:$M$2061,1),0)-C443)</f>
        <v>6120</v>
      </c>
    </row>
    <row r="444" spans="2:14">
      <c r="B444" s="67">
        <v>383</v>
      </c>
      <c r="C444" s="67">
        <f t="shared" si="43"/>
        <v>137880</v>
      </c>
      <c r="D444" s="67">
        <f t="shared" si="39"/>
        <v>5</v>
      </c>
      <c r="E444" s="67">
        <f ca="1" t="shared" si="40"/>
        <v>413</v>
      </c>
      <c r="F444" s="67">
        <f ca="1" t="shared" si="41"/>
        <v>0</v>
      </c>
      <c r="G444" s="67">
        <f ca="1" t="shared" si="42"/>
        <v>0</v>
      </c>
      <c r="H444" s="67" cm="1">
        <f ca="1" t="array" ref="H444">MIN(30-SUM(I444:L444),_xlfn.XLOOKUP($D444&amp;"_"&amp;H$61,$B$23:$B$45&amp;"_"&amp;$C$23:$C$45,$D$23:$D$45)*$E444,18)</f>
        <v>16.9831284121492</v>
      </c>
      <c r="I444" s="67" cm="1">
        <f ca="1" t="array" ref="I444">MIN(30-SUM(J444:L444),6-L444,_xlfn.XLOOKUP($D444&amp;"_"&amp;I$61,$B$23:$B$45&amp;"_"&amp;$C$23:$C$45,$D$23:$D$45)*$E444)</f>
        <v>3.50246943483276</v>
      </c>
      <c r="J444" s="67" cm="1">
        <f ca="1" t="array" ref="J444">MIN(8,_xlfn.XLOOKUP($D444&amp;"_"&amp;J$61,$B$23:$B$45&amp;"_"&amp;$C$23:$C$45,$D$23:$D$45)*$E444)</f>
        <v>5.35185121107266</v>
      </c>
      <c r="K444" s="67" cm="1">
        <f ca="1" t="array" ref="K444">MIN(18,_xlfn.XLOOKUP($D444&amp;"_"&amp;K$61,$B$23:$B$45&amp;"_"&amp;$C$23:$C$45,$D$23:$D$45)*$E444)</f>
        <v>1.66502037677816</v>
      </c>
      <c r="L444" s="67" cm="1">
        <f ca="1" t="array" ref="L444">MIN(6,_xlfn.XLOOKUP($D444&amp;"_"&amp;L$61,$B$23:$B$45&amp;"_"&amp;$C$23:$C$45,$D$23:$D$45)*$E444)</f>
        <v>2.49753056516724</v>
      </c>
      <c r="M444" s="67" cm="1">
        <f ca="1" t="array" ref="M444">(1+SUMPRODUCT(G444:H444,OFFSET($H$49:$I$49,D444,0)))*(1+OFFSET($J$49,D444,0))^I444*(1+OFFSET($K$49,D444,0))^J444*(1+OFFSET($L$49,D444,0))^K444*(1+OFFSET($M$49,D444,0))^L444</f>
        <v>115.0305132023</v>
      </c>
      <c r="N444" s="67">
        <f ca="1">MAX(MAX($N$62:N443),OFFSET($C$61,MATCH(M444*1.07,$M$62:$M$2061,1),0)-C444)</f>
        <v>6120</v>
      </c>
    </row>
    <row r="445" spans="2:14">
      <c r="B445" s="67">
        <v>384</v>
      </c>
      <c r="C445" s="67">
        <f t="shared" si="43"/>
        <v>138240</v>
      </c>
      <c r="D445" s="67">
        <f t="shared" si="39"/>
        <v>5</v>
      </c>
      <c r="E445" s="67">
        <f ca="1" t="shared" si="40"/>
        <v>414</v>
      </c>
      <c r="F445" s="67">
        <f ca="1" t="shared" si="41"/>
        <v>0</v>
      </c>
      <c r="G445" s="67">
        <f ca="1" t="shared" si="42"/>
        <v>0</v>
      </c>
      <c r="H445" s="67" cm="1">
        <f ca="1" t="array" ref="H445">MIN(30-SUM(I445:L445),_xlfn.XLOOKUP($D445&amp;"_"&amp;H$61,$B$23:$B$45&amp;"_"&amp;$C$23:$C$45,$D$23:$D$45)*$E445,18)</f>
        <v>16.9661384083045</v>
      </c>
      <c r="I445" s="67" cm="1">
        <f ca="1" t="array" ref="I445">MIN(30-SUM(J445:L445),6-L445,_xlfn.XLOOKUP($D445&amp;"_"&amp;I$61,$B$23:$B$45&amp;"_"&amp;$C$23:$C$45,$D$23:$D$45)*$E445)</f>
        <v>3.49642214532872</v>
      </c>
      <c r="J445" s="67" cm="1">
        <f ca="1" t="array" ref="J445">MIN(8,_xlfn.XLOOKUP($D445&amp;"_"&amp;J$61,$B$23:$B$45&amp;"_"&amp;$C$23:$C$45,$D$23:$D$45)*$E445)</f>
        <v>5.36480968858131</v>
      </c>
      <c r="K445" s="67" cm="1">
        <f ca="1" t="array" ref="K445">MIN(18,_xlfn.XLOOKUP($D445&amp;"_"&amp;K$61,$B$23:$B$45&amp;"_"&amp;$C$23:$C$45,$D$23:$D$45)*$E445)</f>
        <v>1.66905190311419</v>
      </c>
      <c r="L445" s="67" cm="1">
        <f ca="1" t="array" ref="L445">MIN(6,_xlfn.XLOOKUP($D445&amp;"_"&amp;L$61,$B$23:$B$45&amp;"_"&amp;$C$23:$C$45,$D$23:$D$45)*$E445)</f>
        <v>2.50357785467128</v>
      </c>
      <c r="M445" s="67" cm="1">
        <f ca="1" t="array" ref="M445">(1+SUMPRODUCT(G445:H445,OFFSET($H$49:$I$49,D445,0)))*(1+OFFSET($J$49,D445,0))^I445*(1+OFFSET($K$49,D445,0))^J445*(1+OFFSET($L$49,D445,0))^K445*(1+OFFSET($M$49,D445,0))^L445</f>
        <v>115.478744826</v>
      </c>
      <c r="N445" s="67">
        <f ca="1">MAX(MAX($N$62:N444),OFFSET($C$61,MATCH(M445*1.07,$M$62:$M$2061,1),0)-C445)</f>
        <v>6120</v>
      </c>
    </row>
    <row r="446" spans="2:14">
      <c r="B446" s="67">
        <v>385</v>
      </c>
      <c r="C446" s="67">
        <f t="shared" si="43"/>
        <v>138600</v>
      </c>
      <c r="D446" s="67">
        <f t="shared" si="39"/>
        <v>5</v>
      </c>
      <c r="E446" s="67">
        <f ca="1" t="shared" si="40"/>
        <v>415</v>
      </c>
      <c r="F446" s="67">
        <f ca="1" t="shared" si="41"/>
        <v>0</v>
      </c>
      <c r="G446" s="67">
        <f ca="1" t="shared" si="42"/>
        <v>0</v>
      </c>
      <c r="H446" s="67" cm="1">
        <f ca="1" t="array" ref="H446">MIN(30-SUM(I446:L446),_xlfn.XLOOKUP($D446&amp;"_"&amp;H$61,$B$23:$B$45&amp;"_"&amp;$C$23:$C$45,$D$23:$D$45)*$E446,18)</f>
        <v>16.9491484044598</v>
      </c>
      <c r="I446" s="67" cm="1">
        <f ca="1" t="array" ref="I446">MIN(30-SUM(J446:L446),6-L446,_xlfn.XLOOKUP($D446&amp;"_"&amp;I$61,$B$23:$B$45&amp;"_"&amp;$C$23:$C$45,$D$23:$D$45)*$E446)</f>
        <v>3.49037485582468</v>
      </c>
      <c r="J446" s="67" cm="1">
        <f ca="1" t="array" ref="J446">MIN(8,_xlfn.XLOOKUP($D446&amp;"_"&amp;J$61,$B$23:$B$45&amp;"_"&amp;$C$23:$C$45,$D$23:$D$45)*$E446)</f>
        <v>5.37776816608996</v>
      </c>
      <c r="K446" s="67" cm="1">
        <f ca="1" t="array" ref="K446">MIN(18,_xlfn.XLOOKUP($D446&amp;"_"&amp;K$61,$B$23:$B$45&amp;"_"&amp;$C$23:$C$45,$D$23:$D$45)*$E446)</f>
        <v>1.67308342945021</v>
      </c>
      <c r="L446" s="67" cm="1">
        <f ca="1" t="array" ref="L446">MIN(6,_xlfn.XLOOKUP($D446&amp;"_"&amp;L$61,$B$23:$B$45&amp;"_"&amp;$C$23:$C$45,$D$23:$D$45)*$E446)</f>
        <v>2.50962514417532</v>
      </c>
      <c r="M446" s="67" cm="1">
        <f ca="1" t="array" ref="M446">(1+SUMPRODUCT(G446:H446,OFFSET($H$49:$I$49,D446,0)))*(1+OFFSET($J$49,D446,0))^I446*(1+OFFSET($K$49,D446,0))^J446*(1+OFFSET($L$49,D446,0))^K446*(1+OFFSET($M$49,D446,0))^L446</f>
        <v>115.928653689714</v>
      </c>
      <c r="N446" s="67">
        <f ca="1">MAX(MAX($N$62:N445),OFFSET($C$61,MATCH(M446*1.07,$M$62:$M$2061,1),0)-C446)</f>
        <v>6120</v>
      </c>
    </row>
    <row r="447" spans="2:14">
      <c r="B447" s="67">
        <v>386</v>
      </c>
      <c r="C447" s="67">
        <f t="shared" si="43"/>
        <v>138960</v>
      </c>
      <c r="D447" s="67">
        <f t="shared" ref="D447:D510" si="44">_xlfn.XLOOKUP("非R",$B$49:$B$54,$C$49:$C$54)</f>
        <v>5</v>
      </c>
      <c r="E447" s="67">
        <f ca="1" t="shared" ref="E447:E510" si="45">INT(C447/_xlfn.XLOOKUP(D447,$R$14:$R$21,$S$14:$S$21))+OFFSET($R$49,D447,0)</f>
        <v>416</v>
      </c>
      <c r="F447" s="67">
        <f ca="1" t="shared" si="41"/>
        <v>0</v>
      </c>
      <c r="G447" s="67">
        <f ca="1" t="shared" si="42"/>
        <v>0</v>
      </c>
      <c r="H447" s="67" cm="1">
        <f ca="1" t="array" ref="H447">MIN(30-SUM(I447:L447),_xlfn.XLOOKUP($D447&amp;"_"&amp;H$61,$B$23:$B$45&amp;"_"&amp;$C$23:$C$45,$D$23:$D$45)*$E447,18)</f>
        <v>16.9321584006152</v>
      </c>
      <c r="I447" s="67" cm="1">
        <f ca="1" t="array" ref="I447">MIN(30-SUM(J447:L447),6-L447,_xlfn.XLOOKUP($D447&amp;"_"&amp;I$61,$B$23:$B$45&amp;"_"&amp;$C$23:$C$45,$D$23:$D$45)*$E447)</f>
        <v>3.48432756632065</v>
      </c>
      <c r="J447" s="67" cm="1">
        <f ca="1" t="array" ref="J447">MIN(8,_xlfn.XLOOKUP($D447&amp;"_"&amp;J$61,$B$23:$B$45&amp;"_"&amp;$C$23:$C$45,$D$23:$D$45)*$E447)</f>
        <v>5.39072664359861</v>
      </c>
      <c r="K447" s="67" cm="1">
        <f ca="1" t="array" ref="K447">MIN(18,_xlfn.XLOOKUP($D447&amp;"_"&amp;K$61,$B$23:$B$45&amp;"_"&amp;$C$23:$C$45,$D$23:$D$45)*$E447)</f>
        <v>1.67711495578624</v>
      </c>
      <c r="L447" s="67" cm="1">
        <f ca="1" t="array" ref="L447">MIN(6,_xlfn.XLOOKUP($D447&amp;"_"&amp;L$61,$B$23:$B$45&amp;"_"&amp;$C$23:$C$45,$D$23:$D$45)*$E447)</f>
        <v>2.51567243367935</v>
      </c>
      <c r="M447" s="67" cm="1">
        <f ca="1" t="array" ref="M447">(1+SUMPRODUCT(G447:H447,OFFSET($H$49:$I$49,D447,0)))*(1+OFFSET($J$49,D447,0))^I447*(1+OFFSET($K$49,D447,0))^J447*(1+OFFSET($L$49,D447,0))^K447*(1+OFFSET($M$49,D447,0))^L447</f>
        <v>116.380245680833</v>
      </c>
      <c r="N447" s="67">
        <f ca="1">MAX(MAX($N$62:N446),OFFSET($C$61,MATCH(M447*1.07,$M$62:$M$2061,1),0)-C447)</f>
        <v>6120</v>
      </c>
    </row>
    <row r="448" spans="2:14">
      <c r="B448" s="67">
        <v>387</v>
      </c>
      <c r="C448" s="67">
        <f t="shared" si="43"/>
        <v>139320</v>
      </c>
      <c r="D448" s="67">
        <f t="shared" si="44"/>
        <v>5</v>
      </c>
      <c r="E448" s="67">
        <f ca="1" t="shared" si="45"/>
        <v>417</v>
      </c>
      <c r="F448" s="67">
        <f ca="1" t="shared" ref="F448:F511" si="46">30-SUM(G448:L448)</f>
        <v>0</v>
      </c>
      <c r="G448" s="67">
        <f ca="1" t="shared" ref="G448:G511" si="47">30-SUM(H448:L448)</f>
        <v>0</v>
      </c>
      <c r="H448" s="67" cm="1">
        <f ca="1" t="array" ref="H448">MIN(30-SUM(I448:L448),_xlfn.XLOOKUP($D448&amp;"_"&amp;H$61,$B$23:$B$45&amp;"_"&amp;$C$23:$C$45,$D$23:$D$45)*$E448,18)</f>
        <v>16.9151683967705</v>
      </c>
      <c r="I448" s="67" cm="1">
        <f ca="1" t="array" ref="I448">MIN(30-SUM(J448:L448),6-L448,_xlfn.XLOOKUP($D448&amp;"_"&amp;I$61,$B$23:$B$45&amp;"_"&amp;$C$23:$C$45,$D$23:$D$45)*$E448)</f>
        <v>3.47828027681661</v>
      </c>
      <c r="J448" s="67" cm="1">
        <f ca="1" t="array" ref="J448">MIN(8,_xlfn.XLOOKUP($D448&amp;"_"&amp;J$61,$B$23:$B$45&amp;"_"&amp;$C$23:$C$45,$D$23:$D$45)*$E448)</f>
        <v>5.40368512110726</v>
      </c>
      <c r="K448" s="67" cm="1">
        <f ca="1" t="array" ref="K448">MIN(18,_xlfn.XLOOKUP($D448&amp;"_"&amp;K$61,$B$23:$B$45&amp;"_"&amp;$C$23:$C$45,$D$23:$D$45)*$E448)</f>
        <v>1.68114648212226</v>
      </c>
      <c r="L448" s="67" cm="1">
        <f ca="1" t="array" ref="L448">MIN(6,_xlfn.XLOOKUP($D448&amp;"_"&amp;L$61,$B$23:$B$45&amp;"_"&amp;$C$23:$C$45,$D$23:$D$45)*$E448)</f>
        <v>2.52171972318339</v>
      </c>
      <c r="M448" s="67" cm="1">
        <f ca="1" t="array" ref="M448">(1+SUMPRODUCT(G448:H448,OFFSET($H$49:$I$49,D448,0)))*(1+OFFSET($J$49,D448,0))^I448*(1+OFFSET($K$49,D448,0))^J448*(1+OFFSET($L$49,D448,0))^K448*(1+OFFSET($M$49,D448,0))^L448</f>
        <v>116.833526705145</v>
      </c>
      <c r="N448" s="67">
        <f ca="1">MAX(MAX($N$62:N447),OFFSET($C$61,MATCH(M448*1.07,$M$62:$M$2061,1),0)-C448)</f>
        <v>6120</v>
      </c>
    </row>
    <row r="449" spans="2:14">
      <c r="B449" s="67">
        <v>388</v>
      </c>
      <c r="C449" s="67">
        <f t="shared" si="43"/>
        <v>139680</v>
      </c>
      <c r="D449" s="67">
        <f t="shared" si="44"/>
        <v>5</v>
      </c>
      <c r="E449" s="67">
        <f ca="1" t="shared" si="45"/>
        <v>418</v>
      </c>
      <c r="F449" s="67">
        <f ca="1" t="shared" si="46"/>
        <v>0</v>
      </c>
      <c r="G449" s="67">
        <f ca="1" t="shared" si="47"/>
        <v>0</v>
      </c>
      <c r="H449" s="67" cm="1">
        <f ca="1" t="array" ref="H449">MIN(30-SUM(I449:L449),_xlfn.XLOOKUP($D449&amp;"_"&amp;H$61,$B$23:$B$45&amp;"_"&amp;$C$23:$C$45,$D$23:$D$45)*$E449,18)</f>
        <v>16.8981783929258</v>
      </c>
      <c r="I449" s="67" cm="1">
        <f ca="1" t="array" ref="I449">MIN(30-SUM(J449:L449),6-L449,_xlfn.XLOOKUP($D449&amp;"_"&amp;I$61,$B$23:$B$45&amp;"_"&amp;$C$23:$C$45,$D$23:$D$45)*$E449)</f>
        <v>3.47223298731257</v>
      </c>
      <c r="J449" s="67" cm="1">
        <f ca="1" t="array" ref="J449">MIN(8,_xlfn.XLOOKUP($D449&amp;"_"&amp;J$61,$B$23:$B$45&amp;"_"&amp;$C$23:$C$45,$D$23:$D$45)*$E449)</f>
        <v>5.41664359861591</v>
      </c>
      <c r="K449" s="67" cm="1">
        <f ca="1" t="array" ref="K449">MIN(18,_xlfn.XLOOKUP($D449&amp;"_"&amp;K$61,$B$23:$B$45&amp;"_"&amp;$C$23:$C$45,$D$23:$D$45)*$E449)</f>
        <v>1.68517800845829</v>
      </c>
      <c r="L449" s="67" cm="1">
        <f ca="1" t="array" ref="L449">MIN(6,_xlfn.XLOOKUP($D449&amp;"_"&amp;L$61,$B$23:$B$45&amp;"_"&amp;$C$23:$C$45,$D$23:$D$45)*$E449)</f>
        <v>2.52776701268743</v>
      </c>
      <c r="M449" s="67" cm="1">
        <f ca="1" t="array" ref="M449">(1+SUMPRODUCT(G449:H449,OFFSET($H$49:$I$49,D449,0)))*(1+OFFSET($J$49,D449,0))^I449*(1+OFFSET($K$49,D449,0))^J449*(1+OFFSET($L$49,D449,0))^K449*(1+OFFSET($M$49,D449,0))^L449</f>
        <v>117.288502686881</v>
      </c>
      <c r="N449" s="67">
        <f ca="1">MAX(MAX($N$62:N448),OFFSET($C$61,MATCH(M449*1.07,$M$62:$M$2061,1),0)-C449)</f>
        <v>6120</v>
      </c>
    </row>
    <row r="450" spans="2:14">
      <c r="B450" s="67">
        <v>389</v>
      </c>
      <c r="C450" s="67">
        <f t="shared" si="43"/>
        <v>140040</v>
      </c>
      <c r="D450" s="67">
        <f t="shared" si="44"/>
        <v>5</v>
      </c>
      <c r="E450" s="67">
        <f ca="1" t="shared" si="45"/>
        <v>419</v>
      </c>
      <c r="F450" s="67">
        <f ca="1" t="shared" si="46"/>
        <v>0</v>
      </c>
      <c r="G450" s="67">
        <f ca="1" t="shared" si="47"/>
        <v>0</v>
      </c>
      <c r="H450" s="67" cm="1">
        <f ca="1" t="array" ref="H450">MIN(30-SUM(I450:L450),_xlfn.XLOOKUP($D450&amp;"_"&amp;H$61,$B$23:$B$45&amp;"_"&amp;$C$23:$C$45,$D$23:$D$45)*$E450,18)</f>
        <v>16.8811883890811</v>
      </c>
      <c r="I450" s="67" cm="1">
        <f ca="1" t="array" ref="I450">MIN(30-SUM(J450:L450),6-L450,_xlfn.XLOOKUP($D450&amp;"_"&amp;I$61,$B$23:$B$45&amp;"_"&amp;$C$23:$C$45,$D$23:$D$45)*$E450)</f>
        <v>3.46618569780853</v>
      </c>
      <c r="J450" s="67" cm="1">
        <f ca="1" t="array" ref="J450">MIN(8,_xlfn.XLOOKUP($D450&amp;"_"&amp;J$61,$B$23:$B$45&amp;"_"&amp;$C$23:$C$45,$D$23:$D$45)*$E450)</f>
        <v>5.42960207612456</v>
      </c>
      <c r="K450" s="67" cm="1">
        <f ca="1" t="array" ref="K450">MIN(18,_xlfn.XLOOKUP($D450&amp;"_"&amp;K$61,$B$23:$B$45&amp;"_"&amp;$C$23:$C$45,$D$23:$D$45)*$E450)</f>
        <v>1.68920953479431</v>
      </c>
      <c r="L450" s="67" cm="1">
        <f ca="1" t="array" ref="L450">MIN(6,_xlfn.XLOOKUP($D450&amp;"_"&amp;L$61,$B$23:$B$45&amp;"_"&amp;$C$23:$C$45,$D$23:$D$45)*$E450)</f>
        <v>2.53381430219147</v>
      </c>
      <c r="M450" s="67" cm="1">
        <f ca="1" t="array" ref="M450">(1+SUMPRODUCT(G450:H450,OFFSET($H$49:$I$49,D450,0)))*(1+OFFSET($J$49,D450,0))^I450*(1+OFFSET($K$49,D450,0))^J450*(1+OFFSET($L$49,D450,0))^K450*(1+OFFSET($M$49,D450,0))^L450</f>
        <v>117.745179568755</v>
      </c>
      <c r="N450" s="67">
        <f ca="1">MAX(MAX($N$62:N449),OFFSET($C$61,MATCH(M450*1.07,$M$62:$M$2061,1),0)-C450)</f>
        <v>6120</v>
      </c>
    </row>
    <row r="451" spans="2:14">
      <c r="B451" s="67">
        <v>390</v>
      </c>
      <c r="C451" s="67">
        <f t="shared" si="43"/>
        <v>140400</v>
      </c>
      <c r="D451" s="67">
        <f t="shared" si="44"/>
        <v>5</v>
      </c>
      <c r="E451" s="67">
        <f ca="1" t="shared" si="45"/>
        <v>420</v>
      </c>
      <c r="F451" s="67">
        <f ca="1" t="shared" si="46"/>
        <v>0</v>
      </c>
      <c r="G451" s="67">
        <f ca="1" t="shared" si="47"/>
        <v>0</v>
      </c>
      <c r="H451" s="67" cm="1">
        <f ca="1" t="array" ref="H451">MIN(30-SUM(I451:L451),_xlfn.XLOOKUP($D451&amp;"_"&amp;H$61,$B$23:$B$45&amp;"_"&amp;$C$23:$C$45,$D$23:$D$45)*$E451,18)</f>
        <v>16.8641983852365</v>
      </c>
      <c r="I451" s="67" cm="1">
        <f ca="1" t="array" ref="I451">MIN(30-SUM(J451:L451),6-L451,_xlfn.XLOOKUP($D451&amp;"_"&amp;I$61,$B$23:$B$45&amp;"_"&amp;$C$23:$C$45,$D$23:$D$45)*$E451)</f>
        <v>3.4601384083045</v>
      </c>
      <c r="J451" s="67" cm="1">
        <f ca="1" t="array" ref="J451">MIN(8,_xlfn.XLOOKUP($D451&amp;"_"&amp;J$61,$B$23:$B$45&amp;"_"&amp;$C$23:$C$45,$D$23:$D$45)*$E451)</f>
        <v>5.44256055363321</v>
      </c>
      <c r="K451" s="67" cm="1">
        <f ca="1" t="array" ref="K451">MIN(18,_xlfn.XLOOKUP($D451&amp;"_"&amp;K$61,$B$23:$B$45&amp;"_"&amp;$C$23:$C$45,$D$23:$D$45)*$E451)</f>
        <v>1.69324106113034</v>
      </c>
      <c r="L451" s="67" cm="1">
        <f ca="1" t="array" ref="L451">MIN(6,_xlfn.XLOOKUP($D451&amp;"_"&amp;L$61,$B$23:$B$45&amp;"_"&amp;$C$23:$C$45,$D$23:$D$45)*$E451)</f>
        <v>2.5398615916955</v>
      </c>
      <c r="M451" s="67" cm="1">
        <f ca="1" t="array" ref="M451">(1+SUMPRODUCT(G451:H451,OFFSET($H$49:$I$49,D451,0)))*(1+OFFSET($J$49,D451,0))^I451*(1+OFFSET($K$49,D451,0))^J451*(1+OFFSET($L$49,D451,0))^K451*(1+OFFSET($M$49,D451,0))^L451</f>
        <v>118.203563312006</v>
      </c>
      <c r="N451" s="67">
        <f ca="1">MAX(MAX($N$62:N450),OFFSET($C$61,MATCH(M451*1.07,$M$62:$M$2061,1),0)-C451)</f>
        <v>6120</v>
      </c>
    </row>
    <row r="452" spans="2:14">
      <c r="B452" s="67">
        <v>391</v>
      </c>
      <c r="C452" s="67">
        <f t="shared" si="43"/>
        <v>140760</v>
      </c>
      <c r="D452" s="67">
        <f t="shared" si="44"/>
        <v>5</v>
      </c>
      <c r="E452" s="67">
        <f ca="1" t="shared" si="45"/>
        <v>421</v>
      </c>
      <c r="F452" s="67">
        <f ca="1" t="shared" si="46"/>
        <v>0</v>
      </c>
      <c r="G452" s="67">
        <f ca="1" t="shared" si="47"/>
        <v>0</v>
      </c>
      <c r="H452" s="67" cm="1">
        <f ca="1" t="array" ref="H452">MIN(30-SUM(I452:L452),_xlfn.XLOOKUP($D452&amp;"_"&amp;H$61,$B$23:$B$45&amp;"_"&amp;$C$23:$C$45,$D$23:$D$45)*$E452,18)</f>
        <v>16.8472083813918</v>
      </c>
      <c r="I452" s="67" cm="1">
        <f ca="1" t="array" ref="I452">MIN(30-SUM(J452:L452),6-L452,_xlfn.XLOOKUP($D452&amp;"_"&amp;I$61,$B$23:$B$45&amp;"_"&amp;$C$23:$C$45,$D$23:$D$45)*$E452)</f>
        <v>3.45409111880046</v>
      </c>
      <c r="J452" s="67" cm="1">
        <f ca="1" t="array" ref="J452">MIN(8,_xlfn.XLOOKUP($D452&amp;"_"&amp;J$61,$B$23:$B$45&amp;"_"&amp;$C$23:$C$45,$D$23:$D$45)*$E452)</f>
        <v>5.45551903114186</v>
      </c>
      <c r="K452" s="67" cm="1">
        <f ca="1" t="array" ref="K452">MIN(18,_xlfn.XLOOKUP($D452&amp;"_"&amp;K$61,$B$23:$B$45&amp;"_"&amp;$C$23:$C$45,$D$23:$D$45)*$E452)</f>
        <v>1.69727258746636</v>
      </c>
      <c r="L452" s="67" cm="1">
        <f ca="1" t="array" ref="L452">MIN(6,_xlfn.XLOOKUP($D452&amp;"_"&amp;L$61,$B$23:$B$45&amp;"_"&amp;$C$23:$C$45,$D$23:$D$45)*$E452)</f>
        <v>2.54590888119954</v>
      </c>
      <c r="M452" s="67" cm="1">
        <f ca="1" t="array" ref="M452">(1+SUMPRODUCT(G452:H452,OFFSET($H$49:$I$49,D452,0)))*(1+OFFSET($J$49,D452,0))^I452*(1+OFFSET($K$49,D452,0))^J452*(1+OFFSET($L$49,D452,0))^K452*(1+OFFSET($M$49,D452,0))^L452</f>
        <v>118.663659896448</v>
      </c>
      <c r="N452" s="67">
        <f ca="1">MAX(MAX($N$62:N451),OFFSET($C$61,MATCH(M452*1.07,$M$62:$M$2061,1),0)-C452)</f>
        <v>6120</v>
      </c>
    </row>
    <row r="453" spans="2:14">
      <c r="B453" s="67">
        <v>392</v>
      </c>
      <c r="C453" s="67">
        <f t="shared" si="43"/>
        <v>141120</v>
      </c>
      <c r="D453" s="67">
        <f t="shared" si="44"/>
        <v>5</v>
      </c>
      <c r="E453" s="67">
        <f ca="1" t="shared" si="45"/>
        <v>422</v>
      </c>
      <c r="F453" s="67">
        <f ca="1" t="shared" si="46"/>
        <v>0</v>
      </c>
      <c r="G453" s="67">
        <f ca="1" t="shared" si="47"/>
        <v>0</v>
      </c>
      <c r="H453" s="67" cm="1">
        <f ca="1" t="array" ref="H453">MIN(30-SUM(I453:L453),_xlfn.XLOOKUP($D453&amp;"_"&amp;H$61,$B$23:$B$45&amp;"_"&amp;$C$23:$C$45,$D$23:$D$45)*$E453,18)</f>
        <v>16.8302183775471</v>
      </c>
      <c r="I453" s="67" cm="1">
        <f ca="1" t="array" ref="I453">MIN(30-SUM(J453:L453),6-L453,_xlfn.XLOOKUP($D453&amp;"_"&amp;I$61,$B$23:$B$45&amp;"_"&amp;$C$23:$C$45,$D$23:$D$45)*$E453)</f>
        <v>3.44804382929642</v>
      </c>
      <c r="J453" s="67" cm="1">
        <f ca="1" t="array" ref="J453">MIN(8,_xlfn.XLOOKUP($D453&amp;"_"&amp;J$61,$B$23:$B$45&amp;"_"&amp;$C$23:$C$45,$D$23:$D$45)*$E453)</f>
        <v>5.46847750865051</v>
      </c>
      <c r="K453" s="67" cm="1">
        <f ca="1" t="array" ref="K453">MIN(18,_xlfn.XLOOKUP($D453&amp;"_"&amp;K$61,$B$23:$B$45&amp;"_"&amp;$C$23:$C$45,$D$23:$D$45)*$E453)</f>
        <v>1.70130411380239</v>
      </c>
      <c r="L453" s="67" cm="1">
        <f ca="1" t="array" ref="L453">MIN(6,_xlfn.XLOOKUP($D453&amp;"_"&amp;L$61,$B$23:$B$45&amp;"_"&amp;$C$23:$C$45,$D$23:$D$45)*$E453)</f>
        <v>2.55195617070358</v>
      </c>
      <c r="M453" s="67" cm="1">
        <f ca="1" t="array" ref="M453">(1+SUMPRODUCT(G453:H453,OFFSET($H$49:$I$49,D453,0)))*(1+OFFSET($J$49,D453,0))^I453*(1+OFFSET($K$49,D453,0))^J453*(1+OFFSET($L$49,D453,0))^K453*(1+OFFSET($M$49,D453,0))^L453</f>
        <v>119.125475320507</v>
      </c>
      <c r="N453" s="67">
        <f ca="1">MAX(MAX($N$62:N452),OFFSET($C$61,MATCH(M453*1.07,$M$62:$M$2061,1),0)-C453)</f>
        <v>6120</v>
      </c>
    </row>
    <row r="454" spans="2:14">
      <c r="B454" s="67">
        <v>393</v>
      </c>
      <c r="C454" s="67">
        <f t="shared" si="43"/>
        <v>141480</v>
      </c>
      <c r="D454" s="67">
        <f t="shared" si="44"/>
        <v>5</v>
      </c>
      <c r="E454" s="67">
        <f ca="1" t="shared" si="45"/>
        <v>423</v>
      </c>
      <c r="F454" s="67">
        <f ca="1" t="shared" si="46"/>
        <v>0</v>
      </c>
      <c r="G454" s="67">
        <f ca="1" t="shared" si="47"/>
        <v>0</v>
      </c>
      <c r="H454" s="67" cm="1">
        <f ca="1" t="array" ref="H454">MIN(30-SUM(I454:L454),_xlfn.XLOOKUP($D454&amp;"_"&amp;H$61,$B$23:$B$45&amp;"_"&amp;$C$23:$C$45,$D$23:$D$45)*$E454,18)</f>
        <v>16.8132283737024</v>
      </c>
      <c r="I454" s="67" cm="1">
        <f ca="1" t="array" ref="I454">MIN(30-SUM(J454:L454),6-L454,_xlfn.XLOOKUP($D454&amp;"_"&amp;I$61,$B$23:$B$45&amp;"_"&amp;$C$23:$C$45,$D$23:$D$45)*$E454)</f>
        <v>3.44199653979239</v>
      </c>
      <c r="J454" s="67" cm="1">
        <f ca="1" t="array" ref="J454">MIN(8,_xlfn.XLOOKUP($D454&amp;"_"&amp;J$61,$B$23:$B$45&amp;"_"&amp;$C$23:$C$45,$D$23:$D$45)*$E454)</f>
        <v>5.48143598615916</v>
      </c>
      <c r="K454" s="67" cm="1">
        <f ca="1" t="array" ref="K454">MIN(18,_xlfn.XLOOKUP($D454&amp;"_"&amp;K$61,$B$23:$B$45&amp;"_"&amp;$C$23:$C$45,$D$23:$D$45)*$E454)</f>
        <v>1.70533564013841</v>
      </c>
      <c r="L454" s="67" cm="1">
        <f ca="1" t="array" ref="L454">MIN(6,_xlfn.XLOOKUP($D454&amp;"_"&amp;L$61,$B$23:$B$45&amp;"_"&amp;$C$23:$C$45,$D$23:$D$45)*$E454)</f>
        <v>2.55800346020761</v>
      </c>
      <c r="M454" s="67" cm="1">
        <f ca="1" t="array" ref="M454">(1+SUMPRODUCT(G454:H454,OFFSET($H$49:$I$49,D454,0)))*(1+OFFSET($J$49,D454,0))^I454*(1+OFFSET($K$49,D454,0))^J454*(1+OFFSET($L$49,D454,0))^K454*(1+OFFSET($M$49,D454,0))^L454</f>
        <v>119.589015601266</v>
      </c>
      <c r="N454" s="67">
        <f ca="1">MAX(MAX($N$62:N453),OFFSET($C$61,MATCH(M454*1.07,$M$62:$M$2061,1),0)-C454)</f>
        <v>6120</v>
      </c>
    </row>
    <row r="455" spans="2:14">
      <c r="B455" s="67">
        <v>394</v>
      </c>
      <c r="C455" s="67">
        <f t="shared" si="43"/>
        <v>141840</v>
      </c>
      <c r="D455" s="67">
        <f t="shared" si="44"/>
        <v>5</v>
      </c>
      <c r="E455" s="67">
        <f ca="1" t="shared" si="45"/>
        <v>424</v>
      </c>
      <c r="F455" s="67">
        <f ca="1" t="shared" si="46"/>
        <v>0</v>
      </c>
      <c r="G455" s="67">
        <f ca="1" t="shared" si="47"/>
        <v>0</v>
      </c>
      <c r="H455" s="67" cm="1">
        <f ca="1" t="array" ref="H455">MIN(30-SUM(I455:L455),_xlfn.XLOOKUP($D455&amp;"_"&amp;H$61,$B$23:$B$45&amp;"_"&amp;$C$23:$C$45,$D$23:$D$45)*$E455,18)</f>
        <v>16.7962383698578</v>
      </c>
      <c r="I455" s="67" cm="1">
        <f ca="1" t="array" ref="I455">MIN(30-SUM(J455:L455),6-L455,_xlfn.XLOOKUP($D455&amp;"_"&amp;I$61,$B$23:$B$45&amp;"_"&amp;$C$23:$C$45,$D$23:$D$45)*$E455)</f>
        <v>3.43594925028835</v>
      </c>
      <c r="J455" s="67" cm="1">
        <f ca="1" t="array" ref="J455">MIN(8,_xlfn.XLOOKUP($D455&amp;"_"&amp;J$61,$B$23:$B$45&amp;"_"&amp;$C$23:$C$45,$D$23:$D$45)*$E455)</f>
        <v>5.49439446366781</v>
      </c>
      <c r="K455" s="67" cm="1">
        <f ca="1" t="array" ref="K455">MIN(18,_xlfn.XLOOKUP($D455&amp;"_"&amp;K$61,$B$23:$B$45&amp;"_"&amp;$C$23:$C$45,$D$23:$D$45)*$E455)</f>
        <v>1.70936716647443</v>
      </c>
      <c r="L455" s="67" cm="1">
        <f ca="1" t="array" ref="L455">MIN(6,_xlfn.XLOOKUP($D455&amp;"_"&amp;L$61,$B$23:$B$45&amp;"_"&amp;$C$23:$C$45,$D$23:$D$45)*$E455)</f>
        <v>2.56405074971165</v>
      </c>
      <c r="M455" s="67" cm="1">
        <f ca="1" t="array" ref="M455">(1+SUMPRODUCT(G455:H455,OFFSET($H$49:$I$49,D455,0)))*(1+OFFSET($J$49,D455,0))^I455*(1+OFFSET($K$49,D455,0))^J455*(1+OFFSET($L$49,D455,0))^K455*(1+OFFSET($M$49,D455,0))^L455</f>
        <v>120.054286774512</v>
      </c>
      <c r="N455" s="67">
        <f ca="1">MAX(MAX($N$62:N454),OFFSET($C$61,MATCH(M455*1.07,$M$62:$M$2061,1),0)-C455)</f>
        <v>6120</v>
      </c>
    </row>
    <row r="456" spans="2:14">
      <c r="B456" s="67">
        <v>395</v>
      </c>
      <c r="C456" s="67">
        <f t="shared" si="43"/>
        <v>142200</v>
      </c>
      <c r="D456" s="67">
        <f t="shared" si="44"/>
        <v>5</v>
      </c>
      <c r="E456" s="67">
        <f ca="1" t="shared" si="45"/>
        <v>425</v>
      </c>
      <c r="F456" s="67">
        <f ca="1" t="shared" si="46"/>
        <v>0</v>
      </c>
      <c r="G456" s="67">
        <f ca="1" t="shared" si="47"/>
        <v>0</v>
      </c>
      <c r="H456" s="67" cm="1">
        <f ca="1" t="array" ref="H456">MIN(30-SUM(I456:L456),_xlfn.XLOOKUP($D456&amp;"_"&amp;H$61,$B$23:$B$45&amp;"_"&amp;$C$23:$C$45,$D$23:$D$45)*$E456,18)</f>
        <v>16.7792483660131</v>
      </c>
      <c r="I456" s="67" cm="1">
        <f ca="1" t="array" ref="I456">MIN(30-SUM(J456:L456),6-L456,_xlfn.XLOOKUP($D456&amp;"_"&amp;I$61,$B$23:$B$45&amp;"_"&amp;$C$23:$C$45,$D$23:$D$45)*$E456)</f>
        <v>3.42990196078431</v>
      </c>
      <c r="J456" s="67" cm="1">
        <f ca="1" t="array" ref="J456">MIN(8,_xlfn.XLOOKUP($D456&amp;"_"&amp;J$61,$B$23:$B$45&amp;"_"&amp;$C$23:$C$45,$D$23:$D$45)*$E456)</f>
        <v>5.50735294117646</v>
      </c>
      <c r="K456" s="67" cm="1">
        <f ca="1" t="array" ref="K456">MIN(18,_xlfn.XLOOKUP($D456&amp;"_"&amp;K$61,$B$23:$B$45&amp;"_"&amp;$C$23:$C$45,$D$23:$D$45)*$E456)</f>
        <v>1.71339869281046</v>
      </c>
      <c r="L456" s="67" cm="1">
        <f ca="1" t="array" ref="L456">MIN(6,_xlfn.XLOOKUP($D456&amp;"_"&amp;L$61,$B$23:$B$45&amp;"_"&amp;$C$23:$C$45,$D$23:$D$45)*$E456)</f>
        <v>2.57009803921569</v>
      </c>
      <c r="M456" s="67" cm="1">
        <f ca="1" t="array" ref="M456">(1+SUMPRODUCT(G456:H456,OFFSET($H$49:$I$49,D456,0)))*(1+OFFSET($J$49,D456,0))^I456*(1+OFFSET($K$49,D456,0))^J456*(1+OFFSET($L$49,D456,0))^K456*(1+OFFSET($M$49,D456,0))^L456</f>
        <v>120.521294894773</v>
      </c>
      <c r="N456" s="67">
        <f ca="1">MAX(MAX($N$62:N455),OFFSET($C$61,MATCH(M456*1.07,$M$62:$M$2061,1),0)-C456)</f>
        <v>6120</v>
      </c>
    </row>
    <row r="457" spans="2:14">
      <c r="B457" s="67">
        <v>396</v>
      </c>
      <c r="C457" s="67">
        <f t="shared" si="43"/>
        <v>142560</v>
      </c>
      <c r="D457" s="67">
        <f t="shared" si="44"/>
        <v>5</v>
      </c>
      <c r="E457" s="67">
        <f ca="1" t="shared" si="45"/>
        <v>426</v>
      </c>
      <c r="F457" s="67">
        <f ca="1" t="shared" si="46"/>
        <v>0</v>
      </c>
      <c r="G457" s="67">
        <f ca="1" t="shared" si="47"/>
        <v>0</v>
      </c>
      <c r="H457" s="67" cm="1">
        <f ca="1" t="array" ref="H457">MIN(30-SUM(I457:L457),_xlfn.XLOOKUP($D457&amp;"_"&amp;H$61,$B$23:$B$45&amp;"_"&amp;$C$23:$C$45,$D$23:$D$45)*$E457,18)</f>
        <v>16.7622583621684</v>
      </c>
      <c r="I457" s="67" cm="1">
        <f ca="1" t="array" ref="I457">MIN(30-SUM(J457:L457),6-L457,_xlfn.XLOOKUP($D457&amp;"_"&amp;I$61,$B$23:$B$45&amp;"_"&amp;$C$23:$C$45,$D$23:$D$45)*$E457)</f>
        <v>3.42385467128028</v>
      </c>
      <c r="J457" s="67" cm="1">
        <f ca="1" t="array" ref="J457">MIN(8,_xlfn.XLOOKUP($D457&amp;"_"&amp;J$61,$B$23:$B$45&amp;"_"&amp;$C$23:$C$45,$D$23:$D$45)*$E457)</f>
        <v>5.52031141868511</v>
      </c>
      <c r="K457" s="67" cm="1">
        <f ca="1" t="array" ref="K457">MIN(18,_xlfn.XLOOKUP($D457&amp;"_"&amp;K$61,$B$23:$B$45&amp;"_"&amp;$C$23:$C$45,$D$23:$D$45)*$E457)</f>
        <v>1.71743021914648</v>
      </c>
      <c r="L457" s="67" cm="1">
        <f ca="1" t="array" ref="L457">MIN(6,_xlfn.XLOOKUP($D457&amp;"_"&amp;L$61,$B$23:$B$45&amp;"_"&amp;$C$23:$C$45,$D$23:$D$45)*$E457)</f>
        <v>2.57614532871972</v>
      </c>
      <c r="M457" s="67" cm="1">
        <f ca="1" t="array" ref="M457">(1+SUMPRODUCT(G457:H457,OFFSET($H$49:$I$49,D457,0)))*(1+OFFSET($J$49,D457,0))^I457*(1+OFFSET($K$49,D457,0))^J457*(1+OFFSET($L$49,D457,0))^K457*(1+OFFSET($M$49,D457,0))^L457</f>
        <v>120.990046035366</v>
      </c>
      <c r="N457" s="67">
        <f ca="1">MAX(MAX($N$62:N456),OFFSET($C$61,MATCH(M457*1.07,$M$62:$M$2061,1),0)-C457)</f>
        <v>6120</v>
      </c>
    </row>
    <row r="458" spans="2:14">
      <c r="B458" s="67">
        <v>397</v>
      </c>
      <c r="C458" s="67">
        <f t="shared" ref="C458:C521" si="48">C457+360</f>
        <v>142920</v>
      </c>
      <c r="D458" s="67">
        <f t="shared" si="44"/>
        <v>5</v>
      </c>
      <c r="E458" s="67">
        <f ca="1" t="shared" si="45"/>
        <v>427</v>
      </c>
      <c r="F458" s="67">
        <f ca="1" t="shared" si="46"/>
        <v>0</v>
      </c>
      <c r="G458" s="67">
        <f ca="1" t="shared" si="47"/>
        <v>0</v>
      </c>
      <c r="H458" s="67" cm="1">
        <f ca="1" t="array" ref="H458">MIN(30-SUM(I458:L458),_xlfn.XLOOKUP($D458&amp;"_"&amp;H$61,$B$23:$B$45&amp;"_"&amp;$C$23:$C$45,$D$23:$D$45)*$E458,18)</f>
        <v>16.7452683583237</v>
      </c>
      <c r="I458" s="67" cm="1">
        <f ca="1" t="array" ref="I458">MIN(30-SUM(J458:L458),6-L458,_xlfn.XLOOKUP($D458&amp;"_"&amp;I$61,$B$23:$B$45&amp;"_"&amp;$C$23:$C$45,$D$23:$D$45)*$E458)</f>
        <v>3.41780738177624</v>
      </c>
      <c r="J458" s="67" cm="1">
        <f ca="1" t="array" ref="J458">MIN(8,_xlfn.XLOOKUP($D458&amp;"_"&amp;J$61,$B$23:$B$45&amp;"_"&amp;$C$23:$C$45,$D$23:$D$45)*$E458)</f>
        <v>5.53326989619376</v>
      </c>
      <c r="K458" s="67" cm="1">
        <f ca="1" t="array" ref="K458">MIN(18,_xlfn.XLOOKUP($D458&amp;"_"&amp;K$61,$B$23:$B$45&amp;"_"&amp;$C$23:$C$45,$D$23:$D$45)*$E458)</f>
        <v>1.72146174548251</v>
      </c>
      <c r="L458" s="67" cm="1">
        <f ca="1" t="array" ref="L458">MIN(6,_xlfn.XLOOKUP($D458&amp;"_"&amp;L$61,$B$23:$B$45&amp;"_"&amp;$C$23:$C$45,$D$23:$D$45)*$E458)</f>
        <v>2.58219261822376</v>
      </c>
      <c r="M458" s="67" cm="1">
        <f ca="1" t="array" ref="M458">(1+SUMPRODUCT(G458:H458,OFFSET($H$49:$I$49,D458,0)))*(1+OFFSET($J$49,D458,0))^I458*(1+OFFSET($K$49,D458,0))^J458*(1+OFFSET($L$49,D458,0))^K458*(1+OFFSET($M$49,D458,0))^L458</f>
        <v>121.46054628844</v>
      </c>
      <c r="N458" s="67">
        <f ca="1">MAX(MAX($N$62:N457),OFFSET($C$61,MATCH(M458*1.07,$M$62:$M$2061,1),0)-C458)</f>
        <v>6120</v>
      </c>
    </row>
    <row r="459" spans="2:14">
      <c r="B459" s="67">
        <v>398</v>
      </c>
      <c r="C459" s="67">
        <f t="shared" si="48"/>
        <v>143280</v>
      </c>
      <c r="D459" s="67">
        <f t="shared" si="44"/>
        <v>5</v>
      </c>
      <c r="E459" s="67">
        <f ca="1" t="shared" si="45"/>
        <v>428</v>
      </c>
      <c r="F459" s="67">
        <f ca="1" t="shared" si="46"/>
        <v>0</v>
      </c>
      <c r="G459" s="67">
        <f ca="1" t="shared" si="47"/>
        <v>0</v>
      </c>
      <c r="H459" s="67" cm="1">
        <f ca="1" t="array" ref="H459">MIN(30-SUM(I459:L459),_xlfn.XLOOKUP($D459&amp;"_"&amp;H$61,$B$23:$B$45&amp;"_"&amp;$C$23:$C$45,$D$23:$D$45)*$E459,18)</f>
        <v>16.7282783544791</v>
      </c>
      <c r="I459" s="67" cm="1">
        <f ca="1" t="array" ref="I459">MIN(30-SUM(J459:L459),6-L459,_xlfn.XLOOKUP($D459&amp;"_"&amp;I$61,$B$23:$B$45&amp;"_"&amp;$C$23:$C$45,$D$23:$D$45)*$E459)</f>
        <v>3.4117600922722</v>
      </c>
      <c r="J459" s="67" cm="1">
        <f ca="1" t="array" ref="J459">MIN(8,_xlfn.XLOOKUP($D459&amp;"_"&amp;J$61,$B$23:$B$45&amp;"_"&amp;$C$23:$C$45,$D$23:$D$45)*$E459)</f>
        <v>5.54622837370241</v>
      </c>
      <c r="K459" s="67" cm="1">
        <f ca="1" t="array" ref="K459">MIN(18,_xlfn.XLOOKUP($D459&amp;"_"&amp;K$61,$B$23:$B$45&amp;"_"&amp;$C$23:$C$45,$D$23:$D$45)*$E459)</f>
        <v>1.72549327181853</v>
      </c>
      <c r="L459" s="67" cm="1">
        <f ca="1" t="array" ref="L459">MIN(6,_xlfn.XLOOKUP($D459&amp;"_"&amp;L$61,$B$23:$B$45&amp;"_"&amp;$C$23:$C$45,$D$23:$D$45)*$E459)</f>
        <v>2.5882399077278</v>
      </c>
      <c r="M459" s="67" cm="1">
        <f ca="1" t="array" ref="M459">(1+SUMPRODUCT(G459:H459,OFFSET($H$49:$I$49,D459,0)))*(1+OFFSET($J$49,D459,0))^I459*(1+OFFSET($K$49,D459,0))^J459*(1+OFFSET($L$49,D459,0))^K459*(1+OFFSET($M$49,D459,0))^L459</f>
        <v>121.932801765019</v>
      </c>
      <c r="N459" s="67">
        <f ca="1">MAX(MAX($N$62:N458),OFFSET($C$61,MATCH(M459*1.07,$M$62:$M$2061,1),0)-C459)</f>
        <v>6120</v>
      </c>
    </row>
    <row r="460" spans="2:14">
      <c r="B460" s="67">
        <v>399</v>
      </c>
      <c r="C460" s="67">
        <f t="shared" si="48"/>
        <v>143640</v>
      </c>
      <c r="D460" s="67">
        <f t="shared" si="44"/>
        <v>5</v>
      </c>
      <c r="E460" s="67">
        <f ca="1" t="shared" si="45"/>
        <v>429</v>
      </c>
      <c r="F460" s="67">
        <f ca="1" t="shared" si="46"/>
        <v>0</v>
      </c>
      <c r="G460" s="67">
        <f ca="1" t="shared" si="47"/>
        <v>0</v>
      </c>
      <c r="H460" s="67" cm="1">
        <f ca="1" t="array" ref="H460">MIN(30-SUM(I460:L460),_xlfn.XLOOKUP($D460&amp;"_"&amp;H$61,$B$23:$B$45&amp;"_"&amp;$C$23:$C$45,$D$23:$D$45)*$E460,18)</f>
        <v>16.7112883506344</v>
      </c>
      <c r="I460" s="67" cm="1">
        <f ca="1" t="array" ref="I460">MIN(30-SUM(J460:L460),6-L460,_xlfn.XLOOKUP($D460&amp;"_"&amp;I$61,$B$23:$B$45&amp;"_"&amp;$C$23:$C$45,$D$23:$D$45)*$E460)</f>
        <v>3.40571280276817</v>
      </c>
      <c r="J460" s="67" cm="1">
        <f ca="1" t="array" ref="J460">MIN(8,_xlfn.XLOOKUP($D460&amp;"_"&amp;J$61,$B$23:$B$45&amp;"_"&amp;$C$23:$C$45,$D$23:$D$45)*$E460)</f>
        <v>5.55918685121106</v>
      </c>
      <c r="K460" s="67" cm="1">
        <f ca="1" t="array" ref="K460">MIN(18,_xlfn.XLOOKUP($D460&amp;"_"&amp;K$61,$B$23:$B$45&amp;"_"&amp;$C$23:$C$45,$D$23:$D$45)*$E460)</f>
        <v>1.72952479815456</v>
      </c>
      <c r="L460" s="67" cm="1">
        <f ca="1" t="array" ref="L460">MIN(6,_xlfn.XLOOKUP($D460&amp;"_"&amp;L$61,$B$23:$B$45&amp;"_"&amp;$C$23:$C$45,$D$23:$D$45)*$E460)</f>
        <v>2.59428719723183</v>
      </c>
      <c r="M460" s="67" cm="1">
        <f ca="1" t="array" ref="M460">(1+SUMPRODUCT(G460:H460,OFFSET($H$49:$I$49,D460,0)))*(1+OFFSET($J$49,D460,0))^I460*(1+OFFSET($K$49,D460,0))^J460*(1+OFFSET($L$49,D460,0))^K460*(1+OFFSET($M$49,D460,0))^L460</f>
        <v>122.406818595043</v>
      </c>
      <c r="N460" s="67">
        <f ca="1">MAX(MAX($N$62:N459),OFFSET($C$61,MATCH(M460*1.07,$M$62:$M$2061,1),0)-C460)</f>
        <v>6120</v>
      </c>
    </row>
    <row r="461" spans="2:14">
      <c r="B461" s="67">
        <v>400</v>
      </c>
      <c r="C461" s="67">
        <f t="shared" si="48"/>
        <v>144000</v>
      </c>
      <c r="D461" s="67">
        <f t="shared" si="44"/>
        <v>5</v>
      </c>
      <c r="E461" s="67">
        <f ca="1" t="shared" si="45"/>
        <v>430</v>
      </c>
      <c r="F461" s="67">
        <f ca="1" t="shared" si="46"/>
        <v>0</v>
      </c>
      <c r="G461" s="67">
        <f ca="1" t="shared" si="47"/>
        <v>0</v>
      </c>
      <c r="H461" s="67" cm="1">
        <f ca="1" t="array" ref="H461">MIN(30-SUM(I461:L461),_xlfn.XLOOKUP($D461&amp;"_"&amp;H$61,$B$23:$B$45&amp;"_"&amp;$C$23:$C$45,$D$23:$D$45)*$E461,18)</f>
        <v>16.6942983467897</v>
      </c>
      <c r="I461" s="67" cm="1">
        <f ca="1" t="array" ref="I461">MIN(30-SUM(J461:L461),6-L461,_xlfn.XLOOKUP($D461&amp;"_"&amp;I$61,$B$23:$B$45&amp;"_"&amp;$C$23:$C$45,$D$23:$D$45)*$E461)</f>
        <v>3.39966551326413</v>
      </c>
      <c r="J461" s="67" cm="1">
        <f ca="1" t="array" ref="J461">MIN(8,_xlfn.XLOOKUP($D461&amp;"_"&amp;J$61,$B$23:$B$45&amp;"_"&amp;$C$23:$C$45,$D$23:$D$45)*$E461)</f>
        <v>5.57214532871971</v>
      </c>
      <c r="K461" s="67" cm="1">
        <f ca="1" t="array" ref="K461">MIN(18,_xlfn.XLOOKUP($D461&amp;"_"&amp;K$61,$B$23:$B$45&amp;"_"&amp;$C$23:$C$45,$D$23:$D$45)*$E461)</f>
        <v>1.73355632449058</v>
      </c>
      <c r="L461" s="67" cm="1">
        <f ca="1" t="array" ref="L461">MIN(6,_xlfn.XLOOKUP($D461&amp;"_"&amp;L$61,$B$23:$B$45&amp;"_"&amp;$C$23:$C$45,$D$23:$D$45)*$E461)</f>
        <v>2.60033448673587</v>
      </c>
      <c r="M461" s="67" cm="1">
        <f ca="1" t="array" ref="M461">(1+SUMPRODUCT(G461:H461,OFFSET($H$49:$I$49,D461,0)))*(1+OFFSET($J$49,D461,0))^I461*(1+OFFSET($K$49,D461,0))^J461*(1+OFFSET($L$49,D461,0))^K461*(1+OFFSET($M$49,D461,0))^L461</f>
        <v>122.882602927414</v>
      </c>
      <c r="N461" s="67">
        <f ca="1">MAX(MAX($N$62:N460),OFFSET($C$61,MATCH(M461*1.07,$M$62:$M$2061,1),0)-C461)</f>
        <v>6120</v>
      </c>
    </row>
    <row r="462" spans="2:14">
      <c r="B462" s="67">
        <v>401</v>
      </c>
      <c r="C462" s="67">
        <f t="shared" si="48"/>
        <v>144360</v>
      </c>
      <c r="D462" s="67">
        <f t="shared" si="44"/>
        <v>5</v>
      </c>
      <c r="E462" s="67">
        <f ca="1" t="shared" si="45"/>
        <v>431</v>
      </c>
      <c r="F462" s="67">
        <f ca="1" t="shared" si="46"/>
        <v>0</v>
      </c>
      <c r="G462" s="67">
        <f ca="1" t="shared" si="47"/>
        <v>0</v>
      </c>
      <c r="H462" s="67" cm="1">
        <f ca="1" t="array" ref="H462">MIN(30-SUM(I462:L462),_xlfn.XLOOKUP($D462&amp;"_"&amp;H$61,$B$23:$B$45&amp;"_"&amp;$C$23:$C$45,$D$23:$D$45)*$E462,18)</f>
        <v>16.677308342945</v>
      </c>
      <c r="I462" s="67" cm="1">
        <f ca="1" t="array" ref="I462">MIN(30-SUM(J462:L462),6-L462,_xlfn.XLOOKUP($D462&amp;"_"&amp;I$61,$B$23:$B$45&amp;"_"&amp;$C$23:$C$45,$D$23:$D$45)*$E462)</f>
        <v>3.39361822376009</v>
      </c>
      <c r="J462" s="67" cm="1">
        <f ca="1" t="array" ref="J462">MIN(8,_xlfn.XLOOKUP($D462&amp;"_"&amp;J$61,$B$23:$B$45&amp;"_"&amp;$C$23:$C$45,$D$23:$D$45)*$E462)</f>
        <v>5.58510380622837</v>
      </c>
      <c r="K462" s="67" cm="1">
        <f ca="1" t="array" ref="K462">MIN(18,_xlfn.XLOOKUP($D462&amp;"_"&amp;K$61,$B$23:$B$45&amp;"_"&amp;$C$23:$C$45,$D$23:$D$45)*$E462)</f>
        <v>1.73758785082661</v>
      </c>
      <c r="L462" s="67" cm="1">
        <f ca="1" t="array" ref="L462">MIN(6,_xlfn.XLOOKUP($D462&amp;"_"&amp;L$61,$B$23:$B$45&amp;"_"&amp;$C$23:$C$45,$D$23:$D$45)*$E462)</f>
        <v>2.60638177623991</v>
      </c>
      <c r="M462" s="67" cm="1">
        <f ca="1" t="array" ref="M462">(1+SUMPRODUCT(G462:H462,OFFSET($H$49:$I$49,D462,0)))*(1+OFFSET($J$49,D462,0))^I462*(1+OFFSET($K$49,D462,0))^J462*(1+OFFSET($L$49,D462,0))^K462*(1+OFFSET($M$49,D462,0))^L462</f>
        <v>123.36016093004</v>
      </c>
      <c r="N462" s="67">
        <f ca="1">MAX(MAX($N$62:N461),OFFSET($C$61,MATCH(M462*1.07,$M$62:$M$2061,1),0)-C462)</f>
        <v>6120</v>
      </c>
    </row>
    <row r="463" spans="2:14">
      <c r="B463" s="67">
        <v>402</v>
      </c>
      <c r="C463" s="67">
        <f t="shared" si="48"/>
        <v>144720</v>
      </c>
      <c r="D463" s="67">
        <f t="shared" si="44"/>
        <v>5</v>
      </c>
      <c r="E463" s="67">
        <f ca="1" t="shared" si="45"/>
        <v>432</v>
      </c>
      <c r="F463" s="67">
        <f ca="1" t="shared" si="46"/>
        <v>0</v>
      </c>
      <c r="G463" s="67">
        <f ca="1" t="shared" si="47"/>
        <v>0</v>
      </c>
      <c r="H463" s="67" cm="1">
        <f ca="1" t="array" ref="H463">MIN(30-SUM(I463:L463),_xlfn.XLOOKUP($D463&amp;"_"&amp;H$61,$B$23:$B$45&amp;"_"&amp;$C$23:$C$45,$D$23:$D$45)*$E463,18)</f>
        <v>16.6603183391004</v>
      </c>
      <c r="I463" s="67" cm="1">
        <f ca="1" t="array" ref="I463">MIN(30-SUM(J463:L463),6-L463,_xlfn.XLOOKUP($D463&amp;"_"&amp;I$61,$B$23:$B$45&amp;"_"&amp;$C$23:$C$45,$D$23:$D$45)*$E463)</f>
        <v>3.38757093425605</v>
      </c>
      <c r="J463" s="67" cm="1">
        <f ca="1" t="array" ref="J463">MIN(8,_xlfn.XLOOKUP($D463&amp;"_"&amp;J$61,$B$23:$B$45&amp;"_"&amp;$C$23:$C$45,$D$23:$D$45)*$E463)</f>
        <v>5.59806228373702</v>
      </c>
      <c r="K463" s="67" cm="1">
        <f ca="1" t="array" ref="K463">MIN(18,_xlfn.XLOOKUP($D463&amp;"_"&amp;K$61,$B$23:$B$45&amp;"_"&amp;$C$23:$C$45,$D$23:$D$45)*$E463)</f>
        <v>1.74161937716263</v>
      </c>
      <c r="L463" s="67" cm="1">
        <f ca="1" t="array" ref="L463">MIN(6,_xlfn.XLOOKUP($D463&amp;"_"&amp;L$61,$B$23:$B$45&amp;"_"&amp;$C$23:$C$45,$D$23:$D$45)*$E463)</f>
        <v>2.61242906574394</v>
      </c>
      <c r="M463" s="67" cm="1">
        <f ca="1" t="array" ref="M463">(1+SUMPRODUCT(G463:H463,OFFSET($H$49:$I$49,D463,0)))*(1+OFFSET($J$49,D463,0))^I463*(1+OFFSET($K$49,D463,0))^J463*(1+OFFSET($L$49,D463,0))^K463*(1+OFFSET($M$49,D463,0))^L463</f>
        <v>123.839498789874</v>
      </c>
      <c r="N463" s="67">
        <f ca="1">MAX(MAX($N$62:N462),OFFSET($C$61,MATCH(M463*1.07,$M$62:$M$2061,1),0)-C463)</f>
        <v>6120</v>
      </c>
    </row>
    <row r="464" spans="2:14">
      <c r="B464" s="67">
        <v>403</v>
      </c>
      <c r="C464" s="67">
        <f t="shared" si="48"/>
        <v>145080</v>
      </c>
      <c r="D464" s="67">
        <f t="shared" si="44"/>
        <v>5</v>
      </c>
      <c r="E464" s="67">
        <f ca="1" t="shared" si="45"/>
        <v>433</v>
      </c>
      <c r="F464" s="67">
        <f ca="1" t="shared" si="46"/>
        <v>0</v>
      </c>
      <c r="G464" s="67">
        <f ca="1" t="shared" si="47"/>
        <v>0</v>
      </c>
      <c r="H464" s="67" cm="1">
        <f ca="1" t="array" ref="H464">MIN(30-SUM(I464:L464),_xlfn.XLOOKUP($D464&amp;"_"&amp;H$61,$B$23:$B$45&amp;"_"&amp;$C$23:$C$45,$D$23:$D$45)*$E464,18)</f>
        <v>16.6433283352557</v>
      </c>
      <c r="I464" s="67" cm="1">
        <f ca="1" t="array" ref="I464">MIN(30-SUM(J464:L464),6-L464,_xlfn.XLOOKUP($D464&amp;"_"&amp;I$61,$B$23:$B$45&amp;"_"&amp;$C$23:$C$45,$D$23:$D$45)*$E464)</f>
        <v>3.38152364475202</v>
      </c>
      <c r="J464" s="67" cm="1">
        <f ca="1" t="array" ref="J464">MIN(8,_xlfn.XLOOKUP($D464&amp;"_"&amp;J$61,$B$23:$B$45&amp;"_"&amp;$C$23:$C$45,$D$23:$D$45)*$E464)</f>
        <v>5.61102076124567</v>
      </c>
      <c r="K464" s="67" cm="1">
        <f ca="1" t="array" ref="K464">MIN(18,_xlfn.XLOOKUP($D464&amp;"_"&amp;K$61,$B$23:$B$45&amp;"_"&amp;$C$23:$C$45,$D$23:$D$45)*$E464)</f>
        <v>1.74565090349866</v>
      </c>
      <c r="L464" s="67" cm="1">
        <f ca="1" t="array" ref="L464">MIN(6,_xlfn.XLOOKUP($D464&amp;"_"&amp;L$61,$B$23:$B$45&amp;"_"&amp;$C$23:$C$45,$D$23:$D$45)*$E464)</f>
        <v>2.61847635524798</v>
      </c>
      <c r="M464" s="67" cm="1">
        <f ca="1" t="array" ref="M464">(1+SUMPRODUCT(G464:H464,OFFSET($H$49:$I$49,D464,0)))*(1+OFFSET($J$49,D464,0))^I464*(1+OFFSET($K$49,D464,0))^J464*(1+OFFSET($L$49,D464,0))^K464*(1+OFFSET($M$49,D464,0))^L464</f>
        <v>124.320622712964</v>
      </c>
      <c r="N464" s="67">
        <f ca="1">MAX(MAX($N$62:N463),OFFSET($C$61,MATCH(M464*1.07,$M$62:$M$2061,1),0)-C464)</f>
        <v>6120</v>
      </c>
    </row>
    <row r="465" spans="2:14">
      <c r="B465" s="67">
        <v>404</v>
      </c>
      <c r="C465" s="67">
        <f t="shared" si="48"/>
        <v>145440</v>
      </c>
      <c r="D465" s="67">
        <f t="shared" si="44"/>
        <v>5</v>
      </c>
      <c r="E465" s="67">
        <f ca="1" t="shared" si="45"/>
        <v>434</v>
      </c>
      <c r="F465" s="67">
        <f ca="1" t="shared" si="46"/>
        <v>0</v>
      </c>
      <c r="G465" s="67">
        <f ca="1" t="shared" si="47"/>
        <v>0</v>
      </c>
      <c r="H465" s="67" cm="1">
        <f ca="1" t="array" ref="H465">MIN(30-SUM(I465:L465),_xlfn.XLOOKUP($D465&amp;"_"&amp;H$61,$B$23:$B$45&amp;"_"&amp;$C$23:$C$45,$D$23:$D$45)*$E465,18)</f>
        <v>16.626338331411</v>
      </c>
      <c r="I465" s="67" cm="1">
        <f ca="1" t="array" ref="I465">MIN(30-SUM(J465:L465),6-L465,_xlfn.XLOOKUP($D465&amp;"_"&amp;I$61,$B$23:$B$45&amp;"_"&amp;$C$23:$C$45,$D$23:$D$45)*$E465)</f>
        <v>3.37547635524798</v>
      </c>
      <c r="J465" s="67" cm="1">
        <f ca="1" t="array" ref="J465">MIN(8,_xlfn.XLOOKUP($D465&amp;"_"&amp;J$61,$B$23:$B$45&amp;"_"&amp;$C$23:$C$45,$D$23:$D$45)*$E465)</f>
        <v>5.62397923875432</v>
      </c>
      <c r="K465" s="67" cm="1">
        <f ca="1" t="array" ref="K465">MIN(18,_xlfn.XLOOKUP($D465&amp;"_"&amp;K$61,$B$23:$B$45&amp;"_"&amp;$C$23:$C$45,$D$23:$D$45)*$E465)</f>
        <v>1.74968242983468</v>
      </c>
      <c r="L465" s="67" cm="1">
        <f ca="1" t="array" ref="L465">MIN(6,_xlfn.XLOOKUP($D465&amp;"_"&amp;L$61,$B$23:$B$45&amp;"_"&amp;$C$23:$C$45,$D$23:$D$45)*$E465)</f>
        <v>2.62452364475202</v>
      </c>
      <c r="M465" s="67" cm="1">
        <f ca="1" t="array" ref="M465">(1+SUMPRODUCT(G465:H465,OFFSET($H$49:$I$49,D465,0)))*(1+OFFSET($J$49,D465,0))^I465*(1+OFFSET($K$49,D465,0))^J465*(1+OFFSET($L$49,D465,0))^K465*(1+OFFSET($M$49,D465,0))^L465</f>
        <v>124.80353892449</v>
      </c>
      <c r="N465" s="67">
        <f ca="1">MAX(MAX($N$62:N464),OFFSET($C$61,MATCH(M465*1.07,$M$62:$M$2061,1),0)-C465)</f>
        <v>6120</v>
      </c>
    </row>
    <row r="466" spans="2:14">
      <c r="B466" s="67">
        <v>405</v>
      </c>
      <c r="C466" s="67">
        <f t="shared" si="48"/>
        <v>145800</v>
      </c>
      <c r="D466" s="67">
        <f t="shared" si="44"/>
        <v>5</v>
      </c>
      <c r="E466" s="67">
        <f ca="1" t="shared" si="45"/>
        <v>435</v>
      </c>
      <c r="F466" s="67">
        <f ca="1" t="shared" si="46"/>
        <v>0</v>
      </c>
      <c r="G466" s="67">
        <f ca="1" t="shared" si="47"/>
        <v>0</v>
      </c>
      <c r="H466" s="67" cm="1">
        <f ca="1" t="array" ref="H466">MIN(30-SUM(I466:L466),_xlfn.XLOOKUP($D466&amp;"_"&amp;H$61,$B$23:$B$45&amp;"_"&amp;$C$23:$C$45,$D$23:$D$45)*$E466,18)</f>
        <v>16.6093483275663</v>
      </c>
      <c r="I466" s="67" cm="1">
        <f ca="1" t="array" ref="I466">MIN(30-SUM(J466:L466),6-L466,_xlfn.XLOOKUP($D466&amp;"_"&amp;I$61,$B$23:$B$45&amp;"_"&amp;$C$23:$C$45,$D$23:$D$45)*$E466)</f>
        <v>3.36942906574394</v>
      </c>
      <c r="J466" s="67" cm="1">
        <f ca="1" t="array" ref="J466">MIN(8,_xlfn.XLOOKUP($D466&amp;"_"&amp;J$61,$B$23:$B$45&amp;"_"&amp;$C$23:$C$45,$D$23:$D$45)*$E466)</f>
        <v>5.63693771626297</v>
      </c>
      <c r="K466" s="67" cm="1">
        <f ca="1" t="array" ref="K466">MIN(18,_xlfn.XLOOKUP($D466&amp;"_"&amp;K$61,$B$23:$B$45&amp;"_"&amp;$C$23:$C$45,$D$23:$D$45)*$E466)</f>
        <v>1.75371395617071</v>
      </c>
      <c r="L466" s="67" cm="1">
        <f ca="1" t="array" ref="L466">MIN(6,_xlfn.XLOOKUP($D466&amp;"_"&amp;L$61,$B$23:$B$45&amp;"_"&amp;$C$23:$C$45,$D$23:$D$45)*$E466)</f>
        <v>2.63057093425606</v>
      </c>
      <c r="M466" s="67" cm="1">
        <f ca="1" t="array" ref="M466">(1+SUMPRODUCT(G466:H466,OFFSET($H$49:$I$49,D466,0)))*(1+OFFSET($J$49,D466,0))^I466*(1+OFFSET($K$49,D466,0))^J466*(1+OFFSET($L$49,D466,0))^K466*(1+OFFSET($M$49,D466,0))^L466</f>
        <v>125.288253668811</v>
      </c>
      <c r="N466" s="67">
        <f ca="1">MAX(MAX($N$62:N465),OFFSET($C$61,MATCH(M466*1.07,$M$62:$M$2061,1),0)-C466)</f>
        <v>6120</v>
      </c>
    </row>
    <row r="467" spans="2:14">
      <c r="B467" s="67">
        <v>406</v>
      </c>
      <c r="C467" s="67">
        <f t="shared" si="48"/>
        <v>146160</v>
      </c>
      <c r="D467" s="67">
        <f t="shared" si="44"/>
        <v>5</v>
      </c>
      <c r="E467" s="67">
        <f ca="1" t="shared" si="45"/>
        <v>436</v>
      </c>
      <c r="F467" s="67">
        <f ca="1" t="shared" si="46"/>
        <v>0</v>
      </c>
      <c r="G467" s="67">
        <f ca="1" t="shared" si="47"/>
        <v>0</v>
      </c>
      <c r="H467" s="67" cm="1">
        <f ca="1" t="array" ref="H467">MIN(30-SUM(I467:L467),_xlfn.XLOOKUP($D467&amp;"_"&amp;H$61,$B$23:$B$45&amp;"_"&amp;$C$23:$C$45,$D$23:$D$45)*$E467,18)</f>
        <v>16.5923583237217</v>
      </c>
      <c r="I467" s="67" cm="1">
        <f ca="1" t="array" ref="I467">MIN(30-SUM(J467:L467),6-L467,_xlfn.XLOOKUP($D467&amp;"_"&amp;I$61,$B$23:$B$45&amp;"_"&amp;$C$23:$C$45,$D$23:$D$45)*$E467)</f>
        <v>3.36338177623991</v>
      </c>
      <c r="J467" s="67" cm="1">
        <f ca="1" t="array" ref="J467">MIN(8,_xlfn.XLOOKUP($D467&amp;"_"&amp;J$61,$B$23:$B$45&amp;"_"&amp;$C$23:$C$45,$D$23:$D$45)*$E467)</f>
        <v>5.64989619377162</v>
      </c>
      <c r="K467" s="67" cm="1">
        <f ca="1" t="array" ref="K467">MIN(18,_xlfn.XLOOKUP($D467&amp;"_"&amp;K$61,$B$23:$B$45&amp;"_"&amp;$C$23:$C$45,$D$23:$D$45)*$E467)</f>
        <v>1.75774548250673</v>
      </c>
      <c r="L467" s="67" cm="1">
        <f ca="1" t="array" ref="L467">MIN(6,_xlfn.XLOOKUP($D467&amp;"_"&amp;L$61,$B$23:$B$45&amp;"_"&amp;$C$23:$C$45,$D$23:$D$45)*$E467)</f>
        <v>2.63661822376009</v>
      </c>
      <c r="M467" s="67" cm="1">
        <f ca="1" t="array" ref="M467">(1+SUMPRODUCT(G467:H467,OFFSET($H$49:$I$49,D467,0)))*(1+OFFSET($J$49,D467,0))^I467*(1+OFFSET($K$49,D467,0))^J467*(1+OFFSET($L$49,D467,0))^K467*(1+OFFSET($M$49,D467,0))^L467</f>
        <v>125.774773209507</v>
      </c>
      <c r="N467" s="67">
        <f ca="1">MAX(MAX($N$62:N466),OFFSET($C$61,MATCH(M467*1.07,$M$62:$M$2061,1),0)-C467)</f>
        <v>6120</v>
      </c>
    </row>
    <row r="468" spans="2:14">
      <c r="B468" s="67">
        <v>407</v>
      </c>
      <c r="C468" s="67">
        <f t="shared" si="48"/>
        <v>146520</v>
      </c>
      <c r="D468" s="67">
        <f t="shared" si="44"/>
        <v>5</v>
      </c>
      <c r="E468" s="67">
        <f ca="1" t="shared" si="45"/>
        <v>437</v>
      </c>
      <c r="F468" s="67">
        <f ca="1" t="shared" si="46"/>
        <v>0</v>
      </c>
      <c r="G468" s="67">
        <f ca="1" t="shared" si="47"/>
        <v>0</v>
      </c>
      <c r="H468" s="67" cm="1">
        <f ca="1" t="array" ref="H468">MIN(30-SUM(I468:L468),_xlfn.XLOOKUP($D468&amp;"_"&amp;H$61,$B$23:$B$45&amp;"_"&amp;$C$23:$C$45,$D$23:$D$45)*$E468,18)</f>
        <v>16.575368319877</v>
      </c>
      <c r="I468" s="67" cm="1">
        <f ca="1" t="array" ref="I468">MIN(30-SUM(J468:L468),6-L468,_xlfn.XLOOKUP($D468&amp;"_"&amp;I$61,$B$23:$B$45&amp;"_"&amp;$C$23:$C$45,$D$23:$D$45)*$E468)</f>
        <v>3.35733448673587</v>
      </c>
      <c r="J468" s="67" cm="1">
        <f ca="1" t="array" ref="J468">MIN(8,_xlfn.XLOOKUP($D468&amp;"_"&amp;J$61,$B$23:$B$45&amp;"_"&amp;$C$23:$C$45,$D$23:$D$45)*$E468)</f>
        <v>5.66285467128027</v>
      </c>
      <c r="K468" s="67" cm="1">
        <f ca="1" t="array" ref="K468">MIN(18,_xlfn.XLOOKUP($D468&amp;"_"&amp;K$61,$B$23:$B$45&amp;"_"&amp;$C$23:$C$45,$D$23:$D$45)*$E468)</f>
        <v>1.76177700884275</v>
      </c>
      <c r="L468" s="67" cm="1">
        <f ca="1" t="array" ref="L468">MIN(6,_xlfn.XLOOKUP($D468&amp;"_"&amp;L$61,$B$23:$B$45&amp;"_"&amp;$C$23:$C$45,$D$23:$D$45)*$E468)</f>
        <v>2.64266551326413</v>
      </c>
      <c r="M468" s="67" cm="1">
        <f ca="1" t="array" ref="M468">(1+SUMPRODUCT(G468:H468,OFFSET($H$49:$I$49,D468,0)))*(1+OFFSET($J$49,D468,0))^I468*(1+OFFSET($K$49,D468,0))^J468*(1+OFFSET($L$49,D468,0))^K468*(1+OFFSET($M$49,D468,0))^L468</f>
        <v>126.263103829422</v>
      </c>
      <c r="N468" s="67">
        <f ca="1">MAX(MAX($N$62:N467),OFFSET($C$61,MATCH(M468*1.07,$M$62:$M$2061,1),0)-C468)</f>
        <v>6120</v>
      </c>
    </row>
    <row r="469" spans="2:14">
      <c r="B469" s="67">
        <v>408</v>
      </c>
      <c r="C469" s="67">
        <f t="shared" si="48"/>
        <v>146880</v>
      </c>
      <c r="D469" s="67">
        <f t="shared" si="44"/>
        <v>5</v>
      </c>
      <c r="E469" s="67">
        <f ca="1" t="shared" si="45"/>
        <v>438</v>
      </c>
      <c r="F469" s="67">
        <f ca="1" t="shared" si="46"/>
        <v>0</v>
      </c>
      <c r="G469" s="67">
        <f ca="1" t="shared" si="47"/>
        <v>0</v>
      </c>
      <c r="H469" s="67" cm="1">
        <f ca="1" t="array" ref="H469">MIN(30-SUM(I469:L469),_xlfn.XLOOKUP($D469&amp;"_"&amp;H$61,$B$23:$B$45&amp;"_"&amp;$C$23:$C$45,$D$23:$D$45)*$E469,18)</f>
        <v>16.5583783160323</v>
      </c>
      <c r="I469" s="67" cm="1">
        <f ca="1" t="array" ref="I469">MIN(30-SUM(J469:L469),6-L469,_xlfn.XLOOKUP($D469&amp;"_"&amp;I$61,$B$23:$B$45&amp;"_"&amp;$C$23:$C$45,$D$23:$D$45)*$E469)</f>
        <v>3.35128719723183</v>
      </c>
      <c r="J469" s="67" cm="1">
        <f ca="1" t="array" ref="J469">MIN(8,_xlfn.XLOOKUP($D469&amp;"_"&amp;J$61,$B$23:$B$45&amp;"_"&amp;$C$23:$C$45,$D$23:$D$45)*$E469)</f>
        <v>5.67581314878892</v>
      </c>
      <c r="K469" s="67" cm="1">
        <f ca="1" t="array" ref="K469">MIN(18,_xlfn.XLOOKUP($D469&amp;"_"&amp;K$61,$B$23:$B$45&amp;"_"&amp;$C$23:$C$45,$D$23:$D$45)*$E469)</f>
        <v>1.76580853517878</v>
      </c>
      <c r="L469" s="67" cm="1">
        <f ca="1" t="array" ref="L469">MIN(6,_xlfn.XLOOKUP($D469&amp;"_"&amp;L$61,$B$23:$B$45&amp;"_"&amp;$C$23:$C$45,$D$23:$D$45)*$E469)</f>
        <v>2.64871280276817</v>
      </c>
      <c r="M469" s="67" cm="1">
        <f ca="1" t="array" ref="M469">(1+SUMPRODUCT(G469:H469,OFFSET($H$49:$I$49,D469,0)))*(1+OFFSET($J$49,D469,0))^I469*(1+OFFSET($K$49,D469,0))^J469*(1+OFFSET($L$49,D469,0))^K469*(1+OFFSET($M$49,D469,0))^L469</f>
        <v>126.753251830709</v>
      </c>
      <c r="N469" s="67">
        <f ca="1">MAX(MAX($N$62:N468),OFFSET($C$61,MATCH(M469*1.07,$M$62:$M$2061,1),0)-C469)</f>
        <v>6120</v>
      </c>
    </row>
    <row r="470" spans="2:14">
      <c r="B470" s="67">
        <v>409</v>
      </c>
      <c r="C470" s="67">
        <f t="shared" si="48"/>
        <v>147240</v>
      </c>
      <c r="D470" s="67">
        <f t="shared" si="44"/>
        <v>5</v>
      </c>
      <c r="E470" s="67">
        <f ca="1" t="shared" si="45"/>
        <v>439</v>
      </c>
      <c r="F470" s="67">
        <f ca="1" t="shared" si="46"/>
        <v>0</v>
      </c>
      <c r="G470" s="67">
        <f ca="1" t="shared" si="47"/>
        <v>0</v>
      </c>
      <c r="H470" s="67" cm="1">
        <f ca="1" t="array" ref="H470">MIN(30-SUM(I470:L470),_xlfn.XLOOKUP($D470&amp;"_"&amp;H$61,$B$23:$B$45&amp;"_"&amp;$C$23:$C$45,$D$23:$D$45)*$E470,18)</f>
        <v>16.5413883121876</v>
      </c>
      <c r="I470" s="67" cm="1">
        <f ca="1" t="array" ref="I470">MIN(30-SUM(J470:L470),6-L470,_xlfn.XLOOKUP($D470&amp;"_"&amp;I$61,$B$23:$B$45&amp;"_"&amp;$C$23:$C$45,$D$23:$D$45)*$E470)</f>
        <v>3.3452399077278</v>
      </c>
      <c r="J470" s="67" cm="1">
        <f ca="1" t="array" ref="J470">MIN(8,_xlfn.XLOOKUP($D470&amp;"_"&amp;J$61,$B$23:$B$45&amp;"_"&amp;$C$23:$C$45,$D$23:$D$45)*$E470)</f>
        <v>5.68877162629757</v>
      </c>
      <c r="K470" s="67" cm="1">
        <f ca="1" t="array" ref="K470">MIN(18,_xlfn.XLOOKUP($D470&amp;"_"&amp;K$61,$B$23:$B$45&amp;"_"&amp;$C$23:$C$45,$D$23:$D$45)*$E470)</f>
        <v>1.7698400615148</v>
      </c>
      <c r="L470" s="67" cm="1">
        <f ca="1" t="array" ref="L470">MIN(6,_xlfn.XLOOKUP($D470&amp;"_"&amp;L$61,$B$23:$B$45&amp;"_"&amp;$C$23:$C$45,$D$23:$D$45)*$E470)</f>
        <v>2.6547600922722</v>
      </c>
      <c r="M470" s="67" cm="1">
        <f ca="1" t="array" ref="M470">(1+SUMPRODUCT(G470:H470,OFFSET($H$49:$I$49,D470,0)))*(1+OFFSET($J$49,D470,0))^I470*(1+OFFSET($K$49,D470,0))^J470*(1+OFFSET($L$49,D470,0))^K470*(1+OFFSET($M$49,D470,0))^L470</f>
        <v>127.245223534871</v>
      </c>
      <c r="N470" s="67">
        <f ca="1">MAX(MAX($N$62:N469),OFFSET($C$61,MATCH(M470*1.07,$M$62:$M$2061,1),0)-C470)</f>
        <v>6120</v>
      </c>
    </row>
    <row r="471" spans="2:14">
      <c r="B471" s="67">
        <v>410</v>
      </c>
      <c r="C471" s="67">
        <f t="shared" si="48"/>
        <v>147600</v>
      </c>
      <c r="D471" s="67">
        <f t="shared" si="44"/>
        <v>5</v>
      </c>
      <c r="E471" s="67">
        <f ca="1" t="shared" si="45"/>
        <v>440</v>
      </c>
      <c r="F471" s="67">
        <f ca="1" t="shared" si="46"/>
        <v>0</v>
      </c>
      <c r="G471" s="67">
        <f ca="1" t="shared" si="47"/>
        <v>0</v>
      </c>
      <c r="H471" s="67" cm="1">
        <f ca="1" t="array" ref="H471">MIN(30-SUM(I471:L471),_xlfn.XLOOKUP($D471&amp;"_"&amp;H$61,$B$23:$B$45&amp;"_"&amp;$C$23:$C$45,$D$23:$D$45)*$E471,18)</f>
        <v>16.524398308343</v>
      </c>
      <c r="I471" s="67" cm="1">
        <f ca="1" t="array" ref="I471">MIN(30-SUM(J471:L471),6-L471,_xlfn.XLOOKUP($D471&amp;"_"&amp;I$61,$B$23:$B$45&amp;"_"&amp;$C$23:$C$45,$D$23:$D$45)*$E471)</f>
        <v>3.33919261822376</v>
      </c>
      <c r="J471" s="67" cm="1">
        <f ca="1" t="array" ref="J471">MIN(8,_xlfn.XLOOKUP($D471&amp;"_"&amp;J$61,$B$23:$B$45&amp;"_"&amp;$C$23:$C$45,$D$23:$D$45)*$E471)</f>
        <v>5.70173010380622</v>
      </c>
      <c r="K471" s="67" cm="1">
        <f ca="1" t="array" ref="K471">MIN(18,_xlfn.XLOOKUP($D471&amp;"_"&amp;K$61,$B$23:$B$45&amp;"_"&amp;$C$23:$C$45,$D$23:$D$45)*$E471)</f>
        <v>1.77387158785083</v>
      </c>
      <c r="L471" s="67" cm="1">
        <f ca="1" t="array" ref="L471">MIN(6,_xlfn.XLOOKUP($D471&amp;"_"&amp;L$61,$B$23:$B$45&amp;"_"&amp;$C$23:$C$45,$D$23:$D$45)*$E471)</f>
        <v>2.66080738177624</v>
      </c>
      <c r="M471" s="67" cm="1">
        <f ca="1" t="array" ref="M471">(1+SUMPRODUCT(G471:H471,OFFSET($H$49:$I$49,D471,0)))*(1+OFFSET($J$49,D471,0))^I471*(1+OFFSET($K$49,D471,0))^J471*(1+OFFSET($L$49,D471,0))^K471*(1+OFFSET($M$49,D471,0))^L471</f>
        <v>127.739025282805</v>
      </c>
      <c r="N471" s="67">
        <f ca="1">MAX(MAX($N$62:N470),OFFSET($C$61,MATCH(M471*1.07,$M$62:$M$2061,1),0)-C471)</f>
        <v>6120</v>
      </c>
    </row>
    <row r="472" spans="2:14">
      <c r="B472" s="67">
        <v>411</v>
      </c>
      <c r="C472" s="67">
        <f t="shared" si="48"/>
        <v>147960</v>
      </c>
      <c r="D472" s="67">
        <f t="shared" si="44"/>
        <v>5</v>
      </c>
      <c r="E472" s="67">
        <f ca="1" t="shared" si="45"/>
        <v>441</v>
      </c>
      <c r="F472" s="67">
        <f ca="1" t="shared" si="46"/>
        <v>0</v>
      </c>
      <c r="G472" s="67">
        <f ca="1" t="shared" si="47"/>
        <v>0</v>
      </c>
      <c r="H472" s="67" cm="1">
        <f ca="1" t="array" ref="H472">MIN(30-SUM(I472:L472),_xlfn.XLOOKUP($D472&amp;"_"&amp;H$61,$B$23:$B$45&amp;"_"&amp;$C$23:$C$45,$D$23:$D$45)*$E472,18)</f>
        <v>16.5074083044983</v>
      </c>
      <c r="I472" s="67" cm="1">
        <f ca="1" t="array" ref="I472">MIN(30-SUM(J472:L472),6-L472,_xlfn.XLOOKUP($D472&amp;"_"&amp;I$61,$B$23:$B$45&amp;"_"&amp;$C$23:$C$45,$D$23:$D$45)*$E472)</f>
        <v>3.33314532871972</v>
      </c>
      <c r="J472" s="67" cm="1">
        <f ca="1" t="array" ref="J472">MIN(8,_xlfn.XLOOKUP($D472&amp;"_"&amp;J$61,$B$23:$B$45&amp;"_"&amp;$C$23:$C$45,$D$23:$D$45)*$E472)</f>
        <v>5.71468858131487</v>
      </c>
      <c r="K472" s="67" cm="1">
        <f ca="1" t="array" ref="K472">MIN(18,_xlfn.XLOOKUP($D472&amp;"_"&amp;K$61,$B$23:$B$45&amp;"_"&amp;$C$23:$C$45,$D$23:$D$45)*$E472)</f>
        <v>1.77790311418685</v>
      </c>
      <c r="L472" s="67" cm="1">
        <f ca="1" t="array" ref="L472">MIN(6,_xlfn.XLOOKUP($D472&amp;"_"&amp;L$61,$B$23:$B$45&amp;"_"&amp;$C$23:$C$45,$D$23:$D$45)*$E472)</f>
        <v>2.66685467128028</v>
      </c>
      <c r="M472" s="67" cm="1">
        <f ca="1" t="array" ref="M472">(1+SUMPRODUCT(G472:H472,OFFSET($H$49:$I$49,D472,0)))*(1+OFFSET($J$49,D472,0))^I472*(1+OFFSET($K$49,D472,0))^J472*(1+OFFSET($L$49,D472,0))^K472*(1+OFFSET($M$49,D472,0))^L472</f>
        <v>128.234663434847</v>
      </c>
      <c r="N472" s="67">
        <f ca="1">MAX(MAX($N$62:N471),OFFSET($C$61,MATCH(M472*1.07,$M$62:$M$2061,1),0)-C472)</f>
        <v>6120</v>
      </c>
    </row>
    <row r="473" spans="2:14">
      <c r="B473" s="67">
        <v>412</v>
      </c>
      <c r="C473" s="67">
        <f t="shared" si="48"/>
        <v>148320</v>
      </c>
      <c r="D473" s="67">
        <f t="shared" si="44"/>
        <v>5</v>
      </c>
      <c r="E473" s="67">
        <f ca="1" t="shared" si="45"/>
        <v>442</v>
      </c>
      <c r="F473" s="67">
        <f ca="1" t="shared" si="46"/>
        <v>0</v>
      </c>
      <c r="G473" s="67">
        <f ca="1" t="shared" si="47"/>
        <v>0</v>
      </c>
      <c r="H473" s="67" cm="1">
        <f ca="1" t="array" ref="H473">MIN(30-SUM(I473:L473),_xlfn.XLOOKUP($D473&amp;"_"&amp;H$61,$B$23:$B$45&amp;"_"&amp;$C$23:$C$45,$D$23:$D$45)*$E473,18)</f>
        <v>16.4904183006536</v>
      </c>
      <c r="I473" s="67" cm="1">
        <f ca="1" t="array" ref="I473">MIN(30-SUM(J473:L473),6-L473,_xlfn.XLOOKUP($D473&amp;"_"&amp;I$61,$B$23:$B$45&amp;"_"&amp;$C$23:$C$45,$D$23:$D$45)*$E473)</f>
        <v>3.32709803921569</v>
      </c>
      <c r="J473" s="67" cm="1">
        <f ca="1" t="array" ref="J473">MIN(8,_xlfn.XLOOKUP($D473&amp;"_"&amp;J$61,$B$23:$B$45&amp;"_"&amp;$C$23:$C$45,$D$23:$D$45)*$E473)</f>
        <v>5.72764705882352</v>
      </c>
      <c r="K473" s="67" cm="1">
        <f ca="1" t="array" ref="K473">MIN(18,_xlfn.XLOOKUP($D473&amp;"_"&amp;K$61,$B$23:$B$45&amp;"_"&amp;$C$23:$C$45,$D$23:$D$45)*$E473)</f>
        <v>1.78193464052288</v>
      </c>
      <c r="L473" s="67" cm="1">
        <f ca="1" t="array" ref="L473">MIN(6,_xlfn.XLOOKUP($D473&amp;"_"&amp;L$61,$B$23:$B$45&amp;"_"&amp;$C$23:$C$45,$D$23:$D$45)*$E473)</f>
        <v>2.67290196078431</v>
      </c>
      <c r="M473" s="67" cm="1">
        <f ca="1" t="array" ref="M473">(1+SUMPRODUCT(G473:H473,OFFSET($H$49:$I$49,D473,0)))*(1+OFFSET($J$49,D473,0))^I473*(1+OFFSET($K$49,D473,0))^J473*(1+OFFSET($L$49,D473,0))^K473*(1+OFFSET($M$49,D473,0))^L473</f>
        <v>128.732144370812</v>
      </c>
      <c r="N473" s="67">
        <f ca="1">MAX(MAX($N$62:N472),OFFSET($C$61,MATCH(M473*1.07,$M$62:$M$2061,1),0)-C473)</f>
        <v>6120</v>
      </c>
    </row>
    <row r="474" spans="2:14">
      <c r="B474" s="67">
        <v>413</v>
      </c>
      <c r="C474" s="67">
        <f t="shared" si="48"/>
        <v>148680</v>
      </c>
      <c r="D474" s="67">
        <f t="shared" si="44"/>
        <v>5</v>
      </c>
      <c r="E474" s="67">
        <f ca="1" t="shared" si="45"/>
        <v>443</v>
      </c>
      <c r="F474" s="67">
        <f ca="1" t="shared" si="46"/>
        <v>0</v>
      </c>
      <c r="G474" s="67">
        <f ca="1" t="shared" si="47"/>
        <v>0</v>
      </c>
      <c r="H474" s="67" cm="1">
        <f ca="1" t="array" ref="H474">MIN(30-SUM(I474:L474),_xlfn.XLOOKUP($D474&amp;"_"&amp;H$61,$B$23:$B$45&amp;"_"&amp;$C$23:$C$45,$D$23:$D$45)*$E474,18)</f>
        <v>16.4734282968089</v>
      </c>
      <c r="I474" s="67" cm="1">
        <f ca="1" t="array" ref="I474">MIN(30-SUM(J474:L474),6-L474,_xlfn.XLOOKUP($D474&amp;"_"&amp;I$61,$B$23:$B$45&amp;"_"&amp;$C$23:$C$45,$D$23:$D$45)*$E474)</f>
        <v>3.32105074971165</v>
      </c>
      <c r="J474" s="67" cm="1">
        <f ca="1" t="array" ref="J474">MIN(8,_xlfn.XLOOKUP($D474&amp;"_"&amp;J$61,$B$23:$B$45&amp;"_"&amp;$C$23:$C$45,$D$23:$D$45)*$E474)</f>
        <v>5.74060553633217</v>
      </c>
      <c r="K474" s="67" cm="1">
        <f ca="1" t="array" ref="K474">MIN(18,_xlfn.XLOOKUP($D474&amp;"_"&amp;K$61,$B$23:$B$45&amp;"_"&amp;$C$23:$C$45,$D$23:$D$45)*$E474)</f>
        <v>1.7859661668589</v>
      </c>
      <c r="L474" s="67" cm="1">
        <f ca="1" t="array" ref="L474">MIN(6,_xlfn.XLOOKUP($D474&amp;"_"&amp;L$61,$B$23:$B$45&amp;"_"&amp;$C$23:$C$45,$D$23:$D$45)*$E474)</f>
        <v>2.67894925028835</v>
      </c>
      <c r="M474" s="67" cm="1">
        <f ca="1" t="array" ref="M474">(1+SUMPRODUCT(G474:H474,OFFSET($H$49:$I$49,D474,0)))*(1+OFFSET($J$49,D474,0))^I474*(1+OFFSET($K$49,D474,0))^J474*(1+OFFSET($L$49,D474,0))^K474*(1+OFFSET($M$49,D474,0))^L474</f>
        <v>129.231474490039</v>
      </c>
      <c r="N474" s="67">
        <f ca="1">MAX(MAX($N$62:N473),OFFSET($C$61,MATCH(M474*1.07,$M$62:$M$2061,1),0)-C474)</f>
        <v>6120</v>
      </c>
    </row>
    <row r="475" spans="2:14">
      <c r="B475" s="67">
        <v>414</v>
      </c>
      <c r="C475" s="67">
        <f t="shared" si="48"/>
        <v>149040</v>
      </c>
      <c r="D475" s="67">
        <f t="shared" si="44"/>
        <v>5</v>
      </c>
      <c r="E475" s="67">
        <f ca="1" t="shared" si="45"/>
        <v>444</v>
      </c>
      <c r="F475" s="67">
        <f ca="1" t="shared" si="46"/>
        <v>0</v>
      </c>
      <c r="G475" s="67">
        <f ca="1" t="shared" si="47"/>
        <v>0</v>
      </c>
      <c r="H475" s="67" cm="1">
        <f ca="1" t="array" ref="H475">MIN(30-SUM(I475:L475),_xlfn.XLOOKUP($D475&amp;"_"&amp;H$61,$B$23:$B$45&amp;"_"&amp;$C$23:$C$45,$D$23:$D$45)*$E475,18)</f>
        <v>16.4564382929643</v>
      </c>
      <c r="I475" s="67" cm="1">
        <f ca="1" t="array" ref="I475">MIN(30-SUM(J475:L475),6-L475,_xlfn.XLOOKUP($D475&amp;"_"&amp;I$61,$B$23:$B$45&amp;"_"&amp;$C$23:$C$45,$D$23:$D$45)*$E475)</f>
        <v>3.31500346020761</v>
      </c>
      <c r="J475" s="67" cm="1">
        <f ca="1" t="array" ref="J475">MIN(8,_xlfn.XLOOKUP($D475&amp;"_"&amp;J$61,$B$23:$B$45&amp;"_"&amp;$C$23:$C$45,$D$23:$D$45)*$E475)</f>
        <v>5.75356401384082</v>
      </c>
      <c r="K475" s="67" cm="1">
        <f ca="1" t="array" ref="K475">MIN(18,_xlfn.XLOOKUP($D475&amp;"_"&amp;K$61,$B$23:$B$45&amp;"_"&amp;$C$23:$C$45,$D$23:$D$45)*$E475)</f>
        <v>1.78999769319493</v>
      </c>
      <c r="L475" s="67" cm="1">
        <f ca="1" t="array" ref="L475">MIN(6,_xlfn.XLOOKUP($D475&amp;"_"&amp;L$61,$B$23:$B$45&amp;"_"&amp;$C$23:$C$45,$D$23:$D$45)*$E475)</f>
        <v>2.68499653979239</v>
      </c>
      <c r="M475" s="67" cm="1">
        <f ca="1" t="array" ref="M475">(1+SUMPRODUCT(G475:H475,OFFSET($H$49:$I$49,D475,0)))*(1+OFFSET($J$49,D475,0))^I475*(1+OFFSET($K$49,D475,0))^J475*(1+OFFSET($L$49,D475,0))^K475*(1+OFFSET($M$49,D475,0))^L475</f>
        <v>129.732660211437</v>
      </c>
      <c r="N475" s="67">
        <f ca="1">MAX(MAX($N$62:N474),OFFSET($C$61,MATCH(M475*1.07,$M$62:$M$2061,1),0)-C475)</f>
        <v>6120</v>
      </c>
    </row>
    <row r="476" spans="2:14">
      <c r="B476" s="67">
        <v>415</v>
      </c>
      <c r="C476" s="67">
        <f t="shared" si="48"/>
        <v>149400</v>
      </c>
      <c r="D476" s="67">
        <f t="shared" si="44"/>
        <v>5</v>
      </c>
      <c r="E476" s="67">
        <f ca="1" t="shared" si="45"/>
        <v>445</v>
      </c>
      <c r="F476" s="67">
        <f ca="1" t="shared" si="46"/>
        <v>0</v>
      </c>
      <c r="G476" s="67">
        <f ca="1" t="shared" si="47"/>
        <v>0</v>
      </c>
      <c r="H476" s="67" cm="1">
        <f ca="1" t="array" ref="H476">MIN(30-SUM(I476:L476),_xlfn.XLOOKUP($D476&amp;"_"&amp;H$61,$B$23:$B$45&amp;"_"&amp;$C$23:$C$45,$D$23:$D$45)*$E476,18)</f>
        <v>16.4394482891196</v>
      </c>
      <c r="I476" s="67" cm="1">
        <f ca="1" t="array" ref="I476">MIN(30-SUM(J476:L476),6-L476,_xlfn.XLOOKUP($D476&amp;"_"&amp;I$61,$B$23:$B$45&amp;"_"&amp;$C$23:$C$45,$D$23:$D$45)*$E476)</f>
        <v>3.30895617070357</v>
      </c>
      <c r="J476" s="67" cm="1">
        <f ca="1" t="array" ref="J476">MIN(8,_xlfn.XLOOKUP($D476&amp;"_"&amp;J$61,$B$23:$B$45&amp;"_"&amp;$C$23:$C$45,$D$23:$D$45)*$E476)</f>
        <v>5.76652249134947</v>
      </c>
      <c r="K476" s="67" cm="1">
        <f ca="1" t="array" ref="K476">MIN(18,_xlfn.XLOOKUP($D476&amp;"_"&amp;K$61,$B$23:$B$45&amp;"_"&amp;$C$23:$C$45,$D$23:$D$45)*$E476)</f>
        <v>1.79402921953095</v>
      </c>
      <c r="L476" s="67" cm="1">
        <f ca="1" t="array" ref="L476">MIN(6,_xlfn.XLOOKUP($D476&amp;"_"&amp;L$61,$B$23:$B$45&amp;"_"&amp;$C$23:$C$45,$D$23:$D$45)*$E476)</f>
        <v>2.69104382929642</v>
      </c>
      <c r="M476" s="67" cm="1">
        <f ca="1" t="array" ref="M476">(1+SUMPRODUCT(G476:H476,OFFSET($H$49:$I$49,D476,0)))*(1+OFFSET($J$49,D476,0))^I476*(1+OFFSET($K$49,D476,0))^J476*(1+OFFSET($L$49,D476,0))^K476*(1+OFFSET($M$49,D476,0))^L476</f>
        <v>130.23570797352</v>
      </c>
      <c r="N476" s="67">
        <f ca="1">MAX(MAX($N$62:N475),OFFSET($C$61,MATCH(M476*1.07,$M$62:$M$2061,1),0)-C476)</f>
        <v>6120</v>
      </c>
    </row>
    <row r="477" spans="2:14">
      <c r="B477" s="67">
        <v>416</v>
      </c>
      <c r="C477" s="67">
        <f t="shared" si="48"/>
        <v>149760</v>
      </c>
      <c r="D477" s="67">
        <f t="shared" si="44"/>
        <v>5</v>
      </c>
      <c r="E477" s="67">
        <f ca="1" t="shared" si="45"/>
        <v>446</v>
      </c>
      <c r="F477" s="67">
        <f ca="1" t="shared" si="46"/>
        <v>0</v>
      </c>
      <c r="G477" s="67">
        <f ca="1" t="shared" si="47"/>
        <v>0</v>
      </c>
      <c r="H477" s="67" cm="1">
        <f ca="1" t="array" ref="H477">MIN(30-SUM(I477:L477),_xlfn.XLOOKUP($D477&amp;"_"&amp;H$61,$B$23:$B$45&amp;"_"&amp;$C$23:$C$45,$D$23:$D$45)*$E477,18)</f>
        <v>16.4224582852749</v>
      </c>
      <c r="I477" s="67" cm="1">
        <f ca="1" t="array" ref="I477">MIN(30-SUM(J477:L477),6-L477,_xlfn.XLOOKUP($D477&amp;"_"&amp;I$61,$B$23:$B$45&amp;"_"&amp;$C$23:$C$45,$D$23:$D$45)*$E477)</f>
        <v>3.30290888119954</v>
      </c>
      <c r="J477" s="67" cm="1">
        <f ca="1" t="array" ref="J477">MIN(8,_xlfn.XLOOKUP($D477&amp;"_"&amp;J$61,$B$23:$B$45&amp;"_"&amp;$C$23:$C$45,$D$23:$D$45)*$E477)</f>
        <v>5.77948096885812</v>
      </c>
      <c r="K477" s="67" cm="1">
        <f ca="1" t="array" ref="K477">MIN(18,_xlfn.XLOOKUP($D477&amp;"_"&amp;K$61,$B$23:$B$45&amp;"_"&amp;$C$23:$C$45,$D$23:$D$45)*$E477)</f>
        <v>1.79806074586698</v>
      </c>
      <c r="L477" s="67" cm="1">
        <f ca="1" t="array" ref="L477">MIN(6,_xlfn.XLOOKUP($D477&amp;"_"&amp;L$61,$B$23:$B$45&amp;"_"&amp;$C$23:$C$45,$D$23:$D$45)*$E477)</f>
        <v>2.69709111880046</v>
      </c>
      <c r="M477" s="67" cm="1">
        <f ca="1" t="array" ref="M477">(1+SUMPRODUCT(G477:H477,OFFSET($H$49:$I$49,D477,0)))*(1+OFFSET($J$49,D477,0))^I477*(1+OFFSET($K$49,D477,0))^J477*(1+OFFSET($L$49,D477,0))^K477*(1+OFFSET($M$49,D477,0))^L477</f>
        <v>130.740624234459</v>
      </c>
      <c r="N477" s="67">
        <f ca="1">MAX(MAX($N$62:N476),OFFSET($C$61,MATCH(M477*1.07,$M$62:$M$2061,1),0)-C477)</f>
        <v>6120</v>
      </c>
    </row>
    <row r="478" spans="2:14">
      <c r="B478" s="67">
        <v>417</v>
      </c>
      <c r="C478" s="67">
        <f t="shared" si="48"/>
        <v>150120</v>
      </c>
      <c r="D478" s="67">
        <f t="shared" si="44"/>
        <v>5</v>
      </c>
      <c r="E478" s="67">
        <f ca="1" t="shared" si="45"/>
        <v>447</v>
      </c>
      <c r="F478" s="67">
        <f ca="1" t="shared" si="46"/>
        <v>0</v>
      </c>
      <c r="G478" s="67">
        <f ca="1" t="shared" si="47"/>
        <v>0</v>
      </c>
      <c r="H478" s="67" cm="1">
        <f ca="1" t="array" ref="H478">MIN(30-SUM(I478:L478),_xlfn.XLOOKUP($D478&amp;"_"&amp;H$61,$B$23:$B$45&amp;"_"&amp;$C$23:$C$45,$D$23:$D$45)*$E478,18)</f>
        <v>16.4054682814302</v>
      </c>
      <c r="I478" s="67" cm="1">
        <f ca="1" t="array" ref="I478">MIN(30-SUM(J478:L478),6-L478,_xlfn.XLOOKUP($D478&amp;"_"&amp;I$61,$B$23:$B$45&amp;"_"&amp;$C$23:$C$45,$D$23:$D$45)*$E478)</f>
        <v>3.2968615916955</v>
      </c>
      <c r="J478" s="67" cm="1">
        <f ca="1" t="array" ref="J478">MIN(8,_xlfn.XLOOKUP($D478&amp;"_"&amp;J$61,$B$23:$B$45&amp;"_"&amp;$C$23:$C$45,$D$23:$D$45)*$E478)</f>
        <v>5.79243944636677</v>
      </c>
      <c r="K478" s="67" cm="1">
        <f ca="1" t="array" ref="K478">MIN(18,_xlfn.XLOOKUP($D478&amp;"_"&amp;K$61,$B$23:$B$45&amp;"_"&amp;$C$23:$C$45,$D$23:$D$45)*$E478)</f>
        <v>1.802092272203</v>
      </c>
      <c r="L478" s="67" cm="1">
        <f ca="1" t="array" ref="L478">MIN(6,_xlfn.XLOOKUP($D478&amp;"_"&amp;L$61,$B$23:$B$45&amp;"_"&amp;$C$23:$C$45,$D$23:$D$45)*$E478)</f>
        <v>2.7031384083045</v>
      </c>
      <c r="M478" s="67" cm="1">
        <f ca="1" t="array" ref="M478">(1+SUMPRODUCT(G478:H478,OFFSET($H$49:$I$49,D478,0)))*(1+OFFSET($J$49,D478,0))^I478*(1+OFFSET($K$49,D478,0))^J478*(1+OFFSET($L$49,D478,0))^K478*(1+OFFSET($M$49,D478,0))^L478</f>
        <v>131.247415472121</v>
      </c>
      <c r="N478" s="67">
        <f ca="1">MAX(MAX($N$62:N477),OFFSET($C$61,MATCH(M478*1.07,$M$62:$M$2061,1),0)-C478)</f>
        <v>6120</v>
      </c>
    </row>
    <row r="479" spans="2:14">
      <c r="B479" s="67">
        <v>418</v>
      </c>
      <c r="C479" s="67">
        <f t="shared" si="48"/>
        <v>150480</v>
      </c>
      <c r="D479" s="67">
        <f t="shared" si="44"/>
        <v>5</v>
      </c>
      <c r="E479" s="67">
        <f ca="1" t="shared" si="45"/>
        <v>448</v>
      </c>
      <c r="F479" s="67">
        <f ca="1" t="shared" si="46"/>
        <v>0</v>
      </c>
      <c r="G479" s="67">
        <f ca="1" t="shared" si="47"/>
        <v>0</v>
      </c>
      <c r="H479" s="67" cm="1">
        <f ca="1" t="array" ref="H479">MIN(30-SUM(I479:L479),_xlfn.XLOOKUP($D479&amp;"_"&amp;H$61,$B$23:$B$45&amp;"_"&amp;$C$23:$C$45,$D$23:$D$45)*$E479,18)</f>
        <v>16.3884782775856</v>
      </c>
      <c r="I479" s="67" cm="1">
        <f ca="1" t="array" ref="I479">MIN(30-SUM(J479:L479),6-L479,_xlfn.XLOOKUP($D479&amp;"_"&amp;I$61,$B$23:$B$45&amp;"_"&amp;$C$23:$C$45,$D$23:$D$45)*$E479)</f>
        <v>3.29081430219146</v>
      </c>
      <c r="J479" s="67" cm="1">
        <f ca="1" t="array" ref="J479">MIN(8,_xlfn.XLOOKUP($D479&amp;"_"&amp;J$61,$B$23:$B$45&amp;"_"&amp;$C$23:$C$45,$D$23:$D$45)*$E479)</f>
        <v>5.80539792387542</v>
      </c>
      <c r="K479" s="67" cm="1">
        <f ca="1" t="array" ref="K479">MIN(18,_xlfn.XLOOKUP($D479&amp;"_"&amp;K$61,$B$23:$B$45&amp;"_"&amp;$C$23:$C$45,$D$23:$D$45)*$E479)</f>
        <v>1.80612379853903</v>
      </c>
      <c r="L479" s="67" cm="1">
        <f ca="1" t="array" ref="L479">MIN(6,_xlfn.XLOOKUP($D479&amp;"_"&amp;L$61,$B$23:$B$45&amp;"_"&amp;$C$23:$C$45,$D$23:$D$45)*$E479)</f>
        <v>2.70918569780854</v>
      </c>
      <c r="M479" s="67" cm="1">
        <f ca="1" t="array" ref="M479">(1+SUMPRODUCT(G479:H479,OFFSET($H$49:$I$49,D479,0)))*(1+OFFSET($J$49,D479,0))^I479*(1+OFFSET($K$49,D479,0))^J479*(1+OFFSET($L$49,D479,0))^K479*(1+OFFSET($M$49,D479,0))^L479</f>
        <v>131.75608818411</v>
      </c>
      <c r="N479" s="67">
        <f ca="1">MAX(MAX($N$62:N478),OFFSET($C$61,MATCH(M479*1.07,$M$62:$M$2061,1),0)-C479)</f>
        <v>6120</v>
      </c>
    </row>
    <row r="480" spans="2:14">
      <c r="B480" s="67">
        <v>419</v>
      </c>
      <c r="C480" s="67">
        <f t="shared" si="48"/>
        <v>150840</v>
      </c>
      <c r="D480" s="67">
        <f t="shared" si="44"/>
        <v>5</v>
      </c>
      <c r="E480" s="67">
        <f ca="1" t="shared" si="45"/>
        <v>449</v>
      </c>
      <c r="F480" s="67">
        <f ca="1" t="shared" si="46"/>
        <v>0</v>
      </c>
      <c r="G480" s="67">
        <f ca="1" t="shared" si="47"/>
        <v>0</v>
      </c>
      <c r="H480" s="67" cm="1">
        <f ca="1" t="array" ref="H480">MIN(30-SUM(I480:L480),_xlfn.XLOOKUP($D480&amp;"_"&amp;H$61,$B$23:$B$45&amp;"_"&amp;$C$23:$C$45,$D$23:$D$45)*$E480,18)</f>
        <v>16.3714882737409</v>
      </c>
      <c r="I480" s="67" cm="1">
        <f ca="1" t="array" ref="I480">MIN(30-SUM(J480:L480),6-L480,_xlfn.XLOOKUP($D480&amp;"_"&amp;I$61,$B$23:$B$45&amp;"_"&amp;$C$23:$C$45,$D$23:$D$45)*$E480)</f>
        <v>3.28476701268743</v>
      </c>
      <c r="J480" s="67" cm="1">
        <f ca="1" t="array" ref="J480">MIN(8,_xlfn.XLOOKUP($D480&amp;"_"&amp;J$61,$B$23:$B$45&amp;"_"&amp;$C$23:$C$45,$D$23:$D$45)*$E480)</f>
        <v>5.81835640138407</v>
      </c>
      <c r="K480" s="67" cm="1">
        <f ca="1" t="array" ref="K480">MIN(18,_xlfn.XLOOKUP($D480&amp;"_"&amp;K$61,$B$23:$B$45&amp;"_"&amp;$C$23:$C$45,$D$23:$D$45)*$E480)</f>
        <v>1.81015532487505</v>
      </c>
      <c r="L480" s="67" cm="1">
        <f ca="1" t="array" ref="L480">MIN(6,_xlfn.XLOOKUP($D480&amp;"_"&amp;L$61,$B$23:$B$45&amp;"_"&amp;$C$23:$C$45,$D$23:$D$45)*$E480)</f>
        <v>2.71523298731257</v>
      </c>
      <c r="M480" s="67" cm="1">
        <f ca="1" t="array" ref="M480">(1+SUMPRODUCT(G480:H480,OFFSET($H$49:$I$49,D480,0)))*(1+OFFSET($J$49,D480,0))^I480*(1+OFFSET($K$49,D480,0))^J480*(1+OFFSET($L$49,D480,0))^K480*(1+OFFSET($M$49,D480,0))^L480</f>
        <v>132.266648887816</v>
      </c>
      <c r="N480" s="67">
        <f ca="1">MAX(MAX($N$62:N479),OFFSET($C$61,MATCH(M480*1.07,$M$62:$M$2061,1),0)-C480)</f>
        <v>6120</v>
      </c>
    </row>
    <row r="481" spans="2:14">
      <c r="B481" s="67">
        <v>420</v>
      </c>
      <c r="C481" s="67">
        <f t="shared" si="48"/>
        <v>151200</v>
      </c>
      <c r="D481" s="67">
        <f t="shared" si="44"/>
        <v>5</v>
      </c>
      <c r="E481" s="67">
        <f ca="1" t="shared" si="45"/>
        <v>450</v>
      </c>
      <c r="F481" s="67">
        <f ca="1" t="shared" si="46"/>
        <v>0</v>
      </c>
      <c r="G481" s="67">
        <f ca="1" t="shared" si="47"/>
        <v>0</v>
      </c>
      <c r="H481" s="67" cm="1">
        <f ca="1" t="array" ref="H481">MIN(30-SUM(I481:L481),_xlfn.XLOOKUP($D481&amp;"_"&amp;H$61,$B$23:$B$45&amp;"_"&amp;$C$23:$C$45,$D$23:$D$45)*$E481,18)</f>
        <v>16.3544982698962</v>
      </c>
      <c r="I481" s="67" cm="1">
        <f ca="1" t="array" ref="I481">MIN(30-SUM(J481:L481),6-L481,_xlfn.XLOOKUP($D481&amp;"_"&amp;I$61,$B$23:$B$45&amp;"_"&amp;$C$23:$C$45,$D$23:$D$45)*$E481)</f>
        <v>3.27871972318339</v>
      </c>
      <c r="J481" s="67" cm="1">
        <f ca="1" t="array" ref="J481">MIN(8,_xlfn.XLOOKUP($D481&amp;"_"&amp;J$61,$B$23:$B$45&amp;"_"&amp;$C$23:$C$45,$D$23:$D$45)*$E481)</f>
        <v>5.83131487889272</v>
      </c>
      <c r="K481" s="67" cm="1">
        <f ca="1" t="array" ref="K481">MIN(18,_xlfn.XLOOKUP($D481&amp;"_"&amp;K$61,$B$23:$B$45&amp;"_"&amp;$C$23:$C$45,$D$23:$D$45)*$E481)</f>
        <v>1.81418685121107</v>
      </c>
      <c r="L481" s="67" cm="1">
        <f ca="1" t="array" ref="L481">MIN(6,_xlfn.XLOOKUP($D481&amp;"_"&amp;L$61,$B$23:$B$45&amp;"_"&amp;$C$23:$C$45,$D$23:$D$45)*$E481)</f>
        <v>2.72128027681661</v>
      </c>
      <c r="M481" s="67" cm="1">
        <f ca="1" t="array" ref="M481">(1+SUMPRODUCT(G481:H481,OFFSET($H$49:$I$49,D481,0)))*(1+OFFSET($J$49,D481,0))^I481*(1+OFFSET($K$49,D481,0))^J481*(1+OFFSET($L$49,D481,0))^K481*(1+OFFSET($M$49,D481,0))^L481</f>
        <v>132.77910412045</v>
      </c>
      <c r="N481" s="67">
        <f ca="1">MAX(MAX($N$62:N480),OFFSET($C$61,MATCH(M481*1.07,$M$62:$M$2061,1),0)-C481)</f>
        <v>6120</v>
      </c>
    </row>
    <row r="482" spans="2:14">
      <c r="B482" s="67">
        <v>421</v>
      </c>
      <c r="C482" s="67">
        <f t="shared" si="48"/>
        <v>151560</v>
      </c>
      <c r="D482" s="67">
        <f t="shared" si="44"/>
        <v>5</v>
      </c>
      <c r="E482" s="67">
        <f ca="1" t="shared" si="45"/>
        <v>451</v>
      </c>
      <c r="F482" s="67">
        <f ca="1" t="shared" si="46"/>
        <v>0</v>
      </c>
      <c r="G482" s="67">
        <f ca="1" t="shared" si="47"/>
        <v>0</v>
      </c>
      <c r="H482" s="67" cm="1">
        <f ca="1" t="array" ref="H482">MIN(30-SUM(I482:L482),_xlfn.XLOOKUP($D482&amp;"_"&amp;H$61,$B$23:$B$45&amp;"_"&amp;$C$23:$C$45,$D$23:$D$45)*$E482,18)</f>
        <v>16.3375082660515</v>
      </c>
      <c r="I482" s="67" cm="1">
        <f ca="1" t="array" ref="I482">MIN(30-SUM(J482:L482),6-L482,_xlfn.XLOOKUP($D482&amp;"_"&amp;I$61,$B$23:$B$45&amp;"_"&amp;$C$23:$C$45,$D$23:$D$45)*$E482)</f>
        <v>3.27267243367935</v>
      </c>
      <c r="J482" s="67" cm="1">
        <f ca="1" t="array" ref="J482">MIN(8,_xlfn.XLOOKUP($D482&amp;"_"&amp;J$61,$B$23:$B$45&amp;"_"&amp;$C$23:$C$45,$D$23:$D$45)*$E482)</f>
        <v>5.84427335640138</v>
      </c>
      <c r="K482" s="67" cm="1">
        <f ca="1" t="array" ref="K482">MIN(18,_xlfn.XLOOKUP($D482&amp;"_"&amp;K$61,$B$23:$B$45&amp;"_"&amp;$C$23:$C$45,$D$23:$D$45)*$E482)</f>
        <v>1.8182183775471</v>
      </c>
      <c r="L482" s="67" cm="1">
        <f ca="1" t="array" ref="L482">MIN(6,_xlfn.XLOOKUP($D482&amp;"_"&amp;L$61,$B$23:$B$45&amp;"_"&amp;$C$23:$C$45,$D$23:$D$45)*$E482)</f>
        <v>2.72732756632065</v>
      </c>
      <c r="M482" s="67" cm="1">
        <f ca="1" t="array" ref="M482">(1+SUMPRODUCT(G482:H482,OFFSET($H$49:$I$49,D482,0)))*(1+OFFSET($J$49,D482,0))^I482*(1+OFFSET($K$49,D482,0))^J482*(1+OFFSET($L$49,D482,0))^K482*(1+OFFSET($M$49,D482,0))^L482</f>
        <v>133.293460439096</v>
      </c>
      <c r="N482" s="67">
        <f ca="1">MAX(MAX($N$62:N481),OFFSET($C$61,MATCH(M482*1.07,$M$62:$M$2061,1),0)-C482)</f>
        <v>6120</v>
      </c>
    </row>
    <row r="483" spans="2:14">
      <c r="B483" s="67">
        <v>422</v>
      </c>
      <c r="C483" s="67">
        <f t="shared" si="48"/>
        <v>151920</v>
      </c>
      <c r="D483" s="67">
        <f t="shared" si="44"/>
        <v>5</v>
      </c>
      <c r="E483" s="67">
        <f ca="1" t="shared" si="45"/>
        <v>452</v>
      </c>
      <c r="F483" s="67">
        <f ca="1" t="shared" si="46"/>
        <v>0</v>
      </c>
      <c r="G483" s="67">
        <f ca="1" t="shared" si="47"/>
        <v>0</v>
      </c>
      <c r="H483" s="67" cm="1">
        <f ca="1" t="array" ref="H483">MIN(30-SUM(I483:L483),_xlfn.XLOOKUP($D483&amp;"_"&amp;H$61,$B$23:$B$45&amp;"_"&amp;$C$23:$C$45,$D$23:$D$45)*$E483,18)</f>
        <v>16.3205182622068</v>
      </c>
      <c r="I483" s="67" cm="1">
        <f ca="1" t="array" ref="I483">MIN(30-SUM(J483:L483),6-L483,_xlfn.XLOOKUP($D483&amp;"_"&amp;I$61,$B$23:$B$45&amp;"_"&amp;$C$23:$C$45,$D$23:$D$45)*$E483)</f>
        <v>3.26662514417532</v>
      </c>
      <c r="J483" s="67" cm="1">
        <f ca="1" t="array" ref="J483">MIN(8,_xlfn.XLOOKUP($D483&amp;"_"&amp;J$61,$B$23:$B$45&amp;"_"&amp;$C$23:$C$45,$D$23:$D$45)*$E483)</f>
        <v>5.85723183391003</v>
      </c>
      <c r="K483" s="67" cm="1">
        <f ca="1" t="array" ref="K483">MIN(18,_xlfn.XLOOKUP($D483&amp;"_"&amp;K$61,$B$23:$B$45&amp;"_"&amp;$C$23:$C$45,$D$23:$D$45)*$E483)</f>
        <v>1.82224990388312</v>
      </c>
      <c r="L483" s="67" cm="1">
        <f ca="1" t="array" ref="L483">MIN(6,_xlfn.XLOOKUP($D483&amp;"_"&amp;L$61,$B$23:$B$45&amp;"_"&amp;$C$23:$C$45,$D$23:$D$45)*$E483)</f>
        <v>2.73337485582468</v>
      </c>
      <c r="M483" s="67" cm="1">
        <f ca="1" t="array" ref="M483">(1+SUMPRODUCT(G483:H483,OFFSET($H$49:$I$49,D483,0)))*(1+OFFSET($J$49,D483,0))^I483*(1+OFFSET($K$49,D483,0))^J483*(1+OFFSET($L$49,D483,0))^K483*(1+OFFSET($M$49,D483,0))^L483</f>
        <v>133.809724420746</v>
      </c>
      <c r="N483" s="67">
        <f ca="1">MAX(MAX($N$62:N482),OFFSET($C$61,MATCH(M483*1.07,$M$62:$M$2061,1),0)-C483)</f>
        <v>6120</v>
      </c>
    </row>
    <row r="484" spans="2:14">
      <c r="B484" s="67">
        <v>423</v>
      </c>
      <c r="C484" s="67">
        <f t="shared" si="48"/>
        <v>152280</v>
      </c>
      <c r="D484" s="67">
        <f t="shared" si="44"/>
        <v>5</v>
      </c>
      <c r="E484" s="67">
        <f ca="1" t="shared" si="45"/>
        <v>453</v>
      </c>
      <c r="F484" s="67">
        <f ca="1" t="shared" si="46"/>
        <v>0</v>
      </c>
      <c r="G484" s="67">
        <f ca="1" t="shared" si="47"/>
        <v>0</v>
      </c>
      <c r="H484" s="67" cm="1">
        <f ca="1" t="array" ref="H484">MIN(30-SUM(I484:L484),_xlfn.XLOOKUP($D484&amp;"_"&amp;H$61,$B$23:$B$45&amp;"_"&amp;$C$23:$C$45,$D$23:$D$45)*$E484,18)</f>
        <v>16.3035282583622</v>
      </c>
      <c r="I484" s="67" cm="1">
        <f ca="1" t="array" ref="I484">MIN(30-SUM(J484:L484),6-L484,_xlfn.XLOOKUP($D484&amp;"_"&amp;I$61,$B$23:$B$45&amp;"_"&amp;$C$23:$C$45,$D$23:$D$45)*$E484)</f>
        <v>3.26057785467128</v>
      </c>
      <c r="J484" s="67" cm="1">
        <f ca="1" t="array" ref="J484">MIN(8,_xlfn.XLOOKUP($D484&amp;"_"&amp;J$61,$B$23:$B$45&amp;"_"&amp;$C$23:$C$45,$D$23:$D$45)*$E484)</f>
        <v>5.87019031141868</v>
      </c>
      <c r="K484" s="67" cm="1">
        <f ca="1" t="array" ref="K484">MIN(18,_xlfn.XLOOKUP($D484&amp;"_"&amp;K$61,$B$23:$B$45&amp;"_"&amp;$C$23:$C$45,$D$23:$D$45)*$E484)</f>
        <v>1.82628143021915</v>
      </c>
      <c r="L484" s="67" cm="1">
        <f ca="1" t="array" ref="L484">MIN(6,_xlfn.XLOOKUP($D484&amp;"_"&amp;L$61,$B$23:$B$45&amp;"_"&amp;$C$23:$C$45,$D$23:$D$45)*$E484)</f>
        <v>2.73942214532872</v>
      </c>
      <c r="M484" s="67" cm="1">
        <f ca="1" t="array" ref="M484">(1+SUMPRODUCT(G484:H484,OFFSET($H$49:$I$49,D484,0)))*(1+OFFSET($J$49,D484,0))^I484*(1+OFFSET($K$49,D484,0))^J484*(1+OFFSET($L$49,D484,0))^K484*(1+OFFSET($M$49,D484,0))^L484</f>
        <v>134.327902662347</v>
      </c>
      <c r="N484" s="67">
        <f ca="1">MAX(MAX($N$62:N483),OFFSET($C$61,MATCH(M484*1.07,$M$62:$M$2061,1),0)-C484)</f>
        <v>6120</v>
      </c>
    </row>
    <row r="485" spans="2:14">
      <c r="B485" s="67">
        <v>424</v>
      </c>
      <c r="C485" s="67">
        <f t="shared" si="48"/>
        <v>152640</v>
      </c>
      <c r="D485" s="67">
        <f t="shared" si="44"/>
        <v>5</v>
      </c>
      <c r="E485" s="67">
        <f ca="1" t="shared" si="45"/>
        <v>454</v>
      </c>
      <c r="F485" s="67">
        <f ca="1" t="shared" si="46"/>
        <v>0</v>
      </c>
      <c r="G485" s="67">
        <f ca="1" t="shared" si="47"/>
        <v>0</v>
      </c>
      <c r="H485" s="67" cm="1">
        <f ca="1" t="array" ref="H485">MIN(30-SUM(I485:L485),_xlfn.XLOOKUP($D485&amp;"_"&amp;H$61,$B$23:$B$45&amp;"_"&amp;$C$23:$C$45,$D$23:$D$45)*$E485,18)</f>
        <v>16.2865382545175</v>
      </c>
      <c r="I485" s="67" cm="1">
        <f ca="1" t="array" ref="I485">MIN(30-SUM(J485:L485),6-L485,_xlfn.XLOOKUP($D485&amp;"_"&amp;I$61,$B$23:$B$45&amp;"_"&amp;$C$23:$C$45,$D$23:$D$45)*$E485)</f>
        <v>3.25453056516724</v>
      </c>
      <c r="J485" s="67" cm="1">
        <f ca="1" t="array" ref="J485">MIN(8,_xlfn.XLOOKUP($D485&amp;"_"&amp;J$61,$B$23:$B$45&amp;"_"&amp;$C$23:$C$45,$D$23:$D$45)*$E485)</f>
        <v>5.88314878892733</v>
      </c>
      <c r="K485" s="67" cm="1">
        <f ca="1" t="array" ref="K485">MIN(18,_xlfn.XLOOKUP($D485&amp;"_"&amp;K$61,$B$23:$B$45&amp;"_"&amp;$C$23:$C$45,$D$23:$D$45)*$E485)</f>
        <v>1.83031295655517</v>
      </c>
      <c r="L485" s="67" cm="1">
        <f ca="1" t="array" ref="L485">MIN(6,_xlfn.XLOOKUP($D485&amp;"_"&amp;L$61,$B$23:$B$45&amp;"_"&amp;$C$23:$C$45,$D$23:$D$45)*$E485)</f>
        <v>2.74546943483276</v>
      </c>
      <c r="M485" s="67" cm="1">
        <f ca="1" t="array" ref="M485">(1+SUMPRODUCT(G485:H485,OFFSET($H$49:$I$49,D485,0)))*(1+OFFSET($J$49,D485,0))^I485*(1+OFFSET($K$49,D485,0))^J485*(1+OFFSET($L$49,D485,0))^K485*(1+OFFSET($M$49,D485,0))^L485</f>
        <v>134.848001780844</v>
      </c>
      <c r="N485" s="67">
        <f ca="1">MAX(MAX($N$62:N484),OFFSET($C$61,MATCH(M485*1.07,$M$62:$M$2061,1),0)-C485)</f>
        <v>6120</v>
      </c>
    </row>
    <row r="486" spans="2:14">
      <c r="B486" s="67">
        <v>425</v>
      </c>
      <c r="C486" s="67">
        <f t="shared" si="48"/>
        <v>153000</v>
      </c>
      <c r="D486" s="67">
        <f t="shared" si="44"/>
        <v>5</v>
      </c>
      <c r="E486" s="67">
        <f ca="1" t="shared" si="45"/>
        <v>455</v>
      </c>
      <c r="F486" s="67">
        <f ca="1" t="shared" si="46"/>
        <v>0</v>
      </c>
      <c r="G486" s="67">
        <f ca="1" t="shared" si="47"/>
        <v>0</v>
      </c>
      <c r="H486" s="67" cm="1">
        <f ca="1" t="array" ref="H486">MIN(30-SUM(I486:L486),_xlfn.XLOOKUP($D486&amp;"_"&amp;H$61,$B$23:$B$45&amp;"_"&amp;$C$23:$C$45,$D$23:$D$45)*$E486,18)</f>
        <v>16.2695482506728</v>
      </c>
      <c r="I486" s="67" cm="1">
        <f ca="1" t="array" ref="I486">MIN(30-SUM(J486:L486),6-L486,_xlfn.XLOOKUP($D486&amp;"_"&amp;I$61,$B$23:$B$45&amp;"_"&amp;$C$23:$C$45,$D$23:$D$45)*$E486)</f>
        <v>3.24848327566321</v>
      </c>
      <c r="J486" s="67" cm="1">
        <f ca="1" t="array" ref="J486">MIN(8,_xlfn.XLOOKUP($D486&amp;"_"&amp;J$61,$B$23:$B$45&amp;"_"&amp;$C$23:$C$45,$D$23:$D$45)*$E486)</f>
        <v>5.89610726643598</v>
      </c>
      <c r="K486" s="67" cm="1">
        <f ca="1" t="array" ref="K486">MIN(18,_xlfn.XLOOKUP($D486&amp;"_"&amp;K$61,$B$23:$B$45&amp;"_"&amp;$C$23:$C$45,$D$23:$D$45)*$E486)</f>
        <v>1.8343444828912</v>
      </c>
      <c r="L486" s="67" cm="1">
        <f ca="1" t="array" ref="L486">MIN(6,_xlfn.XLOOKUP($D486&amp;"_"&amp;L$61,$B$23:$B$45&amp;"_"&amp;$C$23:$C$45,$D$23:$D$45)*$E486)</f>
        <v>2.75151672433679</v>
      </c>
      <c r="M486" s="67" cm="1">
        <f ca="1" t="array" ref="M486">(1+SUMPRODUCT(G486:H486,OFFSET($H$49:$I$49,D486,0)))*(1+OFFSET($J$49,D486,0))^I486*(1+OFFSET($K$49,D486,0))^J486*(1+OFFSET($L$49,D486,0))^K486*(1+OFFSET($M$49,D486,0))^L486</f>
        <v>135.370028413221</v>
      </c>
      <c r="N486" s="67">
        <f ca="1">MAX(MAX($N$62:N485),OFFSET($C$61,MATCH(M486*1.07,$M$62:$M$2061,1),0)-C486)</f>
        <v>6120</v>
      </c>
    </row>
    <row r="487" spans="2:14">
      <c r="B487" s="67">
        <v>426</v>
      </c>
      <c r="C487" s="67">
        <f t="shared" si="48"/>
        <v>153360</v>
      </c>
      <c r="D487" s="67">
        <f t="shared" si="44"/>
        <v>5</v>
      </c>
      <c r="E487" s="67">
        <f ca="1" t="shared" si="45"/>
        <v>456</v>
      </c>
      <c r="F487" s="67">
        <f ca="1" t="shared" si="46"/>
        <v>0</v>
      </c>
      <c r="G487" s="67">
        <f ca="1" t="shared" si="47"/>
        <v>0</v>
      </c>
      <c r="H487" s="67" cm="1">
        <f ca="1" t="array" ref="H487">MIN(30-SUM(I487:L487),_xlfn.XLOOKUP($D487&amp;"_"&amp;H$61,$B$23:$B$45&amp;"_"&amp;$C$23:$C$45,$D$23:$D$45)*$E487,18)</f>
        <v>16.2525582468282</v>
      </c>
      <c r="I487" s="67" cm="1">
        <f ca="1" t="array" ref="I487">MIN(30-SUM(J487:L487),6-L487,_xlfn.XLOOKUP($D487&amp;"_"&amp;I$61,$B$23:$B$45&amp;"_"&amp;$C$23:$C$45,$D$23:$D$45)*$E487)</f>
        <v>3.24243598615917</v>
      </c>
      <c r="J487" s="67" cm="1">
        <f ca="1" t="array" ref="J487">MIN(8,_xlfn.XLOOKUP($D487&amp;"_"&amp;J$61,$B$23:$B$45&amp;"_"&amp;$C$23:$C$45,$D$23:$D$45)*$E487)</f>
        <v>5.90906574394463</v>
      </c>
      <c r="K487" s="67" cm="1">
        <f ca="1" t="array" ref="K487">MIN(18,_xlfn.XLOOKUP($D487&amp;"_"&amp;K$61,$B$23:$B$45&amp;"_"&amp;$C$23:$C$45,$D$23:$D$45)*$E487)</f>
        <v>1.83837600922722</v>
      </c>
      <c r="L487" s="67" cm="1">
        <f ca="1" t="array" ref="L487">MIN(6,_xlfn.XLOOKUP($D487&amp;"_"&amp;L$61,$B$23:$B$45&amp;"_"&amp;$C$23:$C$45,$D$23:$D$45)*$E487)</f>
        <v>2.75756401384083</v>
      </c>
      <c r="M487" s="67" cm="1">
        <f ca="1" t="array" ref="M487">(1+SUMPRODUCT(G487:H487,OFFSET($H$49:$I$49,D487,0)))*(1+OFFSET($J$49,D487,0))^I487*(1+OFFSET($K$49,D487,0))^J487*(1+OFFSET($L$49,D487,0))^K487*(1+OFFSET($M$49,D487,0))^L487</f>
        <v>135.893989216544</v>
      </c>
      <c r="N487" s="67">
        <f ca="1">MAX(MAX($N$62:N486),OFFSET($C$61,MATCH(M487*1.07,$M$62:$M$2061,1),0)-C487)</f>
        <v>6120</v>
      </c>
    </row>
    <row r="488" spans="2:14">
      <c r="B488" s="67">
        <v>427</v>
      </c>
      <c r="C488" s="67">
        <f t="shared" si="48"/>
        <v>153720</v>
      </c>
      <c r="D488" s="67">
        <f t="shared" si="44"/>
        <v>5</v>
      </c>
      <c r="E488" s="67">
        <f ca="1" t="shared" si="45"/>
        <v>457</v>
      </c>
      <c r="F488" s="67">
        <f ca="1" t="shared" si="46"/>
        <v>0</v>
      </c>
      <c r="G488" s="67">
        <f ca="1" t="shared" si="47"/>
        <v>0</v>
      </c>
      <c r="H488" s="67" cm="1">
        <f ca="1" t="array" ref="H488">MIN(30-SUM(I488:L488),_xlfn.XLOOKUP($D488&amp;"_"&amp;H$61,$B$23:$B$45&amp;"_"&amp;$C$23:$C$45,$D$23:$D$45)*$E488,18)</f>
        <v>16.2355682429835</v>
      </c>
      <c r="I488" s="67" cm="1">
        <f ca="1" t="array" ref="I488">MIN(30-SUM(J488:L488),6-L488,_xlfn.XLOOKUP($D488&amp;"_"&amp;I$61,$B$23:$B$45&amp;"_"&amp;$C$23:$C$45,$D$23:$D$45)*$E488)</f>
        <v>3.23638869665513</v>
      </c>
      <c r="J488" s="67" cm="1">
        <f ca="1" t="array" ref="J488">MIN(8,_xlfn.XLOOKUP($D488&amp;"_"&amp;J$61,$B$23:$B$45&amp;"_"&amp;$C$23:$C$45,$D$23:$D$45)*$E488)</f>
        <v>5.92202422145328</v>
      </c>
      <c r="K488" s="67" cm="1">
        <f ca="1" t="array" ref="K488">MIN(18,_xlfn.XLOOKUP($D488&amp;"_"&amp;K$61,$B$23:$B$45&amp;"_"&amp;$C$23:$C$45,$D$23:$D$45)*$E488)</f>
        <v>1.84240753556325</v>
      </c>
      <c r="L488" s="67" cm="1">
        <f ca="1" t="array" ref="L488">MIN(6,_xlfn.XLOOKUP($D488&amp;"_"&amp;L$61,$B$23:$B$45&amp;"_"&amp;$C$23:$C$45,$D$23:$D$45)*$E488)</f>
        <v>2.76361130334487</v>
      </c>
      <c r="M488" s="67" cm="1">
        <f ca="1" t="array" ref="M488">(1+SUMPRODUCT(G488:H488,OFFSET($H$49:$I$49,D488,0)))*(1+OFFSET($J$49,D488,0))^I488*(1+OFFSET($K$49,D488,0))^J488*(1+OFFSET($L$49,D488,0))^K488*(1+OFFSET($M$49,D488,0))^L488</f>
        <v>136.419890868006</v>
      </c>
      <c r="N488" s="67">
        <f ca="1">MAX(MAX($N$62:N487),OFFSET($C$61,MATCH(M488*1.07,$M$62:$M$2061,1),0)-C488)</f>
        <v>6120</v>
      </c>
    </row>
    <row r="489" spans="2:14">
      <c r="B489" s="67">
        <v>428</v>
      </c>
      <c r="C489" s="67">
        <f t="shared" si="48"/>
        <v>154080</v>
      </c>
      <c r="D489" s="67">
        <f t="shared" si="44"/>
        <v>5</v>
      </c>
      <c r="E489" s="67">
        <f ca="1" t="shared" si="45"/>
        <v>458</v>
      </c>
      <c r="F489" s="67">
        <f ca="1" t="shared" si="46"/>
        <v>0</v>
      </c>
      <c r="G489" s="67">
        <f ca="1" t="shared" si="47"/>
        <v>0</v>
      </c>
      <c r="H489" s="67" cm="1">
        <f ca="1" t="array" ref="H489">MIN(30-SUM(I489:L489),_xlfn.XLOOKUP($D489&amp;"_"&amp;H$61,$B$23:$B$45&amp;"_"&amp;$C$23:$C$45,$D$23:$D$45)*$E489,18)</f>
        <v>16.2185782391388</v>
      </c>
      <c r="I489" s="67" cm="1">
        <f ca="1" t="array" ref="I489">MIN(30-SUM(J489:L489),6-L489,_xlfn.XLOOKUP($D489&amp;"_"&amp;I$61,$B$23:$B$45&amp;"_"&amp;$C$23:$C$45,$D$23:$D$45)*$E489)</f>
        <v>3.2303414071511</v>
      </c>
      <c r="J489" s="67" cm="1">
        <f ca="1" t="array" ref="J489">MIN(8,_xlfn.XLOOKUP($D489&amp;"_"&amp;J$61,$B$23:$B$45&amp;"_"&amp;$C$23:$C$45,$D$23:$D$45)*$E489)</f>
        <v>5.93498269896193</v>
      </c>
      <c r="K489" s="67" cm="1">
        <f ca="1" t="array" ref="K489">MIN(18,_xlfn.XLOOKUP($D489&amp;"_"&amp;K$61,$B$23:$B$45&amp;"_"&amp;$C$23:$C$45,$D$23:$D$45)*$E489)</f>
        <v>1.84643906189927</v>
      </c>
      <c r="L489" s="67" cm="1">
        <f ca="1" t="array" ref="L489">MIN(6,_xlfn.XLOOKUP($D489&amp;"_"&amp;L$61,$B$23:$B$45&amp;"_"&amp;$C$23:$C$45,$D$23:$D$45)*$E489)</f>
        <v>2.7696585928489</v>
      </c>
      <c r="M489" s="67" cm="1">
        <f ca="1" t="array" ref="M489">(1+SUMPRODUCT(G489:H489,OFFSET($H$49:$I$49,D489,0)))*(1+OFFSET($J$49,D489,0))^I489*(1+OFFSET($K$49,D489,0))^J489*(1+OFFSET($L$49,D489,0))^K489*(1+OFFSET($M$49,D489,0))^L489</f>
        <v>136.947740064968</v>
      </c>
      <c r="N489" s="67">
        <f ca="1">MAX(MAX($N$62:N488),OFFSET($C$61,MATCH(M489*1.07,$M$62:$M$2061,1),0)-C489)</f>
        <v>6120</v>
      </c>
    </row>
    <row r="490" spans="2:14">
      <c r="B490" s="67">
        <v>429</v>
      </c>
      <c r="C490" s="67">
        <f t="shared" si="48"/>
        <v>154440</v>
      </c>
      <c r="D490" s="67">
        <f t="shared" si="44"/>
        <v>5</v>
      </c>
      <c r="E490" s="67">
        <f ca="1" t="shared" si="45"/>
        <v>459</v>
      </c>
      <c r="F490" s="67">
        <f ca="1" t="shared" si="46"/>
        <v>0</v>
      </c>
      <c r="G490" s="67">
        <f ca="1" t="shared" si="47"/>
        <v>0</v>
      </c>
      <c r="H490" s="67" cm="1">
        <f ca="1" t="array" ref="H490">MIN(30-SUM(I490:L490),_xlfn.XLOOKUP($D490&amp;"_"&amp;H$61,$B$23:$B$45&amp;"_"&amp;$C$23:$C$45,$D$23:$D$45)*$E490,18)</f>
        <v>16.2015882352941</v>
      </c>
      <c r="I490" s="67" cm="1">
        <f ca="1" t="array" ref="I490">MIN(30-SUM(J490:L490),6-L490,_xlfn.XLOOKUP($D490&amp;"_"&amp;I$61,$B$23:$B$45&amp;"_"&amp;$C$23:$C$45,$D$23:$D$45)*$E490)</f>
        <v>3.22429411764706</v>
      </c>
      <c r="J490" s="67" cm="1">
        <f ca="1" t="array" ref="J490">MIN(8,_xlfn.XLOOKUP($D490&amp;"_"&amp;J$61,$B$23:$B$45&amp;"_"&amp;$C$23:$C$45,$D$23:$D$45)*$E490)</f>
        <v>5.94794117647058</v>
      </c>
      <c r="K490" s="67" cm="1">
        <f ca="1" t="array" ref="K490">MIN(18,_xlfn.XLOOKUP($D490&amp;"_"&amp;K$61,$B$23:$B$45&amp;"_"&amp;$C$23:$C$45,$D$23:$D$45)*$E490)</f>
        <v>1.8504705882353</v>
      </c>
      <c r="L490" s="67" cm="1">
        <f ca="1" t="array" ref="L490">MIN(6,_xlfn.XLOOKUP($D490&amp;"_"&amp;L$61,$B$23:$B$45&amp;"_"&amp;$C$23:$C$45,$D$23:$D$45)*$E490)</f>
        <v>2.77570588235294</v>
      </c>
      <c r="M490" s="67" cm="1">
        <f ca="1" t="array" ref="M490">(1+SUMPRODUCT(G490:H490,OFFSET($H$49:$I$49,D490,0)))*(1+OFFSET($J$49,D490,0))^I490*(1+OFFSET($K$49,D490,0))^J490*(1+OFFSET($L$49,D490,0))^K490*(1+OFFSET($M$49,D490,0))^L490</f>
        <v>137.477543525001</v>
      </c>
      <c r="N490" s="67">
        <f ca="1">MAX(MAX($N$62:N489),OFFSET($C$61,MATCH(M490*1.07,$M$62:$M$2061,1),0)-C490)</f>
        <v>6120</v>
      </c>
    </row>
    <row r="491" spans="2:14">
      <c r="B491" s="67">
        <v>430</v>
      </c>
      <c r="C491" s="67">
        <f t="shared" si="48"/>
        <v>154800</v>
      </c>
      <c r="D491" s="67">
        <f t="shared" si="44"/>
        <v>5</v>
      </c>
      <c r="E491" s="67">
        <f ca="1" t="shared" si="45"/>
        <v>460</v>
      </c>
      <c r="F491" s="67">
        <f ca="1" t="shared" si="46"/>
        <v>0</v>
      </c>
      <c r="G491" s="67">
        <f ca="1" t="shared" si="47"/>
        <v>0</v>
      </c>
      <c r="H491" s="67" cm="1">
        <f ca="1" t="array" ref="H491">MIN(30-SUM(I491:L491),_xlfn.XLOOKUP($D491&amp;"_"&amp;H$61,$B$23:$B$45&amp;"_"&amp;$C$23:$C$45,$D$23:$D$45)*$E491,18)</f>
        <v>16.1845982314494</v>
      </c>
      <c r="I491" s="67" cm="1">
        <f ca="1" t="array" ref="I491">MIN(30-SUM(J491:L491),6-L491,_xlfn.XLOOKUP($D491&amp;"_"&amp;I$61,$B$23:$B$45&amp;"_"&amp;$C$23:$C$45,$D$23:$D$45)*$E491)</f>
        <v>3.21824682814302</v>
      </c>
      <c r="J491" s="67" cm="1">
        <f ca="1" t="array" ref="J491">MIN(8,_xlfn.XLOOKUP($D491&amp;"_"&amp;J$61,$B$23:$B$45&amp;"_"&amp;$C$23:$C$45,$D$23:$D$45)*$E491)</f>
        <v>5.96089965397923</v>
      </c>
      <c r="K491" s="67" cm="1">
        <f ca="1" t="array" ref="K491">MIN(18,_xlfn.XLOOKUP($D491&amp;"_"&amp;K$61,$B$23:$B$45&amp;"_"&amp;$C$23:$C$45,$D$23:$D$45)*$E491)</f>
        <v>1.85450211457132</v>
      </c>
      <c r="L491" s="67" cm="1">
        <f ca="1" t="array" ref="L491">MIN(6,_xlfn.XLOOKUP($D491&amp;"_"&amp;L$61,$B$23:$B$45&amp;"_"&amp;$C$23:$C$45,$D$23:$D$45)*$E491)</f>
        <v>2.78175317185698</v>
      </c>
      <c r="M491" s="67" cm="1">
        <f ca="1" t="array" ref="M491">(1+SUMPRODUCT(G491:H491,OFFSET($H$49:$I$49,D491,0)))*(1+OFFSET($J$49,D491,0))^I491*(1+OFFSET($K$49,D491,0))^J491*(1+OFFSET($L$49,D491,0))^K491*(1+OFFSET($M$49,D491,0))^L491</f>
        <v>138.009307985929</v>
      </c>
      <c r="N491" s="67">
        <f ca="1">MAX(MAX($N$62:N490),OFFSET($C$61,MATCH(M491*1.07,$M$62:$M$2061,1),0)-C491)</f>
        <v>6120</v>
      </c>
    </row>
    <row r="492" spans="2:14">
      <c r="B492" s="67">
        <v>431</v>
      </c>
      <c r="C492" s="67">
        <f t="shared" si="48"/>
        <v>155160</v>
      </c>
      <c r="D492" s="67">
        <f t="shared" si="44"/>
        <v>5</v>
      </c>
      <c r="E492" s="67">
        <f ca="1" t="shared" si="45"/>
        <v>461</v>
      </c>
      <c r="F492" s="67">
        <f ca="1" t="shared" si="46"/>
        <v>0</v>
      </c>
      <c r="G492" s="67">
        <f ca="1" t="shared" si="47"/>
        <v>0</v>
      </c>
      <c r="H492" s="67" cm="1">
        <f ca="1" t="array" ref="H492">MIN(30-SUM(I492:L492),_xlfn.XLOOKUP($D492&amp;"_"&amp;H$61,$B$23:$B$45&amp;"_"&amp;$C$23:$C$45,$D$23:$D$45)*$E492,18)</f>
        <v>16.1676082276048</v>
      </c>
      <c r="I492" s="67" cm="1">
        <f ca="1" t="array" ref="I492">MIN(30-SUM(J492:L492),6-L492,_xlfn.XLOOKUP($D492&amp;"_"&amp;I$61,$B$23:$B$45&amp;"_"&amp;$C$23:$C$45,$D$23:$D$45)*$E492)</f>
        <v>3.21219953863898</v>
      </c>
      <c r="J492" s="67" cm="1">
        <f ca="1" t="array" ref="J492">MIN(8,_xlfn.XLOOKUP($D492&amp;"_"&amp;J$61,$B$23:$B$45&amp;"_"&amp;$C$23:$C$45,$D$23:$D$45)*$E492)</f>
        <v>5.97385813148788</v>
      </c>
      <c r="K492" s="67" cm="1">
        <f ca="1" t="array" ref="K492">MIN(18,_xlfn.XLOOKUP($D492&amp;"_"&amp;K$61,$B$23:$B$45&amp;"_"&amp;$C$23:$C$45,$D$23:$D$45)*$E492)</f>
        <v>1.85853364090735</v>
      </c>
      <c r="L492" s="67" cm="1">
        <f ca="1" t="array" ref="L492">MIN(6,_xlfn.XLOOKUP($D492&amp;"_"&amp;L$61,$B$23:$B$45&amp;"_"&amp;$C$23:$C$45,$D$23:$D$45)*$E492)</f>
        <v>2.78780046136102</v>
      </c>
      <c r="M492" s="67" cm="1">
        <f ca="1" t="array" ref="M492">(1+SUMPRODUCT(G492:H492,OFFSET($H$49:$I$49,D492,0)))*(1+OFFSET($J$49,D492,0))^I492*(1+OFFSET($K$49,D492,0))^J492*(1+OFFSET($L$49,D492,0))^K492*(1+OFFSET($M$49,D492,0))^L492</f>
        <v>138.543040205874</v>
      </c>
      <c r="N492" s="67">
        <f ca="1">MAX(MAX($N$62:N491),OFFSET($C$61,MATCH(M492*1.07,$M$62:$M$2061,1),0)-C492)</f>
        <v>6120</v>
      </c>
    </row>
    <row r="493" spans="2:14">
      <c r="B493" s="67">
        <v>432</v>
      </c>
      <c r="C493" s="67">
        <f t="shared" si="48"/>
        <v>155520</v>
      </c>
      <c r="D493" s="67">
        <f t="shared" si="44"/>
        <v>5</v>
      </c>
      <c r="E493" s="67">
        <f ca="1" t="shared" si="45"/>
        <v>462</v>
      </c>
      <c r="F493" s="67">
        <f ca="1" t="shared" si="46"/>
        <v>0</v>
      </c>
      <c r="G493" s="67">
        <f ca="1" t="shared" si="47"/>
        <v>0</v>
      </c>
      <c r="H493" s="67" cm="1">
        <f ca="1" t="array" ref="H493">MIN(30-SUM(I493:L493),_xlfn.XLOOKUP($D493&amp;"_"&amp;H$61,$B$23:$B$45&amp;"_"&amp;$C$23:$C$45,$D$23:$D$45)*$E493,18)</f>
        <v>16.1506182237601</v>
      </c>
      <c r="I493" s="67" cm="1">
        <f ca="1" t="array" ref="I493">MIN(30-SUM(J493:L493),6-L493,_xlfn.XLOOKUP($D493&amp;"_"&amp;I$61,$B$23:$B$45&amp;"_"&amp;$C$23:$C$45,$D$23:$D$45)*$E493)</f>
        <v>3.20615224913495</v>
      </c>
      <c r="J493" s="67" cm="1">
        <f ca="1" t="array" ref="J493">MIN(8,_xlfn.XLOOKUP($D493&amp;"_"&amp;J$61,$B$23:$B$45&amp;"_"&amp;$C$23:$C$45,$D$23:$D$45)*$E493)</f>
        <v>5.98681660899653</v>
      </c>
      <c r="K493" s="67" cm="1">
        <f ca="1" t="array" ref="K493">MIN(18,_xlfn.XLOOKUP($D493&amp;"_"&amp;K$61,$B$23:$B$45&amp;"_"&amp;$C$23:$C$45,$D$23:$D$45)*$E493)</f>
        <v>1.86256516724337</v>
      </c>
      <c r="L493" s="67" cm="1">
        <f ca="1" t="array" ref="L493">MIN(6,_xlfn.XLOOKUP($D493&amp;"_"&amp;L$61,$B$23:$B$45&amp;"_"&amp;$C$23:$C$45,$D$23:$D$45)*$E493)</f>
        <v>2.79384775086505</v>
      </c>
      <c r="M493" s="67" cm="1">
        <f ca="1" t="array" ref="M493">(1+SUMPRODUCT(G493:H493,OFFSET($H$49:$I$49,D493,0)))*(1+OFFSET($J$49,D493,0))^I493*(1+OFFSET($K$49,D493,0))^J493*(1+OFFSET($L$49,D493,0))^K493*(1+OFFSET($M$49,D493,0))^L493</f>
        <v>139.078746963295</v>
      </c>
      <c r="N493" s="67">
        <f ca="1">MAX(MAX($N$62:N492),OFFSET($C$61,MATCH(M493*1.07,$M$62:$M$2061,1),0)-C493)</f>
        <v>6120</v>
      </c>
    </row>
    <row r="494" spans="2:14">
      <c r="B494" s="67">
        <v>433</v>
      </c>
      <c r="C494" s="67">
        <f t="shared" si="48"/>
        <v>155880</v>
      </c>
      <c r="D494" s="67">
        <f t="shared" si="44"/>
        <v>5</v>
      </c>
      <c r="E494" s="67">
        <f ca="1" t="shared" si="45"/>
        <v>463</v>
      </c>
      <c r="F494" s="67">
        <f ca="1" t="shared" si="46"/>
        <v>0</v>
      </c>
      <c r="G494" s="67">
        <f ca="1" t="shared" si="47"/>
        <v>0</v>
      </c>
      <c r="H494" s="67" cm="1">
        <f ca="1" t="array" ref="H494">MIN(30-SUM(I494:L494),_xlfn.XLOOKUP($D494&amp;"_"&amp;H$61,$B$23:$B$45&amp;"_"&amp;$C$23:$C$45,$D$23:$D$45)*$E494,18)</f>
        <v>16.1336282199154</v>
      </c>
      <c r="I494" s="67" cm="1">
        <f ca="1" t="array" ref="I494">MIN(30-SUM(J494:L494),6-L494,_xlfn.XLOOKUP($D494&amp;"_"&amp;I$61,$B$23:$B$45&amp;"_"&amp;$C$23:$C$45,$D$23:$D$45)*$E494)</f>
        <v>3.20010495963091</v>
      </c>
      <c r="J494" s="67" cm="1">
        <f ca="1" t="array" ref="J494">MIN(8,_xlfn.XLOOKUP($D494&amp;"_"&amp;J$61,$B$23:$B$45&amp;"_"&amp;$C$23:$C$45,$D$23:$D$45)*$E494)</f>
        <v>5.99977508650518</v>
      </c>
      <c r="K494" s="67" cm="1">
        <f ca="1" t="array" ref="K494">MIN(18,_xlfn.XLOOKUP($D494&amp;"_"&amp;K$61,$B$23:$B$45&amp;"_"&amp;$C$23:$C$45,$D$23:$D$45)*$E494)</f>
        <v>1.86659669357939</v>
      </c>
      <c r="L494" s="67" cm="1">
        <f ca="1" t="array" ref="L494">MIN(6,_xlfn.XLOOKUP($D494&amp;"_"&amp;L$61,$B$23:$B$45&amp;"_"&amp;$C$23:$C$45,$D$23:$D$45)*$E494)</f>
        <v>2.79989504036909</v>
      </c>
      <c r="M494" s="67" cm="1">
        <f ca="1" t="array" ref="M494">(1+SUMPRODUCT(G494:H494,OFFSET($H$49:$I$49,D494,0)))*(1+OFFSET($J$49,D494,0))^I494*(1+OFFSET($K$49,D494,0))^J494*(1+OFFSET($L$49,D494,0))^K494*(1+OFFSET($M$49,D494,0))^L494</f>
        <v>139.616435057032</v>
      </c>
      <c r="N494" s="67">
        <f ca="1">MAX(MAX($N$62:N493),OFFSET($C$61,MATCH(M494*1.07,$M$62:$M$2061,1),0)-C494)</f>
        <v>6120</v>
      </c>
    </row>
    <row r="495" spans="2:14">
      <c r="B495" s="67">
        <v>434</v>
      </c>
      <c r="C495" s="67">
        <f t="shared" si="48"/>
        <v>156240</v>
      </c>
      <c r="D495" s="67">
        <f t="shared" si="44"/>
        <v>5</v>
      </c>
      <c r="E495" s="67">
        <f ca="1" t="shared" si="45"/>
        <v>464</v>
      </c>
      <c r="F495" s="67">
        <f ca="1" t="shared" si="46"/>
        <v>0</v>
      </c>
      <c r="G495" s="67">
        <f ca="1" t="shared" si="47"/>
        <v>0</v>
      </c>
      <c r="H495" s="67" cm="1">
        <f ca="1" t="array" ref="H495">MIN(30-SUM(I495:L495),_xlfn.XLOOKUP($D495&amp;"_"&amp;H$61,$B$23:$B$45&amp;"_"&amp;$C$23:$C$45,$D$23:$D$45)*$E495,18)</f>
        <v>16.1166382160707</v>
      </c>
      <c r="I495" s="67" cm="1">
        <f ca="1" t="array" ref="I495">MIN(30-SUM(J495:L495),6-L495,_xlfn.XLOOKUP($D495&amp;"_"&amp;I$61,$B$23:$B$45&amp;"_"&amp;$C$23:$C$45,$D$23:$D$45)*$E495)</f>
        <v>3.19405767012687</v>
      </c>
      <c r="J495" s="67" cm="1">
        <f ca="1" t="array" ref="J495">MIN(8,_xlfn.XLOOKUP($D495&amp;"_"&amp;J$61,$B$23:$B$45&amp;"_"&amp;$C$23:$C$45,$D$23:$D$45)*$E495)</f>
        <v>6.01273356401383</v>
      </c>
      <c r="K495" s="67" cm="1">
        <f ca="1" t="array" ref="K495">MIN(18,_xlfn.XLOOKUP($D495&amp;"_"&amp;K$61,$B$23:$B$45&amp;"_"&amp;$C$23:$C$45,$D$23:$D$45)*$E495)</f>
        <v>1.87062821991542</v>
      </c>
      <c r="L495" s="67" cm="1">
        <f ca="1" t="array" ref="L495">MIN(6,_xlfn.XLOOKUP($D495&amp;"_"&amp;L$61,$B$23:$B$45&amp;"_"&amp;$C$23:$C$45,$D$23:$D$45)*$E495)</f>
        <v>2.80594232987313</v>
      </c>
      <c r="M495" s="67" cm="1">
        <f ca="1" t="array" ref="M495">(1+SUMPRODUCT(G495:H495,OFFSET($H$49:$I$49,D495,0)))*(1+OFFSET($J$49,D495,0))^I495*(1+OFFSET($K$49,D495,0))^J495*(1+OFFSET($L$49,D495,0))^K495*(1+OFFSET($M$49,D495,0))^L495</f>
        <v>140.156111306351</v>
      </c>
      <c r="N495" s="67">
        <f ca="1">MAX(MAX($N$62:N494),OFFSET($C$61,MATCH(M495*1.07,$M$62:$M$2061,1),0)-C495)</f>
        <v>6120</v>
      </c>
    </row>
    <row r="496" spans="2:14">
      <c r="B496" s="67">
        <v>435</v>
      </c>
      <c r="C496" s="67">
        <f t="shared" si="48"/>
        <v>156600</v>
      </c>
      <c r="D496" s="67">
        <f t="shared" si="44"/>
        <v>5</v>
      </c>
      <c r="E496" s="67">
        <f ca="1" t="shared" si="45"/>
        <v>465</v>
      </c>
      <c r="F496" s="67">
        <f ca="1" t="shared" si="46"/>
        <v>0</v>
      </c>
      <c r="G496" s="67">
        <f ca="1" t="shared" si="47"/>
        <v>0</v>
      </c>
      <c r="H496" s="67" cm="1">
        <f ca="1" t="array" ref="H496">MIN(30-SUM(I496:L496),_xlfn.XLOOKUP($D496&amp;"_"&amp;H$61,$B$23:$B$45&amp;"_"&amp;$C$23:$C$45,$D$23:$D$45)*$E496,18)</f>
        <v>16.0996482122261</v>
      </c>
      <c r="I496" s="67" cm="1">
        <f ca="1" t="array" ref="I496">MIN(30-SUM(J496:L496),6-L496,_xlfn.XLOOKUP($D496&amp;"_"&amp;I$61,$B$23:$B$45&amp;"_"&amp;$C$23:$C$45,$D$23:$D$45)*$E496)</f>
        <v>3.18801038062284</v>
      </c>
      <c r="J496" s="67" cm="1">
        <f ca="1" t="array" ref="J496">MIN(8,_xlfn.XLOOKUP($D496&amp;"_"&amp;J$61,$B$23:$B$45&amp;"_"&amp;$C$23:$C$45,$D$23:$D$45)*$E496)</f>
        <v>6.02569204152248</v>
      </c>
      <c r="K496" s="67" cm="1">
        <f ca="1" t="array" ref="K496">MIN(18,_xlfn.XLOOKUP($D496&amp;"_"&amp;K$61,$B$23:$B$45&amp;"_"&amp;$C$23:$C$45,$D$23:$D$45)*$E496)</f>
        <v>1.87465974625144</v>
      </c>
      <c r="L496" s="67" cm="1">
        <f ca="1" t="array" ref="L496">MIN(6,_xlfn.XLOOKUP($D496&amp;"_"&amp;L$61,$B$23:$B$45&amp;"_"&amp;$C$23:$C$45,$D$23:$D$45)*$E496)</f>
        <v>2.81198961937716</v>
      </c>
      <c r="M496" s="67" cm="1">
        <f ca="1" t="array" ref="M496">(1+SUMPRODUCT(G496:H496,OFFSET($H$49:$I$49,D496,0)))*(1+OFFSET($J$49,D496,0))^I496*(1+OFFSET($K$49,D496,0))^J496*(1+OFFSET($L$49,D496,0))^K496*(1+OFFSET($M$49,D496,0))^L496</f>
        <v>140.697782550981</v>
      </c>
      <c r="N496" s="67">
        <f ca="1">MAX(MAX($N$62:N495),OFFSET($C$61,MATCH(M496*1.07,$M$62:$M$2061,1),0)-C496)</f>
        <v>6120</v>
      </c>
    </row>
    <row r="497" spans="2:14">
      <c r="B497" s="67">
        <v>436</v>
      </c>
      <c r="C497" s="67">
        <f t="shared" si="48"/>
        <v>156960</v>
      </c>
      <c r="D497" s="67">
        <f t="shared" si="44"/>
        <v>5</v>
      </c>
      <c r="E497" s="67">
        <f ca="1" t="shared" si="45"/>
        <v>466</v>
      </c>
      <c r="F497" s="67">
        <f ca="1" t="shared" si="46"/>
        <v>0</v>
      </c>
      <c r="G497" s="67">
        <f ca="1" t="shared" si="47"/>
        <v>0</v>
      </c>
      <c r="H497" s="67" cm="1">
        <f ca="1" t="array" ref="H497">MIN(30-SUM(I497:L497),_xlfn.XLOOKUP($D497&amp;"_"&amp;H$61,$B$23:$B$45&amp;"_"&amp;$C$23:$C$45,$D$23:$D$45)*$E497,18)</f>
        <v>16.0826582083814</v>
      </c>
      <c r="I497" s="67" cm="1">
        <f ca="1" t="array" ref="I497">MIN(30-SUM(J497:L497),6-L497,_xlfn.XLOOKUP($D497&amp;"_"&amp;I$61,$B$23:$B$45&amp;"_"&amp;$C$23:$C$45,$D$23:$D$45)*$E497)</f>
        <v>3.1819630911188</v>
      </c>
      <c r="J497" s="67" cm="1">
        <f ca="1" t="array" ref="J497">MIN(8,_xlfn.XLOOKUP($D497&amp;"_"&amp;J$61,$B$23:$B$45&amp;"_"&amp;$C$23:$C$45,$D$23:$D$45)*$E497)</f>
        <v>6.03865051903113</v>
      </c>
      <c r="K497" s="67" cm="1">
        <f ca="1" t="array" ref="K497">MIN(18,_xlfn.XLOOKUP($D497&amp;"_"&amp;K$61,$B$23:$B$45&amp;"_"&amp;$C$23:$C$45,$D$23:$D$45)*$E497)</f>
        <v>1.87869127258747</v>
      </c>
      <c r="L497" s="67" cm="1">
        <f ca="1" t="array" ref="L497">MIN(6,_xlfn.XLOOKUP($D497&amp;"_"&amp;L$61,$B$23:$B$45&amp;"_"&amp;$C$23:$C$45,$D$23:$D$45)*$E497)</f>
        <v>2.8180369088812</v>
      </c>
      <c r="M497" s="67" cm="1">
        <f ca="1" t="array" ref="M497">(1+SUMPRODUCT(G497:H497,OFFSET($H$49:$I$49,D497,0)))*(1+OFFSET($J$49,D497,0))^I497*(1+OFFSET($K$49,D497,0))^J497*(1+OFFSET($L$49,D497,0))^K497*(1+OFFSET($M$49,D497,0))^L497</f>
        <v>141.241455651161</v>
      </c>
      <c r="N497" s="67">
        <f ca="1">MAX(MAX($N$62:N496),OFFSET($C$61,MATCH(M497*1.07,$M$62:$M$2061,1),0)-C497)</f>
        <v>6120</v>
      </c>
    </row>
    <row r="498" spans="2:14">
      <c r="B498" s="67">
        <v>437</v>
      </c>
      <c r="C498" s="67">
        <f t="shared" si="48"/>
        <v>157320</v>
      </c>
      <c r="D498" s="67">
        <f t="shared" si="44"/>
        <v>5</v>
      </c>
      <c r="E498" s="67">
        <f ca="1" t="shared" si="45"/>
        <v>467</v>
      </c>
      <c r="F498" s="67">
        <f ca="1" t="shared" si="46"/>
        <v>0</v>
      </c>
      <c r="G498" s="67">
        <f ca="1" t="shared" si="47"/>
        <v>0</v>
      </c>
      <c r="H498" s="67" cm="1">
        <f ca="1" t="array" ref="H498">MIN(30-SUM(I498:L498),_xlfn.XLOOKUP($D498&amp;"_"&amp;H$61,$B$23:$B$45&amp;"_"&amp;$C$23:$C$45,$D$23:$D$45)*$E498,18)</f>
        <v>16.0656682045367</v>
      </c>
      <c r="I498" s="67" cm="1">
        <f ca="1" t="array" ref="I498">MIN(30-SUM(J498:L498),6-L498,_xlfn.XLOOKUP($D498&amp;"_"&amp;I$61,$B$23:$B$45&amp;"_"&amp;$C$23:$C$45,$D$23:$D$45)*$E498)</f>
        <v>3.17591580161476</v>
      </c>
      <c r="J498" s="67" cm="1">
        <f ca="1" t="array" ref="J498">MIN(8,_xlfn.XLOOKUP($D498&amp;"_"&amp;J$61,$B$23:$B$45&amp;"_"&amp;$C$23:$C$45,$D$23:$D$45)*$E498)</f>
        <v>6.05160899653978</v>
      </c>
      <c r="K498" s="67" cm="1">
        <f ca="1" t="array" ref="K498">MIN(18,_xlfn.XLOOKUP($D498&amp;"_"&amp;K$61,$B$23:$B$45&amp;"_"&amp;$C$23:$C$45,$D$23:$D$45)*$E498)</f>
        <v>1.88272279892349</v>
      </c>
      <c r="L498" s="67" cm="1">
        <f ca="1" t="array" ref="L498">MIN(6,_xlfn.XLOOKUP($D498&amp;"_"&amp;L$61,$B$23:$B$45&amp;"_"&amp;$C$23:$C$45,$D$23:$D$45)*$E498)</f>
        <v>2.82408419838524</v>
      </c>
      <c r="M498" s="67" cm="1">
        <f ca="1" t="array" ref="M498">(1+SUMPRODUCT(G498:H498,OFFSET($H$49:$I$49,D498,0)))*(1+OFFSET($J$49,D498,0))^I498*(1+OFFSET($K$49,D498,0))^J498*(1+OFFSET($L$49,D498,0))^K498*(1+OFFSET($M$49,D498,0))^L498</f>
        <v>141.78713748768</v>
      </c>
      <c r="N498" s="67">
        <f ca="1">MAX(MAX($N$62:N497),OFFSET($C$61,MATCH(M498*1.07,$M$62:$M$2061,1),0)-C498)</f>
        <v>6120</v>
      </c>
    </row>
    <row r="499" spans="2:14">
      <c r="B499" s="67">
        <v>438</v>
      </c>
      <c r="C499" s="67">
        <f t="shared" si="48"/>
        <v>157680</v>
      </c>
      <c r="D499" s="67">
        <f t="shared" si="44"/>
        <v>5</v>
      </c>
      <c r="E499" s="67">
        <f ca="1" t="shared" si="45"/>
        <v>468</v>
      </c>
      <c r="F499" s="67">
        <f ca="1" t="shared" si="46"/>
        <v>0</v>
      </c>
      <c r="G499" s="67">
        <f ca="1" t="shared" si="47"/>
        <v>0</v>
      </c>
      <c r="H499" s="67" cm="1">
        <f ca="1" t="array" ref="H499">MIN(30-SUM(I499:L499),_xlfn.XLOOKUP($D499&amp;"_"&amp;H$61,$B$23:$B$45&amp;"_"&amp;$C$23:$C$45,$D$23:$D$45)*$E499,18)</f>
        <v>16.0486782006921</v>
      </c>
      <c r="I499" s="67" cm="1">
        <f ca="1" t="array" ref="I499">MIN(30-SUM(J499:L499),6-L499,_xlfn.XLOOKUP($D499&amp;"_"&amp;I$61,$B$23:$B$45&amp;"_"&amp;$C$23:$C$45,$D$23:$D$45)*$E499)</f>
        <v>3.16986851211073</v>
      </c>
      <c r="J499" s="67" cm="1">
        <f ca="1" t="array" ref="J499">MIN(8,_xlfn.XLOOKUP($D499&amp;"_"&amp;J$61,$B$23:$B$45&amp;"_"&amp;$C$23:$C$45,$D$23:$D$45)*$E499)</f>
        <v>6.06456747404843</v>
      </c>
      <c r="K499" s="67" cm="1">
        <f ca="1" t="array" ref="K499">MIN(18,_xlfn.XLOOKUP($D499&amp;"_"&amp;K$61,$B$23:$B$45&amp;"_"&amp;$C$23:$C$45,$D$23:$D$45)*$E499)</f>
        <v>1.88675432525952</v>
      </c>
      <c r="L499" s="67" cm="1">
        <f ca="1" t="array" ref="L499">MIN(6,_xlfn.XLOOKUP($D499&amp;"_"&amp;L$61,$B$23:$B$45&amp;"_"&amp;$C$23:$C$45,$D$23:$D$45)*$E499)</f>
        <v>2.83013148788927</v>
      </c>
      <c r="M499" s="67" cm="1">
        <f ca="1" t="array" ref="M499">(1+SUMPRODUCT(G499:H499,OFFSET($H$49:$I$49,D499,0)))*(1+OFFSET($J$49,D499,0))^I499*(1+OFFSET($K$49,D499,0))^J499*(1+OFFSET($L$49,D499,0))^K499*(1+OFFSET($M$49,D499,0))^L499</f>
        <v>142.334834961921</v>
      </c>
      <c r="N499" s="67">
        <f ca="1">MAX(MAX($N$62:N498),OFFSET($C$61,MATCH(M499*1.07,$M$62:$M$2061,1),0)-C499)</f>
        <v>6120</v>
      </c>
    </row>
    <row r="500" spans="2:14">
      <c r="B500" s="67">
        <v>439</v>
      </c>
      <c r="C500" s="67">
        <f t="shared" si="48"/>
        <v>158040</v>
      </c>
      <c r="D500" s="67">
        <f t="shared" si="44"/>
        <v>5</v>
      </c>
      <c r="E500" s="67">
        <f ca="1" t="shared" si="45"/>
        <v>469</v>
      </c>
      <c r="F500" s="67">
        <f ca="1" t="shared" si="46"/>
        <v>0</v>
      </c>
      <c r="G500" s="67">
        <f ca="1" t="shared" si="47"/>
        <v>0</v>
      </c>
      <c r="H500" s="67" cm="1">
        <f ca="1" t="array" ref="H500">MIN(30-SUM(I500:L500),_xlfn.XLOOKUP($D500&amp;"_"&amp;H$61,$B$23:$B$45&amp;"_"&amp;$C$23:$C$45,$D$23:$D$45)*$E500,18)</f>
        <v>16.0316881968474</v>
      </c>
      <c r="I500" s="67" cm="1">
        <f ca="1" t="array" ref="I500">MIN(30-SUM(J500:L500),6-L500,_xlfn.XLOOKUP($D500&amp;"_"&amp;I$61,$B$23:$B$45&amp;"_"&amp;$C$23:$C$45,$D$23:$D$45)*$E500)</f>
        <v>3.16382122260669</v>
      </c>
      <c r="J500" s="67" cm="1">
        <f ca="1" t="array" ref="J500">MIN(8,_xlfn.XLOOKUP($D500&amp;"_"&amp;J$61,$B$23:$B$45&amp;"_"&amp;$C$23:$C$45,$D$23:$D$45)*$E500)</f>
        <v>6.07752595155708</v>
      </c>
      <c r="K500" s="67" cm="1">
        <f ca="1" t="array" ref="K500">MIN(18,_xlfn.XLOOKUP($D500&amp;"_"&amp;K$61,$B$23:$B$45&amp;"_"&amp;$C$23:$C$45,$D$23:$D$45)*$E500)</f>
        <v>1.89078585159554</v>
      </c>
      <c r="L500" s="67" cm="1">
        <f ca="1" t="array" ref="L500">MIN(6,_xlfn.XLOOKUP($D500&amp;"_"&amp;L$61,$B$23:$B$45&amp;"_"&amp;$C$23:$C$45,$D$23:$D$45)*$E500)</f>
        <v>2.83617877739331</v>
      </c>
      <c r="M500" s="67" cm="1">
        <f ca="1" t="array" ref="M500">(1+SUMPRODUCT(G500:H500,OFFSET($H$49:$I$49,D500,0)))*(1+OFFSET($J$49,D500,0))^I500*(1+OFFSET($K$49,D500,0))^J500*(1+OFFSET($L$49,D500,0))^K500*(1+OFFSET($M$49,D500,0))^L500</f>
        <v>142.8845549959</v>
      </c>
      <c r="N500" s="67">
        <f ca="1">MAX(MAX($N$62:N499),OFFSET($C$61,MATCH(M500*1.07,$M$62:$M$2061,1),0)-C500)</f>
        <v>6120</v>
      </c>
    </row>
    <row r="501" spans="2:14">
      <c r="B501" s="67">
        <v>440</v>
      </c>
      <c r="C501" s="67">
        <f t="shared" si="48"/>
        <v>158400</v>
      </c>
      <c r="D501" s="67">
        <f t="shared" si="44"/>
        <v>5</v>
      </c>
      <c r="E501" s="67">
        <f ca="1" t="shared" si="45"/>
        <v>470</v>
      </c>
      <c r="F501" s="67">
        <f ca="1" t="shared" si="46"/>
        <v>0</v>
      </c>
      <c r="G501" s="67">
        <f ca="1" t="shared" si="47"/>
        <v>0</v>
      </c>
      <c r="H501" s="67" cm="1">
        <f ca="1" t="array" ref="H501">MIN(30-SUM(I501:L501),_xlfn.XLOOKUP($D501&amp;"_"&amp;H$61,$B$23:$B$45&amp;"_"&amp;$C$23:$C$45,$D$23:$D$45)*$E501,18)</f>
        <v>16.0146981930027</v>
      </c>
      <c r="I501" s="67" cm="1">
        <f ca="1" t="array" ref="I501">MIN(30-SUM(J501:L501),6-L501,_xlfn.XLOOKUP($D501&amp;"_"&amp;I$61,$B$23:$B$45&amp;"_"&amp;$C$23:$C$45,$D$23:$D$45)*$E501)</f>
        <v>3.15777393310265</v>
      </c>
      <c r="J501" s="67" cm="1">
        <f ca="1" t="array" ref="J501">MIN(8,_xlfn.XLOOKUP($D501&amp;"_"&amp;J$61,$B$23:$B$45&amp;"_"&amp;$C$23:$C$45,$D$23:$D$45)*$E501)</f>
        <v>6.09048442906573</v>
      </c>
      <c r="K501" s="67" cm="1">
        <f ca="1" t="array" ref="K501">MIN(18,_xlfn.XLOOKUP($D501&amp;"_"&amp;K$61,$B$23:$B$45&amp;"_"&amp;$C$23:$C$45,$D$23:$D$45)*$E501)</f>
        <v>1.89481737793157</v>
      </c>
      <c r="L501" s="67" cm="1">
        <f ca="1" t="array" ref="L501">MIN(6,_xlfn.XLOOKUP($D501&amp;"_"&amp;L$61,$B$23:$B$45&amp;"_"&amp;$C$23:$C$45,$D$23:$D$45)*$E501)</f>
        <v>2.84222606689735</v>
      </c>
      <c r="M501" s="67" cm="1">
        <f ca="1" t="array" ref="M501">(1+SUMPRODUCT(G501:H501,OFFSET($H$49:$I$49,D501,0)))*(1+OFFSET($J$49,D501,0))^I501*(1+OFFSET($K$49,D501,0))^J501*(1+OFFSET($L$49,D501,0))^K501*(1+OFFSET($M$49,D501,0))^L501</f>
        <v>143.436304532314</v>
      </c>
      <c r="N501" s="67">
        <f ca="1">MAX(MAX($N$62:N500),OFFSET($C$61,MATCH(M501*1.07,$M$62:$M$2061,1),0)-C501)</f>
        <v>6120</v>
      </c>
    </row>
    <row r="502" spans="2:14">
      <c r="B502" s="67">
        <v>441</v>
      </c>
      <c r="C502" s="67">
        <f t="shared" si="48"/>
        <v>158760</v>
      </c>
      <c r="D502" s="67">
        <f t="shared" si="44"/>
        <v>5</v>
      </c>
      <c r="E502" s="67">
        <f ca="1" t="shared" si="45"/>
        <v>471</v>
      </c>
      <c r="F502" s="67">
        <f ca="1" t="shared" si="46"/>
        <v>0</v>
      </c>
      <c r="G502" s="67">
        <f ca="1" t="shared" si="47"/>
        <v>0</v>
      </c>
      <c r="H502" s="67" cm="1">
        <f ca="1" t="array" ref="H502">MIN(30-SUM(I502:L502),_xlfn.XLOOKUP($D502&amp;"_"&amp;H$61,$B$23:$B$45&amp;"_"&amp;$C$23:$C$45,$D$23:$D$45)*$E502,18)</f>
        <v>15.997708189158</v>
      </c>
      <c r="I502" s="67" cm="1">
        <f ca="1" t="array" ref="I502">MIN(30-SUM(J502:L502),6-L502,_xlfn.XLOOKUP($D502&amp;"_"&amp;I$61,$B$23:$B$45&amp;"_"&amp;$C$23:$C$45,$D$23:$D$45)*$E502)</f>
        <v>3.15172664359862</v>
      </c>
      <c r="J502" s="67" cm="1">
        <f ca="1" t="array" ref="J502">MIN(8,_xlfn.XLOOKUP($D502&amp;"_"&amp;J$61,$B$23:$B$45&amp;"_"&amp;$C$23:$C$45,$D$23:$D$45)*$E502)</f>
        <v>6.10344290657439</v>
      </c>
      <c r="K502" s="67" cm="1">
        <f ca="1" t="array" ref="K502">MIN(18,_xlfn.XLOOKUP($D502&amp;"_"&amp;K$61,$B$23:$B$45&amp;"_"&amp;$C$23:$C$45,$D$23:$D$45)*$E502)</f>
        <v>1.89884890426759</v>
      </c>
      <c r="L502" s="67" cm="1">
        <f ca="1" t="array" ref="L502">MIN(6,_xlfn.XLOOKUP($D502&amp;"_"&amp;L$61,$B$23:$B$45&amp;"_"&amp;$C$23:$C$45,$D$23:$D$45)*$E502)</f>
        <v>2.84827335640138</v>
      </c>
      <c r="M502" s="67" cm="1">
        <f ca="1" t="array" ref="M502">(1+SUMPRODUCT(G502:H502,OFFSET($H$49:$I$49,D502,0)))*(1+OFFSET($J$49,D502,0))^I502*(1+OFFSET($K$49,D502,0))^J502*(1+OFFSET($L$49,D502,0))^K502*(1+OFFSET($M$49,D502,0))^L502</f>
        <v>143.990090534575</v>
      </c>
      <c r="N502" s="67">
        <f ca="1">MAX(MAX($N$62:N501),OFFSET($C$61,MATCH(M502*1.07,$M$62:$M$2061,1),0)-C502)</f>
        <v>6120</v>
      </c>
    </row>
    <row r="503" spans="2:14">
      <c r="B503" s="67">
        <v>442</v>
      </c>
      <c r="C503" s="67">
        <f t="shared" si="48"/>
        <v>159120</v>
      </c>
      <c r="D503" s="67">
        <f t="shared" si="44"/>
        <v>5</v>
      </c>
      <c r="E503" s="67">
        <f ca="1" t="shared" si="45"/>
        <v>472</v>
      </c>
      <c r="F503" s="67">
        <f ca="1" t="shared" si="46"/>
        <v>0</v>
      </c>
      <c r="G503" s="67">
        <f ca="1" t="shared" si="47"/>
        <v>0</v>
      </c>
      <c r="H503" s="67" cm="1">
        <f ca="1" t="array" ref="H503">MIN(30-SUM(I503:L503),_xlfn.XLOOKUP($D503&amp;"_"&amp;H$61,$B$23:$B$45&amp;"_"&amp;$C$23:$C$45,$D$23:$D$45)*$E503,18)</f>
        <v>15.9807181853133</v>
      </c>
      <c r="I503" s="67" cm="1">
        <f ca="1" t="array" ref="I503">MIN(30-SUM(J503:L503),6-L503,_xlfn.XLOOKUP($D503&amp;"_"&amp;I$61,$B$23:$B$45&amp;"_"&amp;$C$23:$C$45,$D$23:$D$45)*$E503)</f>
        <v>3.14567935409458</v>
      </c>
      <c r="J503" s="67" cm="1">
        <f ca="1" t="array" ref="J503">MIN(8,_xlfn.XLOOKUP($D503&amp;"_"&amp;J$61,$B$23:$B$45&amp;"_"&amp;$C$23:$C$45,$D$23:$D$45)*$E503)</f>
        <v>6.11640138408304</v>
      </c>
      <c r="K503" s="67" cm="1">
        <f ca="1" t="array" ref="K503">MIN(18,_xlfn.XLOOKUP($D503&amp;"_"&amp;K$61,$B$23:$B$45&amp;"_"&amp;$C$23:$C$45,$D$23:$D$45)*$E503)</f>
        <v>1.90288043060362</v>
      </c>
      <c r="L503" s="67" cm="1">
        <f ca="1" t="array" ref="L503">MIN(6,_xlfn.XLOOKUP($D503&amp;"_"&amp;L$61,$B$23:$B$45&amp;"_"&amp;$C$23:$C$45,$D$23:$D$45)*$E503)</f>
        <v>2.85432064590542</v>
      </c>
      <c r="M503" s="67" cm="1">
        <f ca="1" t="array" ref="M503">(1+SUMPRODUCT(G503:H503,OFFSET($H$49:$I$49,D503,0)))*(1+OFFSET($J$49,D503,0))^I503*(1+OFFSET($K$49,D503,0))^J503*(1+OFFSET($L$49,D503,0))^K503*(1+OFFSET($M$49,D503,0))^L503</f>
        <v>144.545919986859</v>
      </c>
      <c r="N503" s="67">
        <f ca="1">MAX(MAX($N$62:N502),OFFSET($C$61,MATCH(M503*1.07,$M$62:$M$2061,1),0)-C503)</f>
        <v>6120</v>
      </c>
    </row>
    <row r="504" spans="2:14">
      <c r="B504" s="67">
        <v>443</v>
      </c>
      <c r="C504" s="67">
        <f t="shared" si="48"/>
        <v>159480</v>
      </c>
      <c r="D504" s="67">
        <f t="shared" si="44"/>
        <v>5</v>
      </c>
      <c r="E504" s="67">
        <f ca="1" t="shared" si="45"/>
        <v>473</v>
      </c>
      <c r="F504" s="67">
        <f ca="1" t="shared" si="46"/>
        <v>0</v>
      </c>
      <c r="G504" s="67">
        <f ca="1" t="shared" si="47"/>
        <v>0</v>
      </c>
      <c r="H504" s="67" cm="1">
        <f ca="1" t="array" ref="H504">MIN(30-SUM(I504:L504),_xlfn.XLOOKUP($D504&amp;"_"&amp;H$61,$B$23:$B$45&amp;"_"&amp;$C$23:$C$45,$D$23:$D$45)*$E504,18)</f>
        <v>15.9637281814687</v>
      </c>
      <c r="I504" s="67" cm="1">
        <f ca="1" t="array" ref="I504">MIN(30-SUM(J504:L504),6-L504,_xlfn.XLOOKUP($D504&amp;"_"&amp;I$61,$B$23:$B$45&amp;"_"&amp;$C$23:$C$45,$D$23:$D$45)*$E504)</f>
        <v>3.13963206459054</v>
      </c>
      <c r="J504" s="67" cm="1">
        <f ca="1" t="array" ref="J504">MIN(8,_xlfn.XLOOKUP($D504&amp;"_"&amp;J$61,$B$23:$B$45&amp;"_"&amp;$C$23:$C$45,$D$23:$D$45)*$E504)</f>
        <v>6.12935986159169</v>
      </c>
      <c r="K504" s="67" cm="1">
        <f ca="1" t="array" ref="K504">MIN(18,_xlfn.XLOOKUP($D504&amp;"_"&amp;K$61,$B$23:$B$45&amp;"_"&amp;$C$23:$C$45,$D$23:$D$45)*$E504)</f>
        <v>1.90691195693964</v>
      </c>
      <c r="L504" s="67" cm="1">
        <f ca="1" t="array" ref="L504">MIN(6,_xlfn.XLOOKUP($D504&amp;"_"&amp;L$61,$B$23:$B$45&amp;"_"&amp;$C$23:$C$45,$D$23:$D$45)*$E504)</f>
        <v>2.86036793540946</v>
      </c>
      <c r="M504" s="67" cm="1">
        <f ca="1" t="array" ref="M504">(1+SUMPRODUCT(G504:H504,OFFSET($H$49:$I$49,D504,0)))*(1+OFFSET($J$49,D504,0))^I504*(1+OFFSET($K$49,D504,0))^J504*(1+OFFSET($L$49,D504,0))^K504*(1+OFFSET($M$49,D504,0))^L504</f>
        <v>145.103799894145</v>
      </c>
      <c r="N504" s="67">
        <f ca="1">MAX(MAX($N$62:N503),OFFSET($C$61,MATCH(M504*1.07,$M$62:$M$2061,1),0)-C504)</f>
        <v>6120</v>
      </c>
    </row>
    <row r="505" spans="2:14">
      <c r="B505" s="67">
        <v>444</v>
      </c>
      <c r="C505" s="67">
        <f t="shared" si="48"/>
        <v>159840</v>
      </c>
      <c r="D505" s="67">
        <f t="shared" si="44"/>
        <v>5</v>
      </c>
      <c r="E505" s="67">
        <f ca="1" t="shared" si="45"/>
        <v>474</v>
      </c>
      <c r="F505" s="67">
        <f ca="1" t="shared" si="46"/>
        <v>0</v>
      </c>
      <c r="G505" s="67">
        <f ca="1" t="shared" si="47"/>
        <v>0</v>
      </c>
      <c r="H505" s="67" cm="1">
        <f ca="1" t="array" ref="H505">MIN(30-SUM(I505:L505),_xlfn.XLOOKUP($D505&amp;"_"&amp;H$61,$B$23:$B$45&amp;"_"&amp;$C$23:$C$45,$D$23:$D$45)*$E505,18)</f>
        <v>15.946738177624</v>
      </c>
      <c r="I505" s="67" cm="1">
        <f ca="1" t="array" ref="I505">MIN(30-SUM(J505:L505),6-L505,_xlfn.XLOOKUP($D505&amp;"_"&amp;I$61,$B$23:$B$45&amp;"_"&amp;$C$23:$C$45,$D$23:$D$45)*$E505)</f>
        <v>3.1335847750865</v>
      </c>
      <c r="J505" s="67" cm="1">
        <f ca="1" t="array" ref="J505">MIN(8,_xlfn.XLOOKUP($D505&amp;"_"&amp;J$61,$B$23:$B$45&amp;"_"&amp;$C$23:$C$45,$D$23:$D$45)*$E505)</f>
        <v>6.14231833910034</v>
      </c>
      <c r="K505" s="67" cm="1">
        <f ca="1" t="array" ref="K505">MIN(18,_xlfn.XLOOKUP($D505&amp;"_"&amp;K$61,$B$23:$B$45&amp;"_"&amp;$C$23:$C$45,$D$23:$D$45)*$E505)</f>
        <v>1.91094348327567</v>
      </c>
      <c r="L505" s="67" cm="1">
        <f ca="1" t="array" ref="L505">MIN(6,_xlfn.XLOOKUP($D505&amp;"_"&amp;L$61,$B$23:$B$45&amp;"_"&amp;$C$23:$C$45,$D$23:$D$45)*$E505)</f>
        <v>2.8664152249135</v>
      </c>
      <c r="M505" s="67" cm="1">
        <f ca="1" t="array" ref="M505">(1+SUMPRODUCT(G505:H505,OFFSET($H$49:$I$49,D505,0)))*(1+OFFSET($J$49,D505,0))^I505*(1+OFFSET($K$49,D505,0))^J505*(1+OFFSET($L$49,D505,0))^K505*(1+OFFSET($M$49,D505,0))^L505</f>
        <v>145.663737282258</v>
      </c>
      <c r="N505" s="67">
        <f ca="1">MAX(MAX($N$62:N504),OFFSET($C$61,MATCH(M505*1.07,$M$62:$M$2061,1),0)-C505)</f>
        <v>6120</v>
      </c>
    </row>
    <row r="506" spans="2:14">
      <c r="B506" s="67">
        <v>445</v>
      </c>
      <c r="C506" s="67">
        <f t="shared" si="48"/>
        <v>160200</v>
      </c>
      <c r="D506" s="67">
        <f t="shared" si="44"/>
        <v>5</v>
      </c>
      <c r="E506" s="67">
        <f ca="1" t="shared" si="45"/>
        <v>475</v>
      </c>
      <c r="F506" s="67">
        <f ca="1" t="shared" si="46"/>
        <v>0</v>
      </c>
      <c r="G506" s="67">
        <f ca="1" t="shared" si="47"/>
        <v>0</v>
      </c>
      <c r="H506" s="67" cm="1">
        <f ca="1" t="array" ref="H506">MIN(30-SUM(I506:L506),_xlfn.XLOOKUP($D506&amp;"_"&amp;H$61,$B$23:$B$45&amp;"_"&amp;$C$23:$C$45,$D$23:$D$45)*$E506,18)</f>
        <v>15.9297481737793</v>
      </c>
      <c r="I506" s="67" cm="1">
        <f ca="1" t="array" ref="I506">MIN(30-SUM(J506:L506),6-L506,_xlfn.XLOOKUP($D506&amp;"_"&amp;I$61,$B$23:$B$45&amp;"_"&amp;$C$23:$C$45,$D$23:$D$45)*$E506)</f>
        <v>3.12753748558247</v>
      </c>
      <c r="J506" s="67" cm="1">
        <f ca="1" t="array" ref="J506">MIN(8,_xlfn.XLOOKUP($D506&amp;"_"&amp;J$61,$B$23:$B$45&amp;"_"&amp;$C$23:$C$45,$D$23:$D$45)*$E506)</f>
        <v>6.15527681660899</v>
      </c>
      <c r="K506" s="67" cm="1">
        <f ca="1" t="array" ref="K506">MIN(18,_xlfn.XLOOKUP($D506&amp;"_"&amp;K$61,$B$23:$B$45&amp;"_"&amp;$C$23:$C$45,$D$23:$D$45)*$E506)</f>
        <v>1.91497500961169</v>
      </c>
      <c r="L506" s="67" cm="1">
        <f ca="1" t="array" ref="L506">MIN(6,_xlfn.XLOOKUP($D506&amp;"_"&amp;L$61,$B$23:$B$45&amp;"_"&amp;$C$23:$C$45,$D$23:$D$45)*$E506)</f>
        <v>2.87246251441753</v>
      </c>
      <c r="M506" s="67" cm="1">
        <f ca="1" t="array" ref="M506">(1+SUMPRODUCT(G506:H506,OFFSET($H$49:$I$49,D506,0)))*(1+OFFSET($J$49,D506,0))^I506*(1+OFFSET($K$49,D506,0))^J506*(1+OFFSET($L$49,D506,0))^K506*(1+OFFSET($M$49,D506,0))^L506</f>
        <v>146.225739197908</v>
      </c>
      <c r="N506" s="67">
        <f ca="1">MAX(MAX($N$62:N505),OFFSET($C$61,MATCH(M506*1.07,$M$62:$M$2061,1),0)-C506)</f>
        <v>6120</v>
      </c>
    </row>
    <row r="507" spans="2:14">
      <c r="B507" s="67">
        <v>446</v>
      </c>
      <c r="C507" s="67">
        <f t="shared" si="48"/>
        <v>160560</v>
      </c>
      <c r="D507" s="67">
        <f t="shared" si="44"/>
        <v>5</v>
      </c>
      <c r="E507" s="67">
        <f ca="1" t="shared" si="45"/>
        <v>476</v>
      </c>
      <c r="F507" s="67">
        <f ca="1" t="shared" si="46"/>
        <v>0</v>
      </c>
      <c r="G507" s="67">
        <f ca="1" t="shared" si="47"/>
        <v>0</v>
      </c>
      <c r="H507" s="67" cm="1">
        <f ca="1" t="array" ref="H507">MIN(30-SUM(I507:L507),_xlfn.XLOOKUP($D507&amp;"_"&amp;H$61,$B$23:$B$45&amp;"_"&amp;$C$23:$C$45,$D$23:$D$45)*$E507,18)</f>
        <v>15.9127581699346</v>
      </c>
      <c r="I507" s="67" cm="1">
        <f ca="1" t="array" ref="I507">MIN(30-SUM(J507:L507),6-L507,_xlfn.XLOOKUP($D507&amp;"_"&amp;I$61,$B$23:$B$45&amp;"_"&amp;$C$23:$C$45,$D$23:$D$45)*$E507)</f>
        <v>3.12149019607843</v>
      </c>
      <c r="J507" s="67" cm="1">
        <f ca="1" t="array" ref="J507">MIN(8,_xlfn.XLOOKUP($D507&amp;"_"&amp;J$61,$B$23:$B$45&amp;"_"&amp;$C$23:$C$45,$D$23:$D$45)*$E507)</f>
        <v>6.16823529411764</v>
      </c>
      <c r="K507" s="67" cm="1">
        <f ca="1" t="array" ref="K507">MIN(18,_xlfn.XLOOKUP($D507&amp;"_"&amp;K$61,$B$23:$B$45&amp;"_"&amp;$C$23:$C$45,$D$23:$D$45)*$E507)</f>
        <v>1.91900653594771</v>
      </c>
      <c r="L507" s="67" cm="1">
        <f ca="1" t="array" ref="L507">MIN(6,_xlfn.XLOOKUP($D507&amp;"_"&amp;L$61,$B$23:$B$45&amp;"_"&amp;$C$23:$C$45,$D$23:$D$45)*$E507)</f>
        <v>2.87850980392157</v>
      </c>
      <c r="M507" s="67" cm="1">
        <f ca="1" t="array" ref="M507">(1+SUMPRODUCT(G507:H507,OFFSET($H$49:$I$49,D507,0)))*(1+OFFSET($J$49,D507,0))^I507*(1+OFFSET($K$49,D507,0))^J507*(1+OFFSET($L$49,D507,0))^K507*(1+OFFSET($M$49,D507,0))^L507</f>
        <v>146.789812708736</v>
      </c>
      <c r="N507" s="67">
        <f ca="1">MAX(MAX($N$62:N506),OFFSET($C$61,MATCH(M507*1.07,$M$62:$M$2061,1),0)-C507)</f>
        <v>6120</v>
      </c>
    </row>
    <row r="508" spans="2:14">
      <c r="B508" s="67">
        <v>447</v>
      </c>
      <c r="C508" s="67">
        <f t="shared" si="48"/>
        <v>160920</v>
      </c>
      <c r="D508" s="67">
        <f t="shared" si="44"/>
        <v>5</v>
      </c>
      <c r="E508" s="67">
        <f ca="1" t="shared" si="45"/>
        <v>477</v>
      </c>
      <c r="F508" s="67">
        <f ca="1" t="shared" si="46"/>
        <v>0</v>
      </c>
      <c r="G508" s="67">
        <f ca="1" t="shared" si="47"/>
        <v>0</v>
      </c>
      <c r="H508" s="67" cm="1">
        <f ca="1" t="array" ref="H508">MIN(30-SUM(I508:L508),_xlfn.XLOOKUP($D508&amp;"_"&amp;H$61,$B$23:$B$45&amp;"_"&amp;$C$23:$C$45,$D$23:$D$45)*$E508,18)</f>
        <v>15.89576816609</v>
      </c>
      <c r="I508" s="67" cm="1">
        <f ca="1" t="array" ref="I508">MIN(30-SUM(J508:L508),6-L508,_xlfn.XLOOKUP($D508&amp;"_"&amp;I$61,$B$23:$B$45&amp;"_"&amp;$C$23:$C$45,$D$23:$D$45)*$E508)</f>
        <v>3.11544290657439</v>
      </c>
      <c r="J508" s="67" cm="1">
        <f ca="1" t="array" ref="J508">MIN(8,_xlfn.XLOOKUP($D508&amp;"_"&amp;J$61,$B$23:$B$45&amp;"_"&amp;$C$23:$C$45,$D$23:$D$45)*$E508)</f>
        <v>6.18119377162629</v>
      </c>
      <c r="K508" s="67" cm="1">
        <f ca="1" t="array" ref="K508">MIN(18,_xlfn.XLOOKUP($D508&amp;"_"&amp;K$61,$B$23:$B$45&amp;"_"&amp;$C$23:$C$45,$D$23:$D$45)*$E508)</f>
        <v>1.92303806228374</v>
      </c>
      <c r="L508" s="67" cm="1">
        <f ca="1" t="array" ref="L508">MIN(6,_xlfn.XLOOKUP($D508&amp;"_"&amp;L$61,$B$23:$B$45&amp;"_"&amp;$C$23:$C$45,$D$23:$D$45)*$E508)</f>
        <v>2.88455709342561</v>
      </c>
      <c r="M508" s="67" cm="1">
        <f ca="1" t="array" ref="M508">(1+SUMPRODUCT(G508:H508,OFFSET($H$49:$I$49,D508,0)))*(1+OFFSET($J$49,D508,0))^I508*(1+OFFSET($K$49,D508,0))^J508*(1+OFFSET($L$49,D508,0))^K508*(1+OFFSET($M$49,D508,0))^L508</f>
        <v>147.355964903352</v>
      </c>
      <c r="N508" s="67">
        <f ca="1">MAX(MAX($N$62:N507),OFFSET($C$61,MATCH(M508*1.07,$M$62:$M$2061,1),0)-C508)</f>
        <v>6120</v>
      </c>
    </row>
    <row r="509" spans="2:14">
      <c r="B509" s="67">
        <v>448</v>
      </c>
      <c r="C509" s="67">
        <f t="shared" si="48"/>
        <v>161280</v>
      </c>
      <c r="D509" s="67">
        <f t="shared" si="44"/>
        <v>5</v>
      </c>
      <c r="E509" s="67">
        <f ca="1" t="shared" si="45"/>
        <v>478</v>
      </c>
      <c r="F509" s="67">
        <f ca="1" t="shared" si="46"/>
        <v>0</v>
      </c>
      <c r="G509" s="67">
        <f ca="1" t="shared" si="47"/>
        <v>0</v>
      </c>
      <c r="H509" s="67" cm="1">
        <f ca="1" t="array" ref="H509">MIN(30-SUM(I509:L509),_xlfn.XLOOKUP($D509&amp;"_"&amp;H$61,$B$23:$B$45&amp;"_"&amp;$C$23:$C$45,$D$23:$D$45)*$E509,18)</f>
        <v>15.8787781622453</v>
      </c>
      <c r="I509" s="67" cm="1">
        <f ca="1" t="array" ref="I509">MIN(30-SUM(J509:L509),6-L509,_xlfn.XLOOKUP($D509&amp;"_"&amp;I$61,$B$23:$B$45&amp;"_"&amp;$C$23:$C$45,$D$23:$D$45)*$E509)</f>
        <v>3.10939561707036</v>
      </c>
      <c r="J509" s="67" cm="1">
        <f ca="1" t="array" ref="J509">MIN(8,_xlfn.XLOOKUP($D509&amp;"_"&amp;J$61,$B$23:$B$45&amp;"_"&amp;$C$23:$C$45,$D$23:$D$45)*$E509)</f>
        <v>6.19415224913494</v>
      </c>
      <c r="K509" s="67" cm="1">
        <f ca="1" t="array" ref="K509">MIN(18,_xlfn.XLOOKUP($D509&amp;"_"&amp;K$61,$B$23:$B$45&amp;"_"&amp;$C$23:$C$45,$D$23:$D$45)*$E509)</f>
        <v>1.92706958861976</v>
      </c>
      <c r="L509" s="67" cm="1">
        <f ca="1" t="array" ref="L509">MIN(6,_xlfn.XLOOKUP($D509&amp;"_"&amp;L$61,$B$23:$B$45&amp;"_"&amp;$C$23:$C$45,$D$23:$D$45)*$E509)</f>
        <v>2.89060438292964</v>
      </c>
      <c r="M509" s="67" cm="1">
        <f ca="1" t="array" ref="M509">(1+SUMPRODUCT(G509:H509,OFFSET($H$49:$I$49,D509,0)))*(1+OFFSET($J$49,D509,0))^I509*(1+OFFSET($K$49,D509,0))^J509*(1+OFFSET($L$49,D509,0))^K509*(1+OFFSET($M$49,D509,0))^L509</f>
        <v>147.924202891381</v>
      </c>
      <c r="N509" s="67">
        <f ca="1">MAX(MAX($N$62:N508),OFFSET($C$61,MATCH(M509*1.07,$M$62:$M$2061,1),0)-C509)</f>
        <v>6120</v>
      </c>
    </row>
    <row r="510" spans="2:14">
      <c r="B510" s="67">
        <v>449</v>
      </c>
      <c r="C510" s="67">
        <f t="shared" si="48"/>
        <v>161640</v>
      </c>
      <c r="D510" s="67">
        <f t="shared" si="44"/>
        <v>5</v>
      </c>
      <c r="E510" s="67">
        <f ca="1" t="shared" si="45"/>
        <v>479</v>
      </c>
      <c r="F510" s="67">
        <f ca="1" t="shared" si="46"/>
        <v>0</v>
      </c>
      <c r="G510" s="67">
        <f ca="1" t="shared" si="47"/>
        <v>0</v>
      </c>
      <c r="H510" s="67" cm="1">
        <f ca="1" t="array" ref="H510">MIN(30-SUM(I510:L510),_xlfn.XLOOKUP($D510&amp;"_"&amp;H$61,$B$23:$B$45&amp;"_"&amp;$C$23:$C$45,$D$23:$D$45)*$E510,18)</f>
        <v>15.8617881584006</v>
      </c>
      <c r="I510" s="67" cm="1">
        <f ca="1" t="array" ref="I510">MIN(30-SUM(J510:L510),6-L510,_xlfn.XLOOKUP($D510&amp;"_"&amp;I$61,$B$23:$B$45&amp;"_"&amp;$C$23:$C$45,$D$23:$D$45)*$E510)</f>
        <v>3.10334832756632</v>
      </c>
      <c r="J510" s="67" cm="1">
        <f ca="1" t="array" ref="J510">MIN(8,_xlfn.XLOOKUP($D510&amp;"_"&amp;J$61,$B$23:$B$45&amp;"_"&amp;$C$23:$C$45,$D$23:$D$45)*$E510)</f>
        <v>6.20711072664359</v>
      </c>
      <c r="K510" s="67" cm="1">
        <f ca="1" t="array" ref="K510">MIN(18,_xlfn.XLOOKUP($D510&amp;"_"&amp;K$61,$B$23:$B$45&amp;"_"&amp;$C$23:$C$45,$D$23:$D$45)*$E510)</f>
        <v>1.93110111495579</v>
      </c>
      <c r="L510" s="67" cm="1">
        <f ca="1" t="array" ref="L510">MIN(6,_xlfn.XLOOKUP($D510&amp;"_"&amp;L$61,$B$23:$B$45&amp;"_"&amp;$C$23:$C$45,$D$23:$D$45)*$E510)</f>
        <v>2.89665167243368</v>
      </c>
      <c r="M510" s="67" cm="1">
        <f ca="1" t="array" ref="M510">(1+SUMPRODUCT(G510:H510,OFFSET($H$49:$I$49,D510,0)))*(1+OFFSET($J$49,D510,0))^I510*(1+OFFSET($K$49,D510,0))^J510*(1+OFFSET($L$49,D510,0))^K510*(1+OFFSET($M$49,D510,0))^L510</f>
        <v>148.494533803499</v>
      </c>
      <c r="N510" s="67">
        <f ca="1">MAX(MAX($N$62:N509),OFFSET($C$61,MATCH(M510*1.07,$M$62:$M$2061,1),0)-C510)</f>
        <v>6120</v>
      </c>
    </row>
    <row r="511" spans="2:14">
      <c r="B511" s="67">
        <v>450</v>
      </c>
      <c r="C511" s="67">
        <f t="shared" si="48"/>
        <v>162000</v>
      </c>
      <c r="D511" s="67">
        <f t="shared" ref="D511:D574" si="49">_xlfn.XLOOKUP("非R",$B$49:$B$54,$C$49:$C$54)</f>
        <v>5</v>
      </c>
      <c r="E511" s="67">
        <f ca="1" t="shared" ref="E511:E574" si="50">INT(C511/_xlfn.XLOOKUP(D511,$R$14:$R$21,$S$14:$S$21))+OFFSET($R$49,D511,0)</f>
        <v>480</v>
      </c>
      <c r="F511" s="67">
        <f ca="1" t="shared" si="46"/>
        <v>0</v>
      </c>
      <c r="G511" s="67">
        <f ca="1" t="shared" si="47"/>
        <v>0</v>
      </c>
      <c r="H511" s="67" cm="1">
        <f ca="1" t="array" ref="H511">MIN(30-SUM(I511:L511),_xlfn.XLOOKUP($D511&amp;"_"&amp;H$61,$B$23:$B$45&amp;"_"&amp;$C$23:$C$45,$D$23:$D$45)*$E511,18)</f>
        <v>15.8447981545559</v>
      </c>
      <c r="I511" s="67" cm="1">
        <f ca="1" t="array" ref="I511">MIN(30-SUM(J511:L511),6-L511,_xlfn.XLOOKUP($D511&amp;"_"&amp;I$61,$B$23:$B$45&amp;"_"&amp;$C$23:$C$45,$D$23:$D$45)*$E511)</f>
        <v>3.09730103806228</v>
      </c>
      <c r="J511" s="67" cm="1">
        <f ca="1" t="array" ref="J511">MIN(8,_xlfn.XLOOKUP($D511&amp;"_"&amp;J$61,$B$23:$B$45&amp;"_"&amp;$C$23:$C$45,$D$23:$D$45)*$E511)</f>
        <v>6.22006920415224</v>
      </c>
      <c r="K511" s="67" cm="1">
        <f ca="1" t="array" ref="K511">MIN(18,_xlfn.XLOOKUP($D511&amp;"_"&amp;K$61,$B$23:$B$45&amp;"_"&amp;$C$23:$C$45,$D$23:$D$45)*$E511)</f>
        <v>1.93513264129181</v>
      </c>
      <c r="L511" s="67" cm="1">
        <f ca="1" t="array" ref="L511">MIN(6,_xlfn.XLOOKUP($D511&amp;"_"&amp;L$61,$B$23:$B$45&amp;"_"&amp;$C$23:$C$45,$D$23:$D$45)*$E511)</f>
        <v>2.90269896193772</v>
      </c>
      <c r="M511" s="67" cm="1">
        <f ca="1" t="array" ref="M511">(1+SUMPRODUCT(G511:H511,OFFSET($H$49:$I$49,D511,0)))*(1+OFFSET($J$49,D511,0))^I511*(1+OFFSET($K$49,D511,0))^J511*(1+OFFSET($L$49,D511,0))^K511*(1+OFFSET($M$49,D511,0))^L511</f>
        <v>149.066964791479</v>
      </c>
      <c r="N511" s="67">
        <f ca="1">MAX(MAX($N$62:N510),OFFSET($C$61,MATCH(M511*1.07,$M$62:$M$2061,1),0)-C511)</f>
        <v>6120</v>
      </c>
    </row>
    <row r="512" spans="2:14">
      <c r="B512" s="67">
        <v>451</v>
      </c>
      <c r="C512" s="67">
        <f t="shared" si="48"/>
        <v>162360</v>
      </c>
      <c r="D512" s="67">
        <f t="shared" si="49"/>
        <v>5</v>
      </c>
      <c r="E512" s="67">
        <f ca="1" t="shared" si="50"/>
        <v>481</v>
      </c>
      <c r="F512" s="67">
        <f ca="1" t="shared" ref="F512:F575" si="51">30-SUM(G512:L512)</f>
        <v>0</v>
      </c>
      <c r="G512" s="67">
        <f ca="1" t="shared" ref="G512:G575" si="52">30-SUM(H512:L512)</f>
        <v>0</v>
      </c>
      <c r="H512" s="67" cm="1">
        <f ca="1" t="array" ref="H512">MIN(30-SUM(I512:L512),_xlfn.XLOOKUP($D512&amp;"_"&amp;H$61,$B$23:$B$45&amp;"_"&amp;$C$23:$C$45,$D$23:$D$45)*$E512,18)</f>
        <v>15.8278081507113</v>
      </c>
      <c r="I512" s="67" cm="1">
        <f ca="1" t="array" ref="I512">MIN(30-SUM(J512:L512),6-L512,_xlfn.XLOOKUP($D512&amp;"_"&amp;I$61,$B$23:$B$45&amp;"_"&amp;$C$23:$C$45,$D$23:$D$45)*$E512)</f>
        <v>3.09125374855825</v>
      </c>
      <c r="J512" s="67" cm="1">
        <f ca="1" t="array" ref="J512">MIN(8,_xlfn.XLOOKUP($D512&amp;"_"&amp;J$61,$B$23:$B$45&amp;"_"&amp;$C$23:$C$45,$D$23:$D$45)*$E512)</f>
        <v>6.23302768166089</v>
      </c>
      <c r="K512" s="67" cm="1">
        <f ca="1" t="array" ref="K512">MIN(18,_xlfn.XLOOKUP($D512&amp;"_"&amp;K$61,$B$23:$B$45&amp;"_"&amp;$C$23:$C$45,$D$23:$D$45)*$E512)</f>
        <v>1.93916416762784</v>
      </c>
      <c r="L512" s="67" cm="1">
        <f ca="1" t="array" ref="L512">MIN(6,_xlfn.XLOOKUP($D512&amp;"_"&amp;L$61,$B$23:$B$45&amp;"_"&amp;$C$23:$C$45,$D$23:$D$45)*$E512)</f>
        <v>2.90874625144175</v>
      </c>
      <c r="M512" s="67" cm="1">
        <f ca="1" t="array" ref="M512">(1+SUMPRODUCT(G512:H512,OFFSET($H$49:$I$49,D512,0)))*(1+OFFSET($J$49,D512,0))^I512*(1+OFFSET($K$49,D512,0))^J512*(1+OFFSET($L$49,D512,0))^K512*(1+OFFSET($M$49,D512,0))^L512</f>
        <v>149.641503028229</v>
      </c>
      <c r="N512" s="67">
        <f ca="1">MAX(MAX($N$62:N511),OFFSET($C$61,MATCH(M512*1.07,$M$62:$M$2061,1),0)-C512)</f>
        <v>6120</v>
      </c>
    </row>
    <row r="513" spans="2:14">
      <c r="B513" s="67">
        <v>452</v>
      </c>
      <c r="C513" s="67">
        <f t="shared" si="48"/>
        <v>162720</v>
      </c>
      <c r="D513" s="67">
        <f t="shared" si="49"/>
        <v>5</v>
      </c>
      <c r="E513" s="67">
        <f ca="1" t="shared" si="50"/>
        <v>482</v>
      </c>
      <c r="F513" s="67">
        <f ca="1" t="shared" si="51"/>
        <v>0</v>
      </c>
      <c r="G513" s="67">
        <f ca="1" t="shared" si="52"/>
        <v>0</v>
      </c>
      <c r="H513" s="67" cm="1">
        <f ca="1" t="array" ref="H513">MIN(30-SUM(I513:L513),_xlfn.XLOOKUP($D513&amp;"_"&amp;H$61,$B$23:$B$45&amp;"_"&amp;$C$23:$C$45,$D$23:$D$45)*$E513,18)</f>
        <v>15.8108181468666</v>
      </c>
      <c r="I513" s="67" cm="1">
        <f ca="1" t="array" ref="I513">MIN(30-SUM(J513:L513),6-L513,_xlfn.XLOOKUP($D513&amp;"_"&amp;I$61,$B$23:$B$45&amp;"_"&amp;$C$23:$C$45,$D$23:$D$45)*$E513)</f>
        <v>3.08520645905421</v>
      </c>
      <c r="J513" s="67" cm="1">
        <f ca="1" t="array" ref="J513">MIN(8,_xlfn.XLOOKUP($D513&amp;"_"&amp;J$61,$B$23:$B$45&amp;"_"&amp;$C$23:$C$45,$D$23:$D$45)*$E513)</f>
        <v>6.24598615916954</v>
      </c>
      <c r="K513" s="67" cm="1">
        <f ca="1" t="array" ref="K513">MIN(18,_xlfn.XLOOKUP($D513&amp;"_"&amp;K$61,$B$23:$B$45&amp;"_"&amp;$C$23:$C$45,$D$23:$D$45)*$E513)</f>
        <v>1.94319569396386</v>
      </c>
      <c r="L513" s="67" cm="1">
        <f ca="1" t="array" ref="L513">MIN(6,_xlfn.XLOOKUP($D513&amp;"_"&amp;L$61,$B$23:$B$45&amp;"_"&amp;$C$23:$C$45,$D$23:$D$45)*$E513)</f>
        <v>2.91479354094579</v>
      </c>
      <c r="M513" s="67" cm="1">
        <f ca="1" t="array" ref="M513">(1+SUMPRODUCT(G513:H513,OFFSET($H$49:$I$49,D513,0)))*(1+OFFSET($J$49,D513,0))^I513*(1+OFFSET($K$49,D513,0))^J513*(1+OFFSET($L$49,D513,0))^K513*(1+OFFSET($M$49,D513,0))^L513</f>
        <v>150.218155707839</v>
      </c>
      <c r="N513" s="67">
        <f ca="1">MAX(MAX($N$62:N512),OFFSET($C$61,MATCH(M513*1.07,$M$62:$M$2061,1),0)-C513)</f>
        <v>6120</v>
      </c>
    </row>
    <row r="514" spans="2:14">
      <c r="B514" s="67">
        <v>453</v>
      </c>
      <c r="C514" s="67">
        <f t="shared" si="48"/>
        <v>163080</v>
      </c>
      <c r="D514" s="67">
        <f t="shared" si="49"/>
        <v>5</v>
      </c>
      <c r="E514" s="67">
        <f ca="1" t="shared" si="50"/>
        <v>483</v>
      </c>
      <c r="F514" s="67">
        <f ca="1" t="shared" si="51"/>
        <v>0</v>
      </c>
      <c r="G514" s="67">
        <f ca="1" t="shared" si="52"/>
        <v>0</v>
      </c>
      <c r="H514" s="67" cm="1">
        <f ca="1" t="array" ref="H514">MIN(30-SUM(I514:L514),_xlfn.XLOOKUP($D514&amp;"_"&amp;H$61,$B$23:$B$45&amp;"_"&amp;$C$23:$C$45,$D$23:$D$45)*$E514,18)</f>
        <v>15.7938281430219</v>
      </c>
      <c r="I514" s="67" cm="1">
        <f ca="1" t="array" ref="I514">MIN(30-SUM(J514:L514),6-L514,_xlfn.XLOOKUP($D514&amp;"_"&amp;I$61,$B$23:$B$45&amp;"_"&amp;$C$23:$C$45,$D$23:$D$45)*$E514)</f>
        <v>3.07915916955017</v>
      </c>
      <c r="J514" s="67" cm="1">
        <f ca="1" t="array" ref="J514">MIN(8,_xlfn.XLOOKUP($D514&amp;"_"&amp;J$61,$B$23:$B$45&amp;"_"&amp;$C$23:$C$45,$D$23:$D$45)*$E514)</f>
        <v>6.25894463667819</v>
      </c>
      <c r="K514" s="67" cm="1">
        <f ca="1" t="array" ref="K514">MIN(18,_xlfn.XLOOKUP($D514&amp;"_"&amp;K$61,$B$23:$B$45&amp;"_"&amp;$C$23:$C$45,$D$23:$D$45)*$E514)</f>
        <v>1.94722722029989</v>
      </c>
      <c r="L514" s="67" cm="1">
        <f ca="1" t="array" ref="L514">MIN(6,_xlfn.XLOOKUP($D514&amp;"_"&amp;L$61,$B$23:$B$45&amp;"_"&amp;$C$23:$C$45,$D$23:$D$45)*$E514)</f>
        <v>2.92084083044983</v>
      </c>
      <c r="M514" s="67" cm="1">
        <f ca="1" t="array" ref="M514">(1+SUMPRODUCT(G514:H514,OFFSET($H$49:$I$49,D514,0)))*(1+OFFSET($J$49,D514,0))^I514*(1+OFFSET($K$49,D514,0))^J514*(1+OFFSET($L$49,D514,0))^K514*(1+OFFSET($M$49,D514,0))^L514</f>
        <v>150.796930045614</v>
      </c>
      <c r="N514" s="67">
        <f ca="1">MAX(MAX($N$62:N513),OFFSET($C$61,MATCH(M514*1.07,$M$62:$M$2061,1),0)-C514)</f>
        <v>6120</v>
      </c>
    </row>
    <row r="515" spans="2:14">
      <c r="B515" s="67">
        <v>454</v>
      </c>
      <c r="C515" s="67">
        <f t="shared" si="48"/>
        <v>163440</v>
      </c>
      <c r="D515" s="67">
        <f t="shared" si="49"/>
        <v>5</v>
      </c>
      <c r="E515" s="67">
        <f ca="1" t="shared" si="50"/>
        <v>484</v>
      </c>
      <c r="F515" s="67">
        <f ca="1" t="shared" si="51"/>
        <v>0</v>
      </c>
      <c r="G515" s="67">
        <f ca="1" t="shared" si="52"/>
        <v>0</v>
      </c>
      <c r="H515" s="67" cm="1">
        <f ca="1" t="array" ref="H515">MIN(30-SUM(I515:L515),_xlfn.XLOOKUP($D515&amp;"_"&amp;H$61,$B$23:$B$45&amp;"_"&amp;$C$23:$C$45,$D$23:$D$45)*$E515,18)</f>
        <v>15.7768381391772</v>
      </c>
      <c r="I515" s="67" cm="1">
        <f ca="1" t="array" ref="I515">MIN(30-SUM(J515:L515),6-L515,_xlfn.XLOOKUP($D515&amp;"_"&amp;I$61,$B$23:$B$45&amp;"_"&amp;$C$23:$C$45,$D$23:$D$45)*$E515)</f>
        <v>3.07311188004614</v>
      </c>
      <c r="J515" s="67" cm="1">
        <f ca="1" t="array" ref="J515">MIN(8,_xlfn.XLOOKUP($D515&amp;"_"&amp;J$61,$B$23:$B$45&amp;"_"&amp;$C$23:$C$45,$D$23:$D$45)*$E515)</f>
        <v>6.27190311418684</v>
      </c>
      <c r="K515" s="67" cm="1">
        <f ca="1" t="array" ref="K515">MIN(18,_xlfn.XLOOKUP($D515&amp;"_"&amp;K$61,$B$23:$B$45&amp;"_"&amp;$C$23:$C$45,$D$23:$D$45)*$E515)</f>
        <v>1.95125874663591</v>
      </c>
      <c r="L515" s="67" cm="1">
        <f ca="1" t="array" ref="L515">MIN(6,_xlfn.XLOOKUP($D515&amp;"_"&amp;L$61,$B$23:$B$45&amp;"_"&amp;$C$23:$C$45,$D$23:$D$45)*$E515)</f>
        <v>2.92688811995386</v>
      </c>
      <c r="M515" s="67" cm="1">
        <f ca="1" t="array" ref="M515">(1+SUMPRODUCT(G515:H515,OFFSET($H$49:$I$49,D515,0)))*(1+OFFSET($J$49,D515,0))^I515*(1+OFFSET($K$49,D515,0))^J515*(1+OFFSET($L$49,D515,0))^K515*(1+OFFSET($M$49,D515,0))^L515</f>
        <v>151.377833278123</v>
      </c>
      <c r="N515" s="67">
        <f ca="1">MAX(MAX($N$62:N514),OFFSET($C$61,MATCH(M515*1.07,$M$62:$M$2061,1),0)-C515)</f>
        <v>6120</v>
      </c>
    </row>
    <row r="516" spans="2:14">
      <c r="B516" s="67">
        <v>455</v>
      </c>
      <c r="C516" s="67">
        <f t="shared" si="48"/>
        <v>163800</v>
      </c>
      <c r="D516" s="67">
        <f t="shared" si="49"/>
        <v>5</v>
      </c>
      <c r="E516" s="67">
        <f ca="1" t="shared" si="50"/>
        <v>485</v>
      </c>
      <c r="F516" s="67">
        <f ca="1" t="shared" si="51"/>
        <v>0</v>
      </c>
      <c r="G516" s="67">
        <f ca="1" t="shared" si="52"/>
        <v>0</v>
      </c>
      <c r="H516" s="67" cm="1">
        <f ca="1" t="array" ref="H516">MIN(30-SUM(I516:L516),_xlfn.XLOOKUP($D516&amp;"_"&amp;H$61,$B$23:$B$45&amp;"_"&amp;$C$23:$C$45,$D$23:$D$45)*$E516,18)</f>
        <v>15.7598481353326</v>
      </c>
      <c r="I516" s="67" cm="1">
        <f ca="1" t="array" ref="I516">MIN(30-SUM(J516:L516),6-L516,_xlfn.XLOOKUP($D516&amp;"_"&amp;I$61,$B$23:$B$45&amp;"_"&amp;$C$23:$C$45,$D$23:$D$45)*$E516)</f>
        <v>3.0670645905421</v>
      </c>
      <c r="J516" s="67" cm="1">
        <f ca="1" t="array" ref="J516">MIN(8,_xlfn.XLOOKUP($D516&amp;"_"&amp;J$61,$B$23:$B$45&amp;"_"&amp;$C$23:$C$45,$D$23:$D$45)*$E516)</f>
        <v>6.28486159169549</v>
      </c>
      <c r="K516" s="67" cm="1">
        <f ca="1" t="array" ref="K516">MIN(18,_xlfn.XLOOKUP($D516&amp;"_"&amp;K$61,$B$23:$B$45&amp;"_"&amp;$C$23:$C$45,$D$23:$D$45)*$E516)</f>
        <v>1.95529027297194</v>
      </c>
      <c r="L516" s="67" cm="1">
        <f ca="1" t="array" ref="L516">MIN(6,_xlfn.XLOOKUP($D516&amp;"_"&amp;L$61,$B$23:$B$45&amp;"_"&amp;$C$23:$C$45,$D$23:$D$45)*$E516)</f>
        <v>2.9329354094579</v>
      </c>
      <c r="M516" s="67" cm="1">
        <f ca="1" t="array" ref="M516">(1+SUMPRODUCT(G516:H516,OFFSET($H$49:$I$49,D516,0)))*(1+OFFSET($J$49,D516,0))^I516*(1+OFFSET($K$49,D516,0))^J516*(1+OFFSET($L$49,D516,0))^K516*(1+OFFSET($M$49,D516,0))^L516</f>
        <v>151.960872663236</v>
      </c>
      <c r="N516" s="67">
        <f ca="1">MAX(MAX($N$62:N515),OFFSET($C$61,MATCH(M516*1.07,$M$62:$M$2061,1),0)-C516)</f>
        <v>6120</v>
      </c>
    </row>
    <row r="517" spans="2:14">
      <c r="B517" s="67">
        <v>456</v>
      </c>
      <c r="C517" s="67">
        <f t="shared" si="48"/>
        <v>164160</v>
      </c>
      <c r="D517" s="67">
        <f t="shared" si="49"/>
        <v>5</v>
      </c>
      <c r="E517" s="67">
        <f ca="1" t="shared" si="50"/>
        <v>486</v>
      </c>
      <c r="F517" s="67">
        <f ca="1" t="shared" si="51"/>
        <v>0</v>
      </c>
      <c r="G517" s="67">
        <f ca="1" t="shared" si="52"/>
        <v>0</v>
      </c>
      <c r="H517" s="67" cm="1">
        <f ca="1" t="array" ref="H517">MIN(30-SUM(I517:L517),_xlfn.XLOOKUP($D517&amp;"_"&amp;H$61,$B$23:$B$45&amp;"_"&amp;$C$23:$C$45,$D$23:$D$45)*$E517,18)</f>
        <v>15.7428581314879</v>
      </c>
      <c r="I517" s="67" cm="1">
        <f ca="1" t="array" ref="I517">MIN(30-SUM(J517:L517),6-L517,_xlfn.XLOOKUP($D517&amp;"_"&amp;I$61,$B$23:$B$45&amp;"_"&amp;$C$23:$C$45,$D$23:$D$45)*$E517)</f>
        <v>3.06101730103806</v>
      </c>
      <c r="J517" s="67" cm="1">
        <f ca="1" t="array" ref="J517">MIN(8,_xlfn.XLOOKUP($D517&amp;"_"&amp;J$61,$B$23:$B$45&amp;"_"&amp;$C$23:$C$45,$D$23:$D$45)*$E517)</f>
        <v>6.29782006920414</v>
      </c>
      <c r="K517" s="67" cm="1">
        <f ca="1" t="array" ref="K517">MIN(18,_xlfn.XLOOKUP($D517&amp;"_"&amp;K$61,$B$23:$B$45&amp;"_"&amp;$C$23:$C$45,$D$23:$D$45)*$E517)</f>
        <v>1.95932179930796</v>
      </c>
      <c r="L517" s="67" cm="1">
        <f ca="1" t="array" ref="L517">MIN(6,_xlfn.XLOOKUP($D517&amp;"_"&amp;L$61,$B$23:$B$45&amp;"_"&amp;$C$23:$C$45,$D$23:$D$45)*$E517)</f>
        <v>2.93898269896194</v>
      </c>
      <c r="M517" s="67" cm="1">
        <f ca="1" t="array" ref="M517">(1+SUMPRODUCT(G517:H517,OFFSET($H$49:$I$49,D517,0)))*(1+OFFSET($J$49,D517,0))^I517*(1+OFFSET($K$49,D517,0))^J517*(1+OFFSET($L$49,D517,0))^K517*(1+OFFSET($M$49,D517,0))^L517</f>
        <v>152.546055480165</v>
      </c>
      <c r="N517" s="67">
        <f ca="1">MAX(MAX($N$62:N516),OFFSET($C$61,MATCH(M517*1.07,$M$62:$M$2061,1),0)-C517)</f>
        <v>6120</v>
      </c>
    </row>
    <row r="518" spans="2:14">
      <c r="B518" s="67">
        <v>457</v>
      </c>
      <c r="C518" s="67">
        <f t="shared" si="48"/>
        <v>164520</v>
      </c>
      <c r="D518" s="67">
        <f t="shared" si="49"/>
        <v>5</v>
      </c>
      <c r="E518" s="67">
        <f ca="1" t="shared" si="50"/>
        <v>487</v>
      </c>
      <c r="F518" s="67">
        <f ca="1" t="shared" si="51"/>
        <v>0</v>
      </c>
      <c r="G518" s="67">
        <f ca="1" t="shared" si="52"/>
        <v>0</v>
      </c>
      <c r="H518" s="67" cm="1">
        <f ca="1" t="array" ref="H518">MIN(30-SUM(I518:L518),_xlfn.XLOOKUP($D518&amp;"_"&amp;H$61,$B$23:$B$45&amp;"_"&amp;$C$23:$C$45,$D$23:$D$45)*$E518,18)</f>
        <v>15.7258681276432</v>
      </c>
      <c r="I518" s="67" cm="1">
        <f ca="1" t="array" ref="I518">MIN(30-SUM(J518:L518),6-L518,_xlfn.XLOOKUP($D518&amp;"_"&amp;I$61,$B$23:$B$45&amp;"_"&amp;$C$23:$C$45,$D$23:$D$45)*$E518)</f>
        <v>3.05497001153402</v>
      </c>
      <c r="J518" s="67" cm="1">
        <f ca="1" t="array" ref="J518">MIN(8,_xlfn.XLOOKUP($D518&amp;"_"&amp;J$61,$B$23:$B$45&amp;"_"&amp;$C$23:$C$45,$D$23:$D$45)*$E518)</f>
        <v>6.31077854671279</v>
      </c>
      <c r="K518" s="67" cm="1">
        <f ca="1" t="array" ref="K518">MIN(18,_xlfn.XLOOKUP($D518&amp;"_"&amp;K$61,$B$23:$B$45&amp;"_"&amp;$C$23:$C$45,$D$23:$D$45)*$E518)</f>
        <v>1.96335332564399</v>
      </c>
      <c r="L518" s="67" cm="1">
        <f ca="1" t="array" ref="L518">MIN(6,_xlfn.XLOOKUP($D518&amp;"_"&amp;L$61,$B$23:$B$45&amp;"_"&amp;$C$23:$C$45,$D$23:$D$45)*$E518)</f>
        <v>2.94502998846598</v>
      </c>
      <c r="M518" s="67" cm="1">
        <f ca="1" t="array" ref="M518">(1+SUMPRODUCT(G518:H518,OFFSET($H$49:$I$49,D518,0)))*(1+OFFSET($J$49,D518,0))^I518*(1+OFFSET($K$49,D518,0))^J518*(1+OFFSET($L$49,D518,0))^K518*(1+OFFSET($M$49,D518,0))^L518</f>
        <v>153.133389029507</v>
      </c>
      <c r="N518" s="67">
        <f ca="1">MAX(MAX($N$62:N517),OFFSET($C$61,MATCH(M518*1.07,$M$62:$M$2061,1),0)-C518)</f>
        <v>6120</v>
      </c>
    </row>
    <row r="519" spans="2:14">
      <c r="B519" s="67">
        <v>458</v>
      </c>
      <c r="C519" s="67">
        <f t="shared" si="48"/>
        <v>164880</v>
      </c>
      <c r="D519" s="67">
        <f t="shared" si="49"/>
        <v>5</v>
      </c>
      <c r="E519" s="67">
        <f ca="1" t="shared" si="50"/>
        <v>488</v>
      </c>
      <c r="F519" s="67">
        <f ca="1" t="shared" si="51"/>
        <v>0</v>
      </c>
      <c r="G519" s="67">
        <f ca="1" t="shared" si="52"/>
        <v>0</v>
      </c>
      <c r="H519" s="67" cm="1">
        <f ca="1" t="array" ref="H519">MIN(30-SUM(I519:L519),_xlfn.XLOOKUP($D519&amp;"_"&amp;H$61,$B$23:$B$45&amp;"_"&amp;$C$23:$C$45,$D$23:$D$45)*$E519,18)</f>
        <v>15.7088781237985</v>
      </c>
      <c r="I519" s="67" cm="1">
        <f ca="1" t="array" ref="I519">MIN(30-SUM(J519:L519),6-L519,_xlfn.XLOOKUP($D519&amp;"_"&amp;I$61,$B$23:$B$45&amp;"_"&amp;$C$23:$C$45,$D$23:$D$45)*$E519)</f>
        <v>3.04892272202999</v>
      </c>
      <c r="J519" s="67" cm="1">
        <f ca="1" t="array" ref="J519">MIN(8,_xlfn.XLOOKUP($D519&amp;"_"&amp;J$61,$B$23:$B$45&amp;"_"&amp;$C$23:$C$45,$D$23:$D$45)*$E519)</f>
        <v>6.32373702422144</v>
      </c>
      <c r="K519" s="67" cm="1">
        <f ca="1" t="array" ref="K519">MIN(18,_xlfn.XLOOKUP($D519&amp;"_"&amp;K$61,$B$23:$B$45&amp;"_"&amp;$C$23:$C$45,$D$23:$D$45)*$E519)</f>
        <v>1.96738485198001</v>
      </c>
      <c r="L519" s="67" cm="1">
        <f ca="1" t="array" ref="L519">MIN(6,_xlfn.XLOOKUP($D519&amp;"_"&amp;L$61,$B$23:$B$45&amp;"_"&amp;$C$23:$C$45,$D$23:$D$45)*$E519)</f>
        <v>2.95107727797001</v>
      </c>
      <c r="M519" s="67" cm="1">
        <f ca="1" t="array" ref="M519">(1+SUMPRODUCT(G519:H519,OFFSET($H$49:$I$49,D519,0)))*(1+OFFSET($J$49,D519,0))^I519*(1+OFFSET($K$49,D519,0))^J519*(1+OFFSET($L$49,D519,0))^K519*(1+OFFSET($M$49,D519,0))^L519</f>
        <v>153.722880633283</v>
      </c>
      <c r="N519" s="67">
        <f ca="1">MAX(MAX($N$62:N518),OFFSET($C$61,MATCH(M519*1.07,$M$62:$M$2061,1),0)-C519)</f>
        <v>6120</v>
      </c>
    </row>
    <row r="520" spans="2:14">
      <c r="B520" s="67">
        <v>459</v>
      </c>
      <c r="C520" s="67">
        <f t="shared" si="48"/>
        <v>165240</v>
      </c>
      <c r="D520" s="67">
        <f t="shared" si="49"/>
        <v>5</v>
      </c>
      <c r="E520" s="67">
        <f ca="1" t="shared" si="50"/>
        <v>489</v>
      </c>
      <c r="F520" s="67">
        <f ca="1" t="shared" si="51"/>
        <v>0</v>
      </c>
      <c r="G520" s="67">
        <f ca="1" t="shared" si="52"/>
        <v>0</v>
      </c>
      <c r="H520" s="67" cm="1">
        <f ca="1" t="array" ref="H520">MIN(30-SUM(I520:L520),_xlfn.XLOOKUP($D520&amp;"_"&amp;H$61,$B$23:$B$45&amp;"_"&amp;$C$23:$C$45,$D$23:$D$45)*$E520,18)</f>
        <v>15.6918881199539</v>
      </c>
      <c r="I520" s="67" cm="1">
        <f ca="1" t="array" ref="I520">MIN(30-SUM(J520:L520),6-L520,_xlfn.XLOOKUP($D520&amp;"_"&amp;I$61,$B$23:$B$45&amp;"_"&amp;$C$23:$C$45,$D$23:$D$45)*$E520)</f>
        <v>3.04287543252595</v>
      </c>
      <c r="J520" s="67" cm="1">
        <f ca="1" t="array" ref="J520">MIN(8,_xlfn.XLOOKUP($D520&amp;"_"&amp;J$61,$B$23:$B$45&amp;"_"&amp;$C$23:$C$45,$D$23:$D$45)*$E520)</f>
        <v>6.33669550173009</v>
      </c>
      <c r="K520" s="67" cm="1">
        <f ca="1" t="array" ref="K520">MIN(18,_xlfn.XLOOKUP($D520&amp;"_"&amp;K$61,$B$23:$B$45&amp;"_"&amp;$C$23:$C$45,$D$23:$D$45)*$E520)</f>
        <v>1.97141637831603</v>
      </c>
      <c r="L520" s="67" cm="1">
        <f ca="1" t="array" ref="L520">MIN(6,_xlfn.XLOOKUP($D520&amp;"_"&amp;L$61,$B$23:$B$45&amp;"_"&amp;$C$23:$C$45,$D$23:$D$45)*$E520)</f>
        <v>2.95712456747405</v>
      </c>
      <c r="M520" s="67" cm="1">
        <f ca="1" t="array" ref="M520">(1+SUMPRODUCT(G520:H520,OFFSET($H$49:$I$49,D520,0)))*(1+OFFSET($J$49,D520,0))^I520*(1+OFFSET($K$49,D520,0))^J520*(1+OFFSET($L$49,D520,0))^K520*(1+OFFSET($M$49,D520,0))^L520</f>
        <v>154.31453763498</v>
      </c>
      <c r="N520" s="67">
        <f ca="1">MAX(MAX($N$62:N519),OFFSET($C$61,MATCH(M520*1.07,$M$62:$M$2061,1),0)-C520)</f>
        <v>6120</v>
      </c>
    </row>
    <row r="521" spans="2:14">
      <c r="B521" s="67">
        <v>460</v>
      </c>
      <c r="C521" s="67">
        <f t="shared" si="48"/>
        <v>165600</v>
      </c>
      <c r="D521" s="67">
        <f t="shared" si="49"/>
        <v>5</v>
      </c>
      <c r="E521" s="67">
        <f ca="1" t="shared" si="50"/>
        <v>490</v>
      </c>
      <c r="F521" s="67">
        <f ca="1" t="shared" si="51"/>
        <v>0</v>
      </c>
      <c r="G521" s="67">
        <f ca="1" t="shared" si="52"/>
        <v>0</v>
      </c>
      <c r="H521" s="67" cm="1">
        <f ca="1" t="array" ref="H521">MIN(30-SUM(I521:L521),_xlfn.XLOOKUP($D521&amp;"_"&amp;H$61,$B$23:$B$45&amp;"_"&amp;$C$23:$C$45,$D$23:$D$45)*$E521,18)</f>
        <v>15.6748981161092</v>
      </c>
      <c r="I521" s="67" cm="1">
        <f ca="1" t="array" ref="I521">MIN(30-SUM(J521:L521),6-L521,_xlfn.XLOOKUP($D521&amp;"_"&amp;I$61,$B$23:$B$45&amp;"_"&amp;$C$23:$C$45,$D$23:$D$45)*$E521)</f>
        <v>3.03682814302191</v>
      </c>
      <c r="J521" s="67" cm="1">
        <f ca="1" t="array" ref="J521">MIN(8,_xlfn.XLOOKUP($D521&amp;"_"&amp;J$61,$B$23:$B$45&amp;"_"&amp;$C$23:$C$45,$D$23:$D$45)*$E521)</f>
        <v>6.34965397923875</v>
      </c>
      <c r="K521" s="67" cm="1">
        <f ca="1" t="array" ref="K521">MIN(18,_xlfn.XLOOKUP($D521&amp;"_"&amp;K$61,$B$23:$B$45&amp;"_"&amp;$C$23:$C$45,$D$23:$D$45)*$E521)</f>
        <v>1.97544790465206</v>
      </c>
      <c r="L521" s="67" cm="1">
        <f ca="1" t="array" ref="L521">MIN(6,_xlfn.XLOOKUP($D521&amp;"_"&amp;L$61,$B$23:$B$45&amp;"_"&amp;$C$23:$C$45,$D$23:$D$45)*$E521)</f>
        <v>2.96317185697809</v>
      </c>
      <c r="M521" s="67" cm="1">
        <f ca="1" t="array" ref="M521">(1+SUMPRODUCT(G521:H521,OFFSET($H$49:$I$49,D521,0)))*(1+OFFSET($J$49,D521,0))^I521*(1+OFFSET($K$49,D521,0))^J521*(1+OFFSET($L$49,D521,0))^K521*(1+OFFSET($M$49,D521,0))^L521</f>
        <v>154.908367399592</v>
      </c>
      <c r="N521" s="67">
        <f ca="1">MAX(MAX($N$62:N520),OFFSET($C$61,MATCH(M521*1.07,$M$62:$M$2061,1),0)-C521)</f>
        <v>6120</v>
      </c>
    </row>
    <row r="522" spans="2:14">
      <c r="B522" s="67">
        <v>461</v>
      </c>
      <c r="C522" s="67">
        <f t="shared" ref="C522:C529" si="53">C521+360</f>
        <v>165960</v>
      </c>
      <c r="D522" s="67">
        <f t="shared" si="49"/>
        <v>5</v>
      </c>
      <c r="E522" s="67">
        <f ca="1" t="shared" si="50"/>
        <v>491</v>
      </c>
      <c r="F522" s="67">
        <f ca="1" t="shared" si="51"/>
        <v>0</v>
      </c>
      <c r="G522" s="67">
        <f ca="1" t="shared" si="52"/>
        <v>0</v>
      </c>
      <c r="H522" s="67" cm="1">
        <f ca="1" t="array" ref="H522">MIN(30-SUM(I522:L522),_xlfn.XLOOKUP($D522&amp;"_"&amp;H$61,$B$23:$B$45&amp;"_"&amp;$C$23:$C$45,$D$23:$D$45)*$E522,18)</f>
        <v>15.6579081122645</v>
      </c>
      <c r="I522" s="67" cm="1">
        <f ca="1" t="array" ref="I522">MIN(30-SUM(J522:L522),6-L522,_xlfn.XLOOKUP($D522&amp;"_"&amp;I$61,$B$23:$B$45&amp;"_"&amp;$C$23:$C$45,$D$23:$D$45)*$E522)</f>
        <v>3.03078085351788</v>
      </c>
      <c r="J522" s="67" cm="1">
        <f ca="1" t="array" ref="J522">MIN(8,_xlfn.XLOOKUP($D522&amp;"_"&amp;J$61,$B$23:$B$45&amp;"_"&amp;$C$23:$C$45,$D$23:$D$45)*$E522)</f>
        <v>6.36261245674739</v>
      </c>
      <c r="K522" s="67" cm="1">
        <f ca="1" t="array" ref="K522">MIN(18,_xlfn.XLOOKUP($D522&amp;"_"&amp;K$61,$B$23:$B$45&amp;"_"&amp;$C$23:$C$45,$D$23:$D$45)*$E522)</f>
        <v>1.97947943098808</v>
      </c>
      <c r="L522" s="67" cm="1">
        <f ca="1" t="array" ref="L522">MIN(6,_xlfn.XLOOKUP($D522&amp;"_"&amp;L$61,$B$23:$B$45&amp;"_"&amp;$C$23:$C$45,$D$23:$D$45)*$E522)</f>
        <v>2.96921914648212</v>
      </c>
      <c r="M522" s="67" cm="1">
        <f ca="1" t="array" ref="M522">(1+SUMPRODUCT(G522:H522,OFFSET($H$49:$I$49,D522,0)))*(1+OFFSET($J$49,D522,0))^I522*(1+OFFSET($K$49,D522,0))^J522*(1+OFFSET($L$49,D522,0))^K522*(1+OFFSET($M$49,D522,0))^L522</f>
        <v>155.50437731366</v>
      </c>
      <c r="N522" s="67">
        <f ca="1">MAX(MAX($N$62:N521),OFFSET($C$61,MATCH(M522*1.07,$M$62:$M$2061,1),0)-C522)</f>
        <v>6120</v>
      </c>
    </row>
    <row r="523" spans="2:14">
      <c r="B523" s="67">
        <v>462</v>
      </c>
      <c r="C523" s="67">
        <f t="shared" si="53"/>
        <v>166320</v>
      </c>
      <c r="D523" s="67">
        <f t="shared" si="49"/>
        <v>5</v>
      </c>
      <c r="E523" s="67">
        <f ca="1" t="shared" si="50"/>
        <v>492</v>
      </c>
      <c r="F523" s="67">
        <f ca="1" t="shared" si="51"/>
        <v>0</v>
      </c>
      <c r="G523" s="67">
        <f ca="1" t="shared" si="52"/>
        <v>0</v>
      </c>
      <c r="H523" s="67" cm="1">
        <f ca="1" t="array" ref="H523">MIN(30-SUM(I523:L523),_xlfn.XLOOKUP($D523&amp;"_"&amp;H$61,$B$23:$B$45&amp;"_"&amp;$C$23:$C$45,$D$23:$D$45)*$E523,18)</f>
        <v>15.6409181084198</v>
      </c>
      <c r="I523" s="67" cm="1">
        <f ca="1" t="array" ref="I523">MIN(30-SUM(J523:L523),6-L523,_xlfn.XLOOKUP($D523&amp;"_"&amp;I$61,$B$23:$B$45&amp;"_"&amp;$C$23:$C$45,$D$23:$D$45)*$E523)</f>
        <v>3.02473356401384</v>
      </c>
      <c r="J523" s="67" cm="1">
        <f ca="1" t="array" ref="J523">MIN(8,_xlfn.XLOOKUP($D523&amp;"_"&amp;J$61,$B$23:$B$45&amp;"_"&amp;$C$23:$C$45,$D$23:$D$45)*$E523)</f>
        <v>6.37557093425605</v>
      </c>
      <c r="K523" s="67" cm="1">
        <f ca="1" t="array" ref="K523">MIN(18,_xlfn.XLOOKUP($D523&amp;"_"&amp;K$61,$B$23:$B$45&amp;"_"&amp;$C$23:$C$45,$D$23:$D$45)*$E523)</f>
        <v>1.98351095732411</v>
      </c>
      <c r="L523" s="67" cm="1">
        <f ca="1" t="array" ref="L523">MIN(6,_xlfn.XLOOKUP($D523&amp;"_"&amp;L$61,$B$23:$B$45&amp;"_"&amp;$C$23:$C$45,$D$23:$D$45)*$E523)</f>
        <v>2.97526643598616</v>
      </c>
      <c r="M523" s="67" cm="1">
        <f ca="1" t="array" ref="M523">(1+SUMPRODUCT(G523:H523,OFFSET($H$49:$I$49,D523,0)))*(1+OFFSET($J$49,D523,0))^I523*(1+OFFSET($K$49,D523,0))^J523*(1+OFFSET($L$49,D523,0))^K523*(1+OFFSET($M$49,D523,0))^L523</f>
        <v>156.10257478531</v>
      </c>
      <c r="N523" s="67">
        <f ca="1">MAX(MAX($N$62:N522),OFFSET($C$61,MATCH(M523*1.07,$M$62:$M$2061,1),0)-C523)</f>
        <v>6120</v>
      </c>
    </row>
    <row r="524" spans="2:14">
      <c r="B524" s="67">
        <v>463</v>
      </c>
      <c r="C524" s="67">
        <f t="shared" si="53"/>
        <v>166680</v>
      </c>
      <c r="D524" s="67">
        <f t="shared" si="49"/>
        <v>5</v>
      </c>
      <c r="E524" s="67">
        <f ca="1" t="shared" si="50"/>
        <v>493</v>
      </c>
      <c r="F524" s="67">
        <f ca="1" t="shared" si="51"/>
        <v>0</v>
      </c>
      <c r="G524" s="67">
        <f ca="1" t="shared" si="52"/>
        <v>0</v>
      </c>
      <c r="H524" s="67" cm="1">
        <f ca="1" t="array" ref="H524">MIN(30-SUM(I524:L524),_xlfn.XLOOKUP($D524&amp;"_"&amp;H$61,$B$23:$B$45&amp;"_"&amp;$C$23:$C$45,$D$23:$D$45)*$E524,18)</f>
        <v>15.6239281045752</v>
      </c>
      <c r="I524" s="67" cm="1">
        <f ca="1" t="array" ref="I524">MIN(30-SUM(J524:L524),6-L524,_xlfn.XLOOKUP($D524&amp;"_"&amp;I$61,$B$23:$B$45&amp;"_"&amp;$C$23:$C$45,$D$23:$D$45)*$E524)</f>
        <v>3.0186862745098</v>
      </c>
      <c r="J524" s="67" cm="1">
        <f ca="1" t="array" ref="J524">MIN(8,_xlfn.XLOOKUP($D524&amp;"_"&amp;J$61,$B$23:$B$45&amp;"_"&amp;$C$23:$C$45,$D$23:$D$45)*$E524)</f>
        <v>6.3885294117647</v>
      </c>
      <c r="K524" s="67" cm="1">
        <f ca="1" t="array" ref="K524">MIN(18,_xlfn.XLOOKUP($D524&amp;"_"&amp;K$61,$B$23:$B$45&amp;"_"&amp;$C$23:$C$45,$D$23:$D$45)*$E524)</f>
        <v>1.98754248366013</v>
      </c>
      <c r="L524" s="67" cm="1">
        <f ca="1" t="array" ref="L524">MIN(6,_xlfn.XLOOKUP($D524&amp;"_"&amp;L$61,$B$23:$B$45&amp;"_"&amp;$C$23:$C$45,$D$23:$D$45)*$E524)</f>
        <v>2.9813137254902</v>
      </c>
      <c r="M524" s="67" cm="1">
        <f ca="1" t="array" ref="M524">(1+SUMPRODUCT(G524:H524,OFFSET($H$49:$I$49,D524,0)))*(1+OFFSET($J$49,D524,0))^I524*(1+OFFSET($K$49,D524,0))^J524*(1+OFFSET($L$49,D524,0))^K524*(1+OFFSET($M$49,D524,0))^L524</f>
        <v>156.702967244299</v>
      </c>
      <c r="N524" s="67">
        <f ca="1">MAX(MAX($N$62:N523),OFFSET($C$61,MATCH(M524*1.07,$M$62:$M$2061,1),0)-C524)</f>
        <v>6120</v>
      </c>
    </row>
    <row r="525" spans="2:14">
      <c r="B525" s="67">
        <v>464</v>
      </c>
      <c r="C525" s="67">
        <f t="shared" si="53"/>
        <v>167040</v>
      </c>
      <c r="D525" s="67">
        <f t="shared" si="49"/>
        <v>5</v>
      </c>
      <c r="E525" s="67">
        <f ca="1" t="shared" si="50"/>
        <v>494</v>
      </c>
      <c r="F525" s="67">
        <f ca="1" t="shared" si="51"/>
        <v>0</v>
      </c>
      <c r="G525" s="67">
        <f ca="1" t="shared" si="52"/>
        <v>0</v>
      </c>
      <c r="H525" s="67" cm="1">
        <f ca="1" t="array" ref="H525">MIN(30-SUM(I525:L525),_xlfn.XLOOKUP($D525&amp;"_"&amp;H$61,$B$23:$B$45&amp;"_"&amp;$C$23:$C$45,$D$23:$D$45)*$E525,18)</f>
        <v>15.6069381007305</v>
      </c>
      <c r="I525" s="67" cm="1">
        <f ca="1" t="array" ref="I525">MIN(30-SUM(J525:L525),6-L525,_xlfn.XLOOKUP($D525&amp;"_"&amp;I$61,$B$23:$B$45&amp;"_"&amp;$C$23:$C$45,$D$23:$D$45)*$E525)</f>
        <v>3.01263898500577</v>
      </c>
      <c r="J525" s="67" cm="1">
        <f ca="1" t="array" ref="J525">MIN(8,_xlfn.XLOOKUP($D525&amp;"_"&amp;J$61,$B$23:$B$45&amp;"_"&amp;$C$23:$C$45,$D$23:$D$45)*$E525)</f>
        <v>6.40148788927335</v>
      </c>
      <c r="K525" s="67" cm="1">
        <f ca="1" t="array" ref="K525">MIN(18,_xlfn.XLOOKUP($D525&amp;"_"&amp;K$61,$B$23:$B$45&amp;"_"&amp;$C$23:$C$45,$D$23:$D$45)*$E525)</f>
        <v>1.99157400999616</v>
      </c>
      <c r="L525" s="67" cm="1">
        <f ca="1" t="array" ref="L525">MIN(6,_xlfn.XLOOKUP($D525&amp;"_"&amp;L$61,$B$23:$B$45&amp;"_"&amp;$C$23:$C$45,$D$23:$D$45)*$E525)</f>
        <v>2.98736101499423</v>
      </c>
      <c r="M525" s="67" cm="1">
        <f ca="1" t="array" ref="M525">(1+SUMPRODUCT(G525:H525,OFFSET($H$49:$I$49,D525,0)))*(1+OFFSET($J$49,D525,0))^I525*(1+OFFSET($K$49,D525,0))^J525*(1+OFFSET($L$49,D525,0))^K525*(1+OFFSET($M$49,D525,0))^L525</f>
        <v>157.305562142051</v>
      </c>
      <c r="N525" s="67">
        <f ca="1">MAX(MAX($N$62:N524),OFFSET($C$61,MATCH(M525*1.07,$M$62:$M$2061,1),0)-C525)</f>
        <v>6120</v>
      </c>
    </row>
    <row r="526" spans="2:14">
      <c r="B526" s="67">
        <v>465</v>
      </c>
      <c r="C526" s="67">
        <f t="shared" si="53"/>
        <v>167400</v>
      </c>
      <c r="D526" s="67">
        <f t="shared" si="49"/>
        <v>5</v>
      </c>
      <c r="E526" s="67">
        <f ca="1" t="shared" si="50"/>
        <v>495</v>
      </c>
      <c r="F526" s="67">
        <f ca="1" t="shared" si="51"/>
        <v>0</v>
      </c>
      <c r="G526" s="67">
        <f ca="1" t="shared" si="52"/>
        <v>0</v>
      </c>
      <c r="H526" s="67" cm="1">
        <f ca="1" t="array" ref="H526">MIN(30-SUM(I526:L526),_xlfn.XLOOKUP($D526&amp;"_"&amp;H$61,$B$23:$B$45&amp;"_"&amp;$C$23:$C$45,$D$23:$D$45)*$E526,18)</f>
        <v>15.5899480968858</v>
      </c>
      <c r="I526" s="67" cm="1">
        <f ca="1" t="array" ref="I526">MIN(30-SUM(J526:L526),6-L526,_xlfn.XLOOKUP($D526&amp;"_"&amp;I$61,$B$23:$B$45&amp;"_"&amp;$C$23:$C$45,$D$23:$D$45)*$E526)</f>
        <v>3.00659169550173</v>
      </c>
      <c r="J526" s="67" cm="1">
        <f ca="1" t="array" ref="J526">MIN(8,_xlfn.XLOOKUP($D526&amp;"_"&amp;J$61,$B$23:$B$45&amp;"_"&amp;$C$23:$C$45,$D$23:$D$45)*$E526)</f>
        <v>6.414446366782</v>
      </c>
      <c r="K526" s="67" cm="1">
        <f ca="1" t="array" ref="K526">MIN(18,_xlfn.XLOOKUP($D526&amp;"_"&amp;K$61,$B$23:$B$45&amp;"_"&amp;$C$23:$C$45,$D$23:$D$45)*$E526)</f>
        <v>1.99560553633218</v>
      </c>
      <c r="L526" s="67" cm="1">
        <f ca="1" t="array" ref="L526">MIN(6,_xlfn.XLOOKUP($D526&amp;"_"&amp;L$61,$B$23:$B$45&amp;"_"&amp;$C$23:$C$45,$D$23:$D$45)*$E526)</f>
        <v>2.99340830449827</v>
      </c>
      <c r="M526" s="67" cm="1">
        <f ca="1" t="array" ref="M526">(1+SUMPRODUCT(G526:H526,OFFSET($H$49:$I$49,D526,0)))*(1+OFFSET($J$49,D526,0))^I526*(1+OFFSET($K$49,D526,0))^J526*(1+OFFSET($L$49,D526,0))^K526*(1+OFFSET($M$49,D526,0))^L526</f>
        <v>157.9103669517</v>
      </c>
      <c r="N526" s="67">
        <f ca="1">MAX(MAX($N$62:N525),OFFSET($C$61,MATCH(M526*1.07,$M$62:$M$2061,1),0)-C526)</f>
        <v>6120</v>
      </c>
    </row>
    <row r="527" spans="2:14">
      <c r="B527" s="67">
        <v>466</v>
      </c>
      <c r="C527" s="67">
        <f t="shared" si="53"/>
        <v>167760</v>
      </c>
      <c r="D527" s="67">
        <f t="shared" si="49"/>
        <v>5</v>
      </c>
      <c r="E527" s="67">
        <f ca="1" t="shared" si="50"/>
        <v>496</v>
      </c>
      <c r="F527" s="67">
        <f ca="1" t="shared" si="51"/>
        <v>0</v>
      </c>
      <c r="G527" s="67">
        <f ca="1" t="shared" si="52"/>
        <v>0</v>
      </c>
      <c r="H527" s="67" cm="1">
        <f ca="1" t="array" ref="H527">MIN(30-SUM(I527:L527),_xlfn.XLOOKUP($D527&amp;"_"&amp;H$61,$B$23:$B$45&amp;"_"&amp;$C$23:$C$45,$D$23:$D$45)*$E527,18)</f>
        <v>15.5729580930411</v>
      </c>
      <c r="I527" s="67" cm="1">
        <f ca="1" t="array" ref="I527">MIN(30-SUM(J527:L527),6-L527,_xlfn.XLOOKUP($D527&amp;"_"&amp;I$61,$B$23:$B$45&amp;"_"&amp;$C$23:$C$45,$D$23:$D$45)*$E527)</f>
        <v>3.00054440599769</v>
      </c>
      <c r="J527" s="67" cm="1">
        <f ca="1" t="array" ref="J527">MIN(8,_xlfn.XLOOKUP($D527&amp;"_"&amp;J$61,$B$23:$B$45&amp;"_"&amp;$C$23:$C$45,$D$23:$D$45)*$E527)</f>
        <v>6.42740484429065</v>
      </c>
      <c r="K527" s="67" cm="1">
        <f ca="1" t="array" ref="K527">MIN(18,_xlfn.XLOOKUP($D527&amp;"_"&amp;K$61,$B$23:$B$45&amp;"_"&amp;$C$23:$C$45,$D$23:$D$45)*$E527)</f>
        <v>1.99963706266821</v>
      </c>
      <c r="L527" s="67" cm="1">
        <f ca="1" t="array" ref="L527">MIN(6,_xlfn.XLOOKUP($D527&amp;"_"&amp;L$61,$B$23:$B$45&amp;"_"&amp;$C$23:$C$45,$D$23:$D$45)*$E527)</f>
        <v>2.99945559400231</v>
      </c>
      <c r="M527" s="67" cm="1">
        <f ca="1" t="array" ref="M527">(1+SUMPRODUCT(G527:H527,OFFSET($H$49:$I$49,D527,0)))*(1+OFFSET($J$49,D527,0))^I527*(1+OFFSET($K$49,D527,0))^J527*(1+OFFSET($L$49,D527,0))^K527*(1+OFFSET($M$49,D527,0))^L527</f>
        <v>158.517389168125</v>
      </c>
      <c r="N527" s="67">
        <f ca="1">MAX(MAX($N$62:N526),OFFSET($C$61,MATCH(M527*1.07,$M$62:$M$2061,1),0)-C527)</f>
        <v>6120</v>
      </c>
    </row>
    <row r="528" spans="2:14">
      <c r="B528" s="67">
        <v>467</v>
      </c>
      <c r="C528" s="67">
        <f t="shared" si="53"/>
        <v>168120</v>
      </c>
      <c r="D528" s="67">
        <f t="shared" si="49"/>
        <v>5</v>
      </c>
      <c r="E528" s="67">
        <f ca="1" t="shared" si="50"/>
        <v>497</v>
      </c>
      <c r="F528" s="67">
        <f ca="1" t="shared" si="51"/>
        <v>0</v>
      </c>
      <c r="G528" s="67">
        <f ca="1" t="shared" si="52"/>
        <v>0</v>
      </c>
      <c r="H528" s="67" cm="1">
        <f ca="1" t="array" ref="H528">MIN(30-SUM(I528:L528),_xlfn.XLOOKUP($D528&amp;"_"&amp;H$61,$B$23:$B$45&amp;"_"&amp;$C$23:$C$45,$D$23:$D$45)*$E528,18)</f>
        <v>15.5559680891965</v>
      </c>
      <c r="I528" s="67" cm="1">
        <f ca="1" t="array" ref="I528">MIN(30-SUM(J528:L528),6-L528,_xlfn.XLOOKUP($D528&amp;"_"&amp;I$61,$B$23:$B$45&amp;"_"&amp;$C$23:$C$45,$D$23:$D$45)*$E528)</f>
        <v>2.99449711649366</v>
      </c>
      <c r="J528" s="67" cm="1">
        <f ca="1" t="array" ref="J528">MIN(8,_xlfn.XLOOKUP($D528&amp;"_"&amp;J$61,$B$23:$B$45&amp;"_"&amp;$C$23:$C$45,$D$23:$D$45)*$E528)</f>
        <v>6.4403633217993</v>
      </c>
      <c r="K528" s="67" cm="1">
        <f ca="1" t="array" ref="K528">MIN(18,_xlfn.XLOOKUP($D528&amp;"_"&amp;K$61,$B$23:$B$45&amp;"_"&amp;$C$23:$C$45,$D$23:$D$45)*$E528)</f>
        <v>2.00366858900423</v>
      </c>
      <c r="L528" s="67" cm="1">
        <f ca="1" t="array" ref="L528">MIN(6,_xlfn.XLOOKUP($D528&amp;"_"&amp;L$61,$B$23:$B$45&amp;"_"&amp;$C$23:$C$45,$D$23:$D$45)*$E528)</f>
        <v>3.00550288350634</v>
      </c>
      <c r="M528" s="67" cm="1">
        <f ca="1" t="array" ref="M528">(1+SUMPRODUCT(G528:H528,OFFSET($H$49:$I$49,D528,0)))*(1+OFFSET($J$49,D528,0))^I528*(1+OFFSET($K$49,D528,0))^J528*(1+OFFSET($L$49,D528,0))^K528*(1+OFFSET($M$49,D528,0))^L528</f>
        <v>159.126636308</v>
      </c>
      <c r="N528" s="67">
        <f ca="1">MAX(MAX($N$62:N527),OFFSET($C$61,MATCH(M528*1.07,$M$62:$M$2061,1),0)-C528)</f>
        <v>6120</v>
      </c>
    </row>
    <row r="529" spans="2:14">
      <c r="B529" s="67">
        <v>468</v>
      </c>
      <c r="C529" s="67">
        <f t="shared" si="53"/>
        <v>168480</v>
      </c>
      <c r="D529" s="67">
        <f t="shared" si="49"/>
        <v>5</v>
      </c>
      <c r="E529" s="67">
        <f ca="1" t="shared" si="50"/>
        <v>498</v>
      </c>
      <c r="F529" s="67">
        <f ca="1" t="shared" si="51"/>
        <v>0</v>
      </c>
      <c r="G529" s="67">
        <f ca="1" t="shared" si="52"/>
        <v>0</v>
      </c>
      <c r="H529" s="67" cm="1">
        <f ca="1" t="array" ref="H529">MIN(30-SUM(I529:L529),_xlfn.XLOOKUP($D529&amp;"_"&amp;H$61,$B$23:$B$45&amp;"_"&amp;$C$23:$C$45,$D$23:$D$45)*$E529,18)</f>
        <v>15.5389780853518</v>
      </c>
      <c r="I529" s="67" cm="1">
        <f ca="1" t="array" ref="I529">MIN(30-SUM(J529:L529),6-L529,_xlfn.XLOOKUP($D529&amp;"_"&amp;I$61,$B$23:$B$45&amp;"_"&amp;$C$23:$C$45,$D$23:$D$45)*$E529)</f>
        <v>2.98844982698962</v>
      </c>
      <c r="J529" s="67" cm="1">
        <f ca="1" t="array" ref="J529">MIN(8,_xlfn.XLOOKUP($D529&amp;"_"&amp;J$61,$B$23:$B$45&amp;"_"&amp;$C$23:$C$45,$D$23:$D$45)*$E529)</f>
        <v>6.45332179930795</v>
      </c>
      <c r="K529" s="67" cm="1">
        <f ca="1" t="array" ref="K529">MIN(18,_xlfn.XLOOKUP($D529&amp;"_"&amp;K$61,$B$23:$B$45&amp;"_"&amp;$C$23:$C$45,$D$23:$D$45)*$E529)</f>
        <v>2.00770011534026</v>
      </c>
      <c r="L529" s="67" cm="1">
        <f ca="1" t="array" ref="L529">MIN(6,_xlfn.XLOOKUP($D529&amp;"_"&amp;L$61,$B$23:$B$45&amp;"_"&amp;$C$23:$C$45,$D$23:$D$45)*$E529)</f>
        <v>3.01155017301038</v>
      </c>
      <c r="M529" s="67" cm="1">
        <f ca="1" t="array" ref="M529">(1+SUMPRODUCT(G529:H529,OFFSET($H$49:$I$49,D529,0)))*(1+OFFSET($J$49,D529,0))^I529*(1+OFFSET($K$49,D529,0))^J529*(1+OFFSET($L$49,D529,0))^K529*(1+OFFSET($M$49,D529,0))^L529</f>
        <v>159.738115909821</v>
      </c>
      <c r="N529" s="67">
        <f ca="1">MAX(MAX($N$62:N528),OFFSET($C$61,MATCH(M529*1.07,$M$62:$M$2061,1),0)-C529)</f>
        <v>6120</v>
      </c>
    </row>
    <row r="530" spans="2:14">
      <c r="B530" s="67">
        <v>469</v>
      </c>
      <c r="C530" s="67">
        <f t="shared" ref="C530:C561" si="54">C529+360</f>
        <v>168840</v>
      </c>
      <c r="D530" s="67">
        <f t="shared" si="49"/>
        <v>5</v>
      </c>
      <c r="E530" s="67">
        <f ca="1" t="shared" si="50"/>
        <v>499</v>
      </c>
      <c r="F530" s="67">
        <f ca="1" t="shared" si="51"/>
        <v>0</v>
      </c>
      <c r="G530" s="67">
        <f ca="1" t="shared" si="52"/>
        <v>0</v>
      </c>
      <c r="H530" s="67" cm="1">
        <f ca="1" t="array" ref="H530">MIN(30-SUM(I530:L530),_xlfn.XLOOKUP($D530&amp;"_"&amp;H$61,$B$23:$B$45&amp;"_"&amp;$C$23:$C$45,$D$23:$D$45)*$E530,18)</f>
        <v>15.5219880815071</v>
      </c>
      <c r="I530" s="67" cm="1">
        <f ca="1" t="array" ref="I530">MIN(30-SUM(J530:L530),6-L530,_xlfn.XLOOKUP($D530&amp;"_"&amp;I$61,$B$23:$B$45&amp;"_"&amp;$C$23:$C$45,$D$23:$D$45)*$E530)</f>
        <v>2.98240253748558</v>
      </c>
      <c r="J530" s="67" cm="1">
        <f ca="1" t="array" ref="J530">MIN(8,_xlfn.XLOOKUP($D530&amp;"_"&amp;J$61,$B$23:$B$45&amp;"_"&amp;$C$23:$C$45,$D$23:$D$45)*$E530)</f>
        <v>6.4662802768166</v>
      </c>
      <c r="K530" s="67" cm="1">
        <f ca="1" t="array" ref="K530">MIN(18,_xlfn.XLOOKUP($D530&amp;"_"&amp;K$61,$B$23:$B$45&amp;"_"&amp;$C$23:$C$45,$D$23:$D$45)*$E530)</f>
        <v>2.01173164167628</v>
      </c>
      <c r="L530" s="67" cm="1">
        <f ca="1" t="array" ref="L530">MIN(6,_xlfn.XLOOKUP($D530&amp;"_"&amp;L$61,$B$23:$B$45&amp;"_"&amp;$C$23:$C$45,$D$23:$D$45)*$E530)</f>
        <v>3.01759746251442</v>
      </c>
      <c r="M530" s="67" cm="1">
        <f ca="1" t="array" ref="M530">(1+SUMPRODUCT(G530:H530,OFFSET($H$49:$I$49,D530,0)))*(1+OFFSET($J$49,D530,0))^I530*(1+OFFSET($K$49,D530,0))^J530*(1+OFFSET($L$49,D530,0))^K530*(1+OFFSET($M$49,D530,0))^L530</f>
        <v>160.351835533958</v>
      </c>
      <c r="N530" s="67">
        <f ca="1">MAX(MAX($N$62:N529),OFFSET($C$61,MATCH(M530*1.07,$M$62:$M$2061,1),0)-C530)</f>
        <v>6120</v>
      </c>
    </row>
    <row r="531" spans="2:14">
      <c r="B531" s="67">
        <v>470</v>
      </c>
      <c r="C531" s="67">
        <f t="shared" si="54"/>
        <v>169200</v>
      </c>
      <c r="D531" s="67">
        <f t="shared" si="49"/>
        <v>5</v>
      </c>
      <c r="E531" s="67">
        <f ca="1" t="shared" si="50"/>
        <v>500</v>
      </c>
      <c r="F531" s="67">
        <f ca="1" t="shared" si="51"/>
        <v>0</v>
      </c>
      <c r="G531" s="67">
        <f ca="1" t="shared" si="52"/>
        <v>0</v>
      </c>
      <c r="H531" s="67" cm="1">
        <f ca="1" t="array" ref="H531">MIN(30-SUM(I531:L531),_xlfn.XLOOKUP($D531&amp;"_"&amp;H$61,$B$23:$B$45&amp;"_"&amp;$C$23:$C$45,$D$23:$D$45)*$E531,18)</f>
        <v>15.5049980776624</v>
      </c>
      <c r="I531" s="67" cm="1">
        <f ca="1" t="array" ref="I531">MIN(30-SUM(J531:L531),6-L531,_xlfn.XLOOKUP($D531&amp;"_"&amp;I$61,$B$23:$B$45&amp;"_"&amp;$C$23:$C$45,$D$23:$D$45)*$E531)</f>
        <v>2.97635524798154</v>
      </c>
      <c r="J531" s="67" cm="1">
        <f ca="1" t="array" ref="J531">MIN(8,_xlfn.XLOOKUP($D531&amp;"_"&amp;J$61,$B$23:$B$45&amp;"_"&amp;$C$23:$C$45,$D$23:$D$45)*$E531)</f>
        <v>6.47923875432525</v>
      </c>
      <c r="K531" s="67" cm="1">
        <f ca="1" t="array" ref="K531">MIN(18,_xlfn.XLOOKUP($D531&amp;"_"&amp;K$61,$B$23:$B$45&amp;"_"&amp;$C$23:$C$45,$D$23:$D$45)*$E531)</f>
        <v>2.0157631680123</v>
      </c>
      <c r="L531" s="67" cm="1">
        <f ca="1" t="array" ref="L531">MIN(6,_xlfn.XLOOKUP($D531&amp;"_"&amp;L$61,$B$23:$B$45&amp;"_"&amp;$C$23:$C$45,$D$23:$D$45)*$E531)</f>
        <v>3.02364475201845</v>
      </c>
      <c r="M531" s="67" cm="1">
        <f ca="1" t="array" ref="M531">(1+SUMPRODUCT(G531:H531,OFFSET($H$49:$I$49,D531,0)))*(1+OFFSET($J$49,D531,0))^I531*(1+OFFSET($K$49,D531,0))^J531*(1+OFFSET($L$49,D531,0))^K531*(1+OFFSET($M$49,D531,0))^L531</f>
        <v>160.967802762687</v>
      </c>
      <c r="N531" s="67">
        <f ca="1">MAX(MAX($N$62:N530),OFFSET($C$61,MATCH(M531*1.07,$M$62:$M$2061,1),0)-C531)</f>
        <v>6120</v>
      </c>
    </row>
    <row r="532" spans="2:14">
      <c r="B532" s="67">
        <v>471</v>
      </c>
      <c r="C532" s="67">
        <f t="shared" si="54"/>
        <v>169560</v>
      </c>
      <c r="D532" s="67">
        <f t="shared" si="49"/>
        <v>5</v>
      </c>
      <c r="E532" s="67">
        <f ca="1" t="shared" si="50"/>
        <v>501</v>
      </c>
      <c r="F532" s="67">
        <f ca="1" t="shared" si="51"/>
        <v>0</v>
      </c>
      <c r="G532" s="67">
        <f ca="1" t="shared" si="52"/>
        <v>0</v>
      </c>
      <c r="H532" s="67" cm="1">
        <f ca="1" t="array" ref="H532">MIN(30-SUM(I532:L532),_xlfn.XLOOKUP($D532&amp;"_"&amp;H$61,$B$23:$B$45&amp;"_"&amp;$C$23:$C$45,$D$23:$D$45)*$E532,18)</f>
        <v>15.4880080738178</v>
      </c>
      <c r="I532" s="67" cm="1">
        <f ca="1" t="array" ref="I532">MIN(30-SUM(J532:L532),6-L532,_xlfn.XLOOKUP($D532&amp;"_"&amp;I$61,$B$23:$B$45&amp;"_"&amp;$C$23:$C$45,$D$23:$D$45)*$E532)</f>
        <v>2.97030795847751</v>
      </c>
      <c r="J532" s="67" cm="1">
        <f ca="1" t="array" ref="J532">MIN(8,_xlfn.XLOOKUP($D532&amp;"_"&amp;J$61,$B$23:$B$45&amp;"_"&amp;$C$23:$C$45,$D$23:$D$45)*$E532)</f>
        <v>6.4921972318339</v>
      </c>
      <c r="K532" s="67" cm="1">
        <f ca="1" t="array" ref="K532">MIN(18,_xlfn.XLOOKUP($D532&amp;"_"&amp;K$61,$B$23:$B$45&amp;"_"&amp;$C$23:$C$45,$D$23:$D$45)*$E532)</f>
        <v>2.01979469434833</v>
      </c>
      <c r="L532" s="67" cm="1">
        <f ca="1" t="array" ref="L532">MIN(6,_xlfn.XLOOKUP($D532&amp;"_"&amp;L$61,$B$23:$B$45&amp;"_"&amp;$C$23:$C$45,$D$23:$D$45)*$E532)</f>
        <v>3.02969204152249</v>
      </c>
      <c r="M532" s="67" cm="1">
        <f ca="1" t="array" ref="M532">(1+SUMPRODUCT(G532:H532,OFFSET($H$49:$I$49,D532,0)))*(1+OFFSET($J$49,D532,0))^I532*(1+OFFSET($K$49,D532,0))^J532*(1+OFFSET($L$49,D532,0))^K532*(1+OFFSET($M$49,D532,0))^L532</f>
        <v>161.586025200232</v>
      </c>
      <c r="N532" s="67">
        <f ca="1">MAX(MAX($N$62:N531),OFFSET($C$61,MATCH(M532*1.07,$M$62:$M$2061,1),0)-C532)</f>
        <v>6120</v>
      </c>
    </row>
    <row r="533" spans="2:14">
      <c r="B533" s="67">
        <v>472</v>
      </c>
      <c r="C533" s="67">
        <f t="shared" si="54"/>
        <v>169920</v>
      </c>
      <c r="D533" s="67">
        <f t="shared" si="49"/>
        <v>5</v>
      </c>
      <c r="E533" s="67">
        <f ca="1" t="shared" si="50"/>
        <v>502</v>
      </c>
      <c r="F533" s="67">
        <f ca="1" t="shared" si="51"/>
        <v>0</v>
      </c>
      <c r="G533" s="67">
        <f ca="1" t="shared" si="52"/>
        <v>0</v>
      </c>
      <c r="H533" s="67" cm="1">
        <f ca="1" t="array" ref="H533">MIN(30-SUM(I533:L533),_xlfn.XLOOKUP($D533&amp;"_"&amp;H$61,$B$23:$B$45&amp;"_"&amp;$C$23:$C$45,$D$23:$D$45)*$E533,18)</f>
        <v>15.4710180699731</v>
      </c>
      <c r="I533" s="67" cm="1">
        <f ca="1" t="array" ref="I533">MIN(30-SUM(J533:L533),6-L533,_xlfn.XLOOKUP($D533&amp;"_"&amp;I$61,$B$23:$B$45&amp;"_"&amp;$C$23:$C$45,$D$23:$D$45)*$E533)</f>
        <v>2.96426066897347</v>
      </c>
      <c r="J533" s="67" cm="1">
        <f ca="1" t="array" ref="J533">MIN(8,_xlfn.XLOOKUP($D533&amp;"_"&amp;J$61,$B$23:$B$45&amp;"_"&amp;$C$23:$C$45,$D$23:$D$45)*$E533)</f>
        <v>6.50515570934255</v>
      </c>
      <c r="K533" s="67" cm="1">
        <f ca="1" t="array" ref="K533">MIN(18,_xlfn.XLOOKUP($D533&amp;"_"&amp;K$61,$B$23:$B$45&amp;"_"&amp;$C$23:$C$45,$D$23:$D$45)*$E533)</f>
        <v>2.02382622068435</v>
      </c>
      <c r="L533" s="67" cm="1">
        <f ca="1" t="array" ref="L533">MIN(6,_xlfn.XLOOKUP($D533&amp;"_"&amp;L$61,$B$23:$B$45&amp;"_"&amp;$C$23:$C$45,$D$23:$D$45)*$E533)</f>
        <v>3.03573933102653</v>
      </c>
      <c r="M533" s="67" cm="1">
        <f ca="1" t="array" ref="M533">(1+SUMPRODUCT(G533:H533,OFFSET($H$49:$I$49,D533,0)))*(1+OFFSET($J$49,D533,0))^I533*(1+OFFSET($K$49,D533,0))^J533*(1+OFFSET($L$49,D533,0))^K533*(1+OFFSET($M$49,D533,0))^L533</f>
        <v>162.206510472807</v>
      </c>
      <c r="N533" s="67">
        <f ca="1">MAX(MAX($N$62:N532),OFFSET($C$61,MATCH(M533*1.07,$M$62:$M$2061,1),0)-C533)</f>
        <v>6120</v>
      </c>
    </row>
    <row r="534" spans="2:14">
      <c r="B534" s="67">
        <v>473</v>
      </c>
      <c r="C534" s="67">
        <f t="shared" si="54"/>
        <v>170280</v>
      </c>
      <c r="D534" s="67">
        <f t="shared" si="49"/>
        <v>5</v>
      </c>
      <c r="E534" s="67">
        <f ca="1" t="shared" si="50"/>
        <v>503</v>
      </c>
      <c r="F534" s="67">
        <f ca="1" t="shared" si="51"/>
        <v>0</v>
      </c>
      <c r="G534" s="67">
        <f ca="1" t="shared" si="52"/>
        <v>0</v>
      </c>
      <c r="H534" s="67" cm="1">
        <f ca="1" t="array" ref="H534">MIN(30-SUM(I534:L534),_xlfn.XLOOKUP($D534&amp;"_"&amp;H$61,$B$23:$B$45&amp;"_"&amp;$C$23:$C$45,$D$23:$D$45)*$E534,18)</f>
        <v>15.4540280661284</v>
      </c>
      <c r="I534" s="67" cm="1">
        <f ca="1" t="array" ref="I534">MIN(30-SUM(J534:L534),6-L534,_xlfn.XLOOKUP($D534&amp;"_"&amp;I$61,$B$23:$B$45&amp;"_"&amp;$C$23:$C$45,$D$23:$D$45)*$E534)</f>
        <v>2.95821337946943</v>
      </c>
      <c r="J534" s="67" cm="1">
        <f ca="1" t="array" ref="J534">MIN(8,_xlfn.XLOOKUP($D534&amp;"_"&amp;J$61,$B$23:$B$45&amp;"_"&amp;$C$23:$C$45,$D$23:$D$45)*$E534)</f>
        <v>6.5181141868512</v>
      </c>
      <c r="K534" s="67" cm="1">
        <f ca="1" t="array" ref="K534">MIN(18,_xlfn.XLOOKUP($D534&amp;"_"&amp;K$61,$B$23:$B$45&amp;"_"&amp;$C$23:$C$45,$D$23:$D$45)*$E534)</f>
        <v>2.02785774702038</v>
      </c>
      <c r="L534" s="67" cm="1">
        <f ca="1" t="array" ref="L534">MIN(6,_xlfn.XLOOKUP($D534&amp;"_"&amp;L$61,$B$23:$B$45&amp;"_"&amp;$C$23:$C$45,$D$23:$D$45)*$E534)</f>
        <v>3.04178662053057</v>
      </c>
      <c r="M534" s="67" cm="1">
        <f ca="1" t="array" ref="M534">(1+SUMPRODUCT(G534:H534,OFFSET($H$49:$I$49,D534,0)))*(1+OFFSET($J$49,D534,0))^I534*(1+OFFSET($K$49,D534,0))^J534*(1+OFFSET($L$49,D534,0))^K534*(1+OFFSET($M$49,D534,0))^L534</f>
        <v>162.829266228649</v>
      </c>
      <c r="N534" s="67">
        <f ca="1">MAX(MAX($N$62:N533),OFFSET($C$61,MATCH(M534*1.07,$M$62:$M$2061,1),0)-C534)</f>
        <v>6120</v>
      </c>
    </row>
    <row r="535" spans="2:14">
      <c r="B535" s="67">
        <v>474</v>
      </c>
      <c r="C535" s="67">
        <f t="shared" si="54"/>
        <v>170640</v>
      </c>
      <c r="D535" s="67">
        <f t="shared" si="49"/>
        <v>5</v>
      </c>
      <c r="E535" s="67">
        <f ca="1" t="shared" si="50"/>
        <v>504</v>
      </c>
      <c r="F535" s="67">
        <f ca="1" t="shared" si="51"/>
        <v>0</v>
      </c>
      <c r="G535" s="67">
        <f ca="1" t="shared" si="52"/>
        <v>0</v>
      </c>
      <c r="H535" s="67" cm="1">
        <f ca="1" t="array" ref="H535">MIN(30-SUM(I535:L535),_xlfn.XLOOKUP($D535&amp;"_"&amp;H$61,$B$23:$B$45&amp;"_"&amp;$C$23:$C$45,$D$23:$D$45)*$E535,18)</f>
        <v>15.4370380622837</v>
      </c>
      <c r="I535" s="67" cm="1">
        <f ca="1" t="array" ref="I535">MIN(30-SUM(J535:L535),6-L535,_xlfn.XLOOKUP($D535&amp;"_"&amp;I$61,$B$23:$B$45&amp;"_"&amp;$C$23:$C$45,$D$23:$D$45)*$E535)</f>
        <v>2.9521660899654</v>
      </c>
      <c r="J535" s="67" cm="1">
        <f ca="1" t="array" ref="J535">MIN(8,_xlfn.XLOOKUP($D535&amp;"_"&amp;J$61,$B$23:$B$45&amp;"_"&amp;$C$23:$C$45,$D$23:$D$45)*$E535)</f>
        <v>6.53107266435985</v>
      </c>
      <c r="K535" s="67" cm="1">
        <f ca="1" t="array" ref="K535">MIN(18,_xlfn.XLOOKUP($D535&amp;"_"&amp;K$61,$B$23:$B$45&amp;"_"&amp;$C$23:$C$45,$D$23:$D$45)*$E535)</f>
        <v>2.0318892733564</v>
      </c>
      <c r="L535" s="67" cm="1">
        <f ca="1" t="array" ref="L535">MIN(6,_xlfn.XLOOKUP($D535&amp;"_"&amp;L$61,$B$23:$B$45&amp;"_"&amp;$C$23:$C$45,$D$23:$D$45)*$E535)</f>
        <v>3.0478339100346</v>
      </c>
      <c r="M535" s="67" cm="1">
        <f ca="1" t="array" ref="M535">(1+SUMPRODUCT(G535:H535,OFFSET($H$49:$I$49,D535,0)))*(1+OFFSET($J$49,D535,0))^I535*(1+OFFSET($K$49,D535,0))^J535*(1+OFFSET($L$49,D535,0))^K535*(1+OFFSET($M$49,D535,0))^L535</f>
        <v>163.454300138065</v>
      </c>
      <c r="N535" s="67">
        <f ca="1">MAX(MAX($N$62:N534),OFFSET($C$61,MATCH(M535*1.07,$M$62:$M$2061,1),0)-C535)</f>
        <v>6120</v>
      </c>
    </row>
    <row r="536" spans="2:14">
      <c r="B536" s="67">
        <v>475</v>
      </c>
      <c r="C536" s="67">
        <f t="shared" si="54"/>
        <v>171000</v>
      </c>
      <c r="D536" s="67">
        <f t="shared" si="49"/>
        <v>5</v>
      </c>
      <c r="E536" s="67">
        <f ca="1" t="shared" si="50"/>
        <v>505</v>
      </c>
      <c r="F536" s="67">
        <f ca="1" t="shared" si="51"/>
        <v>0</v>
      </c>
      <c r="G536" s="67">
        <f ca="1" t="shared" si="52"/>
        <v>0</v>
      </c>
      <c r="H536" s="67" cm="1">
        <f ca="1" t="array" ref="H536">MIN(30-SUM(I536:L536),_xlfn.XLOOKUP($D536&amp;"_"&amp;H$61,$B$23:$B$45&amp;"_"&amp;$C$23:$C$45,$D$23:$D$45)*$E536,18)</f>
        <v>15.4200480584391</v>
      </c>
      <c r="I536" s="67" cm="1">
        <f ca="1" t="array" ref="I536">MIN(30-SUM(J536:L536),6-L536,_xlfn.XLOOKUP($D536&amp;"_"&amp;I$61,$B$23:$B$45&amp;"_"&amp;$C$23:$C$45,$D$23:$D$45)*$E536)</f>
        <v>2.94611880046136</v>
      </c>
      <c r="J536" s="67" cm="1">
        <f ca="1" t="array" ref="J536">MIN(8,_xlfn.XLOOKUP($D536&amp;"_"&amp;J$61,$B$23:$B$45&amp;"_"&amp;$C$23:$C$45,$D$23:$D$45)*$E536)</f>
        <v>6.5440311418685</v>
      </c>
      <c r="K536" s="67" cm="1">
        <f ca="1" t="array" ref="K536">MIN(18,_xlfn.XLOOKUP($D536&amp;"_"&amp;K$61,$B$23:$B$45&amp;"_"&amp;$C$23:$C$45,$D$23:$D$45)*$E536)</f>
        <v>2.03592079969243</v>
      </c>
      <c r="L536" s="67" cm="1">
        <f ca="1" t="array" ref="L536">MIN(6,_xlfn.XLOOKUP($D536&amp;"_"&amp;L$61,$B$23:$B$45&amp;"_"&amp;$C$23:$C$45,$D$23:$D$45)*$E536)</f>
        <v>3.05388119953864</v>
      </c>
      <c r="M536" s="67" cm="1">
        <f ca="1" t="array" ref="M536">(1+SUMPRODUCT(G536:H536,OFFSET($H$49:$I$49,D536,0)))*(1+OFFSET($J$49,D536,0))^I536*(1+OFFSET($K$49,D536,0))^J536*(1+OFFSET($L$49,D536,0))^K536*(1+OFFSET($M$49,D536,0))^L536</f>
        <v>164.081619893466</v>
      </c>
      <c r="N536" s="67">
        <f ca="1">MAX(MAX($N$62:N535),OFFSET($C$61,MATCH(M536*1.07,$M$62:$M$2061,1),0)-C536)</f>
        <v>6120</v>
      </c>
    </row>
    <row r="537" spans="2:14">
      <c r="B537" s="67">
        <v>476</v>
      </c>
      <c r="C537" s="67">
        <f t="shared" si="54"/>
        <v>171360</v>
      </c>
      <c r="D537" s="67">
        <f t="shared" si="49"/>
        <v>5</v>
      </c>
      <c r="E537" s="67">
        <f ca="1" t="shared" si="50"/>
        <v>506</v>
      </c>
      <c r="F537" s="67">
        <f ca="1" t="shared" si="51"/>
        <v>0</v>
      </c>
      <c r="G537" s="67">
        <f ca="1" t="shared" si="52"/>
        <v>0</v>
      </c>
      <c r="H537" s="67" cm="1">
        <f ca="1" t="array" ref="H537">MIN(30-SUM(I537:L537),_xlfn.XLOOKUP($D537&amp;"_"&amp;H$61,$B$23:$B$45&amp;"_"&amp;$C$23:$C$45,$D$23:$D$45)*$E537,18)</f>
        <v>15.4030580545944</v>
      </c>
      <c r="I537" s="67" cm="1">
        <f ca="1" t="array" ref="I537">MIN(30-SUM(J537:L537),6-L537,_xlfn.XLOOKUP($D537&amp;"_"&amp;I$61,$B$23:$B$45&amp;"_"&amp;$C$23:$C$45,$D$23:$D$45)*$E537)</f>
        <v>2.94007151095732</v>
      </c>
      <c r="J537" s="67" cm="1">
        <f ca="1" t="array" ref="J537">MIN(8,_xlfn.XLOOKUP($D537&amp;"_"&amp;J$61,$B$23:$B$45&amp;"_"&amp;$C$23:$C$45,$D$23:$D$45)*$E537)</f>
        <v>6.55698961937715</v>
      </c>
      <c r="K537" s="67" cm="1">
        <f ca="1" t="array" ref="K537">MIN(18,_xlfn.XLOOKUP($D537&amp;"_"&amp;K$61,$B$23:$B$45&amp;"_"&amp;$C$23:$C$45,$D$23:$D$45)*$E537)</f>
        <v>2.03995232602845</v>
      </c>
      <c r="L537" s="67" cm="1">
        <f ca="1" t="array" ref="L537">MIN(6,_xlfn.XLOOKUP($D537&amp;"_"&amp;L$61,$B$23:$B$45&amp;"_"&amp;$C$23:$C$45,$D$23:$D$45)*$E537)</f>
        <v>3.05992848904268</v>
      </c>
      <c r="M537" s="67" cm="1">
        <f ca="1" t="array" ref="M537">(1+SUMPRODUCT(G537:H537,OFFSET($H$49:$I$49,D537,0)))*(1+OFFSET($J$49,D537,0))^I537*(1+OFFSET($K$49,D537,0))^J537*(1+OFFSET($L$49,D537,0))^K537*(1+OFFSET($M$49,D537,0))^L537</f>
        <v>164.711233209409</v>
      </c>
      <c r="N537" s="67">
        <f ca="1">MAX(MAX($N$62:N536),OFFSET($C$61,MATCH(M537*1.07,$M$62:$M$2061,1),0)-C537)</f>
        <v>6120</v>
      </c>
    </row>
    <row r="538" spans="2:14">
      <c r="B538" s="67">
        <v>477</v>
      </c>
      <c r="C538" s="67">
        <f t="shared" si="54"/>
        <v>171720</v>
      </c>
      <c r="D538" s="67">
        <f t="shared" si="49"/>
        <v>5</v>
      </c>
      <c r="E538" s="67">
        <f ca="1" t="shared" si="50"/>
        <v>507</v>
      </c>
      <c r="F538" s="67">
        <f ca="1" t="shared" si="51"/>
        <v>0</v>
      </c>
      <c r="G538" s="67">
        <f ca="1" t="shared" si="52"/>
        <v>0</v>
      </c>
      <c r="H538" s="67" cm="1">
        <f ca="1" t="array" ref="H538">MIN(30-SUM(I538:L538),_xlfn.XLOOKUP($D538&amp;"_"&amp;H$61,$B$23:$B$45&amp;"_"&amp;$C$23:$C$45,$D$23:$D$45)*$E538,18)</f>
        <v>15.3860680507497</v>
      </c>
      <c r="I538" s="67" cm="1">
        <f ca="1" t="array" ref="I538">MIN(30-SUM(J538:L538),6-L538,_xlfn.XLOOKUP($D538&amp;"_"&amp;I$61,$B$23:$B$45&amp;"_"&amp;$C$23:$C$45,$D$23:$D$45)*$E538)</f>
        <v>2.93402422145329</v>
      </c>
      <c r="J538" s="67" cm="1">
        <f ca="1" t="array" ref="J538">MIN(8,_xlfn.XLOOKUP($D538&amp;"_"&amp;J$61,$B$23:$B$45&amp;"_"&amp;$C$23:$C$45,$D$23:$D$45)*$E538)</f>
        <v>6.5699480968858</v>
      </c>
      <c r="K538" s="67" cm="1">
        <f ca="1" t="array" ref="K538">MIN(18,_xlfn.XLOOKUP($D538&amp;"_"&amp;K$61,$B$23:$B$45&amp;"_"&amp;$C$23:$C$45,$D$23:$D$45)*$E538)</f>
        <v>2.04398385236448</v>
      </c>
      <c r="L538" s="67" cm="1">
        <f ca="1" t="array" ref="L538">MIN(6,_xlfn.XLOOKUP($D538&amp;"_"&amp;L$61,$B$23:$B$45&amp;"_"&amp;$C$23:$C$45,$D$23:$D$45)*$E538)</f>
        <v>3.06597577854671</v>
      </c>
      <c r="M538" s="67" cm="1">
        <f ca="1" t="array" ref="M538">(1+SUMPRODUCT(G538:H538,OFFSET($H$49:$I$49,D538,0)))*(1+OFFSET($J$49,D538,0))^I538*(1+OFFSET($K$49,D538,0))^J538*(1+OFFSET($L$49,D538,0))^K538*(1+OFFSET($M$49,D538,0))^L538</f>
        <v>165.343147822634</v>
      </c>
      <c r="N538" s="67">
        <f ca="1">MAX(MAX($N$62:N537),OFFSET($C$61,MATCH(M538*1.07,$M$62:$M$2061,1),0)-C538)</f>
        <v>6120</v>
      </c>
    </row>
    <row r="539" spans="2:14">
      <c r="B539" s="67">
        <v>478</v>
      </c>
      <c r="C539" s="67">
        <f t="shared" si="54"/>
        <v>172080</v>
      </c>
      <c r="D539" s="67">
        <f t="shared" si="49"/>
        <v>5</v>
      </c>
      <c r="E539" s="67">
        <f ca="1" t="shared" si="50"/>
        <v>508</v>
      </c>
      <c r="F539" s="67">
        <f ca="1" t="shared" si="51"/>
        <v>0</v>
      </c>
      <c r="G539" s="67">
        <f ca="1" t="shared" si="52"/>
        <v>0</v>
      </c>
      <c r="H539" s="67" cm="1">
        <f ca="1" t="array" ref="H539">MIN(30-SUM(I539:L539),_xlfn.XLOOKUP($D539&amp;"_"&amp;H$61,$B$23:$B$45&amp;"_"&amp;$C$23:$C$45,$D$23:$D$45)*$E539,18)</f>
        <v>15.369078046905</v>
      </c>
      <c r="I539" s="67" cm="1">
        <f ca="1" t="array" ref="I539">MIN(30-SUM(J539:L539),6-L539,_xlfn.XLOOKUP($D539&amp;"_"&amp;I$61,$B$23:$B$45&amp;"_"&amp;$C$23:$C$45,$D$23:$D$45)*$E539)</f>
        <v>2.92797693194925</v>
      </c>
      <c r="J539" s="67" cm="1">
        <f ca="1" t="array" ref="J539">MIN(8,_xlfn.XLOOKUP($D539&amp;"_"&amp;J$61,$B$23:$B$45&amp;"_"&amp;$C$23:$C$45,$D$23:$D$45)*$E539)</f>
        <v>6.58290657439445</v>
      </c>
      <c r="K539" s="67" cm="1">
        <f ca="1" t="array" ref="K539">MIN(18,_xlfn.XLOOKUP($D539&amp;"_"&amp;K$61,$B$23:$B$45&amp;"_"&amp;$C$23:$C$45,$D$23:$D$45)*$E539)</f>
        <v>2.0480153787005</v>
      </c>
      <c r="L539" s="67" cm="1">
        <f ca="1" t="array" ref="L539">MIN(6,_xlfn.XLOOKUP($D539&amp;"_"&amp;L$61,$B$23:$B$45&amp;"_"&amp;$C$23:$C$45,$D$23:$D$45)*$E539)</f>
        <v>3.07202306805075</v>
      </c>
      <c r="M539" s="67" cm="1">
        <f ca="1" t="array" ref="M539">(1+SUMPRODUCT(G539:H539,OFFSET($H$49:$I$49,D539,0)))*(1+OFFSET($J$49,D539,0))^I539*(1+OFFSET($K$49,D539,0))^J539*(1+OFFSET($L$49,D539,0))^K539*(1+OFFSET($M$49,D539,0))^L539</f>
        <v>165.977371492102</v>
      </c>
      <c r="N539" s="67">
        <f ca="1">MAX(MAX($N$62:N538),OFFSET($C$61,MATCH(M539*1.07,$M$62:$M$2061,1),0)-C539)</f>
        <v>6120</v>
      </c>
    </row>
    <row r="540" spans="2:14">
      <c r="B540" s="67">
        <v>479</v>
      </c>
      <c r="C540" s="67">
        <f t="shared" si="54"/>
        <v>172440</v>
      </c>
      <c r="D540" s="67">
        <f t="shared" si="49"/>
        <v>5</v>
      </c>
      <c r="E540" s="67">
        <f ca="1" t="shared" si="50"/>
        <v>509</v>
      </c>
      <c r="F540" s="67">
        <f ca="1" t="shared" si="51"/>
        <v>0</v>
      </c>
      <c r="G540" s="67">
        <f ca="1" t="shared" si="52"/>
        <v>0</v>
      </c>
      <c r="H540" s="67" cm="1">
        <f ca="1" t="array" ref="H540">MIN(30-SUM(I540:L540),_xlfn.XLOOKUP($D540&amp;"_"&amp;H$61,$B$23:$B$45&amp;"_"&amp;$C$23:$C$45,$D$23:$D$45)*$E540,18)</f>
        <v>15.3520880430604</v>
      </c>
      <c r="I540" s="67" cm="1">
        <f ca="1" t="array" ref="I540">MIN(30-SUM(J540:L540),6-L540,_xlfn.XLOOKUP($D540&amp;"_"&amp;I$61,$B$23:$B$45&amp;"_"&amp;$C$23:$C$45,$D$23:$D$45)*$E540)</f>
        <v>2.92192964244521</v>
      </c>
      <c r="J540" s="67" cm="1">
        <f ca="1" t="array" ref="J540">MIN(8,_xlfn.XLOOKUP($D540&amp;"_"&amp;J$61,$B$23:$B$45&amp;"_"&amp;$C$23:$C$45,$D$23:$D$45)*$E540)</f>
        <v>6.5958650519031</v>
      </c>
      <c r="K540" s="67" cm="1">
        <f ca="1" t="array" ref="K540">MIN(18,_xlfn.XLOOKUP($D540&amp;"_"&amp;K$61,$B$23:$B$45&amp;"_"&amp;$C$23:$C$45,$D$23:$D$45)*$E540)</f>
        <v>2.05204690503653</v>
      </c>
      <c r="L540" s="67" cm="1">
        <f ca="1" t="array" ref="L540">MIN(6,_xlfn.XLOOKUP($D540&amp;"_"&amp;L$61,$B$23:$B$45&amp;"_"&amp;$C$23:$C$45,$D$23:$D$45)*$E540)</f>
        <v>3.07807035755479</v>
      </c>
      <c r="M540" s="67" cm="1">
        <f ca="1" t="array" ref="M540">(1+SUMPRODUCT(G540:H540,OFFSET($H$49:$I$49,D540,0)))*(1+OFFSET($J$49,D540,0))^I540*(1+OFFSET($K$49,D540,0))^J540*(1+OFFSET($L$49,D540,0))^K540*(1+OFFSET($M$49,D540,0))^L540</f>
        <v>166.613911999038</v>
      </c>
      <c r="N540" s="67">
        <f ca="1">MAX(MAX($N$62:N539),OFFSET($C$61,MATCH(M540*1.07,$M$62:$M$2061,1),0)-C540)</f>
        <v>6120</v>
      </c>
    </row>
    <row r="541" spans="2:14">
      <c r="B541" s="67">
        <v>480</v>
      </c>
      <c r="C541" s="67">
        <f t="shared" si="54"/>
        <v>172800</v>
      </c>
      <c r="D541" s="67">
        <f t="shared" si="49"/>
        <v>5</v>
      </c>
      <c r="E541" s="67">
        <f ca="1" t="shared" si="50"/>
        <v>510</v>
      </c>
      <c r="F541" s="67">
        <f ca="1" t="shared" si="51"/>
        <v>0</v>
      </c>
      <c r="G541" s="67">
        <f ca="1" t="shared" si="52"/>
        <v>0</v>
      </c>
      <c r="H541" s="67" cm="1">
        <f ca="1" t="array" ref="H541">MIN(30-SUM(I541:L541),_xlfn.XLOOKUP($D541&amp;"_"&amp;H$61,$B$23:$B$45&amp;"_"&amp;$C$23:$C$45,$D$23:$D$45)*$E541,18)</f>
        <v>15.3350980392157</v>
      </c>
      <c r="I541" s="67" cm="1">
        <f ca="1" t="array" ref="I541">MIN(30-SUM(J541:L541),6-L541,_xlfn.XLOOKUP($D541&amp;"_"&amp;I$61,$B$23:$B$45&amp;"_"&amp;$C$23:$C$45,$D$23:$D$45)*$E541)</f>
        <v>2.91588235294118</v>
      </c>
      <c r="J541" s="67" cm="1">
        <f ca="1" t="array" ref="J541">MIN(8,_xlfn.XLOOKUP($D541&amp;"_"&amp;J$61,$B$23:$B$45&amp;"_"&amp;$C$23:$C$45,$D$23:$D$45)*$E541)</f>
        <v>6.60882352941175</v>
      </c>
      <c r="K541" s="67" cm="1">
        <f ca="1" t="array" ref="K541">MIN(18,_xlfn.XLOOKUP($D541&amp;"_"&amp;K$61,$B$23:$B$45&amp;"_"&amp;$C$23:$C$45,$D$23:$D$45)*$E541)</f>
        <v>2.05607843137255</v>
      </c>
      <c r="L541" s="67" cm="1">
        <f ca="1" t="array" ref="L541">MIN(6,_xlfn.XLOOKUP($D541&amp;"_"&amp;L$61,$B$23:$B$45&amp;"_"&amp;$C$23:$C$45,$D$23:$D$45)*$E541)</f>
        <v>3.08411764705882</v>
      </c>
      <c r="M541" s="67" cm="1">
        <f ca="1" t="array" ref="M541">(1+SUMPRODUCT(G541:H541,OFFSET($H$49:$I$49,D541,0)))*(1+OFFSET($J$49,D541,0))^I541*(1+OFFSET($K$49,D541,0))^J541*(1+OFFSET($L$49,D541,0))^K541*(1+OFFSET($M$49,D541,0))^L541</f>
        <v>167.252777146966</v>
      </c>
      <c r="N541" s="67">
        <f ca="1">MAX(MAX($N$62:N540),OFFSET($C$61,MATCH(M541*1.07,$M$62:$M$2061,1),0)-C541)</f>
        <v>6120</v>
      </c>
    </row>
    <row r="542" spans="2:14">
      <c r="B542" s="67">
        <v>481</v>
      </c>
      <c r="C542" s="67">
        <f t="shared" si="54"/>
        <v>173160</v>
      </c>
      <c r="D542" s="67">
        <f t="shared" si="49"/>
        <v>5</v>
      </c>
      <c r="E542" s="67">
        <f ca="1" t="shared" si="50"/>
        <v>511</v>
      </c>
      <c r="F542" s="67">
        <f ca="1" t="shared" si="51"/>
        <v>0</v>
      </c>
      <c r="G542" s="67">
        <f ca="1" t="shared" si="52"/>
        <v>0</v>
      </c>
      <c r="H542" s="67" cm="1">
        <f ca="1" t="array" ref="H542">MIN(30-SUM(I542:L542),_xlfn.XLOOKUP($D542&amp;"_"&amp;H$61,$B$23:$B$45&amp;"_"&amp;$C$23:$C$45,$D$23:$D$45)*$E542,18)</f>
        <v>15.318108035371</v>
      </c>
      <c r="I542" s="67" cm="1">
        <f ca="1" t="array" ref="I542">MIN(30-SUM(J542:L542),6-L542,_xlfn.XLOOKUP($D542&amp;"_"&amp;I$61,$B$23:$B$45&amp;"_"&amp;$C$23:$C$45,$D$23:$D$45)*$E542)</f>
        <v>2.90983506343714</v>
      </c>
      <c r="J542" s="67" cm="1">
        <f ca="1" t="array" ref="J542">MIN(8,_xlfn.XLOOKUP($D542&amp;"_"&amp;J$61,$B$23:$B$45&amp;"_"&amp;$C$23:$C$45,$D$23:$D$45)*$E542)</f>
        <v>6.62178200692041</v>
      </c>
      <c r="K542" s="67" cm="1">
        <f ca="1" t="array" ref="K542">MIN(18,_xlfn.XLOOKUP($D542&amp;"_"&amp;K$61,$B$23:$B$45&amp;"_"&amp;$C$23:$C$45,$D$23:$D$45)*$E542)</f>
        <v>2.06010995770858</v>
      </c>
      <c r="L542" s="67" cm="1">
        <f ca="1" t="array" ref="L542">MIN(6,_xlfn.XLOOKUP($D542&amp;"_"&amp;L$61,$B$23:$B$45&amp;"_"&amp;$C$23:$C$45,$D$23:$D$45)*$E542)</f>
        <v>3.09016493656286</v>
      </c>
      <c r="M542" s="67" cm="1">
        <f ca="1" t="array" ref="M542">(1+SUMPRODUCT(G542:H542,OFFSET($H$49:$I$49,D542,0)))*(1+OFFSET($J$49,D542,0))^I542*(1+OFFSET($K$49,D542,0))^J542*(1+OFFSET($L$49,D542,0))^K542*(1+OFFSET($M$49,D542,0))^L542</f>
        <v>167.893974761748</v>
      </c>
      <c r="N542" s="67">
        <f ca="1">MAX(MAX($N$62:N541),OFFSET($C$61,MATCH(M542*1.07,$M$62:$M$2061,1),0)-C542)</f>
        <v>6120</v>
      </c>
    </row>
    <row r="543" spans="2:14">
      <c r="B543" s="67">
        <v>482</v>
      </c>
      <c r="C543" s="67">
        <f t="shared" si="54"/>
        <v>173520</v>
      </c>
      <c r="D543" s="67">
        <f t="shared" si="49"/>
        <v>5</v>
      </c>
      <c r="E543" s="67">
        <f ca="1" t="shared" si="50"/>
        <v>512</v>
      </c>
      <c r="F543" s="67">
        <f ca="1" t="shared" si="51"/>
        <v>0</v>
      </c>
      <c r="G543" s="67">
        <f ca="1" t="shared" si="52"/>
        <v>0</v>
      </c>
      <c r="H543" s="67" cm="1">
        <f ca="1" t="array" ref="H543">MIN(30-SUM(I543:L543),_xlfn.XLOOKUP($D543&amp;"_"&amp;H$61,$B$23:$B$45&amp;"_"&amp;$C$23:$C$45,$D$23:$D$45)*$E543,18)</f>
        <v>15.3011180315263</v>
      </c>
      <c r="I543" s="67" cm="1">
        <f ca="1" t="array" ref="I543">MIN(30-SUM(J543:L543),6-L543,_xlfn.XLOOKUP($D543&amp;"_"&amp;I$61,$B$23:$B$45&amp;"_"&amp;$C$23:$C$45,$D$23:$D$45)*$E543)</f>
        <v>2.9037877739331</v>
      </c>
      <c r="J543" s="67" cm="1">
        <f ca="1" t="array" ref="J543">MIN(8,_xlfn.XLOOKUP($D543&amp;"_"&amp;J$61,$B$23:$B$45&amp;"_"&amp;$C$23:$C$45,$D$23:$D$45)*$E543)</f>
        <v>6.63474048442906</v>
      </c>
      <c r="K543" s="67" cm="1">
        <f ca="1" t="array" ref="K543">MIN(18,_xlfn.XLOOKUP($D543&amp;"_"&amp;K$61,$B$23:$B$45&amp;"_"&amp;$C$23:$C$45,$D$23:$D$45)*$E543)</f>
        <v>2.0641414840446</v>
      </c>
      <c r="L543" s="67" cm="1">
        <f ca="1" t="array" ref="L543">MIN(6,_xlfn.XLOOKUP($D543&amp;"_"&amp;L$61,$B$23:$B$45&amp;"_"&amp;$C$23:$C$45,$D$23:$D$45)*$E543)</f>
        <v>3.0962122260669</v>
      </c>
      <c r="M543" s="67" cm="1">
        <f ca="1" t="array" ref="M543">(1+SUMPRODUCT(G543:H543,OFFSET($H$49:$I$49,D543,0)))*(1+OFFSET($J$49,D543,0))^I543*(1+OFFSET($K$49,D543,0))^J543*(1+OFFSET($L$49,D543,0))^K543*(1+OFFSET($M$49,D543,0))^L543</f>
        <v>168.537512691622</v>
      </c>
      <c r="N543" s="67">
        <f ca="1">MAX(MAX($N$62:N542),OFFSET($C$61,MATCH(M543*1.07,$M$62:$M$2061,1),0)-C543)</f>
        <v>6120</v>
      </c>
    </row>
    <row r="544" spans="2:14">
      <c r="B544" s="67">
        <v>483</v>
      </c>
      <c r="C544" s="67">
        <f t="shared" si="54"/>
        <v>173880</v>
      </c>
      <c r="D544" s="67">
        <f t="shared" si="49"/>
        <v>5</v>
      </c>
      <c r="E544" s="67">
        <f ca="1" t="shared" si="50"/>
        <v>513</v>
      </c>
      <c r="F544" s="67">
        <f ca="1" t="shared" si="51"/>
        <v>0</v>
      </c>
      <c r="G544" s="67">
        <f ca="1" t="shared" si="52"/>
        <v>0</v>
      </c>
      <c r="H544" s="67" cm="1">
        <f ca="1" t="array" ref="H544">MIN(30-SUM(I544:L544),_xlfn.XLOOKUP($D544&amp;"_"&amp;H$61,$B$23:$B$45&amp;"_"&amp;$C$23:$C$45,$D$23:$D$45)*$E544,18)</f>
        <v>15.2841280276817</v>
      </c>
      <c r="I544" s="67" cm="1">
        <f ca="1" t="array" ref="I544">MIN(30-SUM(J544:L544),6-L544,_xlfn.XLOOKUP($D544&amp;"_"&amp;I$61,$B$23:$B$45&amp;"_"&amp;$C$23:$C$45,$D$23:$D$45)*$E544)</f>
        <v>2.89774048442906</v>
      </c>
      <c r="J544" s="67" cm="1">
        <f ca="1" t="array" ref="J544">MIN(8,_xlfn.XLOOKUP($D544&amp;"_"&amp;J$61,$B$23:$B$45&amp;"_"&amp;$C$23:$C$45,$D$23:$D$45)*$E544)</f>
        <v>6.64769896193771</v>
      </c>
      <c r="K544" s="67" cm="1">
        <f ca="1" t="array" ref="K544">MIN(18,_xlfn.XLOOKUP($D544&amp;"_"&amp;K$61,$B$23:$B$45&amp;"_"&amp;$C$23:$C$45,$D$23:$D$45)*$E544)</f>
        <v>2.06817301038062</v>
      </c>
      <c r="L544" s="67" cm="1">
        <f ca="1" t="array" ref="L544">MIN(6,_xlfn.XLOOKUP($D544&amp;"_"&amp;L$61,$B$23:$B$45&amp;"_"&amp;$C$23:$C$45,$D$23:$D$45)*$E544)</f>
        <v>3.10225951557093</v>
      </c>
      <c r="M544" s="67" cm="1">
        <f ca="1" t="array" ref="M544">(1+SUMPRODUCT(G544:H544,OFFSET($H$49:$I$49,D544,0)))*(1+OFFSET($J$49,D544,0))^I544*(1+OFFSET($K$49,D544,0))^J544*(1+OFFSET($L$49,D544,0))^K544*(1+OFFSET($M$49,D544,0))^L544</f>
        <v>169.183398807244</v>
      </c>
      <c r="N544" s="67">
        <f ca="1">MAX(MAX($N$62:N543),OFFSET($C$61,MATCH(M544*1.07,$M$62:$M$2061,1),0)-C544)</f>
        <v>6120</v>
      </c>
    </row>
    <row r="545" spans="2:14">
      <c r="B545" s="67">
        <v>484</v>
      </c>
      <c r="C545" s="67">
        <f t="shared" si="54"/>
        <v>174240</v>
      </c>
      <c r="D545" s="67">
        <f t="shared" si="49"/>
        <v>5</v>
      </c>
      <c r="E545" s="67">
        <f ca="1" t="shared" si="50"/>
        <v>514</v>
      </c>
      <c r="F545" s="67">
        <f ca="1" t="shared" si="51"/>
        <v>0</v>
      </c>
      <c r="G545" s="67">
        <f ca="1" t="shared" si="52"/>
        <v>0</v>
      </c>
      <c r="H545" s="67" cm="1">
        <f ca="1" t="array" ref="H545">MIN(30-SUM(I545:L545),_xlfn.XLOOKUP($D545&amp;"_"&amp;H$61,$B$23:$B$45&amp;"_"&amp;$C$23:$C$45,$D$23:$D$45)*$E545,18)</f>
        <v>15.267138023837</v>
      </c>
      <c r="I545" s="67" cm="1">
        <f ca="1" t="array" ref="I545">MIN(30-SUM(J545:L545),6-L545,_xlfn.XLOOKUP($D545&amp;"_"&amp;I$61,$B$23:$B$45&amp;"_"&amp;$C$23:$C$45,$D$23:$D$45)*$E545)</f>
        <v>2.89169319492503</v>
      </c>
      <c r="J545" s="67" cm="1">
        <f ca="1" t="array" ref="J545">MIN(8,_xlfn.XLOOKUP($D545&amp;"_"&amp;J$61,$B$23:$B$45&amp;"_"&amp;$C$23:$C$45,$D$23:$D$45)*$E545)</f>
        <v>6.66065743944636</v>
      </c>
      <c r="K545" s="67" cm="1">
        <f ca="1" t="array" ref="K545">MIN(18,_xlfn.XLOOKUP($D545&amp;"_"&amp;K$61,$B$23:$B$45&amp;"_"&amp;$C$23:$C$45,$D$23:$D$45)*$E545)</f>
        <v>2.07220453671665</v>
      </c>
      <c r="L545" s="67" cm="1">
        <f ca="1" t="array" ref="L545">MIN(6,_xlfn.XLOOKUP($D545&amp;"_"&amp;L$61,$B$23:$B$45&amp;"_"&amp;$C$23:$C$45,$D$23:$D$45)*$E545)</f>
        <v>3.10830680507497</v>
      </c>
      <c r="M545" s="67" cm="1">
        <f ca="1" t="array" ref="M545">(1+SUMPRODUCT(G545:H545,OFFSET($H$49:$I$49,D545,0)))*(1+OFFSET($J$49,D545,0))^I545*(1+OFFSET($K$49,D545,0))^J545*(1+OFFSET($L$49,D545,0))^K545*(1+OFFSET($M$49,D545,0))^L545</f>
        <v>169.83164100172</v>
      </c>
      <c r="N545" s="67">
        <f ca="1">MAX(MAX($N$62:N544),OFFSET($C$61,MATCH(M545*1.07,$M$62:$M$2061,1),0)-C545)</f>
        <v>6120</v>
      </c>
    </row>
    <row r="546" spans="2:14">
      <c r="B546" s="67">
        <v>485</v>
      </c>
      <c r="C546" s="67">
        <f t="shared" si="54"/>
        <v>174600</v>
      </c>
      <c r="D546" s="67">
        <f t="shared" si="49"/>
        <v>5</v>
      </c>
      <c r="E546" s="67">
        <f ca="1" t="shared" si="50"/>
        <v>515</v>
      </c>
      <c r="F546" s="67">
        <f ca="1" t="shared" si="51"/>
        <v>0</v>
      </c>
      <c r="G546" s="67">
        <f ca="1" t="shared" si="52"/>
        <v>0</v>
      </c>
      <c r="H546" s="67" cm="1">
        <f ca="1" t="array" ref="H546">MIN(30-SUM(I546:L546),_xlfn.XLOOKUP($D546&amp;"_"&amp;H$61,$B$23:$B$45&amp;"_"&amp;$C$23:$C$45,$D$23:$D$45)*$E546,18)</f>
        <v>15.2501480199923</v>
      </c>
      <c r="I546" s="67" cm="1">
        <f ca="1" t="array" ref="I546">MIN(30-SUM(J546:L546),6-L546,_xlfn.XLOOKUP($D546&amp;"_"&amp;I$61,$B$23:$B$45&amp;"_"&amp;$C$23:$C$45,$D$23:$D$45)*$E546)</f>
        <v>2.88564590542099</v>
      </c>
      <c r="J546" s="67" cm="1">
        <f ca="1" t="array" ref="J546">MIN(8,_xlfn.XLOOKUP($D546&amp;"_"&amp;J$61,$B$23:$B$45&amp;"_"&amp;$C$23:$C$45,$D$23:$D$45)*$E546)</f>
        <v>6.67361591695501</v>
      </c>
      <c r="K546" s="67" cm="1">
        <f ca="1" t="array" ref="K546">MIN(18,_xlfn.XLOOKUP($D546&amp;"_"&amp;K$61,$B$23:$B$45&amp;"_"&amp;$C$23:$C$45,$D$23:$D$45)*$E546)</f>
        <v>2.07623606305267</v>
      </c>
      <c r="L546" s="67" cm="1">
        <f ca="1" t="array" ref="L546">MIN(6,_xlfn.XLOOKUP($D546&amp;"_"&amp;L$61,$B$23:$B$45&amp;"_"&amp;$C$23:$C$45,$D$23:$D$45)*$E546)</f>
        <v>3.11435409457901</v>
      </c>
      <c r="M546" s="67" cm="1">
        <f ca="1" t="array" ref="M546">(1+SUMPRODUCT(G546:H546,OFFSET($H$49:$I$49,D546,0)))*(1+OFFSET($J$49,D546,0))^I546*(1+OFFSET($K$49,D546,0))^J546*(1+OFFSET($L$49,D546,0))^K546*(1+OFFSET($M$49,D546,0))^L546</f>
        <v>170.482247190649</v>
      </c>
      <c r="N546" s="67">
        <f ca="1">MAX(MAX($N$62:N545),OFFSET($C$61,MATCH(M546*1.07,$M$62:$M$2061,1),0)-C546)</f>
        <v>6120</v>
      </c>
    </row>
    <row r="547" spans="2:14">
      <c r="B547" s="67">
        <v>486</v>
      </c>
      <c r="C547" s="67">
        <f t="shared" si="54"/>
        <v>174960</v>
      </c>
      <c r="D547" s="67">
        <f t="shared" si="49"/>
        <v>5</v>
      </c>
      <c r="E547" s="67">
        <f ca="1" t="shared" si="50"/>
        <v>516</v>
      </c>
      <c r="F547" s="67">
        <f ca="1" t="shared" si="51"/>
        <v>0</v>
      </c>
      <c r="G547" s="67">
        <f ca="1" t="shared" si="52"/>
        <v>0</v>
      </c>
      <c r="H547" s="67" cm="1">
        <f ca="1" t="array" ref="H547">MIN(30-SUM(I547:L547),_xlfn.XLOOKUP($D547&amp;"_"&amp;H$61,$B$23:$B$45&amp;"_"&amp;$C$23:$C$45,$D$23:$D$45)*$E547,18)</f>
        <v>15.2331580161476</v>
      </c>
      <c r="I547" s="67" cm="1">
        <f ca="1" t="array" ref="I547">MIN(30-SUM(J547:L547),6-L547,_xlfn.XLOOKUP($D547&amp;"_"&amp;I$61,$B$23:$B$45&amp;"_"&amp;$C$23:$C$45,$D$23:$D$45)*$E547)</f>
        <v>2.87959861591695</v>
      </c>
      <c r="J547" s="67" cm="1">
        <f ca="1" t="array" ref="J547">MIN(8,_xlfn.XLOOKUP($D547&amp;"_"&amp;J$61,$B$23:$B$45&amp;"_"&amp;$C$23:$C$45,$D$23:$D$45)*$E547)</f>
        <v>6.68657439446366</v>
      </c>
      <c r="K547" s="67" cm="1">
        <f ca="1" t="array" ref="K547">MIN(18,_xlfn.XLOOKUP($D547&amp;"_"&amp;K$61,$B$23:$B$45&amp;"_"&amp;$C$23:$C$45,$D$23:$D$45)*$E547)</f>
        <v>2.0802675893887</v>
      </c>
      <c r="L547" s="67" cm="1">
        <f ca="1" t="array" ref="L547">MIN(6,_xlfn.XLOOKUP($D547&amp;"_"&amp;L$61,$B$23:$B$45&amp;"_"&amp;$C$23:$C$45,$D$23:$D$45)*$E547)</f>
        <v>3.12040138408305</v>
      </c>
      <c r="M547" s="67" cm="1">
        <f ca="1" t="array" ref="M547">(1+SUMPRODUCT(G547:H547,OFFSET($H$49:$I$49,D547,0)))*(1+OFFSET($J$49,D547,0))^I547*(1+OFFSET($K$49,D547,0))^J547*(1+OFFSET($L$49,D547,0))^K547*(1+OFFSET($M$49,D547,0))^L547</f>
        <v>171.135225312159</v>
      </c>
      <c r="N547" s="67">
        <f ca="1">MAX(MAX($N$62:N546),OFFSET($C$61,MATCH(M547*1.07,$M$62:$M$2061,1),0)-C547)</f>
        <v>6120</v>
      </c>
    </row>
    <row r="548" spans="2:14">
      <c r="B548" s="67">
        <v>487</v>
      </c>
      <c r="C548" s="67">
        <f t="shared" si="54"/>
        <v>175320</v>
      </c>
      <c r="D548" s="67">
        <f t="shared" si="49"/>
        <v>5</v>
      </c>
      <c r="E548" s="67">
        <f ca="1" t="shared" si="50"/>
        <v>517</v>
      </c>
      <c r="F548" s="67">
        <f ca="1" t="shared" si="51"/>
        <v>0</v>
      </c>
      <c r="G548" s="67">
        <f ca="1" t="shared" si="52"/>
        <v>0</v>
      </c>
      <c r="H548" s="67" cm="1">
        <f ca="1" t="array" ref="H548">MIN(30-SUM(I548:L548),_xlfn.XLOOKUP($D548&amp;"_"&amp;H$61,$B$23:$B$45&amp;"_"&amp;$C$23:$C$45,$D$23:$D$45)*$E548,18)</f>
        <v>15.216168012303</v>
      </c>
      <c r="I548" s="67" cm="1">
        <f ca="1" t="array" ref="I548">MIN(30-SUM(J548:L548),6-L548,_xlfn.XLOOKUP($D548&amp;"_"&amp;I$61,$B$23:$B$45&amp;"_"&amp;$C$23:$C$45,$D$23:$D$45)*$E548)</f>
        <v>2.87355132641292</v>
      </c>
      <c r="J548" s="67" cm="1">
        <f ca="1" t="array" ref="J548">MIN(8,_xlfn.XLOOKUP($D548&amp;"_"&amp;J$61,$B$23:$B$45&amp;"_"&amp;$C$23:$C$45,$D$23:$D$45)*$E548)</f>
        <v>6.69953287197231</v>
      </c>
      <c r="K548" s="67" cm="1">
        <f ca="1" t="array" ref="K548">MIN(18,_xlfn.XLOOKUP($D548&amp;"_"&amp;K$61,$B$23:$B$45&amp;"_"&amp;$C$23:$C$45,$D$23:$D$45)*$E548)</f>
        <v>2.08429911572472</v>
      </c>
      <c r="L548" s="67" cm="1">
        <f ca="1" t="array" ref="L548">MIN(6,_xlfn.XLOOKUP($D548&amp;"_"&amp;L$61,$B$23:$B$45&amp;"_"&amp;$C$23:$C$45,$D$23:$D$45)*$E548)</f>
        <v>3.12644867358708</v>
      </c>
      <c r="M548" s="67" cm="1">
        <f ca="1" t="array" ref="M548">(1+SUMPRODUCT(G548:H548,OFFSET($H$49:$I$49,D548,0)))*(1+OFFSET($J$49,D548,0))^I548*(1+OFFSET($K$49,D548,0))^J548*(1+OFFSET($L$49,D548,0))^K548*(1+OFFSET($M$49,D548,0))^L548</f>
        <v>171.790583326943</v>
      </c>
      <c r="N548" s="67">
        <f ca="1">MAX(MAX($N$62:N547),OFFSET($C$61,MATCH(M548*1.07,$M$62:$M$2061,1),0)-C548)</f>
        <v>6120</v>
      </c>
    </row>
    <row r="549" spans="2:14">
      <c r="B549" s="67">
        <v>488</v>
      </c>
      <c r="C549" s="67">
        <f t="shared" si="54"/>
        <v>175680</v>
      </c>
      <c r="D549" s="67">
        <f t="shared" si="49"/>
        <v>5</v>
      </c>
      <c r="E549" s="67">
        <f ca="1" t="shared" si="50"/>
        <v>518</v>
      </c>
      <c r="F549" s="67">
        <f ca="1" t="shared" si="51"/>
        <v>0</v>
      </c>
      <c r="G549" s="67">
        <f ca="1" t="shared" si="52"/>
        <v>0</v>
      </c>
      <c r="H549" s="67" cm="1">
        <f ca="1" t="array" ref="H549">MIN(30-SUM(I549:L549),_xlfn.XLOOKUP($D549&amp;"_"&amp;H$61,$B$23:$B$45&amp;"_"&amp;$C$23:$C$45,$D$23:$D$45)*$E549,18)</f>
        <v>15.1991780084583</v>
      </c>
      <c r="I549" s="67" cm="1">
        <f ca="1" t="array" ref="I549">MIN(30-SUM(J549:L549),6-L549,_xlfn.XLOOKUP($D549&amp;"_"&amp;I$61,$B$23:$B$45&amp;"_"&amp;$C$23:$C$45,$D$23:$D$45)*$E549)</f>
        <v>2.86750403690888</v>
      </c>
      <c r="J549" s="67" cm="1">
        <f ca="1" t="array" ref="J549">MIN(8,_xlfn.XLOOKUP($D549&amp;"_"&amp;J$61,$B$23:$B$45&amp;"_"&amp;$C$23:$C$45,$D$23:$D$45)*$E549)</f>
        <v>6.71249134948096</v>
      </c>
      <c r="K549" s="67" cm="1">
        <f ca="1" t="array" ref="K549">MIN(18,_xlfn.XLOOKUP($D549&amp;"_"&amp;K$61,$B$23:$B$45&amp;"_"&amp;$C$23:$C$45,$D$23:$D$45)*$E549)</f>
        <v>2.08833064206075</v>
      </c>
      <c r="L549" s="67" cm="1">
        <f ca="1" t="array" ref="L549">MIN(6,_xlfn.XLOOKUP($D549&amp;"_"&amp;L$61,$B$23:$B$45&amp;"_"&amp;$C$23:$C$45,$D$23:$D$45)*$E549)</f>
        <v>3.13249596309112</v>
      </c>
      <c r="M549" s="67" cm="1">
        <f ca="1" t="array" ref="M549">(1+SUMPRODUCT(G549:H549,OFFSET($H$49:$I$49,D549,0)))*(1+OFFSET($J$49,D549,0))^I549*(1+OFFSET($K$49,D549,0))^J549*(1+OFFSET($L$49,D549,0))^K549*(1+OFFSET($M$49,D549,0))^L549</f>
        <v>172.4483292183</v>
      </c>
      <c r="N549" s="67">
        <f ca="1">MAX(MAX($N$62:N548),OFFSET($C$61,MATCH(M549*1.07,$M$62:$M$2061,1),0)-C549)</f>
        <v>6120</v>
      </c>
    </row>
    <row r="550" spans="2:14">
      <c r="B550" s="67">
        <v>489</v>
      </c>
      <c r="C550" s="67">
        <f t="shared" si="54"/>
        <v>176040</v>
      </c>
      <c r="D550" s="67">
        <f t="shared" si="49"/>
        <v>5</v>
      </c>
      <c r="E550" s="67">
        <f ca="1" t="shared" si="50"/>
        <v>519</v>
      </c>
      <c r="F550" s="67">
        <f ca="1" t="shared" si="51"/>
        <v>0</v>
      </c>
      <c r="G550" s="67">
        <f ca="1" t="shared" si="52"/>
        <v>0</v>
      </c>
      <c r="H550" s="67" cm="1">
        <f ca="1" t="array" ref="H550">MIN(30-SUM(I550:L550),_xlfn.XLOOKUP($D550&amp;"_"&amp;H$61,$B$23:$B$45&amp;"_"&amp;$C$23:$C$45,$D$23:$D$45)*$E550,18)</f>
        <v>15.1821880046136</v>
      </c>
      <c r="I550" s="67" cm="1">
        <f ca="1" t="array" ref="I550">MIN(30-SUM(J550:L550),6-L550,_xlfn.XLOOKUP($D550&amp;"_"&amp;I$61,$B$23:$B$45&amp;"_"&amp;$C$23:$C$45,$D$23:$D$45)*$E550)</f>
        <v>2.86145674740484</v>
      </c>
      <c r="J550" s="67" cm="1">
        <f ca="1" t="array" ref="J550">MIN(8,_xlfn.XLOOKUP($D550&amp;"_"&amp;J$61,$B$23:$B$45&amp;"_"&amp;$C$23:$C$45,$D$23:$D$45)*$E550)</f>
        <v>6.72544982698961</v>
      </c>
      <c r="K550" s="67" cm="1">
        <f ca="1" t="array" ref="K550">MIN(18,_xlfn.XLOOKUP($D550&amp;"_"&amp;K$61,$B$23:$B$45&amp;"_"&amp;$C$23:$C$45,$D$23:$D$45)*$E550)</f>
        <v>2.09236216839677</v>
      </c>
      <c r="L550" s="67" cm="1">
        <f ca="1" t="array" ref="L550">MIN(6,_xlfn.XLOOKUP($D550&amp;"_"&amp;L$61,$B$23:$B$45&amp;"_"&amp;$C$23:$C$45,$D$23:$D$45)*$E550)</f>
        <v>3.13854325259516</v>
      </c>
      <c r="M550" s="67" cm="1">
        <f ca="1" t="array" ref="M550">(1+SUMPRODUCT(G550:H550,OFFSET($H$49:$I$49,D550,0)))*(1+OFFSET($J$49,D550,0))^I550*(1+OFFSET($K$49,D550,0))^J550*(1+OFFSET($L$49,D550,0))^K550*(1+OFFSET($M$49,D550,0))^L550</f>
        <v>173.10847099217</v>
      </c>
      <c r="N550" s="67">
        <f ca="1">MAX(MAX($N$62:N549),OFFSET($C$61,MATCH(M550*1.07,$M$62:$M$2061,1),0)-C550)</f>
        <v>6120</v>
      </c>
    </row>
    <row r="551" spans="2:14">
      <c r="B551" s="67">
        <v>490</v>
      </c>
      <c r="C551" s="67">
        <f t="shared" si="54"/>
        <v>176400</v>
      </c>
      <c r="D551" s="67">
        <f t="shared" si="49"/>
        <v>5</v>
      </c>
      <c r="E551" s="67">
        <f ca="1" t="shared" si="50"/>
        <v>520</v>
      </c>
      <c r="F551" s="67">
        <f ca="1" t="shared" si="51"/>
        <v>0</v>
      </c>
      <c r="G551" s="67">
        <f ca="1" t="shared" si="52"/>
        <v>0</v>
      </c>
      <c r="H551" s="67" cm="1">
        <f ca="1" t="array" ref="H551">MIN(30-SUM(I551:L551),_xlfn.XLOOKUP($D551&amp;"_"&amp;H$61,$B$23:$B$45&amp;"_"&amp;$C$23:$C$45,$D$23:$D$45)*$E551,18)</f>
        <v>15.1651980007689</v>
      </c>
      <c r="I551" s="67" cm="1">
        <f ca="1" t="array" ref="I551">MIN(30-SUM(J551:L551),6-L551,_xlfn.XLOOKUP($D551&amp;"_"&amp;I$61,$B$23:$B$45&amp;"_"&amp;$C$23:$C$45,$D$23:$D$45)*$E551)</f>
        <v>2.85540945790081</v>
      </c>
      <c r="J551" s="67" cm="1">
        <f ca="1" t="array" ref="J551">MIN(8,_xlfn.XLOOKUP($D551&amp;"_"&amp;J$61,$B$23:$B$45&amp;"_"&amp;$C$23:$C$45,$D$23:$D$45)*$E551)</f>
        <v>6.73840830449826</v>
      </c>
      <c r="K551" s="67" cm="1">
        <f ca="1" t="array" ref="K551">MIN(18,_xlfn.XLOOKUP($D551&amp;"_"&amp;K$61,$B$23:$B$45&amp;"_"&amp;$C$23:$C$45,$D$23:$D$45)*$E551)</f>
        <v>2.0963936947328</v>
      </c>
      <c r="L551" s="67" cm="1">
        <f ca="1" t="array" ref="L551">MIN(6,_xlfn.XLOOKUP($D551&amp;"_"&amp;L$61,$B$23:$B$45&amp;"_"&amp;$C$23:$C$45,$D$23:$D$45)*$E551)</f>
        <v>3.14459054209919</v>
      </c>
      <c r="M551" s="67" cm="1">
        <f ca="1" t="array" ref="M551">(1+SUMPRODUCT(G551:H551,OFFSET($H$49:$I$49,D551,0)))*(1+OFFSET($J$49,D551,0))^I551*(1+OFFSET($K$49,D551,0))^J551*(1+OFFSET($L$49,D551,0))^K551*(1+OFFSET($M$49,D551,0))^L551</f>
        <v>173.771016677172</v>
      </c>
      <c r="N551" s="67">
        <f ca="1">MAX(MAX($N$62:N550),OFFSET($C$61,MATCH(M551*1.07,$M$62:$M$2061,1),0)-C551)</f>
        <v>6120</v>
      </c>
    </row>
    <row r="552" spans="2:14">
      <c r="B552" s="67">
        <v>491</v>
      </c>
      <c r="C552" s="67">
        <f t="shared" si="54"/>
        <v>176760</v>
      </c>
      <c r="D552" s="67">
        <f t="shared" si="49"/>
        <v>5</v>
      </c>
      <c r="E552" s="67">
        <f ca="1" t="shared" si="50"/>
        <v>521</v>
      </c>
      <c r="F552" s="67">
        <f ca="1" t="shared" si="51"/>
        <v>0</v>
      </c>
      <c r="G552" s="67">
        <f ca="1" t="shared" si="52"/>
        <v>0</v>
      </c>
      <c r="H552" s="67" cm="1">
        <f ca="1" t="array" ref="H552">MIN(30-SUM(I552:L552),_xlfn.XLOOKUP($D552&amp;"_"&amp;H$61,$B$23:$B$45&amp;"_"&amp;$C$23:$C$45,$D$23:$D$45)*$E552,18)</f>
        <v>15.1482079969243</v>
      </c>
      <c r="I552" s="67" cm="1">
        <f ca="1" t="array" ref="I552">MIN(30-SUM(J552:L552),6-L552,_xlfn.XLOOKUP($D552&amp;"_"&amp;I$61,$B$23:$B$45&amp;"_"&amp;$C$23:$C$45,$D$23:$D$45)*$E552)</f>
        <v>2.84936216839677</v>
      </c>
      <c r="J552" s="67" cm="1">
        <f ca="1" t="array" ref="J552">MIN(8,_xlfn.XLOOKUP($D552&amp;"_"&amp;J$61,$B$23:$B$45&amp;"_"&amp;$C$23:$C$45,$D$23:$D$45)*$E552)</f>
        <v>6.75136678200691</v>
      </c>
      <c r="K552" s="67" cm="1">
        <f ca="1" t="array" ref="K552">MIN(18,_xlfn.XLOOKUP($D552&amp;"_"&amp;K$61,$B$23:$B$45&amp;"_"&amp;$C$23:$C$45,$D$23:$D$45)*$E552)</f>
        <v>2.10042522106882</v>
      </c>
      <c r="L552" s="67" cm="1">
        <f ca="1" t="array" ref="L552">MIN(6,_xlfn.XLOOKUP($D552&amp;"_"&amp;L$61,$B$23:$B$45&amp;"_"&amp;$C$23:$C$45,$D$23:$D$45)*$E552)</f>
        <v>3.15063783160323</v>
      </c>
      <c r="M552" s="67" cm="1">
        <f ca="1" t="array" ref="M552">(1+SUMPRODUCT(G552:H552,OFFSET($H$49:$I$49,D552,0)))*(1+OFFSET($J$49,D552,0))^I552*(1+OFFSET($K$49,D552,0))^J552*(1+OFFSET($L$49,D552,0))^K552*(1+OFFSET($M$49,D552,0))^L552</f>
        <v>174.43597432464</v>
      </c>
      <c r="N552" s="67">
        <f ca="1">MAX(MAX($N$62:N551),OFFSET($C$61,MATCH(M552*1.07,$M$62:$M$2061,1),0)-C552)</f>
        <v>6120</v>
      </c>
    </row>
    <row r="553" spans="2:14">
      <c r="B553" s="67">
        <v>492</v>
      </c>
      <c r="C553" s="67">
        <f t="shared" si="54"/>
        <v>177120</v>
      </c>
      <c r="D553" s="67">
        <f t="shared" si="49"/>
        <v>5</v>
      </c>
      <c r="E553" s="67">
        <f ca="1" t="shared" si="50"/>
        <v>522</v>
      </c>
      <c r="F553" s="67">
        <f ca="1" t="shared" si="51"/>
        <v>0</v>
      </c>
      <c r="G553" s="67">
        <f ca="1" t="shared" si="52"/>
        <v>0</v>
      </c>
      <c r="H553" s="67" cm="1">
        <f ca="1" t="array" ref="H553">MIN(30-SUM(I553:L553),_xlfn.XLOOKUP($D553&amp;"_"&amp;H$61,$B$23:$B$45&amp;"_"&amp;$C$23:$C$45,$D$23:$D$45)*$E553,18)</f>
        <v>15.1312179930796</v>
      </c>
      <c r="I553" s="67" cm="1">
        <f ca="1" t="array" ref="I553">MIN(30-SUM(J553:L553),6-L553,_xlfn.XLOOKUP($D553&amp;"_"&amp;I$61,$B$23:$B$45&amp;"_"&amp;$C$23:$C$45,$D$23:$D$45)*$E553)</f>
        <v>2.84331487889273</v>
      </c>
      <c r="J553" s="67" cm="1">
        <f ca="1" t="array" ref="J553">MIN(8,_xlfn.XLOOKUP($D553&amp;"_"&amp;J$61,$B$23:$B$45&amp;"_"&amp;$C$23:$C$45,$D$23:$D$45)*$E553)</f>
        <v>6.76432525951556</v>
      </c>
      <c r="K553" s="67" cm="1">
        <f ca="1" t="array" ref="K553">MIN(18,_xlfn.XLOOKUP($D553&amp;"_"&amp;K$61,$B$23:$B$45&amp;"_"&amp;$C$23:$C$45,$D$23:$D$45)*$E553)</f>
        <v>2.10445674740485</v>
      </c>
      <c r="L553" s="67" cm="1">
        <f ca="1" t="array" ref="L553">MIN(6,_xlfn.XLOOKUP($D553&amp;"_"&amp;L$61,$B$23:$B$45&amp;"_"&amp;$C$23:$C$45,$D$23:$D$45)*$E553)</f>
        <v>3.15668512110727</v>
      </c>
      <c r="M553" s="67" cm="1">
        <f ca="1" t="array" ref="M553">(1+SUMPRODUCT(G553:H553,OFFSET($H$49:$I$49,D553,0)))*(1+OFFSET($J$49,D553,0))^I553*(1+OFFSET($K$49,D553,0))^J553*(1+OFFSET($L$49,D553,0))^K553*(1+OFFSET($M$49,D553,0))^L553</f>
        <v>175.103352008664</v>
      </c>
      <c r="N553" s="67">
        <f ca="1">MAX(MAX($N$62:N552),OFFSET($C$61,MATCH(M553*1.07,$M$62:$M$2061,1),0)-C553)</f>
        <v>6120</v>
      </c>
    </row>
    <row r="554" spans="2:14">
      <c r="B554" s="67">
        <v>493</v>
      </c>
      <c r="C554" s="67">
        <f t="shared" si="54"/>
        <v>177480</v>
      </c>
      <c r="D554" s="67">
        <f t="shared" si="49"/>
        <v>5</v>
      </c>
      <c r="E554" s="67">
        <f ca="1" t="shared" si="50"/>
        <v>523</v>
      </c>
      <c r="F554" s="67">
        <f ca="1" t="shared" si="51"/>
        <v>0</v>
      </c>
      <c r="G554" s="67">
        <f ca="1" t="shared" si="52"/>
        <v>0</v>
      </c>
      <c r="H554" s="67" cm="1">
        <f ca="1" t="array" ref="H554">MIN(30-SUM(I554:L554),_xlfn.XLOOKUP($D554&amp;"_"&amp;H$61,$B$23:$B$45&amp;"_"&amp;$C$23:$C$45,$D$23:$D$45)*$E554,18)</f>
        <v>15.1142279892349</v>
      </c>
      <c r="I554" s="67" cm="1">
        <f ca="1" t="array" ref="I554">MIN(30-SUM(J554:L554),6-L554,_xlfn.XLOOKUP($D554&amp;"_"&amp;I$61,$B$23:$B$45&amp;"_"&amp;$C$23:$C$45,$D$23:$D$45)*$E554)</f>
        <v>2.8372675893887</v>
      </c>
      <c r="J554" s="67" cm="1">
        <f ca="1" t="array" ref="J554">MIN(8,_xlfn.XLOOKUP($D554&amp;"_"&amp;J$61,$B$23:$B$45&amp;"_"&amp;$C$23:$C$45,$D$23:$D$45)*$E554)</f>
        <v>6.77728373702421</v>
      </c>
      <c r="K554" s="67" cm="1">
        <f ca="1" t="array" ref="K554">MIN(18,_xlfn.XLOOKUP($D554&amp;"_"&amp;K$61,$B$23:$B$45&amp;"_"&amp;$C$23:$C$45,$D$23:$D$45)*$E554)</f>
        <v>2.10848827374087</v>
      </c>
      <c r="L554" s="67" cm="1">
        <f ca="1" t="array" ref="L554">MIN(6,_xlfn.XLOOKUP($D554&amp;"_"&amp;L$61,$B$23:$B$45&amp;"_"&amp;$C$23:$C$45,$D$23:$D$45)*$E554)</f>
        <v>3.1627324106113</v>
      </c>
      <c r="M554" s="67" cm="1">
        <f ca="1" t="array" ref="M554">(1+SUMPRODUCT(G554:H554,OFFSET($H$49:$I$49,D554,0)))*(1+OFFSET($J$49,D554,0))^I554*(1+OFFSET($K$49,D554,0))^J554*(1+OFFSET($L$49,D554,0))^K554*(1+OFFSET($M$49,D554,0))^L554</f>
        <v>175.77315782612</v>
      </c>
      <c r="N554" s="67">
        <f ca="1">MAX(MAX($N$62:N553),OFFSET($C$61,MATCH(M554*1.07,$M$62:$M$2061,1),0)-C554)</f>
        <v>6120</v>
      </c>
    </row>
    <row r="555" spans="2:14">
      <c r="B555" s="67">
        <v>494</v>
      </c>
      <c r="C555" s="67">
        <f t="shared" si="54"/>
        <v>177840</v>
      </c>
      <c r="D555" s="67">
        <f t="shared" si="49"/>
        <v>5</v>
      </c>
      <c r="E555" s="67">
        <f ca="1" t="shared" si="50"/>
        <v>524</v>
      </c>
      <c r="F555" s="67">
        <f ca="1" t="shared" si="51"/>
        <v>0</v>
      </c>
      <c r="G555" s="67">
        <f ca="1" t="shared" si="52"/>
        <v>0</v>
      </c>
      <c r="H555" s="67" cm="1">
        <f ca="1" t="array" ref="H555">MIN(30-SUM(I555:L555),_xlfn.XLOOKUP($D555&amp;"_"&amp;H$61,$B$23:$B$45&amp;"_"&amp;$C$23:$C$45,$D$23:$D$45)*$E555,18)</f>
        <v>15.0972379853902</v>
      </c>
      <c r="I555" s="67" cm="1">
        <f ca="1" t="array" ref="I555">MIN(30-SUM(J555:L555),6-L555,_xlfn.XLOOKUP($D555&amp;"_"&amp;I$61,$B$23:$B$45&amp;"_"&amp;$C$23:$C$45,$D$23:$D$45)*$E555)</f>
        <v>2.83122029988466</v>
      </c>
      <c r="J555" s="67" cm="1">
        <f ca="1" t="array" ref="J555">MIN(8,_xlfn.XLOOKUP($D555&amp;"_"&amp;J$61,$B$23:$B$45&amp;"_"&amp;$C$23:$C$45,$D$23:$D$45)*$E555)</f>
        <v>6.79024221453286</v>
      </c>
      <c r="K555" s="67" cm="1">
        <f ca="1" t="array" ref="K555">MIN(18,_xlfn.XLOOKUP($D555&amp;"_"&amp;K$61,$B$23:$B$45&amp;"_"&amp;$C$23:$C$45,$D$23:$D$45)*$E555)</f>
        <v>2.1125198000769</v>
      </c>
      <c r="L555" s="67" cm="1">
        <f ca="1" t="array" ref="L555">MIN(6,_xlfn.XLOOKUP($D555&amp;"_"&amp;L$61,$B$23:$B$45&amp;"_"&amp;$C$23:$C$45,$D$23:$D$45)*$E555)</f>
        <v>3.16877970011534</v>
      </c>
      <c r="M555" s="67" cm="1">
        <f ca="1" t="array" ref="M555">(1+SUMPRODUCT(G555:H555,OFFSET($H$49:$I$49,D555,0)))*(1+OFFSET($J$49,D555,0))^I555*(1+OFFSET($K$49,D555,0))^J555*(1+OFFSET($L$49,D555,0))^K555*(1+OFFSET($M$49,D555,0))^L555</f>
        <v>176.445399896713</v>
      </c>
      <c r="N555" s="67">
        <f ca="1">MAX(MAX($N$62:N554),OFFSET($C$61,MATCH(M555*1.07,$M$62:$M$2061,1),0)-C555)</f>
        <v>6120</v>
      </c>
    </row>
    <row r="556" spans="2:14">
      <c r="B556" s="67">
        <v>495</v>
      </c>
      <c r="C556" s="67">
        <f t="shared" si="54"/>
        <v>178200</v>
      </c>
      <c r="D556" s="67">
        <f t="shared" si="49"/>
        <v>5</v>
      </c>
      <c r="E556" s="67">
        <f ca="1" t="shared" si="50"/>
        <v>525</v>
      </c>
      <c r="F556" s="67">
        <f ca="1" t="shared" si="51"/>
        <v>0</v>
      </c>
      <c r="G556" s="67">
        <f ca="1" t="shared" si="52"/>
        <v>0</v>
      </c>
      <c r="H556" s="67" cm="1">
        <f ca="1" t="array" ref="H556">MIN(30-SUM(I556:L556),_xlfn.XLOOKUP($D556&amp;"_"&amp;H$61,$B$23:$B$45&amp;"_"&amp;$C$23:$C$45,$D$23:$D$45)*$E556,18)</f>
        <v>15.0802479815456</v>
      </c>
      <c r="I556" s="67" cm="1">
        <f ca="1" t="array" ref="I556">MIN(30-SUM(J556:L556),6-L556,_xlfn.XLOOKUP($D556&amp;"_"&amp;I$61,$B$23:$B$45&amp;"_"&amp;$C$23:$C$45,$D$23:$D$45)*$E556)</f>
        <v>2.82517301038062</v>
      </c>
      <c r="J556" s="67" cm="1">
        <f ca="1" t="array" ref="J556">MIN(8,_xlfn.XLOOKUP($D556&amp;"_"&amp;J$61,$B$23:$B$45&amp;"_"&amp;$C$23:$C$45,$D$23:$D$45)*$E556)</f>
        <v>6.80320069204151</v>
      </c>
      <c r="K556" s="67" cm="1">
        <f ca="1" t="array" ref="K556">MIN(18,_xlfn.XLOOKUP($D556&amp;"_"&amp;K$61,$B$23:$B$45&amp;"_"&amp;$C$23:$C$45,$D$23:$D$45)*$E556)</f>
        <v>2.11655132641292</v>
      </c>
      <c r="L556" s="67" cm="1">
        <f ca="1" t="array" ref="L556">MIN(6,_xlfn.XLOOKUP($D556&amp;"_"&amp;L$61,$B$23:$B$45&amp;"_"&amp;$C$23:$C$45,$D$23:$D$45)*$E556)</f>
        <v>3.17482698961938</v>
      </c>
      <c r="M556" s="67" cm="1">
        <f ca="1" t="array" ref="M556">(1+SUMPRODUCT(G556:H556,OFFSET($H$49:$I$49,D556,0)))*(1+OFFSET($J$49,D556,0))^I556*(1+OFFSET($K$49,D556,0))^J556*(1+OFFSET($L$49,D556,0))^K556*(1+OFFSET($M$49,D556,0))^L556</f>
        <v>177.120086363012</v>
      </c>
      <c r="N556" s="67">
        <f ca="1">MAX(MAX($N$62:N555),OFFSET($C$61,MATCH(M556*1.07,$M$62:$M$2061,1),0)-C556)</f>
        <v>6120</v>
      </c>
    </row>
    <row r="557" spans="2:14">
      <c r="B557" s="67">
        <v>496</v>
      </c>
      <c r="C557" s="67">
        <f t="shared" si="54"/>
        <v>178560</v>
      </c>
      <c r="D557" s="67">
        <f t="shared" si="49"/>
        <v>5</v>
      </c>
      <c r="E557" s="67">
        <f ca="1" t="shared" si="50"/>
        <v>526</v>
      </c>
      <c r="F557" s="67">
        <f ca="1" t="shared" si="51"/>
        <v>0</v>
      </c>
      <c r="G557" s="67">
        <f ca="1" t="shared" si="52"/>
        <v>0</v>
      </c>
      <c r="H557" s="67" cm="1">
        <f ca="1" t="array" ref="H557">MIN(30-SUM(I557:L557),_xlfn.XLOOKUP($D557&amp;"_"&amp;H$61,$B$23:$B$45&amp;"_"&amp;$C$23:$C$45,$D$23:$D$45)*$E557,18)</f>
        <v>15.0632579777009</v>
      </c>
      <c r="I557" s="67" cm="1">
        <f ca="1" t="array" ref="I557">MIN(30-SUM(J557:L557),6-L557,_xlfn.XLOOKUP($D557&amp;"_"&amp;I$61,$B$23:$B$45&amp;"_"&amp;$C$23:$C$45,$D$23:$D$45)*$E557)</f>
        <v>2.81912572087659</v>
      </c>
      <c r="J557" s="67" cm="1">
        <f ca="1" t="array" ref="J557">MIN(8,_xlfn.XLOOKUP($D557&amp;"_"&amp;J$61,$B$23:$B$45&amp;"_"&amp;$C$23:$C$45,$D$23:$D$45)*$E557)</f>
        <v>6.81615916955016</v>
      </c>
      <c r="K557" s="67" cm="1">
        <f ca="1" t="array" ref="K557">MIN(18,_xlfn.XLOOKUP($D557&amp;"_"&amp;K$61,$B$23:$B$45&amp;"_"&amp;$C$23:$C$45,$D$23:$D$45)*$E557)</f>
        <v>2.12058285274894</v>
      </c>
      <c r="L557" s="67" cm="1">
        <f ca="1" t="array" ref="L557">MIN(6,_xlfn.XLOOKUP($D557&amp;"_"&amp;L$61,$B$23:$B$45&amp;"_"&amp;$C$23:$C$45,$D$23:$D$45)*$E557)</f>
        <v>3.18087427912341</v>
      </c>
      <c r="M557" s="67" cm="1">
        <f ca="1" t="array" ref="M557">(1+SUMPRODUCT(G557:H557,OFFSET($H$49:$I$49,D557,0)))*(1+OFFSET($J$49,D557,0))^I557*(1+OFFSET($K$49,D557,0))^J557*(1+OFFSET($L$49,D557,0))^K557*(1+OFFSET($M$49,D557,0))^L557</f>
        <v>177.797225390482</v>
      </c>
      <c r="N557" s="67">
        <f ca="1">MAX(MAX($N$62:N556),OFFSET($C$61,MATCH(M557*1.07,$M$62:$M$2061,1),0)-C557)</f>
        <v>6120</v>
      </c>
    </row>
    <row r="558" spans="2:14">
      <c r="B558" s="67">
        <v>497</v>
      </c>
      <c r="C558" s="67">
        <f t="shared" si="54"/>
        <v>178920</v>
      </c>
      <c r="D558" s="67">
        <f t="shared" si="49"/>
        <v>5</v>
      </c>
      <c r="E558" s="67">
        <f ca="1" t="shared" si="50"/>
        <v>527</v>
      </c>
      <c r="F558" s="67">
        <f ca="1" t="shared" si="51"/>
        <v>0</v>
      </c>
      <c r="G558" s="67">
        <f ca="1" t="shared" si="52"/>
        <v>0</v>
      </c>
      <c r="H558" s="67" cm="1">
        <f ca="1" t="array" ref="H558">MIN(30-SUM(I558:L558),_xlfn.XLOOKUP($D558&amp;"_"&amp;H$61,$B$23:$B$45&amp;"_"&amp;$C$23:$C$45,$D$23:$D$45)*$E558,18)</f>
        <v>15.0462679738562</v>
      </c>
      <c r="I558" s="67" cm="1">
        <f ca="1" t="array" ref="I558">MIN(30-SUM(J558:L558),6-L558,_xlfn.XLOOKUP($D558&amp;"_"&amp;I$61,$B$23:$B$45&amp;"_"&amp;$C$23:$C$45,$D$23:$D$45)*$E558)</f>
        <v>2.81307843137255</v>
      </c>
      <c r="J558" s="67" cm="1">
        <f ca="1" t="array" ref="J558">MIN(8,_xlfn.XLOOKUP($D558&amp;"_"&amp;J$61,$B$23:$B$45&amp;"_"&amp;$C$23:$C$45,$D$23:$D$45)*$E558)</f>
        <v>6.82911764705881</v>
      </c>
      <c r="K558" s="67" cm="1">
        <f ca="1" t="array" ref="K558">MIN(18,_xlfn.XLOOKUP($D558&amp;"_"&amp;K$61,$B$23:$B$45&amp;"_"&amp;$C$23:$C$45,$D$23:$D$45)*$E558)</f>
        <v>2.12461437908497</v>
      </c>
      <c r="L558" s="67" cm="1">
        <f ca="1" t="array" ref="L558">MIN(6,_xlfn.XLOOKUP($D558&amp;"_"&amp;L$61,$B$23:$B$45&amp;"_"&amp;$C$23:$C$45,$D$23:$D$45)*$E558)</f>
        <v>3.18692156862745</v>
      </c>
      <c r="M558" s="67" cm="1">
        <f ca="1" t="array" ref="M558">(1+SUMPRODUCT(G558:H558,OFFSET($H$49:$I$49,D558,0)))*(1+OFFSET($J$49,D558,0))^I558*(1+OFFSET($K$49,D558,0))^J558*(1+OFFSET($L$49,D558,0))^K558*(1+OFFSET($M$49,D558,0))^L558</f>
        <v>178.476825167527</v>
      </c>
      <c r="N558" s="67">
        <f ca="1">MAX(MAX($N$62:N557),OFFSET($C$61,MATCH(M558*1.07,$M$62:$M$2061,1),0)-C558)</f>
        <v>6120</v>
      </c>
    </row>
    <row r="559" spans="2:14">
      <c r="B559" s="67">
        <v>498</v>
      </c>
      <c r="C559" s="67">
        <f t="shared" si="54"/>
        <v>179280</v>
      </c>
      <c r="D559" s="67">
        <f t="shared" si="49"/>
        <v>5</v>
      </c>
      <c r="E559" s="67">
        <f ca="1" t="shared" si="50"/>
        <v>528</v>
      </c>
      <c r="F559" s="67">
        <f ca="1" t="shared" si="51"/>
        <v>0</v>
      </c>
      <c r="G559" s="67">
        <f ca="1" t="shared" si="52"/>
        <v>0</v>
      </c>
      <c r="H559" s="67" cm="1">
        <f ca="1" t="array" ref="H559">MIN(30-SUM(I559:L559),_xlfn.XLOOKUP($D559&amp;"_"&amp;H$61,$B$23:$B$45&amp;"_"&amp;$C$23:$C$45,$D$23:$D$45)*$E559,18)</f>
        <v>15.0292779700115</v>
      </c>
      <c r="I559" s="67" cm="1">
        <f ca="1" t="array" ref="I559">MIN(30-SUM(J559:L559),6-L559,_xlfn.XLOOKUP($D559&amp;"_"&amp;I$61,$B$23:$B$45&amp;"_"&amp;$C$23:$C$45,$D$23:$D$45)*$E559)</f>
        <v>2.80703114186851</v>
      </c>
      <c r="J559" s="67" cm="1">
        <f ca="1" t="array" ref="J559">MIN(8,_xlfn.XLOOKUP($D559&amp;"_"&amp;J$61,$B$23:$B$45&amp;"_"&amp;$C$23:$C$45,$D$23:$D$45)*$E559)</f>
        <v>6.84207612456746</v>
      </c>
      <c r="K559" s="67" cm="1">
        <f ca="1" t="array" ref="K559">MIN(18,_xlfn.XLOOKUP($D559&amp;"_"&amp;K$61,$B$23:$B$45&amp;"_"&amp;$C$23:$C$45,$D$23:$D$45)*$E559)</f>
        <v>2.12864590542099</v>
      </c>
      <c r="L559" s="67" cm="1">
        <f ca="1" t="array" ref="L559">MIN(6,_xlfn.XLOOKUP($D559&amp;"_"&amp;L$61,$B$23:$B$45&amp;"_"&amp;$C$23:$C$45,$D$23:$D$45)*$E559)</f>
        <v>3.19296885813149</v>
      </c>
      <c r="M559" s="67" cm="1">
        <f ca="1" t="array" ref="M559">(1+SUMPRODUCT(G559:H559,OFFSET($H$49:$I$49,D559,0)))*(1+OFFSET($J$49,D559,0))^I559*(1+OFFSET($K$49,D559,0))^J559*(1+OFFSET($L$49,D559,0))^K559*(1+OFFSET($M$49,D559,0))^L559</f>
        <v>179.158893905521</v>
      </c>
      <c r="N559" s="67">
        <f ca="1">MAX(MAX($N$62:N558),OFFSET($C$61,MATCH(M559*1.07,$M$62:$M$2061,1),0)-C559)</f>
        <v>6120</v>
      </c>
    </row>
    <row r="560" spans="2:14">
      <c r="B560" s="67">
        <v>499</v>
      </c>
      <c r="C560" s="67">
        <f t="shared" si="54"/>
        <v>179640</v>
      </c>
      <c r="D560" s="67">
        <f t="shared" si="49"/>
        <v>5</v>
      </c>
      <c r="E560" s="67">
        <f ca="1" t="shared" si="50"/>
        <v>529</v>
      </c>
      <c r="F560" s="67">
        <f ca="1" t="shared" si="51"/>
        <v>0</v>
      </c>
      <c r="G560" s="67">
        <f ca="1" t="shared" si="52"/>
        <v>0</v>
      </c>
      <c r="H560" s="67" cm="1">
        <f ca="1" t="array" ref="H560">MIN(30-SUM(I560:L560),_xlfn.XLOOKUP($D560&amp;"_"&amp;H$61,$B$23:$B$45&amp;"_"&amp;$C$23:$C$45,$D$23:$D$45)*$E560,18)</f>
        <v>15.0122879661669</v>
      </c>
      <c r="I560" s="67" cm="1">
        <f ca="1" t="array" ref="I560">MIN(30-SUM(J560:L560),6-L560,_xlfn.XLOOKUP($D560&amp;"_"&amp;I$61,$B$23:$B$45&amp;"_"&amp;$C$23:$C$45,$D$23:$D$45)*$E560)</f>
        <v>2.80098385236447</v>
      </c>
      <c r="J560" s="67" cm="1">
        <f ca="1" t="array" ref="J560">MIN(8,_xlfn.XLOOKUP($D560&amp;"_"&amp;J$61,$B$23:$B$45&amp;"_"&amp;$C$23:$C$45,$D$23:$D$45)*$E560)</f>
        <v>6.85503460207611</v>
      </c>
      <c r="K560" s="67" cm="1">
        <f ca="1" t="array" ref="K560">MIN(18,_xlfn.XLOOKUP($D560&amp;"_"&amp;K$61,$B$23:$B$45&amp;"_"&amp;$C$23:$C$45,$D$23:$D$45)*$E560)</f>
        <v>2.13267743175702</v>
      </c>
      <c r="L560" s="67" cm="1">
        <f ca="1" t="array" ref="L560">MIN(6,_xlfn.XLOOKUP($D560&amp;"_"&amp;L$61,$B$23:$B$45&amp;"_"&amp;$C$23:$C$45,$D$23:$D$45)*$E560)</f>
        <v>3.19901614763553</v>
      </c>
      <c r="M560" s="67" cm="1">
        <f ca="1" t="array" ref="M560">(1+SUMPRODUCT(G560:H560,OFFSET($H$49:$I$49,D560,0)))*(1+OFFSET($J$49,D560,0))^I560*(1+OFFSET($K$49,D560,0))^J560*(1+OFFSET($L$49,D560,0))^K560*(1+OFFSET($M$49,D560,0))^L560</f>
        <v>179.843439838845</v>
      </c>
      <c r="N560" s="67">
        <f ca="1">MAX(MAX($N$62:N559),OFFSET($C$61,MATCH(M560*1.07,$M$62:$M$2061,1),0)-C560)</f>
        <v>6120</v>
      </c>
    </row>
    <row r="561" spans="2:14">
      <c r="B561" s="67">
        <v>500</v>
      </c>
      <c r="C561" s="67">
        <f t="shared" si="54"/>
        <v>180000</v>
      </c>
      <c r="D561" s="67">
        <f t="shared" si="49"/>
        <v>5</v>
      </c>
      <c r="E561" s="67">
        <f ca="1" t="shared" si="50"/>
        <v>530</v>
      </c>
      <c r="F561" s="67">
        <f ca="1" t="shared" si="51"/>
        <v>0</v>
      </c>
      <c r="G561" s="67">
        <f ca="1" t="shared" si="52"/>
        <v>0</v>
      </c>
      <c r="H561" s="67" cm="1">
        <f ca="1" t="array" ref="H561">MIN(30-SUM(I561:L561),_xlfn.XLOOKUP($D561&amp;"_"&amp;H$61,$B$23:$B$45&amp;"_"&amp;$C$23:$C$45,$D$23:$D$45)*$E561,18)</f>
        <v>14.9952979623222</v>
      </c>
      <c r="I561" s="67" cm="1">
        <f ca="1" t="array" ref="I561">MIN(30-SUM(J561:L561),6-L561,_xlfn.XLOOKUP($D561&amp;"_"&amp;I$61,$B$23:$B$45&amp;"_"&amp;$C$23:$C$45,$D$23:$D$45)*$E561)</f>
        <v>2.79493656286044</v>
      </c>
      <c r="J561" s="67" cm="1">
        <f ca="1" t="array" ref="J561">MIN(8,_xlfn.XLOOKUP($D561&amp;"_"&amp;J$61,$B$23:$B$45&amp;"_"&amp;$C$23:$C$45,$D$23:$D$45)*$E561)</f>
        <v>6.86799307958476</v>
      </c>
      <c r="K561" s="67" cm="1">
        <f ca="1" t="array" ref="K561">MIN(18,_xlfn.XLOOKUP($D561&amp;"_"&amp;K$61,$B$23:$B$45&amp;"_"&amp;$C$23:$C$45,$D$23:$D$45)*$E561)</f>
        <v>2.13670895809304</v>
      </c>
      <c r="L561" s="67" cm="1">
        <f ca="1" t="array" ref="L561">MIN(6,_xlfn.XLOOKUP($D561&amp;"_"&amp;L$61,$B$23:$B$45&amp;"_"&amp;$C$23:$C$45,$D$23:$D$45)*$E561)</f>
        <v>3.20506343713956</v>
      </c>
      <c r="M561" s="67" cm="1">
        <f ca="1" t="array" ref="M561">(1+SUMPRODUCT(G561:H561,OFFSET($H$49:$I$49,D561,0)))*(1+OFFSET($J$49,D561,0))^I561*(1+OFFSET($K$49,D561,0))^J561*(1+OFFSET($L$49,D561,0))^K561*(1+OFFSET($M$49,D561,0))^L561</f>
        <v>180.530471224925</v>
      </c>
      <c r="N561" s="67">
        <f ca="1">MAX(MAX($N$62:N560),OFFSET($C$61,MATCH(M561*1.07,$M$62:$M$2061,1),0)-C561)</f>
        <v>6120</v>
      </c>
    </row>
    <row r="562" spans="2:14">
      <c r="B562" s="67">
        <v>501</v>
      </c>
      <c r="C562" s="67">
        <f t="shared" ref="C562:C585" si="55">C561+360</f>
        <v>180360</v>
      </c>
      <c r="D562" s="67">
        <f t="shared" si="49"/>
        <v>5</v>
      </c>
      <c r="E562" s="67">
        <f ca="1" t="shared" si="50"/>
        <v>531</v>
      </c>
      <c r="F562" s="67">
        <f ca="1" t="shared" si="51"/>
        <v>0</v>
      </c>
      <c r="G562" s="67">
        <f ca="1" t="shared" si="52"/>
        <v>0</v>
      </c>
      <c r="H562" s="67" cm="1">
        <f ca="1" t="array" ref="H562">MIN(30-SUM(I562:L562),_xlfn.XLOOKUP($D562&amp;"_"&amp;H$61,$B$23:$B$45&amp;"_"&amp;$C$23:$C$45,$D$23:$D$45)*$E562,18)</f>
        <v>14.9783079584775</v>
      </c>
      <c r="I562" s="67" cm="1">
        <f ca="1" t="array" ref="I562">MIN(30-SUM(J562:L562),6-L562,_xlfn.XLOOKUP($D562&amp;"_"&amp;I$61,$B$23:$B$45&amp;"_"&amp;$C$23:$C$45,$D$23:$D$45)*$E562)</f>
        <v>2.7888892733564</v>
      </c>
      <c r="J562" s="67" cm="1">
        <f ca="1" t="array" ref="J562">MIN(8,_xlfn.XLOOKUP($D562&amp;"_"&amp;J$61,$B$23:$B$45&amp;"_"&amp;$C$23:$C$45,$D$23:$D$45)*$E562)</f>
        <v>6.88095155709342</v>
      </c>
      <c r="K562" s="67" cm="1">
        <f ca="1" t="array" ref="K562">MIN(18,_xlfn.XLOOKUP($D562&amp;"_"&amp;K$61,$B$23:$B$45&amp;"_"&amp;$C$23:$C$45,$D$23:$D$45)*$E562)</f>
        <v>2.14074048442907</v>
      </c>
      <c r="L562" s="67" cm="1">
        <f ca="1" t="array" ref="L562">MIN(6,_xlfn.XLOOKUP($D562&amp;"_"&amp;L$61,$B$23:$B$45&amp;"_"&amp;$C$23:$C$45,$D$23:$D$45)*$E562)</f>
        <v>3.2111107266436</v>
      </c>
      <c r="M562" s="67" cm="1">
        <f ca="1" t="array" ref="M562">(1+SUMPRODUCT(G562:H562,OFFSET($H$49:$I$49,D562,0)))*(1+OFFSET($J$49,D562,0))^I562*(1+OFFSET($K$49,D562,0))^J562*(1+OFFSET($L$49,D562,0))^K562*(1+OFFSET($M$49,D562,0))^L562</f>
        <v>181.219996344265</v>
      </c>
      <c r="N562" s="67">
        <f ca="1">MAX(MAX($N$62:N561),OFFSET($C$61,MATCH(M562*1.07,$M$62:$M$2061,1),0)-C562)</f>
        <v>6120</v>
      </c>
    </row>
    <row r="563" spans="2:14">
      <c r="B563" s="67">
        <v>502</v>
      </c>
      <c r="C563" s="67">
        <f t="shared" si="55"/>
        <v>180720</v>
      </c>
      <c r="D563" s="67">
        <f t="shared" si="49"/>
        <v>5</v>
      </c>
      <c r="E563" s="67">
        <f ca="1" t="shared" si="50"/>
        <v>532</v>
      </c>
      <c r="F563" s="67">
        <f ca="1" t="shared" si="51"/>
        <v>0</v>
      </c>
      <c r="G563" s="67">
        <f ca="1" t="shared" si="52"/>
        <v>0</v>
      </c>
      <c r="H563" s="67" cm="1">
        <f ca="1" t="array" ref="H563">MIN(30-SUM(I563:L563),_xlfn.XLOOKUP($D563&amp;"_"&amp;H$61,$B$23:$B$45&amp;"_"&amp;$C$23:$C$45,$D$23:$D$45)*$E563,18)</f>
        <v>14.9613179546328</v>
      </c>
      <c r="I563" s="67" cm="1">
        <f ca="1" t="array" ref="I563">MIN(30-SUM(J563:L563),6-L563,_xlfn.XLOOKUP($D563&amp;"_"&amp;I$61,$B$23:$B$45&amp;"_"&amp;$C$23:$C$45,$D$23:$D$45)*$E563)</f>
        <v>2.78284198385236</v>
      </c>
      <c r="J563" s="67" cm="1">
        <f ca="1" t="array" ref="J563">MIN(8,_xlfn.XLOOKUP($D563&amp;"_"&amp;J$61,$B$23:$B$45&amp;"_"&amp;$C$23:$C$45,$D$23:$D$45)*$E563)</f>
        <v>6.89391003460207</v>
      </c>
      <c r="K563" s="67" cm="1">
        <f ca="1" t="array" ref="K563">MIN(18,_xlfn.XLOOKUP($D563&amp;"_"&amp;K$61,$B$23:$B$45&amp;"_"&amp;$C$23:$C$45,$D$23:$D$45)*$E563)</f>
        <v>2.14477201076509</v>
      </c>
      <c r="L563" s="67" cm="1">
        <f ca="1" t="array" ref="L563">MIN(6,_xlfn.XLOOKUP($D563&amp;"_"&amp;L$61,$B$23:$B$45&amp;"_"&amp;$C$23:$C$45,$D$23:$D$45)*$E563)</f>
        <v>3.21715801614764</v>
      </c>
      <c r="M563" s="67" cm="1">
        <f ca="1" t="array" ref="M563">(1+SUMPRODUCT(G563:H563,OFFSET($H$49:$I$49,D563,0)))*(1+OFFSET($J$49,D563,0))^I563*(1+OFFSET($K$49,D563,0))^J563*(1+OFFSET($L$49,D563,0))^K563*(1+OFFSET($M$49,D563,0))^L563</f>
        <v>181.912023500484</v>
      </c>
      <c r="N563" s="67">
        <f ca="1">MAX(MAX($N$62:N562),OFFSET($C$61,MATCH(M563*1.07,$M$62:$M$2061,1),0)-C563)</f>
        <v>6120</v>
      </c>
    </row>
    <row r="564" spans="2:14">
      <c r="B564" s="67">
        <v>503</v>
      </c>
      <c r="C564" s="67">
        <f t="shared" si="55"/>
        <v>181080</v>
      </c>
      <c r="D564" s="67">
        <f t="shared" si="49"/>
        <v>5</v>
      </c>
      <c r="E564" s="67">
        <f ca="1" t="shared" si="50"/>
        <v>533</v>
      </c>
      <c r="F564" s="67">
        <f ca="1" t="shared" si="51"/>
        <v>0</v>
      </c>
      <c r="G564" s="67">
        <f ca="1" t="shared" si="52"/>
        <v>0</v>
      </c>
      <c r="H564" s="67" cm="1">
        <f ca="1" t="array" ref="H564">MIN(30-SUM(I564:L564),_xlfn.XLOOKUP($D564&amp;"_"&amp;H$61,$B$23:$B$45&amp;"_"&amp;$C$23:$C$45,$D$23:$D$45)*$E564,18)</f>
        <v>14.9443279507882</v>
      </c>
      <c r="I564" s="67" cm="1">
        <f ca="1" t="array" ref="I564">MIN(30-SUM(J564:L564),6-L564,_xlfn.XLOOKUP($D564&amp;"_"&amp;I$61,$B$23:$B$45&amp;"_"&amp;$C$23:$C$45,$D$23:$D$45)*$E564)</f>
        <v>2.77679469434833</v>
      </c>
      <c r="J564" s="67" cm="1">
        <f ca="1" t="array" ref="J564">MIN(8,_xlfn.XLOOKUP($D564&amp;"_"&amp;J$61,$B$23:$B$45&amp;"_"&amp;$C$23:$C$45,$D$23:$D$45)*$E564)</f>
        <v>6.90686851211072</v>
      </c>
      <c r="K564" s="67" cm="1">
        <f ca="1" t="array" ref="K564">MIN(18,_xlfn.XLOOKUP($D564&amp;"_"&amp;K$61,$B$23:$B$45&amp;"_"&amp;$C$23:$C$45,$D$23:$D$45)*$E564)</f>
        <v>2.14880353710112</v>
      </c>
      <c r="L564" s="67" cm="1">
        <f ca="1" t="array" ref="L564">MIN(6,_xlfn.XLOOKUP($D564&amp;"_"&amp;L$61,$B$23:$B$45&amp;"_"&amp;$C$23:$C$45,$D$23:$D$45)*$E564)</f>
        <v>3.22320530565167</v>
      </c>
      <c r="M564" s="67" cm="1">
        <f ca="1" t="array" ref="M564">(1+SUMPRODUCT(G564:H564,OFFSET($H$49:$I$49,D564,0)))*(1+OFFSET($J$49,D564,0))^I564*(1+OFFSET($K$49,D564,0))^J564*(1+OFFSET($L$49,D564,0))^K564*(1+OFFSET($M$49,D564,0))^L564</f>
        <v>182.606561020347</v>
      </c>
      <c r="N564" s="67">
        <f ca="1">MAX(MAX($N$62:N563),OFFSET($C$61,MATCH(M564*1.07,$M$62:$M$2061,1),0)-C564)</f>
        <v>6120</v>
      </c>
    </row>
    <row r="565" spans="2:14">
      <c r="B565" s="67">
        <v>504</v>
      </c>
      <c r="C565" s="67">
        <f t="shared" si="55"/>
        <v>181440</v>
      </c>
      <c r="D565" s="67">
        <f t="shared" si="49"/>
        <v>5</v>
      </c>
      <c r="E565" s="67">
        <f ca="1" t="shared" si="50"/>
        <v>534</v>
      </c>
      <c r="F565" s="67">
        <f ca="1" t="shared" si="51"/>
        <v>0</v>
      </c>
      <c r="G565" s="67">
        <f ca="1" t="shared" si="52"/>
        <v>0</v>
      </c>
      <c r="H565" s="67" cm="1">
        <f ca="1" t="array" ref="H565">MIN(30-SUM(I565:L565),_xlfn.XLOOKUP($D565&amp;"_"&amp;H$61,$B$23:$B$45&amp;"_"&amp;$C$23:$C$45,$D$23:$D$45)*$E565,18)</f>
        <v>14.9273379469435</v>
      </c>
      <c r="I565" s="67" cm="1">
        <f ca="1" t="array" ref="I565">MIN(30-SUM(J565:L565),6-L565,_xlfn.XLOOKUP($D565&amp;"_"&amp;I$61,$B$23:$B$45&amp;"_"&amp;$C$23:$C$45,$D$23:$D$45)*$E565)</f>
        <v>2.77074740484429</v>
      </c>
      <c r="J565" s="67" cm="1">
        <f ca="1" t="array" ref="J565">MIN(8,_xlfn.XLOOKUP($D565&amp;"_"&amp;J$61,$B$23:$B$45&amp;"_"&amp;$C$23:$C$45,$D$23:$D$45)*$E565)</f>
        <v>6.91982698961937</v>
      </c>
      <c r="K565" s="67" cm="1">
        <f ca="1" t="array" ref="K565">MIN(18,_xlfn.XLOOKUP($D565&amp;"_"&amp;K$61,$B$23:$B$45&amp;"_"&amp;$C$23:$C$45,$D$23:$D$45)*$E565)</f>
        <v>2.15283506343714</v>
      </c>
      <c r="L565" s="67" cm="1">
        <f ca="1" t="array" ref="L565">MIN(6,_xlfn.XLOOKUP($D565&amp;"_"&amp;L$61,$B$23:$B$45&amp;"_"&amp;$C$23:$C$45,$D$23:$D$45)*$E565)</f>
        <v>3.22925259515571</v>
      </c>
      <c r="M565" s="67" cm="1">
        <f ca="1" t="array" ref="M565">(1+SUMPRODUCT(G565:H565,OFFSET($H$49:$I$49,D565,0)))*(1+OFFSET($J$49,D565,0))^I565*(1+OFFSET($K$49,D565,0))^J565*(1+OFFSET($L$49,D565,0))^K565*(1+OFFSET($M$49,D565,0))^L565</f>
        <v>183.303617253809</v>
      </c>
      <c r="N565" s="67">
        <f ca="1">MAX(MAX($N$62:N564),OFFSET($C$61,MATCH(M565*1.07,$M$62:$M$2061,1),0)-C565)</f>
        <v>6120</v>
      </c>
    </row>
    <row r="566" spans="2:14">
      <c r="B566" s="67">
        <v>505</v>
      </c>
      <c r="C566" s="67">
        <f t="shared" si="55"/>
        <v>181800</v>
      </c>
      <c r="D566" s="67">
        <f t="shared" si="49"/>
        <v>5</v>
      </c>
      <c r="E566" s="67">
        <f ca="1" t="shared" si="50"/>
        <v>535</v>
      </c>
      <c r="F566" s="67">
        <f ca="1" t="shared" si="51"/>
        <v>0</v>
      </c>
      <c r="G566" s="67">
        <f ca="1" t="shared" si="52"/>
        <v>0</v>
      </c>
      <c r="H566" s="67" cm="1">
        <f ca="1" t="array" ref="H566">MIN(30-SUM(I566:L566),_xlfn.XLOOKUP($D566&amp;"_"&amp;H$61,$B$23:$B$45&amp;"_"&amp;$C$23:$C$45,$D$23:$D$45)*$E566,18)</f>
        <v>14.9103479430988</v>
      </c>
      <c r="I566" s="67" cm="1">
        <f ca="1" t="array" ref="I566">MIN(30-SUM(J566:L566),6-L566,_xlfn.XLOOKUP($D566&amp;"_"&amp;I$61,$B$23:$B$45&amp;"_"&amp;$C$23:$C$45,$D$23:$D$45)*$E566)</f>
        <v>2.76470011534025</v>
      </c>
      <c r="J566" s="67" cm="1">
        <f ca="1" t="array" ref="J566">MIN(8,_xlfn.XLOOKUP($D566&amp;"_"&amp;J$61,$B$23:$B$45&amp;"_"&amp;$C$23:$C$45,$D$23:$D$45)*$E566)</f>
        <v>6.93278546712802</v>
      </c>
      <c r="K566" s="67" cm="1">
        <f ca="1" t="array" ref="K566">MIN(18,_xlfn.XLOOKUP($D566&amp;"_"&amp;K$61,$B$23:$B$45&amp;"_"&amp;$C$23:$C$45,$D$23:$D$45)*$E566)</f>
        <v>2.15686658977317</v>
      </c>
      <c r="L566" s="67" cm="1">
        <f ca="1" t="array" ref="L566">MIN(6,_xlfn.XLOOKUP($D566&amp;"_"&amp;L$61,$B$23:$B$45&amp;"_"&amp;$C$23:$C$45,$D$23:$D$45)*$E566)</f>
        <v>3.23529988465975</v>
      </c>
      <c r="M566" s="67" cm="1">
        <f ca="1" t="array" ref="M566">(1+SUMPRODUCT(G566:H566,OFFSET($H$49:$I$49,D566,0)))*(1+OFFSET($J$49,D566,0))^I566*(1+OFFSET($K$49,D566,0))^J566*(1+OFFSET($L$49,D566,0))^K566*(1+OFFSET($M$49,D566,0))^L566</f>
        <v>184.00320057404</v>
      </c>
      <c r="N566" s="67">
        <f ca="1">MAX(MAX($N$62:N565),OFFSET($C$61,MATCH(M566*1.07,$M$62:$M$2061,1),0)-C566)</f>
        <v>6120</v>
      </c>
    </row>
    <row r="567" spans="2:14">
      <c r="B567" s="67">
        <v>506</v>
      </c>
      <c r="C567" s="67">
        <f t="shared" si="55"/>
        <v>182160</v>
      </c>
      <c r="D567" s="67">
        <f t="shared" si="49"/>
        <v>5</v>
      </c>
      <c r="E567" s="67">
        <f ca="1" t="shared" si="50"/>
        <v>536</v>
      </c>
      <c r="F567" s="67">
        <f ca="1" t="shared" si="51"/>
        <v>0</v>
      </c>
      <c r="G567" s="67">
        <f ca="1" t="shared" si="52"/>
        <v>0</v>
      </c>
      <c r="H567" s="67" cm="1">
        <f ca="1" t="array" ref="H567">MIN(30-SUM(I567:L567),_xlfn.XLOOKUP($D567&amp;"_"&amp;H$61,$B$23:$B$45&amp;"_"&amp;$C$23:$C$45,$D$23:$D$45)*$E567,18)</f>
        <v>14.8933579392541</v>
      </c>
      <c r="I567" s="67" cm="1">
        <f ca="1" t="array" ref="I567">MIN(30-SUM(J567:L567),6-L567,_xlfn.XLOOKUP($D567&amp;"_"&amp;I$61,$B$23:$B$45&amp;"_"&amp;$C$23:$C$45,$D$23:$D$45)*$E567)</f>
        <v>2.75865282583622</v>
      </c>
      <c r="J567" s="67" cm="1">
        <f ca="1" t="array" ref="J567">MIN(8,_xlfn.XLOOKUP($D567&amp;"_"&amp;J$61,$B$23:$B$45&amp;"_"&amp;$C$23:$C$45,$D$23:$D$45)*$E567)</f>
        <v>6.94574394463667</v>
      </c>
      <c r="K567" s="67" cm="1">
        <f ca="1" t="array" ref="K567">MIN(18,_xlfn.XLOOKUP($D567&amp;"_"&amp;K$61,$B$23:$B$45&amp;"_"&amp;$C$23:$C$45,$D$23:$D$45)*$E567)</f>
        <v>2.16089811610919</v>
      </c>
      <c r="L567" s="67" cm="1">
        <f ca="1" t="array" ref="L567">MIN(6,_xlfn.XLOOKUP($D567&amp;"_"&amp;L$61,$B$23:$B$45&amp;"_"&amp;$C$23:$C$45,$D$23:$D$45)*$E567)</f>
        <v>3.24134717416378</v>
      </c>
      <c r="M567" s="67" cm="1">
        <f ca="1" t="array" ref="M567">(1+SUMPRODUCT(G567:H567,OFFSET($H$49:$I$49,D567,0)))*(1+OFFSET($J$49,D567,0))^I567*(1+OFFSET($K$49,D567,0))^J567*(1+OFFSET($L$49,D567,0))^K567*(1+OFFSET($M$49,D567,0))^L567</f>
        <v>184.705319377465</v>
      </c>
      <c r="N567" s="67">
        <f ca="1">MAX(MAX($N$62:N566),OFFSET($C$61,MATCH(M567*1.07,$M$62:$M$2061,1),0)-C567)</f>
        <v>6120</v>
      </c>
    </row>
    <row r="568" spans="2:14">
      <c r="B568" s="67">
        <v>507</v>
      </c>
      <c r="C568" s="67">
        <f t="shared" si="55"/>
        <v>182520</v>
      </c>
      <c r="D568" s="67">
        <f t="shared" si="49"/>
        <v>5</v>
      </c>
      <c r="E568" s="67">
        <f ca="1" t="shared" si="50"/>
        <v>537</v>
      </c>
      <c r="F568" s="67">
        <f ca="1" t="shared" si="51"/>
        <v>0</v>
      </c>
      <c r="G568" s="67">
        <f ca="1" t="shared" si="52"/>
        <v>0</v>
      </c>
      <c r="H568" s="67" cm="1">
        <f ca="1" t="array" ref="H568">MIN(30-SUM(I568:L568),_xlfn.XLOOKUP($D568&amp;"_"&amp;H$61,$B$23:$B$45&amp;"_"&amp;$C$23:$C$45,$D$23:$D$45)*$E568,18)</f>
        <v>14.8763679354095</v>
      </c>
      <c r="I568" s="67" cm="1">
        <f ca="1" t="array" ref="I568">MIN(30-SUM(J568:L568),6-L568,_xlfn.XLOOKUP($D568&amp;"_"&amp;I$61,$B$23:$B$45&amp;"_"&amp;$C$23:$C$45,$D$23:$D$45)*$E568)</f>
        <v>2.75260553633218</v>
      </c>
      <c r="J568" s="67" cm="1">
        <f ca="1" t="array" ref="J568">MIN(8,_xlfn.XLOOKUP($D568&amp;"_"&amp;J$61,$B$23:$B$45&amp;"_"&amp;$C$23:$C$45,$D$23:$D$45)*$E568)</f>
        <v>6.95870242214532</v>
      </c>
      <c r="K568" s="67" cm="1">
        <f ca="1" t="array" ref="K568">MIN(18,_xlfn.XLOOKUP($D568&amp;"_"&amp;K$61,$B$23:$B$45&amp;"_"&amp;$C$23:$C$45,$D$23:$D$45)*$E568)</f>
        <v>2.16492964244522</v>
      </c>
      <c r="L568" s="67" cm="1">
        <f ca="1" t="array" ref="L568">MIN(6,_xlfn.XLOOKUP($D568&amp;"_"&amp;L$61,$B$23:$B$45&amp;"_"&amp;$C$23:$C$45,$D$23:$D$45)*$E568)</f>
        <v>3.24739446366782</v>
      </c>
      <c r="M568" s="67" cm="1">
        <f ca="1" t="array" ref="M568">(1+SUMPRODUCT(G568:H568,OFFSET($H$49:$I$49,D568,0)))*(1+OFFSET($J$49,D568,0))^I568*(1+OFFSET($K$49,D568,0))^J568*(1+OFFSET($L$49,D568,0))^K568*(1+OFFSET($M$49,D568,0))^L568</f>
        <v>185.409982083798</v>
      </c>
      <c r="N568" s="67">
        <f ca="1">MAX(MAX($N$62:N567),OFFSET($C$61,MATCH(M568*1.07,$M$62:$M$2061,1),0)-C568)</f>
        <v>6120</v>
      </c>
    </row>
    <row r="569" spans="2:14">
      <c r="B569" s="67">
        <v>508</v>
      </c>
      <c r="C569" s="67">
        <f t="shared" si="55"/>
        <v>182880</v>
      </c>
      <c r="D569" s="67">
        <f t="shared" si="49"/>
        <v>5</v>
      </c>
      <c r="E569" s="67">
        <f ca="1" t="shared" si="50"/>
        <v>538</v>
      </c>
      <c r="F569" s="67">
        <f ca="1" t="shared" si="51"/>
        <v>0</v>
      </c>
      <c r="G569" s="67">
        <f ca="1" t="shared" si="52"/>
        <v>0</v>
      </c>
      <c r="H569" s="67" cm="1">
        <f ca="1" t="array" ref="H569">MIN(30-SUM(I569:L569),_xlfn.XLOOKUP($D569&amp;"_"&amp;H$61,$B$23:$B$45&amp;"_"&amp;$C$23:$C$45,$D$23:$D$45)*$E569,18)</f>
        <v>14.8593779315648</v>
      </c>
      <c r="I569" s="67" cm="1">
        <f ca="1" t="array" ref="I569">MIN(30-SUM(J569:L569),6-L569,_xlfn.XLOOKUP($D569&amp;"_"&amp;I$61,$B$23:$B$45&amp;"_"&amp;$C$23:$C$45,$D$23:$D$45)*$E569)</f>
        <v>2.74655824682814</v>
      </c>
      <c r="J569" s="67" cm="1">
        <f ca="1" t="array" ref="J569">MIN(8,_xlfn.XLOOKUP($D569&amp;"_"&amp;J$61,$B$23:$B$45&amp;"_"&amp;$C$23:$C$45,$D$23:$D$45)*$E569)</f>
        <v>6.97166089965397</v>
      </c>
      <c r="K569" s="67" cm="1">
        <f ca="1" t="array" ref="K569">MIN(18,_xlfn.XLOOKUP($D569&amp;"_"&amp;K$61,$B$23:$B$45&amp;"_"&amp;$C$23:$C$45,$D$23:$D$45)*$E569)</f>
        <v>2.16896116878124</v>
      </c>
      <c r="L569" s="67" cm="1">
        <f ca="1" t="array" ref="L569">MIN(6,_xlfn.XLOOKUP($D569&amp;"_"&amp;L$61,$B$23:$B$45&amp;"_"&amp;$C$23:$C$45,$D$23:$D$45)*$E569)</f>
        <v>3.25344175317186</v>
      </c>
      <c r="M569" s="67" cm="1">
        <f ca="1" t="array" ref="M569">(1+SUMPRODUCT(G569:H569,OFFSET($H$49:$I$49,D569,0)))*(1+OFFSET($J$49,D569,0))^I569*(1+OFFSET($K$49,D569,0))^J569*(1+OFFSET($L$49,D569,0))^K569*(1+OFFSET($M$49,D569,0))^L569</f>
        <v>186.117197136075</v>
      </c>
      <c r="N569" s="67">
        <f ca="1">MAX(MAX($N$62:N568),OFFSET($C$61,MATCH(M569*1.07,$M$62:$M$2061,1),0)-C569)</f>
        <v>6120</v>
      </c>
    </row>
    <row r="570" spans="2:14">
      <c r="B570" s="67">
        <v>509</v>
      </c>
      <c r="C570" s="67">
        <f t="shared" si="55"/>
        <v>183240</v>
      </c>
      <c r="D570" s="67">
        <f t="shared" si="49"/>
        <v>5</v>
      </c>
      <c r="E570" s="67">
        <f ca="1" t="shared" si="50"/>
        <v>539</v>
      </c>
      <c r="F570" s="67">
        <f ca="1" t="shared" si="51"/>
        <v>0</v>
      </c>
      <c r="G570" s="67">
        <f ca="1" t="shared" si="52"/>
        <v>0</v>
      </c>
      <c r="H570" s="67" cm="1">
        <f ca="1" t="array" ref="H570">MIN(30-SUM(I570:L570),_xlfn.XLOOKUP($D570&amp;"_"&amp;H$61,$B$23:$B$45&amp;"_"&amp;$C$23:$C$45,$D$23:$D$45)*$E570,18)</f>
        <v>14.8423879277201</v>
      </c>
      <c r="I570" s="67" cm="1">
        <f ca="1" t="array" ref="I570">MIN(30-SUM(J570:L570),6-L570,_xlfn.XLOOKUP($D570&amp;"_"&amp;I$61,$B$23:$B$45&amp;"_"&amp;$C$23:$C$45,$D$23:$D$45)*$E570)</f>
        <v>2.74051095732411</v>
      </c>
      <c r="J570" s="67" cm="1">
        <f ca="1" t="array" ref="J570">MIN(8,_xlfn.XLOOKUP($D570&amp;"_"&amp;J$61,$B$23:$B$45&amp;"_"&amp;$C$23:$C$45,$D$23:$D$45)*$E570)</f>
        <v>6.98461937716262</v>
      </c>
      <c r="K570" s="67" cm="1">
        <f ca="1" t="array" ref="K570">MIN(18,_xlfn.XLOOKUP($D570&amp;"_"&amp;K$61,$B$23:$B$45&amp;"_"&amp;$C$23:$C$45,$D$23:$D$45)*$E570)</f>
        <v>2.17299269511726</v>
      </c>
      <c r="L570" s="67" cm="1">
        <f ca="1" t="array" ref="L570">MIN(6,_xlfn.XLOOKUP($D570&amp;"_"&amp;L$61,$B$23:$B$45&amp;"_"&amp;$C$23:$C$45,$D$23:$D$45)*$E570)</f>
        <v>3.25948904267589</v>
      </c>
      <c r="M570" s="67" cm="1">
        <f ca="1" t="array" ref="M570">(1+SUMPRODUCT(G570:H570,OFFSET($H$49:$I$49,D570,0)))*(1+OFFSET($J$49,D570,0))^I570*(1+OFFSET($K$49,D570,0))^J570*(1+OFFSET($L$49,D570,0))^K570*(1+OFFSET($M$49,D570,0))^L570</f>
        <v>186.82697300069</v>
      </c>
      <c r="N570" s="67">
        <f ca="1">MAX(MAX($N$62:N569),OFFSET($C$61,MATCH(M570*1.07,$M$62:$M$2061,1),0)-C570)</f>
        <v>6120</v>
      </c>
    </row>
    <row r="571" spans="2:14">
      <c r="B571" s="67">
        <v>510</v>
      </c>
      <c r="C571" s="67">
        <f t="shared" si="55"/>
        <v>183600</v>
      </c>
      <c r="D571" s="67">
        <f t="shared" si="49"/>
        <v>5</v>
      </c>
      <c r="E571" s="67">
        <f ca="1" t="shared" si="50"/>
        <v>540</v>
      </c>
      <c r="F571" s="67">
        <f ca="1" t="shared" si="51"/>
        <v>0</v>
      </c>
      <c r="G571" s="67">
        <f ca="1" t="shared" si="52"/>
        <v>0</v>
      </c>
      <c r="H571" s="67" cm="1">
        <f ca="1" t="array" ref="H571">MIN(30-SUM(I571:L571),_xlfn.XLOOKUP($D571&amp;"_"&amp;H$61,$B$23:$B$45&amp;"_"&amp;$C$23:$C$45,$D$23:$D$45)*$E571,18)</f>
        <v>14.8253979238754</v>
      </c>
      <c r="I571" s="67" cm="1">
        <f ca="1" t="array" ref="I571">MIN(30-SUM(J571:L571),6-L571,_xlfn.XLOOKUP($D571&amp;"_"&amp;I$61,$B$23:$B$45&amp;"_"&amp;$C$23:$C$45,$D$23:$D$45)*$E571)</f>
        <v>2.73446366782007</v>
      </c>
      <c r="J571" s="67" cm="1">
        <f ca="1" t="array" ref="J571">MIN(8,_xlfn.XLOOKUP($D571&amp;"_"&amp;J$61,$B$23:$B$45&amp;"_"&amp;$C$23:$C$45,$D$23:$D$45)*$E571)</f>
        <v>6.99757785467127</v>
      </c>
      <c r="K571" s="67" cm="1">
        <f ca="1" t="array" ref="K571">MIN(18,_xlfn.XLOOKUP($D571&amp;"_"&amp;K$61,$B$23:$B$45&amp;"_"&amp;$C$23:$C$45,$D$23:$D$45)*$E571)</f>
        <v>2.17702422145329</v>
      </c>
      <c r="L571" s="67" cm="1">
        <f ca="1" t="array" ref="L571">MIN(6,_xlfn.XLOOKUP($D571&amp;"_"&amp;L$61,$B$23:$B$45&amp;"_"&amp;$C$23:$C$45,$D$23:$D$45)*$E571)</f>
        <v>3.26553633217993</v>
      </c>
      <c r="M571" s="67" cm="1">
        <f ca="1" t="array" ref="M571">(1+SUMPRODUCT(G571:H571,OFFSET($H$49:$I$49,D571,0)))*(1+OFFSET($J$49,D571,0))^I571*(1+OFFSET($K$49,D571,0))^J571*(1+OFFSET($L$49,D571,0))^K571*(1+OFFSET($M$49,D571,0))^L571</f>
        <v>187.539318167427</v>
      </c>
      <c r="N571" s="67">
        <f ca="1">MAX(MAX($N$62:N570),OFFSET($C$61,MATCH(M571*1.07,$M$62:$M$2061,1),0)-C571)</f>
        <v>6120</v>
      </c>
    </row>
    <row r="572" spans="2:14">
      <c r="B572" s="67">
        <v>511</v>
      </c>
      <c r="C572" s="67">
        <f t="shared" si="55"/>
        <v>183960</v>
      </c>
      <c r="D572" s="67">
        <f t="shared" si="49"/>
        <v>5</v>
      </c>
      <c r="E572" s="67">
        <f ca="1" t="shared" si="50"/>
        <v>541</v>
      </c>
      <c r="F572" s="67">
        <f ca="1" t="shared" si="51"/>
        <v>0</v>
      </c>
      <c r="G572" s="67">
        <f ca="1" t="shared" si="52"/>
        <v>0</v>
      </c>
      <c r="H572" s="67" cm="1">
        <f ca="1" t="array" ref="H572">MIN(30-SUM(I572:L572),_xlfn.XLOOKUP($D572&amp;"_"&amp;H$61,$B$23:$B$45&amp;"_"&amp;$C$23:$C$45,$D$23:$D$45)*$E572,18)</f>
        <v>14.8084079200308</v>
      </c>
      <c r="I572" s="67" cm="1">
        <f ca="1" t="array" ref="I572">MIN(30-SUM(J572:L572),6-L572,_xlfn.XLOOKUP($D572&amp;"_"&amp;I$61,$B$23:$B$45&amp;"_"&amp;$C$23:$C$45,$D$23:$D$45)*$E572)</f>
        <v>2.72841637831603</v>
      </c>
      <c r="J572" s="67" cm="1">
        <f ca="1" t="array" ref="J572">MIN(8,_xlfn.XLOOKUP($D572&amp;"_"&amp;J$61,$B$23:$B$45&amp;"_"&amp;$C$23:$C$45,$D$23:$D$45)*$E572)</f>
        <v>7.01053633217992</v>
      </c>
      <c r="K572" s="67" cm="1">
        <f ca="1" t="array" ref="K572">MIN(18,_xlfn.XLOOKUP($D572&amp;"_"&amp;K$61,$B$23:$B$45&amp;"_"&amp;$C$23:$C$45,$D$23:$D$45)*$E572)</f>
        <v>2.18105574778931</v>
      </c>
      <c r="L572" s="67" cm="1">
        <f ca="1" t="array" ref="L572">MIN(6,_xlfn.XLOOKUP($D572&amp;"_"&amp;L$61,$B$23:$B$45&amp;"_"&amp;$C$23:$C$45,$D$23:$D$45)*$E572)</f>
        <v>3.27158362168397</v>
      </c>
      <c r="M572" s="67" cm="1">
        <f ca="1" t="array" ref="M572">(1+SUMPRODUCT(G572:H572,OFFSET($H$49:$I$49,D572,0)))*(1+OFFSET($J$49,D572,0))^I572*(1+OFFSET($K$49,D572,0))^J572*(1+OFFSET($L$49,D572,0))^K572*(1+OFFSET($M$49,D572,0))^L572</f>
        <v>188.254241149494</v>
      </c>
      <c r="N572" s="67">
        <f ca="1">MAX(MAX($N$62:N571),OFFSET($C$61,MATCH(M572*1.07,$M$62:$M$2061,1),0)-C572)</f>
        <v>6120</v>
      </c>
    </row>
    <row r="573" spans="2:14">
      <c r="B573" s="67">
        <v>512</v>
      </c>
      <c r="C573" s="67">
        <f t="shared" si="55"/>
        <v>184320</v>
      </c>
      <c r="D573" s="67">
        <f t="shared" si="49"/>
        <v>5</v>
      </c>
      <c r="E573" s="67">
        <f ca="1" t="shared" si="50"/>
        <v>542</v>
      </c>
      <c r="F573" s="67">
        <f ca="1" t="shared" si="51"/>
        <v>0</v>
      </c>
      <c r="G573" s="67">
        <f ca="1" t="shared" si="52"/>
        <v>0</v>
      </c>
      <c r="H573" s="67" cm="1">
        <f ca="1" t="array" ref="H573">MIN(30-SUM(I573:L573),_xlfn.XLOOKUP($D573&amp;"_"&amp;H$61,$B$23:$B$45&amp;"_"&amp;$C$23:$C$45,$D$23:$D$45)*$E573,18)</f>
        <v>14.7914179161861</v>
      </c>
      <c r="I573" s="67" cm="1">
        <f ca="1" t="array" ref="I573">MIN(30-SUM(J573:L573),6-L573,_xlfn.XLOOKUP($D573&amp;"_"&amp;I$61,$B$23:$B$45&amp;"_"&amp;$C$23:$C$45,$D$23:$D$45)*$E573)</f>
        <v>2.72236908881199</v>
      </c>
      <c r="J573" s="67" cm="1">
        <f ca="1" t="array" ref="J573">MIN(8,_xlfn.XLOOKUP($D573&amp;"_"&amp;J$61,$B$23:$B$45&amp;"_"&amp;$C$23:$C$45,$D$23:$D$45)*$E573)</f>
        <v>7.02349480968857</v>
      </c>
      <c r="K573" s="67" cm="1">
        <f ca="1" t="array" ref="K573">MIN(18,_xlfn.XLOOKUP($D573&amp;"_"&amp;K$61,$B$23:$B$45&amp;"_"&amp;$C$23:$C$45,$D$23:$D$45)*$E573)</f>
        <v>2.18508727412534</v>
      </c>
      <c r="L573" s="67" cm="1">
        <f ca="1" t="array" ref="L573">MIN(6,_xlfn.XLOOKUP($D573&amp;"_"&amp;L$61,$B$23:$B$45&amp;"_"&amp;$C$23:$C$45,$D$23:$D$45)*$E573)</f>
        <v>3.27763091118801</v>
      </c>
      <c r="M573" s="67" cm="1">
        <f ca="1" t="array" ref="M573">(1+SUMPRODUCT(G573:H573,OFFSET($H$49:$I$49,D573,0)))*(1+OFFSET($J$49,D573,0))^I573*(1+OFFSET($K$49,D573,0))^J573*(1+OFFSET($L$49,D573,0))^K573*(1+OFFSET($M$49,D573,0))^L573</f>
        <v>188.971750483558</v>
      </c>
      <c r="N573" s="67">
        <f ca="1">MAX(MAX($N$62:N572),OFFSET($C$61,MATCH(M573*1.07,$M$62:$M$2061,1),0)-C573)</f>
        <v>6120</v>
      </c>
    </row>
    <row r="574" spans="2:14">
      <c r="B574" s="67">
        <v>513</v>
      </c>
      <c r="C574" s="67">
        <f t="shared" si="55"/>
        <v>184680</v>
      </c>
      <c r="D574" s="67">
        <f t="shared" si="49"/>
        <v>5</v>
      </c>
      <c r="E574" s="67">
        <f ca="1" t="shared" si="50"/>
        <v>543</v>
      </c>
      <c r="F574" s="67">
        <f ca="1" t="shared" si="51"/>
        <v>0</v>
      </c>
      <c r="G574" s="67">
        <f ca="1" t="shared" si="52"/>
        <v>0</v>
      </c>
      <c r="H574" s="67" cm="1">
        <f ca="1" t="array" ref="H574">MIN(30-SUM(I574:L574),_xlfn.XLOOKUP($D574&amp;"_"&amp;H$61,$B$23:$B$45&amp;"_"&amp;$C$23:$C$45,$D$23:$D$45)*$E574,18)</f>
        <v>14.7744279123414</v>
      </c>
      <c r="I574" s="67" cm="1">
        <f ca="1" t="array" ref="I574">MIN(30-SUM(J574:L574),6-L574,_xlfn.XLOOKUP($D574&amp;"_"&amp;I$61,$B$23:$B$45&amp;"_"&amp;$C$23:$C$45,$D$23:$D$45)*$E574)</f>
        <v>2.71632179930796</v>
      </c>
      <c r="J574" s="67" cm="1">
        <f ca="1" t="array" ref="J574">MIN(8,_xlfn.XLOOKUP($D574&amp;"_"&amp;J$61,$B$23:$B$45&amp;"_"&amp;$C$23:$C$45,$D$23:$D$45)*$E574)</f>
        <v>7.03645328719722</v>
      </c>
      <c r="K574" s="67" cm="1">
        <f ca="1" t="array" ref="K574">MIN(18,_xlfn.XLOOKUP($D574&amp;"_"&amp;K$61,$B$23:$B$45&amp;"_"&amp;$C$23:$C$45,$D$23:$D$45)*$E574)</f>
        <v>2.18911880046136</v>
      </c>
      <c r="L574" s="67" cm="1">
        <f ca="1" t="array" ref="L574">MIN(6,_xlfn.XLOOKUP($D574&amp;"_"&amp;L$61,$B$23:$B$45&amp;"_"&amp;$C$23:$C$45,$D$23:$D$45)*$E574)</f>
        <v>3.28367820069204</v>
      </c>
      <c r="M574" s="67" cm="1">
        <f ca="1" t="array" ref="M574">(1+SUMPRODUCT(G574:H574,OFFSET($H$49:$I$49,D574,0)))*(1+OFFSET($J$49,D574,0))^I574*(1+OFFSET($K$49,D574,0))^J574*(1+OFFSET($L$49,D574,0))^K574*(1+OFFSET($M$49,D574,0))^L574</f>
        <v>189.691854729776</v>
      </c>
      <c r="N574" s="67">
        <f ca="1">MAX(MAX($N$62:N573),OFFSET($C$61,MATCH(M574*1.07,$M$62:$M$2061,1),0)-C574)</f>
        <v>6120</v>
      </c>
    </row>
    <row r="575" spans="2:14">
      <c r="B575" s="67">
        <v>514</v>
      </c>
      <c r="C575" s="67">
        <f t="shared" si="55"/>
        <v>185040</v>
      </c>
      <c r="D575" s="67">
        <f t="shared" ref="D575:D638" si="56">_xlfn.XLOOKUP("非R",$B$49:$B$54,$C$49:$C$54)</f>
        <v>5</v>
      </c>
      <c r="E575" s="67">
        <f ca="1" t="shared" ref="E575:E638" si="57">INT(C575/_xlfn.XLOOKUP(D575,$R$14:$R$21,$S$14:$S$21))+OFFSET($R$49,D575,0)</f>
        <v>544</v>
      </c>
      <c r="F575" s="67">
        <f ca="1" t="shared" si="51"/>
        <v>0</v>
      </c>
      <c r="G575" s="67">
        <f ca="1" t="shared" si="52"/>
        <v>0</v>
      </c>
      <c r="H575" s="67" cm="1">
        <f ca="1" t="array" ref="H575">MIN(30-SUM(I575:L575),_xlfn.XLOOKUP($D575&amp;"_"&amp;H$61,$B$23:$B$45&amp;"_"&amp;$C$23:$C$45,$D$23:$D$45)*$E575,18)</f>
        <v>14.7574379084967</v>
      </c>
      <c r="I575" s="67" cm="1">
        <f ca="1" t="array" ref="I575">MIN(30-SUM(J575:L575),6-L575,_xlfn.XLOOKUP($D575&amp;"_"&amp;I$61,$B$23:$B$45&amp;"_"&amp;$C$23:$C$45,$D$23:$D$45)*$E575)</f>
        <v>2.71027450980392</v>
      </c>
      <c r="J575" s="67" cm="1">
        <f ca="1" t="array" ref="J575">MIN(8,_xlfn.XLOOKUP($D575&amp;"_"&amp;J$61,$B$23:$B$45&amp;"_"&amp;$C$23:$C$45,$D$23:$D$45)*$E575)</f>
        <v>7.04941176470587</v>
      </c>
      <c r="K575" s="67" cm="1">
        <f ca="1" t="array" ref="K575">MIN(18,_xlfn.XLOOKUP($D575&amp;"_"&amp;K$61,$B$23:$B$45&amp;"_"&amp;$C$23:$C$45,$D$23:$D$45)*$E575)</f>
        <v>2.19315032679739</v>
      </c>
      <c r="L575" s="67" cm="1">
        <f ca="1" t="array" ref="L575">MIN(6,_xlfn.XLOOKUP($D575&amp;"_"&amp;L$61,$B$23:$B$45&amp;"_"&amp;$C$23:$C$45,$D$23:$D$45)*$E575)</f>
        <v>3.28972549019608</v>
      </c>
      <c r="M575" s="67" cm="1">
        <f ca="1" t="array" ref="M575">(1+SUMPRODUCT(G575:H575,OFFSET($H$49:$I$49,D575,0)))*(1+OFFSET($J$49,D575,0))^I575*(1+OFFSET($K$49,D575,0))^J575*(1+OFFSET($L$49,D575,0))^K575*(1+OFFSET($M$49,D575,0))^L575</f>
        <v>190.414562471831</v>
      </c>
      <c r="N575" s="67">
        <f ca="1">MAX(MAX($N$62:N574),OFFSET($C$61,MATCH(M575*1.07,$M$62:$M$2061,1),0)-C575)</f>
        <v>6120</v>
      </c>
    </row>
    <row r="576" spans="2:14">
      <c r="B576" s="67">
        <v>515</v>
      </c>
      <c r="C576" s="67">
        <f t="shared" si="55"/>
        <v>185400</v>
      </c>
      <c r="D576" s="67">
        <f t="shared" si="56"/>
        <v>5</v>
      </c>
      <c r="E576" s="67">
        <f ca="1" t="shared" si="57"/>
        <v>545</v>
      </c>
      <c r="F576" s="67">
        <f ca="1" t="shared" ref="F576:F639" si="58">30-SUM(G576:L576)</f>
        <v>0</v>
      </c>
      <c r="G576" s="67">
        <f ca="1" t="shared" ref="G576:G639" si="59">30-SUM(H576:L576)</f>
        <v>0</v>
      </c>
      <c r="H576" s="67" cm="1">
        <f ca="1" t="array" ref="H576">MIN(30-SUM(I576:L576),_xlfn.XLOOKUP($D576&amp;"_"&amp;H$61,$B$23:$B$45&amp;"_"&amp;$C$23:$C$45,$D$23:$D$45)*$E576,18)</f>
        <v>14.7404479046521</v>
      </c>
      <c r="I576" s="67" cm="1">
        <f ca="1" t="array" ref="I576">MIN(30-SUM(J576:L576),6-L576,_xlfn.XLOOKUP($D576&amp;"_"&amp;I$61,$B$23:$B$45&amp;"_"&amp;$C$23:$C$45,$D$23:$D$45)*$E576)</f>
        <v>2.70422722029988</v>
      </c>
      <c r="J576" s="67" cm="1">
        <f ca="1" t="array" ref="J576">MIN(8,_xlfn.XLOOKUP($D576&amp;"_"&amp;J$61,$B$23:$B$45&amp;"_"&amp;$C$23:$C$45,$D$23:$D$45)*$E576)</f>
        <v>7.06237024221452</v>
      </c>
      <c r="K576" s="67" cm="1">
        <f ca="1" t="array" ref="K576">MIN(18,_xlfn.XLOOKUP($D576&amp;"_"&amp;K$61,$B$23:$B$45&amp;"_"&amp;$C$23:$C$45,$D$23:$D$45)*$E576)</f>
        <v>2.19718185313341</v>
      </c>
      <c r="L576" s="67" cm="1">
        <f ca="1" t="array" ref="L576">MIN(6,_xlfn.XLOOKUP($D576&amp;"_"&amp;L$61,$B$23:$B$45&amp;"_"&amp;$C$23:$C$45,$D$23:$D$45)*$E576)</f>
        <v>3.29577277970012</v>
      </c>
      <c r="M576" s="67" cm="1">
        <f ca="1" t="array" ref="M576">(1+SUMPRODUCT(G576:H576,OFFSET($H$49:$I$49,D576,0)))*(1+OFFSET($J$49,D576,0))^I576*(1+OFFSET($K$49,D576,0))^J576*(1+OFFSET($L$49,D576,0))^K576*(1+OFFSET($M$49,D576,0))^L576</f>
        <v>191.139882316963</v>
      </c>
      <c r="N576" s="67">
        <f ca="1">MAX(MAX($N$62:N575),OFFSET($C$61,MATCH(M576*1.07,$M$62:$M$2061,1),0)-C576)</f>
        <v>6120</v>
      </c>
    </row>
    <row r="577" spans="2:14">
      <c r="B577" s="67">
        <v>516</v>
      </c>
      <c r="C577" s="67">
        <f t="shared" si="55"/>
        <v>185760</v>
      </c>
      <c r="D577" s="67">
        <f t="shared" si="56"/>
        <v>5</v>
      </c>
      <c r="E577" s="67">
        <f ca="1" t="shared" si="57"/>
        <v>546</v>
      </c>
      <c r="F577" s="67">
        <f ca="1" t="shared" si="58"/>
        <v>0</v>
      </c>
      <c r="G577" s="67">
        <f ca="1" t="shared" si="59"/>
        <v>0</v>
      </c>
      <c r="H577" s="67" cm="1">
        <f ca="1" t="array" ref="H577">MIN(30-SUM(I577:L577),_xlfn.XLOOKUP($D577&amp;"_"&amp;H$61,$B$23:$B$45&amp;"_"&amp;$C$23:$C$45,$D$23:$D$45)*$E577,18)</f>
        <v>14.7234579008074</v>
      </c>
      <c r="I577" s="67" cm="1">
        <f ca="1" t="array" ref="I577">MIN(30-SUM(J577:L577),6-L577,_xlfn.XLOOKUP($D577&amp;"_"&amp;I$61,$B$23:$B$45&amp;"_"&amp;$C$23:$C$45,$D$23:$D$45)*$E577)</f>
        <v>2.69817993079585</v>
      </c>
      <c r="J577" s="67" cm="1">
        <f ca="1" t="array" ref="J577">MIN(8,_xlfn.XLOOKUP($D577&amp;"_"&amp;J$61,$B$23:$B$45&amp;"_"&amp;$C$23:$C$45,$D$23:$D$45)*$E577)</f>
        <v>7.07532871972317</v>
      </c>
      <c r="K577" s="67" cm="1">
        <f ca="1" t="array" ref="K577">MIN(18,_xlfn.XLOOKUP($D577&amp;"_"&amp;K$61,$B$23:$B$45&amp;"_"&amp;$C$23:$C$45,$D$23:$D$45)*$E577)</f>
        <v>2.20121337946944</v>
      </c>
      <c r="L577" s="67" cm="1">
        <f ca="1" t="array" ref="L577">MIN(6,_xlfn.XLOOKUP($D577&amp;"_"&amp;L$61,$B$23:$B$45&amp;"_"&amp;$C$23:$C$45,$D$23:$D$45)*$E577)</f>
        <v>3.30182006920415</v>
      </c>
      <c r="M577" s="67" cm="1">
        <f ca="1" t="array" ref="M577">(1+SUMPRODUCT(G577:H577,OFFSET($H$49:$I$49,D577,0)))*(1+OFFSET($J$49,D577,0))^I577*(1+OFFSET($K$49,D577,0))^J577*(1+OFFSET($L$49,D577,0))^K577*(1+OFFSET($M$49,D577,0))^L577</f>
        <v>191.867822896001</v>
      </c>
      <c r="N577" s="67">
        <f ca="1">MAX(MAX($N$62:N576),OFFSET($C$61,MATCH(M577*1.07,$M$62:$M$2061,1),0)-C577)</f>
        <v>6120</v>
      </c>
    </row>
    <row r="578" spans="2:14">
      <c r="B578" s="67">
        <v>517</v>
      </c>
      <c r="C578" s="67">
        <f t="shared" si="55"/>
        <v>186120</v>
      </c>
      <c r="D578" s="67">
        <f t="shared" si="56"/>
        <v>5</v>
      </c>
      <c r="E578" s="67">
        <f ca="1" t="shared" si="57"/>
        <v>547</v>
      </c>
      <c r="F578" s="67">
        <f ca="1" t="shared" si="58"/>
        <v>0</v>
      </c>
      <c r="G578" s="67">
        <f ca="1" t="shared" si="59"/>
        <v>0</v>
      </c>
      <c r="H578" s="67" cm="1">
        <f ca="1" t="array" ref="H578">MIN(30-SUM(I578:L578),_xlfn.XLOOKUP($D578&amp;"_"&amp;H$61,$B$23:$B$45&amp;"_"&amp;$C$23:$C$45,$D$23:$D$45)*$E578,18)</f>
        <v>14.7064678969627</v>
      </c>
      <c r="I578" s="67" cm="1">
        <f ca="1" t="array" ref="I578">MIN(30-SUM(J578:L578),6-L578,_xlfn.XLOOKUP($D578&amp;"_"&amp;I$61,$B$23:$B$45&amp;"_"&amp;$C$23:$C$45,$D$23:$D$45)*$E578)</f>
        <v>2.69213264129181</v>
      </c>
      <c r="J578" s="67" cm="1">
        <f ca="1" t="array" ref="J578">MIN(8,_xlfn.XLOOKUP($D578&amp;"_"&amp;J$61,$B$23:$B$45&amp;"_"&amp;$C$23:$C$45,$D$23:$D$45)*$E578)</f>
        <v>7.08828719723182</v>
      </c>
      <c r="K578" s="67" cm="1">
        <f ca="1" t="array" ref="K578">MIN(18,_xlfn.XLOOKUP($D578&amp;"_"&amp;K$61,$B$23:$B$45&amp;"_"&amp;$C$23:$C$45,$D$23:$D$45)*$E578)</f>
        <v>2.20524490580546</v>
      </c>
      <c r="L578" s="67" cm="1">
        <f ca="1" t="array" ref="L578">MIN(6,_xlfn.XLOOKUP($D578&amp;"_"&amp;L$61,$B$23:$B$45&amp;"_"&amp;$C$23:$C$45,$D$23:$D$45)*$E578)</f>
        <v>3.30786735870819</v>
      </c>
      <c r="M578" s="67" cm="1">
        <f ca="1" t="array" ref="M578">(1+SUMPRODUCT(G578:H578,OFFSET($H$49:$I$49,D578,0)))*(1+OFFSET($J$49,D578,0))^I578*(1+OFFSET($K$49,D578,0))^J578*(1+OFFSET($L$49,D578,0))^K578*(1+OFFSET($M$49,D578,0))^L578</f>
        <v>192.598392863398</v>
      </c>
      <c r="N578" s="67">
        <f ca="1">MAX(MAX($N$62:N577),OFFSET($C$61,MATCH(M578*1.07,$M$62:$M$2061,1),0)-C578)</f>
        <v>6120</v>
      </c>
    </row>
    <row r="579" spans="2:14">
      <c r="B579" s="67">
        <v>518</v>
      </c>
      <c r="C579" s="67">
        <f t="shared" si="55"/>
        <v>186480</v>
      </c>
      <c r="D579" s="67">
        <f t="shared" si="56"/>
        <v>5</v>
      </c>
      <c r="E579" s="67">
        <f ca="1" t="shared" si="57"/>
        <v>548</v>
      </c>
      <c r="F579" s="67">
        <f ca="1" t="shared" si="58"/>
        <v>0</v>
      </c>
      <c r="G579" s="67">
        <f ca="1" t="shared" si="59"/>
        <v>0</v>
      </c>
      <c r="H579" s="67" cm="1">
        <f ca="1" t="array" ref="H579">MIN(30-SUM(I579:L579),_xlfn.XLOOKUP($D579&amp;"_"&amp;H$61,$B$23:$B$45&amp;"_"&amp;$C$23:$C$45,$D$23:$D$45)*$E579,18)</f>
        <v>14.689477893118</v>
      </c>
      <c r="I579" s="67" cm="1">
        <f ca="1" t="array" ref="I579">MIN(30-SUM(J579:L579),6-L579,_xlfn.XLOOKUP($D579&amp;"_"&amp;I$61,$B$23:$B$45&amp;"_"&amp;$C$23:$C$45,$D$23:$D$45)*$E579)</f>
        <v>2.68608535178777</v>
      </c>
      <c r="J579" s="67" cm="1">
        <f ca="1" t="array" ref="J579">MIN(8,_xlfn.XLOOKUP($D579&amp;"_"&amp;J$61,$B$23:$B$45&amp;"_"&amp;$C$23:$C$45,$D$23:$D$45)*$E579)</f>
        <v>7.10124567474047</v>
      </c>
      <c r="K579" s="67" cm="1">
        <f ca="1" t="array" ref="K579">MIN(18,_xlfn.XLOOKUP($D579&amp;"_"&amp;K$61,$B$23:$B$45&amp;"_"&amp;$C$23:$C$45,$D$23:$D$45)*$E579)</f>
        <v>2.20927643214149</v>
      </c>
      <c r="L579" s="67" cm="1">
        <f ca="1" t="array" ref="L579">MIN(6,_xlfn.XLOOKUP($D579&amp;"_"&amp;L$61,$B$23:$B$45&amp;"_"&amp;$C$23:$C$45,$D$23:$D$45)*$E579)</f>
        <v>3.31391464821223</v>
      </c>
      <c r="M579" s="67" cm="1">
        <f ca="1" t="array" ref="M579">(1+SUMPRODUCT(G579:H579,OFFSET($H$49:$I$49,D579,0)))*(1+OFFSET($J$49,D579,0))^I579*(1+OFFSET($K$49,D579,0))^J579*(1+OFFSET($L$49,D579,0))^K579*(1+OFFSET($M$49,D579,0))^L579</f>
        <v>193.331600897262</v>
      </c>
      <c r="N579" s="67">
        <f ca="1">MAX(MAX($N$62:N578),OFFSET($C$61,MATCH(M579*1.07,$M$62:$M$2061,1),0)-C579)</f>
        <v>6120</v>
      </c>
    </row>
    <row r="580" spans="2:14">
      <c r="B580" s="67">
        <v>519</v>
      </c>
      <c r="C580" s="67">
        <f t="shared" si="55"/>
        <v>186840</v>
      </c>
      <c r="D580" s="67">
        <f t="shared" si="56"/>
        <v>5</v>
      </c>
      <c r="E580" s="67">
        <f ca="1" t="shared" si="57"/>
        <v>549</v>
      </c>
      <c r="F580" s="67">
        <f ca="1" t="shared" si="58"/>
        <v>0</v>
      </c>
      <c r="G580" s="67">
        <f ca="1" t="shared" si="59"/>
        <v>0</v>
      </c>
      <c r="H580" s="67" cm="1">
        <f ca="1" t="array" ref="H580">MIN(30-SUM(I580:L580),_xlfn.XLOOKUP($D580&amp;"_"&amp;H$61,$B$23:$B$45&amp;"_"&amp;$C$23:$C$45,$D$23:$D$45)*$E580,18)</f>
        <v>14.6724878892734</v>
      </c>
      <c r="I580" s="67" cm="1">
        <f ca="1" t="array" ref="I580">MIN(30-SUM(J580:L580),6-L580,_xlfn.XLOOKUP($D580&amp;"_"&amp;I$61,$B$23:$B$45&amp;"_"&amp;$C$23:$C$45,$D$23:$D$45)*$E580)</f>
        <v>2.68003806228374</v>
      </c>
      <c r="J580" s="67" cm="1">
        <f ca="1" t="array" ref="J580">MIN(8,_xlfn.XLOOKUP($D580&amp;"_"&amp;J$61,$B$23:$B$45&amp;"_"&amp;$C$23:$C$45,$D$23:$D$45)*$E580)</f>
        <v>7.11420415224912</v>
      </c>
      <c r="K580" s="67" cm="1">
        <f ca="1" t="array" ref="K580">MIN(18,_xlfn.XLOOKUP($D580&amp;"_"&amp;K$61,$B$23:$B$45&amp;"_"&amp;$C$23:$C$45,$D$23:$D$45)*$E580)</f>
        <v>2.21330795847751</v>
      </c>
      <c r="L580" s="67" cm="1">
        <f ca="1" t="array" ref="L580">MIN(6,_xlfn.XLOOKUP($D580&amp;"_"&amp;L$61,$B$23:$B$45&amp;"_"&amp;$C$23:$C$45,$D$23:$D$45)*$E580)</f>
        <v>3.31996193771626</v>
      </c>
      <c r="M580" s="67" cm="1">
        <f ca="1" t="array" ref="M580">(1+SUMPRODUCT(G580:H580,OFFSET($H$49:$I$49,D580,0)))*(1+OFFSET($J$49,D580,0))^I580*(1+OFFSET($K$49,D580,0))^J580*(1+OFFSET($L$49,D580,0))^K580*(1+OFFSET($M$49,D580,0))^L580</f>
        <v>194.067455699386</v>
      </c>
      <c r="N580" s="67">
        <f ca="1">MAX(MAX($N$62:N579),OFFSET($C$61,MATCH(M580*1.07,$M$62:$M$2061,1),0)-C580)</f>
        <v>6120</v>
      </c>
    </row>
    <row r="581" spans="2:14">
      <c r="B581" s="67">
        <v>520</v>
      </c>
      <c r="C581" s="67">
        <f t="shared" si="55"/>
        <v>187200</v>
      </c>
      <c r="D581" s="67">
        <f t="shared" si="56"/>
        <v>5</v>
      </c>
      <c r="E581" s="67">
        <f ca="1" t="shared" si="57"/>
        <v>550</v>
      </c>
      <c r="F581" s="67">
        <f ca="1" t="shared" si="58"/>
        <v>0</v>
      </c>
      <c r="G581" s="67">
        <f ca="1" t="shared" si="59"/>
        <v>0</v>
      </c>
      <c r="H581" s="67" cm="1">
        <f ca="1" t="array" ref="H581">MIN(30-SUM(I581:L581),_xlfn.XLOOKUP($D581&amp;"_"&amp;H$61,$B$23:$B$45&amp;"_"&amp;$C$23:$C$45,$D$23:$D$45)*$E581,18)</f>
        <v>14.6554978854287</v>
      </c>
      <c r="I581" s="67" cm="1">
        <f ca="1" t="array" ref="I581">MIN(30-SUM(J581:L581),6-L581,_xlfn.XLOOKUP($D581&amp;"_"&amp;I$61,$B$23:$B$45&amp;"_"&amp;$C$23:$C$45,$D$23:$D$45)*$E581)</f>
        <v>2.6739907727797</v>
      </c>
      <c r="J581" s="67" cm="1">
        <f ca="1" t="array" ref="J581">MIN(8,_xlfn.XLOOKUP($D581&amp;"_"&amp;J$61,$B$23:$B$45&amp;"_"&amp;$C$23:$C$45,$D$23:$D$45)*$E581)</f>
        <v>7.12716262975778</v>
      </c>
      <c r="K581" s="67" cm="1">
        <f ca="1" t="array" ref="K581">MIN(18,_xlfn.XLOOKUP($D581&amp;"_"&amp;K$61,$B$23:$B$45&amp;"_"&amp;$C$23:$C$45,$D$23:$D$45)*$E581)</f>
        <v>2.21733948481354</v>
      </c>
      <c r="L581" s="67" cm="1">
        <f ca="1" t="array" ref="L581">MIN(6,_xlfn.XLOOKUP($D581&amp;"_"&amp;L$61,$B$23:$B$45&amp;"_"&amp;$C$23:$C$45,$D$23:$D$45)*$E581)</f>
        <v>3.3260092272203</v>
      </c>
      <c r="M581" s="67" cm="1">
        <f ca="1" t="array" ref="M581">(1+SUMPRODUCT(G581:H581,OFFSET($H$49:$I$49,D581,0)))*(1+OFFSET($J$49,D581,0))^I581*(1+OFFSET($K$49,D581,0))^J581*(1+OFFSET($L$49,D581,0))^K581*(1+OFFSET($M$49,D581,0))^L581</f>
        <v>194.805965995284</v>
      </c>
      <c r="N581" s="67">
        <f ca="1">MAX(MAX($N$62:N580),OFFSET($C$61,MATCH(M581*1.07,$M$62:$M$2061,1),0)-C581)</f>
        <v>6120</v>
      </c>
    </row>
    <row r="582" spans="2:14">
      <c r="B582" s="67">
        <v>521</v>
      </c>
      <c r="C582" s="67">
        <f t="shared" si="55"/>
        <v>187560</v>
      </c>
      <c r="D582" s="67">
        <f t="shared" si="56"/>
        <v>5</v>
      </c>
      <c r="E582" s="67">
        <f ca="1" t="shared" si="57"/>
        <v>551</v>
      </c>
      <c r="F582" s="67">
        <f ca="1" t="shared" si="58"/>
        <v>0</v>
      </c>
      <c r="G582" s="67">
        <f ca="1" t="shared" si="59"/>
        <v>0</v>
      </c>
      <c r="H582" s="67" cm="1">
        <f ca="1" t="array" ref="H582">MIN(30-SUM(I582:L582),_xlfn.XLOOKUP($D582&amp;"_"&amp;H$61,$B$23:$B$45&amp;"_"&amp;$C$23:$C$45,$D$23:$D$45)*$E582,18)</f>
        <v>14.638507881584</v>
      </c>
      <c r="I582" s="67" cm="1">
        <f ca="1" t="array" ref="I582">MIN(30-SUM(J582:L582),6-L582,_xlfn.XLOOKUP($D582&amp;"_"&amp;I$61,$B$23:$B$45&amp;"_"&amp;$C$23:$C$45,$D$23:$D$45)*$E582)</f>
        <v>2.66794348327566</v>
      </c>
      <c r="J582" s="67" cm="1">
        <f ca="1" t="array" ref="J582">MIN(8,_xlfn.XLOOKUP($D582&amp;"_"&amp;J$61,$B$23:$B$45&amp;"_"&amp;$C$23:$C$45,$D$23:$D$45)*$E582)</f>
        <v>7.14012110726643</v>
      </c>
      <c r="K582" s="67" cm="1">
        <f ca="1" t="array" ref="K582">MIN(18,_xlfn.XLOOKUP($D582&amp;"_"&amp;K$61,$B$23:$B$45&amp;"_"&amp;$C$23:$C$45,$D$23:$D$45)*$E582)</f>
        <v>2.22137101114956</v>
      </c>
      <c r="L582" s="67" cm="1">
        <f ca="1" t="array" ref="L582">MIN(6,_xlfn.XLOOKUP($D582&amp;"_"&amp;L$61,$B$23:$B$45&amp;"_"&amp;$C$23:$C$45,$D$23:$D$45)*$E582)</f>
        <v>3.33205651672434</v>
      </c>
      <c r="M582" s="67" cm="1">
        <f ca="1" t="array" ref="M582">(1+SUMPRODUCT(G582:H582,OFFSET($H$49:$I$49,D582,0)))*(1+OFFSET($J$49,D582,0))^I582*(1+OFFSET($K$49,D582,0))^J582*(1+OFFSET($L$49,D582,0))^K582*(1+OFFSET($M$49,D582,0))^L582</f>
        <v>195.547140534221</v>
      </c>
      <c r="N582" s="67">
        <f ca="1">MAX(MAX($N$62:N581),OFFSET($C$61,MATCH(M582*1.07,$M$62:$M$2061,1),0)-C582)</f>
        <v>6120</v>
      </c>
    </row>
    <row r="583" spans="2:14">
      <c r="B583" s="67">
        <v>522</v>
      </c>
      <c r="C583" s="67">
        <f t="shared" si="55"/>
        <v>187920</v>
      </c>
      <c r="D583" s="67">
        <f t="shared" si="56"/>
        <v>5</v>
      </c>
      <c r="E583" s="67">
        <f ca="1" t="shared" si="57"/>
        <v>552</v>
      </c>
      <c r="F583" s="67">
        <f ca="1" t="shared" si="58"/>
        <v>0</v>
      </c>
      <c r="G583" s="67">
        <f ca="1" t="shared" si="59"/>
        <v>0</v>
      </c>
      <c r="H583" s="67" cm="1">
        <f ca="1" t="array" ref="H583">MIN(30-SUM(I583:L583),_xlfn.XLOOKUP($D583&amp;"_"&amp;H$61,$B$23:$B$45&amp;"_"&amp;$C$23:$C$45,$D$23:$D$45)*$E583,18)</f>
        <v>14.6215178777393</v>
      </c>
      <c r="I583" s="67" cm="1">
        <f ca="1" t="array" ref="I583">MIN(30-SUM(J583:L583),6-L583,_xlfn.XLOOKUP($D583&amp;"_"&amp;I$61,$B$23:$B$45&amp;"_"&amp;$C$23:$C$45,$D$23:$D$45)*$E583)</f>
        <v>2.66189619377163</v>
      </c>
      <c r="J583" s="67" cm="1">
        <f ca="1" t="array" ref="J583">MIN(8,_xlfn.XLOOKUP($D583&amp;"_"&amp;J$61,$B$23:$B$45&amp;"_"&amp;$C$23:$C$45,$D$23:$D$45)*$E583)</f>
        <v>7.15307958477508</v>
      </c>
      <c r="K583" s="67" cm="1">
        <f ca="1" t="array" ref="K583">MIN(18,_xlfn.XLOOKUP($D583&amp;"_"&amp;K$61,$B$23:$B$45&amp;"_"&amp;$C$23:$C$45,$D$23:$D$45)*$E583)</f>
        <v>2.22540253748558</v>
      </c>
      <c r="L583" s="67" cm="1">
        <f ca="1" t="array" ref="L583">MIN(6,_xlfn.XLOOKUP($D583&amp;"_"&amp;L$61,$B$23:$B$45&amp;"_"&amp;$C$23:$C$45,$D$23:$D$45)*$E583)</f>
        <v>3.33810380622837</v>
      </c>
      <c r="M583" s="67" cm="1">
        <f ca="1" t="array" ref="M583">(1+SUMPRODUCT(G583:H583,OFFSET($H$49:$I$49,D583,0)))*(1+OFFSET($J$49,D583,0))^I583*(1+OFFSET($K$49,D583,0))^J583*(1+OFFSET($L$49,D583,0))^K583*(1+OFFSET($M$49,D583,0))^L583</f>
        <v>196.290988089242</v>
      </c>
      <c r="N583" s="67">
        <f ca="1">MAX(MAX($N$62:N582),OFFSET($C$61,MATCH(M583*1.07,$M$62:$M$2061,1),0)-C583)</f>
        <v>6120</v>
      </c>
    </row>
    <row r="584" spans="2:14">
      <c r="B584" s="67">
        <v>523</v>
      </c>
      <c r="C584" s="67">
        <f t="shared" si="55"/>
        <v>188280</v>
      </c>
      <c r="D584" s="67">
        <f t="shared" si="56"/>
        <v>5</v>
      </c>
      <c r="E584" s="67">
        <f ca="1" t="shared" si="57"/>
        <v>553</v>
      </c>
      <c r="F584" s="67">
        <f ca="1" t="shared" si="58"/>
        <v>0</v>
      </c>
      <c r="G584" s="67">
        <f ca="1" t="shared" si="59"/>
        <v>0</v>
      </c>
      <c r="H584" s="67" cm="1">
        <f ca="1" t="array" ref="H584">MIN(30-SUM(I584:L584),_xlfn.XLOOKUP($D584&amp;"_"&amp;H$61,$B$23:$B$45&amp;"_"&amp;$C$23:$C$45,$D$23:$D$45)*$E584,18)</f>
        <v>14.6045278738947</v>
      </c>
      <c r="I584" s="67" cm="1">
        <f ca="1" t="array" ref="I584">MIN(30-SUM(J584:L584),6-L584,_xlfn.XLOOKUP($D584&amp;"_"&amp;I$61,$B$23:$B$45&amp;"_"&amp;$C$23:$C$45,$D$23:$D$45)*$E584)</f>
        <v>2.65584890426759</v>
      </c>
      <c r="J584" s="67" cm="1">
        <f ca="1" t="array" ref="J584">MIN(8,_xlfn.XLOOKUP($D584&amp;"_"&amp;J$61,$B$23:$B$45&amp;"_"&amp;$C$23:$C$45,$D$23:$D$45)*$E584)</f>
        <v>7.16603806228373</v>
      </c>
      <c r="K584" s="67" cm="1">
        <f ca="1" t="array" ref="K584">MIN(18,_xlfn.XLOOKUP($D584&amp;"_"&amp;K$61,$B$23:$B$45&amp;"_"&amp;$C$23:$C$45,$D$23:$D$45)*$E584)</f>
        <v>2.22943406382161</v>
      </c>
      <c r="L584" s="67" cm="1">
        <f ca="1" t="array" ref="L584">MIN(6,_xlfn.XLOOKUP($D584&amp;"_"&amp;L$61,$B$23:$B$45&amp;"_"&amp;$C$23:$C$45,$D$23:$D$45)*$E584)</f>
        <v>3.34415109573241</v>
      </c>
      <c r="M584" s="67" cm="1">
        <f ca="1" t="array" ref="M584">(1+SUMPRODUCT(G584:H584,OFFSET($H$49:$I$49,D584,0)))*(1+OFFSET($J$49,D584,0))^I584*(1+OFFSET($K$49,D584,0))^J584*(1+OFFSET($L$49,D584,0))^K584*(1+OFFSET($M$49,D584,0))^L584</f>
        <v>197.037517457206</v>
      </c>
      <c r="N584" s="67">
        <f ca="1">MAX(MAX($N$62:N583),OFFSET($C$61,MATCH(M584*1.07,$M$62:$M$2061,1),0)-C584)</f>
        <v>6120</v>
      </c>
    </row>
    <row r="585" spans="2:14">
      <c r="B585" s="67">
        <v>524</v>
      </c>
      <c r="C585" s="67">
        <f t="shared" si="55"/>
        <v>188640</v>
      </c>
      <c r="D585" s="67">
        <f t="shared" si="56"/>
        <v>5</v>
      </c>
      <c r="E585" s="67">
        <f ca="1" t="shared" si="57"/>
        <v>554</v>
      </c>
      <c r="F585" s="67">
        <f ca="1" t="shared" si="58"/>
        <v>0</v>
      </c>
      <c r="G585" s="67">
        <f ca="1" t="shared" si="59"/>
        <v>0</v>
      </c>
      <c r="H585" s="67" cm="1">
        <f ca="1" t="array" ref="H585">MIN(30-SUM(I585:L585),_xlfn.XLOOKUP($D585&amp;"_"&amp;H$61,$B$23:$B$45&amp;"_"&amp;$C$23:$C$45,$D$23:$D$45)*$E585,18)</f>
        <v>14.58753787005</v>
      </c>
      <c r="I585" s="67" cm="1">
        <f ca="1" t="array" ref="I585">MIN(30-SUM(J585:L585),6-L585,_xlfn.XLOOKUP($D585&amp;"_"&amp;I$61,$B$23:$B$45&amp;"_"&amp;$C$23:$C$45,$D$23:$D$45)*$E585)</f>
        <v>2.64980161476355</v>
      </c>
      <c r="J585" s="67" cm="1">
        <f ca="1" t="array" ref="J585">MIN(8,_xlfn.XLOOKUP($D585&amp;"_"&amp;J$61,$B$23:$B$45&amp;"_"&amp;$C$23:$C$45,$D$23:$D$45)*$E585)</f>
        <v>7.17899653979238</v>
      </c>
      <c r="K585" s="67" cm="1">
        <f ca="1" t="array" ref="K585">MIN(18,_xlfn.XLOOKUP($D585&amp;"_"&amp;K$61,$B$23:$B$45&amp;"_"&amp;$C$23:$C$45,$D$23:$D$45)*$E585)</f>
        <v>2.23346559015763</v>
      </c>
      <c r="L585" s="67" cm="1">
        <f ca="1" t="array" ref="L585">MIN(6,_xlfn.XLOOKUP($D585&amp;"_"&amp;L$61,$B$23:$B$45&amp;"_"&amp;$C$23:$C$45,$D$23:$D$45)*$E585)</f>
        <v>3.35019838523645</v>
      </c>
      <c r="M585" s="67" cm="1">
        <f ca="1" t="array" ref="M585">(1+SUMPRODUCT(G585:H585,OFFSET($H$49:$I$49,D585,0)))*(1+OFFSET($J$49,D585,0))^I585*(1+OFFSET($K$49,D585,0))^J585*(1+OFFSET($L$49,D585,0))^K585*(1+OFFSET($M$49,D585,0))^L585</f>
        <v>197.786737458817</v>
      </c>
      <c r="N585" s="67">
        <f ca="1">MAX(MAX($N$62:N584),OFFSET($C$61,MATCH(M585*1.07,$M$62:$M$2061,1),0)-C585)</f>
        <v>6120</v>
      </c>
    </row>
    <row r="586" spans="2:14">
      <c r="B586" s="67">
        <v>525</v>
      </c>
      <c r="C586" s="67">
        <f t="shared" ref="C586:C617" si="60">C585+360</f>
        <v>189000</v>
      </c>
      <c r="D586" s="67">
        <f t="shared" si="56"/>
        <v>5</v>
      </c>
      <c r="E586" s="67">
        <f ca="1" t="shared" si="57"/>
        <v>555</v>
      </c>
      <c r="F586" s="67">
        <f ca="1" t="shared" si="58"/>
        <v>0</v>
      </c>
      <c r="G586" s="67">
        <f ca="1" t="shared" si="59"/>
        <v>0</v>
      </c>
      <c r="H586" s="67" cm="1">
        <f ca="1" t="array" ref="H586">MIN(30-SUM(I586:L586),_xlfn.XLOOKUP($D586&amp;"_"&amp;H$61,$B$23:$B$45&amp;"_"&amp;$C$23:$C$45,$D$23:$D$45)*$E586,18)</f>
        <v>14.5705478662053</v>
      </c>
      <c r="I586" s="67" cm="1">
        <f ca="1" t="array" ref="I586">MIN(30-SUM(J586:L586),6-L586,_xlfn.XLOOKUP($D586&amp;"_"&amp;I$61,$B$23:$B$45&amp;"_"&amp;$C$23:$C$45,$D$23:$D$45)*$E586)</f>
        <v>2.64375432525951</v>
      </c>
      <c r="J586" s="67" cm="1">
        <f ca="1" t="array" ref="J586">MIN(8,_xlfn.XLOOKUP($D586&amp;"_"&amp;J$61,$B$23:$B$45&amp;"_"&amp;$C$23:$C$45,$D$23:$D$45)*$E586)</f>
        <v>7.19195501730103</v>
      </c>
      <c r="K586" s="67" cm="1">
        <f ca="1" t="array" ref="K586">MIN(18,_xlfn.XLOOKUP($D586&amp;"_"&amp;K$61,$B$23:$B$45&amp;"_"&amp;$C$23:$C$45,$D$23:$D$45)*$E586)</f>
        <v>2.23749711649366</v>
      </c>
      <c r="L586" s="67" cm="1">
        <f ca="1" t="array" ref="L586">MIN(6,_xlfn.XLOOKUP($D586&amp;"_"&amp;L$61,$B$23:$B$45&amp;"_"&amp;$C$23:$C$45,$D$23:$D$45)*$E586)</f>
        <v>3.35624567474048</v>
      </c>
      <c r="M586" s="67" cm="1">
        <f ca="1" t="array" ref="M586">(1+SUMPRODUCT(G586:H586,OFFSET($H$49:$I$49,D586,0)))*(1+OFFSET($J$49,D586,0))^I586*(1+OFFSET($K$49,D586,0))^J586*(1+OFFSET($L$49,D586,0))^K586*(1+OFFSET($M$49,D586,0))^L586</f>
        <v>198.538656938652</v>
      </c>
      <c r="N586" s="67">
        <f ca="1">MAX(MAX($N$62:N585),OFFSET($C$61,MATCH(M586*1.07,$M$62:$M$2061,1),0)-C586)</f>
        <v>6120</v>
      </c>
    </row>
    <row r="587" spans="2:14">
      <c r="B587" s="67">
        <v>526</v>
      </c>
      <c r="C587" s="67">
        <f t="shared" si="60"/>
        <v>189360</v>
      </c>
      <c r="D587" s="67">
        <f t="shared" si="56"/>
        <v>5</v>
      </c>
      <c r="E587" s="67">
        <f ca="1" t="shared" si="57"/>
        <v>556</v>
      </c>
      <c r="F587" s="67">
        <f ca="1" t="shared" si="58"/>
        <v>0</v>
      </c>
      <c r="G587" s="67">
        <f ca="1" t="shared" si="59"/>
        <v>0</v>
      </c>
      <c r="H587" s="67" cm="1">
        <f ca="1" t="array" ref="H587">MIN(30-SUM(I587:L587),_xlfn.XLOOKUP($D587&amp;"_"&amp;H$61,$B$23:$B$45&amp;"_"&amp;$C$23:$C$45,$D$23:$D$45)*$E587,18)</f>
        <v>14.5535578623606</v>
      </c>
      <c r="I587" s="67" cm="1">
        <f ca="1" t="array" ref="I587">MIN(30-SUM(J587:L587),6-L587,_xlfn.XLOOKUP($D587&amp;"_"&amp;I$61,$B$23:$B$45&amp;"_"&amp;$C$23:$C$45,$D$23:$D$45)*$E587)</f>
        <v>2.63770703575548</v>
      </c>
      <c r="J587" s="67" cm="1">
        <f ca="1" t="array" ref="J587">MIN(8,_xlfn.XLOOKUP($D587&amp;"_"&amp;J$61,$B$23:$B$45&amp;"_"&amp;$C$23:$C$45,$D$23:$D$45)*$E587)</f>
        <v>7.20491349480968</v>
      </c>
      <c r="K587" s="67" cm="1">
        <f ca="1" t="array" ref="K587">MIN(18,_xlfn.XLOOKUP($D587&amp;"_"&amp;K$61,$B$23:$B$45&amp;"_"&amp;$C$23:$C$45,$D$23:$D$45)*$E587)</f>
        <v>2.24152864282968</v>
      </c>
      <c r="L587" s="67" cm="1">
        <f ca="1" t="array" ref="L587">MIN(6,_xlfn.XLOOKUP($D587&amp;"_"&amp;L$61,$B$23:$B$45&amp;"_"&amp;$C$23:$C$45,$D$23:$D$45)*$E587)</f>
        <v>3.36229296424452</v>
      </c>
      <c r="M587" s="67" cm="1">
        <f ca="1" t="array" ref="M587">(1+SUMPRODUCT(G587:H587,OFFSET($H$49:$I$49,D587,0)))*(1+OFFSET($J$49,D587,0))^I587*(1+OFFSET($K$49,D587,0))^J587*(1+OFFSET($L$49,D587,0))^K587*(1+OFFSET($M$49,D587,0))^L587</f>
        <v>199.293284765195</v>
      </c>
      <c r="N587" s="67">
        <f ca="1">MAX(MAX($N$62:N586),OFFSET($C$61,MATCH(M587*1.07,$M$62:$M$2061,1),0)-C587)</f>
        <v>6120</v>
      </c>
    </row>
    <row r="588" spans="2:14">
      <c r="B588" s="67">
        <v>527</v>
      </c>
      <c r="C588" s="67">
        <f t="shared" si="60"/>
        <v>189720</v>
      </c>
      <c r="D588" s="67">
        <f t="shared" si="56"/>
        <v>5</v>
      </c>
      <c r="E588" s="67">
        <f ca="1" t="shared" si="57"/>
        <v>557</v>
      </c>
      <c r="F588" s="67">
        <f ca="1" t="shared" si="58"/>
        <v>0</v>
      </c>
      <c r="G588" s="67">
        <f ca="1" t="shared" si="59"/>
        <v>0</v>
      </c>
      <c r="H588" s="67" cm="1">
        <f ca="1" t="array" ref="H588">MIN(30-SUM(I588:L588),_xlfn.XLOOKUP($D588&amp;"_"&amp;H$61,$B$23:$B$45&amp;"_"&amp;$C$23:$C$45,$D$23:$D$45)*$E588,18)</f>
        <v>14.536567858516</v>
      </c>
      <c r="I588" s="67" cm="1">
        <f ca="1" t="array" ref="I588">MIN(30-SUM(J588:L588),6-L588,_xlfn.XLOOKUP($D588&amp;"_"&amp;I$61,$B$23:$B$45&amp;"_"&amp;$C$23:$C$45,$D$23:$D$45)*$E588)</f>
        <v>2.63165974625144</v>
      </c>
      <c r="J588" s="67" cm="1">
        <f ca="1" t="array" ref="J588">MIN(8,_xlfn.XLOOKUP($D588&amp;"_"&amp;J$61,$B$23:$B$45&amp;"_"&amp;$C$23:$C$45,$D$23:$D$45)*$E588)</f>
        <v>7.21787197231833</v>
      </c>
      <c r="K588" s="67" cm="1">
        <f ca="1" t="array" ref="K588">MIN(18,_xlfn.XLOOKUP($D588&amp;"_"&amp;K$61,$B$23:$B$45&amp;"_"&amp;$C$23:$C$45,$D$23:$D$45)*$E588)</f>
        <v>2.24556016916571</v>
      </c>
      <c r="L588" s="67" cm="1">
        <f ca="1" t="array" ref="L588">MIN(6,_xlfn.XLOOKUP($D588&amp;"_"&amp;L$61,$B$23:$B$45&amp;"_"&amp;$C$23:$C$45,$D$23:$D$45)*$E588)</f>
        <v>3.36834025374856</v>
      </c>
      <c r="M588" s="67" cm="1">
        <f ca="1" t="array" ref="M588">(1+SUMPRODUCT(G588:H588,OFFSET($H$49:$I$49,D588,0)))*(1+OFFSET($J$49,D588,0))^I588*(1+OFFSET($K$49,D588,0))^J588*(1+OFFSET($L$49,D588,0))^K588*(1+OFFSET($M$49,D588,0))^L588</f>
        <v>200.050629830867</v>
      </c>
      <c r="N588" s="67">
        <f ca="1">MAX(MAX($N$62:N587),OFFSET($C$61,MATCH(M588*1.07,$M$62:$M$2061,1),0)-C588)</f>
        <v>6120</v>
      </c>
    </row>
    <row r="589" spans="2:14">
      <c r="B589" s="67">
        <v>528</v>
      </c>
      <c r="C589" s="67">
        <f t="shared" si="60"/>
        <v>190080</v>
      </c>
      <c r="D589" s="67">
        <f t="shared" si="56"/>
        <v>5</v>
      </c>
      <c r="E589" s="67">
        <f ca="1" t="shared" si="57"/>
        <v>558</v>
      </c>
      <c r="F589" s="67">
        <f ca="1" t="shared" si="58"/>
        <v>0</v>
      </c>
      <c r="G589" s="67">
        <f ca="1" t="shared" si="59"/>
        <v>0</v>
      </c>
      <c r="H589" s="67" cm="1">
        <f ca="1" t="array" ref="H589">MIN(30-SUM(I589:L589),_xlfn.XLOOKUP($D589&amp;"_"&amp;H$61,$B$23:$B$45&amp;"_"&amp;$C$23:$C$45,$D$23:$D$45)*$E589,18)</f>
        <v>14.5195778546713</v>
      </c>
      <c r="I589" s="67" cm="1">
        <f ca="1" t="array" ref="I589">MIN(30-SUM(J589:L589),6-L589,_xlfn.XLOOKUP($D589&amp;"_"&amp;I$61,$B$23:$B$45&amp;"_"&amp;$C$23:$C$45,$D$23:$D$45)*$E589)</f>
        <v>2.6256124567474</v>
      </c>
      <c r="J589" s="67" cm="1">
        <f ca="1" t="array" ref="J589">MIN(8,_xlfn.XLOOKUP($D589&amp;"_"&amp;J$61,$B$23:$B$45&amp;"_"&amp;$C$23:$C$45,$D$23:$D$45)*$E589)</f>
        <v>7.23083044982698</v>
      </c>
      <c r="K589" s="67" cm="1">
        <f ca="1" t="array" ref="K589">MIN(18,_xlfn.XLOOKUP($D589&amp;"_"&amp;K$61,$B$23:$B$45&amp;"_"&amp;$C$23:$C$45,$D$23:$D$45)*$E589)</f>
        <v>2.24959169550173</v>
      </c>
      <c r="L589" s="67" cm="1">
        <f ca="1" t="array" ref="L589">MIN(6,_xlfn.XLOOKUP($D589&amp;"_"&amp;L$61,$B$23:$B$45&amp;"_"&amp;$C$23:$C$45,$D$23:$D$45)*$E589)</f>
        <v>3.3743875432526</v>
      </c>
      <c r="M589" s="67" cm="1">
        <f ca="1" t="array" ref="M589">(1+SUMPRODUCT(G589:H589,OFFSET($H$49:$I$49,D589,0)))*(1+OFFSET($J$49,D589,0))^I589*(1+OFFSET($K$49,D589,0))^J589*(1+OFFSET($L$49,D589,0))^K589*(1+OFFSET($M$49,D589,0))^L589</f>
        <v>200.810701052051</v>
      </c>
      <c r="N589" s="67">
        <f ca="1">MAX(MAX($N$62:N588),OFFSET($C$61,MATCH(M589*1.07,$M$62:$M$2061,1),0)-C589)</f>
        <v>6120</v>
      </c>
    </row>
    <row r="590" spans="2:14">
      <c r="B590" s="67">
        <v>529</v>
      </c>
      <c r="C590" s="67">
        <f t="shared" si="60"/>
        <v>190440</v>
      </c>
      <c r="D590" s="67">
        <f t="shared" si="56"/>
        <v>5</v>
      </c>
      <c r="E590" s="67">
        <f ca="1" t="shared" si="57"/>
        <v>559</v>
      </c>
      <c r="F590" s="67">
        <f ca="1" t="shared" si="58"/>
        <v>0</v>
      </c>
      <c r="G590" s="67">
        <f ca="1" t="shared" si="59"/>
        <v>0</v>
      </c>
      <c r="H590" s="67" cm="1">
        <f ca="1" t="array" ref="H590">MIN(30-SUM(I590:L590),_xlfn.XLOOKUP($D590&amp;"_"&amp;H$61,$B$23:$B$45&amp;"_"&amp;$C$23:$C$45,$D$23:$D$45)*$E590,18)</f>
        <v>14.5025878508266</v>
      </c>
      <c r="I590" s="67" cm="1">
        <f ca="1" t="array" ref="I590">MIN(30-SUM(J590:L590),6-L590,_xlfn.XLOOKUP($D590&amp;"_"&amp;I$61,$B$23:$B$45&amp;"_"&amp;$C$23:$C$45,$D$23:$D$45)*$E590)</f>
        <v>2.61956516724337</v>
      </c>
      <c r="J590" s="67" cm="1">
        <f ca="1" t="array" ref="J590">MIN(8,_xlfn.XLOOKUP($D590&amp;"_"&amp;J$61,$B$23:$B$45&amp;"_"&amp;$C$23:$C$45,$D$23:$D$45)*$E590)</f>
        <v>7.24378892733563</v>
      </c>
      <c r="K590" s="67" cm="1">
        <f ca="1" t="array" ref="K590">MIN(18,_xlfn.XLOOKUP($D590&amp;"_"&amp;K$61,$B$23:$B$45&amp;"_"&amp;$C$23:$C$45,$D$23:$D$45)*$E590)</f>
        <v>2.25362322183776</v>
      </c>
      <c r="L590" s="67" cm="1">
        <f ca="1" t="array" ref="L590">MIN(6,_xlfn.XLOOKUP($D590&amp;"_"&amp;L$61,$B$23:$B$45&amp;"_"&amp;$C$23:$C$45,$D$23:$D$45)*$E590)</f>
        <v>3.38043483275663</v>
      </c>
      <c r="M590" s="67" cm="1">
        <f ca="1" t="array" ref="M590">(1+SUMPRODUCT(G590:H590,OFFSET($H$49:$I$49,D590,0)))*(1+OFFSET($J$49,D590,0))^I590*(1+OFFSET($K$49,D590,0))^J590*(1+OFFSET($L$49,D590,0))^K590*(1+OFFSET($M$49,D590,0))^L590</f>
        <v>201.573507369129</v>
      </c>
      <c r="N590" s="67">
        <f ca="1">MAX(MAX($N$62:N589),OFFSET($C$61,MATCH(M590*1.07,$M$62:$M$2061,1),0)-C590)</f>
        <v>6120</v>
      </c>
    </row>
    <row r="591" spans="2:14">
      <c r="B591" s="67">
        <v>530</v>
      </c>
      <c r="C591" s="67">
        <f t="shared" si="60"/>
        <v>190800</v>
      </c>
      <c r="D591" s="67">
        <f t="shared" si="56"/>
        <v>5</v>
      </c>
      <c r="E591" s="67">
        <f ca="1" t="shared" si="57"/>
        <v>560</v>
      </c>
      <c r="F591" s="67">
        <f ca="1" t="shared" si="58"/>
        <v>0</v>
      </c>
      <c r="G591" s="67">
        <f ca="1" t="shared" si="59"/>
        <v>0</v>
      </c>
      <c r="H591" s="67" cm="1">
        <f ca="1" t="array" ref="H591">MIN(30-SUM(I591:L591),_xlfn.XLOOKUP($D591&amp;"_"&amp;H$61,$B$23:$B$45&amp;"_"&amp;$C$23:$C$45,$D$23:$D$45)*$E591,18)</f>
        <v>14.4855978469819</v>
      </c>
      <c r="I591" s="67" cm="1">
        <f ca="1" t="array" ref="I591">MIN(30-SUM(J591:L591),6-L591,_xlfn.XLOOKUP($D591&amp;"_"&amp;I$61,$B$23:$B$45&amp;"_"&amp;$C$23:$C$45,$D$23:$D$45)*$E591)</f>
        <v>2.61351787773933</v>
      </c>
      <c r="J591" s="67" cm="1">
        <f ca="1" t="array" ref="J591">MIN(8,_xlfn.XLOOKUP($D591&amp;"_"&amp;J$61,$B$23:$B$45&amp;"_"&amp;$C$23:$C$45,$D$23:$D$45)*$E591)</f>
        <v>7.25674740484428</v>
      </c>
      <c r="K591" s="67" cm="1">
        <f ca="1" t="array" ref="K591">MIN(18,_xlfn.XLOOKUP($D591&amp;"_"&amp;K$61,$B$23:$B$45&amp;"_"&amp;$C$23:$C$45,$D$23:$D$45)*$E591)</f>
        <v>2.25765474817378</v>
      </c>
      <c r="L591" s="67" cm="1">
        <f ca="1" t="array" ref="L591">MIN(6,_xlfn.XLOOKUP($D591&amp;"_"&amp;L$61,$B$23:$B$45&amp;"_"&amp;$C$23:$C$45,$D$23:$D$45)*$E591)</f>
        <v>3.38648212226067</v>
      </c>
      <c r="M591" s="67" cm="1">
        <f ca="1" t="array" ref="M591">(1+SUMPRODUCT(G591:H591,OFFSET($H$49:$I$49,D591,0)))*(1+OFFSET($J$49,D591,0))^I591*(1+OFFSET($K$49,D591,0))^J591*(1+OFFSET($L$49,D591,0))^K591*(1+OFFSET($M$49,D591,0))^L591</f>
        <v>202.339057746506</v>
      </c>
      <c r="N591" s="67">
        <f ca="1">MAX(MAX($N$62:N590),OFFSET($C$61,MATCH(M591*1.07,$M$62:$M$2061,1),0)-C591)</f>
        <v>6120</v>
      </c>
    </row>
    <row r="592" spans="2:14">
      <c r="B592" s="67">
        <v>531</v>
      </c>
      <c r="C592" s="67">
        <f t="shared" si="60"/>
        <v>191160</v>
      </c>
      <c r="D592" s="67">
        <f t="shared" si="56"/>
        <v>5</v>
      </c>
      <c r="E592" s="67">
        <f ca="1" t="shared" si="57"/>
        <v>561</v>
      </c>
      <c r="F592" s="67">
        <f ca="1" t="shared" si="58"/>
        <v>0</v>
      </c>
      <c r="G592" s="67">
        <f ca="1" t="shared" si="59"/>
        <v>0</v>
      </c>
      <c r="H592" s="67" cm="1">
        <f ca="1" t="array" ref="H592">MIN(30-SUM(I592:L592),_xlfn.XLOOKUP($D592&amp;"_"&amp;H$61,$B$23:$B$45&amp;"_"&amp;$C$23:$C$45,$D$23:$D$45)*$E592,18)</f>
        <v>14.4686078431373</v>
      </c>
      <c r="I592" s="67" cm="1">
        <f ca="1" t="array" ref="I592">MIN(30-SUM(J592:L592),6-L592,_xlfn.XLOOKUP($D592&amp;"_"&amp;I$61,$B$23:$B$45&amp;"_"&amp;$C$23:$C$45,$D$23:$D$45)*$E592)</f>
        <v>2.60747058823529</v>
      </c>
      <c r="J592" s="67" cm="1">
        <f ca="1" t="array" ref="J592">MIN(8,_xlfn.XLOOKUP($D592&amp;"_"&amp;J$61,$B$23:$B$45&amp;"_"&amp;$C$23:$C$45,$D$23:$D$45)*$E592)</f>
        <v>7.26970588235293</v>
      </c>
      <c r="K592" s="67" cm="1">
        <f ca="1" t="array" ref="K592">MIN(18,_xlfn.XLOOKUP($D592&amp;"_"&amp;K$61,$B$23:$B$45&amp;"_"&amp;$C$23:$C$45,$D$23:$D$45)*$E592)</f>
        <v>2.26168627450981</v>
      </c>
      <c r="L592" s="67" cm="1">
        <f ca="1" t="array" ref="L592">MIN(6,_xlfn.XLOOKUP($D592&amp;"_"&amp;L$61,$B$23:$B$45&amp;"_"&amp;$C$23:$C$45,$D$23:$D$45)*$E592)</f>
        <v>3.39252941176471</v>
      </c>
      <c r="M592" s="67" cm="1">
        <f ca="1" t="array" ref="M592">(1+SUMPRODUCT(G592:H592,OFFSET($H$49:$I$49,D592,0)))*(1+OFFSET($J$49,D592,0))^I592*(1+OFFSET($K$49,D592,0))^J592*(1+OFFSET($L$49,D592,0))^K592*(1+OFFSET($M$49,D592,0))^L592</f>
        <v>203.107361172643</v>
      </c>
      <c r="N592" s="67">
        <f ca="1">MAX(MAX($N$62:N591),OFFSET($C$61,MATCH(M592*1.07,$M$62:$M$2061,1),0)-C592)</f>
        <v>6120</v>
      </c>
    </row>
    <row r="593" spans="2:14">
      <c r="B593" s="67">
        <v>532</v>
      </c>
      <c r="C593" s="67">
        <f t="shared" si="60"/>
        <v>191520</v>
      </c>
      <c r="D593" s="67">
        <f t="shared" si="56"/>
        <v>5</v>
      </c>
      <c r="E593" s="67">
        <f ca="1" t="shared" si="57"/>
        <v>562</v>
      </c>
      <c r="F593" s="67">
        <f ca="1" t="shared" si="58"/>
        <v>0</v>
      </c>
      <c r="G593" s="67">
        <f ca="1" t="shared" si="59"/>
        <v>0</v>
      </c>
      <c r="H593" s="67" cm="1">
        <f ca="1" t="array" ref="H593">MIN(30-SUM(I593:L593),_xlfn.XLOOKUP($D593&amp;"_"&amp;H$61,$B$23:$B$45&amp;"_"&amp;$C$23:$C$45,$D$23:$D$45)*$E593,18)</f>
        <v>14.4516178392926</v>
      </c>
      <c r="I593" s="67" cm="1">
        <f ca="1" t="array" ref="I593">MIN(30-SUM(J593:L593),6-L593,_xlfn.XLOOKUP($D593&amp;"_"&amp;I$61,$B$23:$B$45&amp;"_"&amp;$C$23:$C$45,$D$23:$D$45)*$E593)</f>
        <v>2.60142329873126</v>
      </c>
      <c r="J593" s="67" cm="1">
        <f ca="1" t="array" ref="J593">MIN(8,_xlfn.XLOOKUP($D593&amp;"_"&amp;J$61,$B$23:$B$45&amp;"_"&amp;$C$23:$C$45,$D$23:$D$45)*$E593)</f>
        <v>7.28266435986158</v>
      </c>
      <c r="K593" s="67" cm="1">
        <f ca="1" t="array" ref="K593">MIN(18,_xlfn.XLOOKUP($D593&amp;"_"&amp;K$61,$B$23:$B$45&amp;"_"&amp;$C$23:$C$45,$D$23:$D$45)*$E593)</f>
        <v>2.26571780084583</v>
      </c>
      <c r="L593" s="67" cm="1">
        <f ca="1" t="array" ref="L593">MIN(6,_xlfn.XLOOKUP($D593&amp;"_"&amp;L$61,$B$23:$B$45&amp;"_"&amp;$C$23:$C$45,$D$23:$D$45)*$E593)</f>
        <v>3.39857670126874</v>
      </c>
      <c r="M593" s="67" cm="1">
        <f ca="1" t="array" ref="M593">(1+SUMPRODUCT(G593:H593,OFFSET($H$49:$I$49,D593,0)))*(1+OFFSET($J$49,D593,0))^I593*(1+OFFSET($K$49,D593,0))^J593*(1+OFFSET($L$49,D593,0))^K593*(1+OFFSET($M$49,D593,0))^L593</f>
        <v>203.878426660083</v>
      </c>
      <c r="N593" s="67">
        <f ca="1">MAX(MAX($N$62:N592),OFFSET($C$61,MATCH(M593*1.07,$M$62:$M$2061,1),0)-C593)</f>
        <v>6120</v>
      </c>
    </row>
    <row r="594" spans="2:14">
      <c r="B594" s="67">
        <v>533</v>
      </c>
      <c r="C594" s="67">
        <f t="shared" si="60"/>
        <v>191880</v>
      </c>
      <c r="D594" s="67">
        <f t="shared" si="56"/>
        <v>5</v>
      </c>
      <c r="E594" s="67">
        <f ca="1" t="shared" si="57"/>
        <v>563</v>
      </c>
      <c r="F594" s="67">
        <f ca="1" t="shared" si="58"/>
        <v>0</v>
      </c>
      <c r="G594" s="67">
        <f ca="1" t="shared" si="59"/>
        <v>0</v>
      </c>
      <c r="H594" s="67" cm="1">
        <f ca="1" t="array" ref="H594">MIN(30-SUM(I594:L594),_xlfn.XLOOKUP($D594&amp;"_"&amp;H$61,$B$23:$B$45&amp;"_"&amp;$C$23:$C$45,$D$23:$D$45)*$E594,18)</f>
        <v>14.4346278354479</v>
      </c>
      <c r="I594" s="67" cm="1">
        <f ca="1" t="array" ref="I594">MIN(30-SUM(J594:L594),6-L594,_xlfn.XLOOKUP($D594&amp;"_"&amp;I$61,$B$23:$B$45&amp;"_"&amp;$C$23:$C$45,$D$23:$D$45)*$E594)</f>
        <v>2.59537600922722</v>
      </c>
      <c r="J594" s="67" cm="1">
        <f ca="1" t="array" ref="J594">MIN(8,_xlfn.XLOOKUP($D594&amp;"_"&amp;J$61,$B$23:$B$45&amp;"_"&amp;$C$23:$C$45,$D$23:$D$45)*$E594)</f>
        <v>7.29562283737023</v>
      </c>
      <c r="K594" s="67" cm="1">
        <f ca="1" t="array" ref="K594">MIN(18,_xlfn.XLOOKUP($D594&amp;"_"&amp;K$61,$B$23:$B$45&amp;"_"&amp;$C$23:$C$45,$D$23:$D$45)*$E594)</f>
        <v>2.26974932718186</v>
      </c>
      <c r="L594" s="67" cm="1">
        <f ca="1" t="array" ref="L594">MIN(6,_xlfn.XLOOKUP($D594&amp;"_"&amp;L$61,$B$23:$B$45&amp;"_"&amp;$C$23:$C$45,$D$23:$D$45)*$E594)</f>
        <v>3.40462399077278</v>
      </c>
      <c r="M594" s="67" cm="1">
        <f ca="1" t="array" ref="M594">(1+SUMPRODUCT(G594:H594,OFFSET($H$49:$I$49,D594,0)))*(1+OFFSET($J$49,D594,0))^I594*(1+OFFSET($K$49,D594,0))^J594*(1+OFFSET($L$49,D594,0))^K594*(1+OFFSET($M$49,D594,0))^L594</f>
        <v>204.652263245482</v>
      </c>
      <c r="N594" s="67">
        <f ca="1">MAX(MAX($N$62:N593),OFFSET($C$61,MATCH(M594*1.07,$M$62:$M$2061,1),0)-C594)</f>
        <v>6120</v>
      </c>
    </row>
    <row r="595" spans="2:14">
      <c r="B595" s="67">
        <v>534</v>
      </c>
      <c r="C595" s="67">
        <f t="shared" si="60"/>
        <v>192240</v>
      </c>
      <c r="D595" s="67">
        <f t="shared" si="56"/>
        <v>5</v>
      </c>
      <c r="E595" s="67">
        <f ca="1" t="shared" si="57"/>
        <v>564</v>
      </c>
      <c r="F595" s="67">
        <f ca="1" t="shared" si="58"/>
        <v>0</v>
      </c>
      <c r="G595" s="67">
        <f ca="1" t="shared" si="59"/>
        <v>0</v>
      </c>
      <c r="H595" s="67" cm="1">
        <f ca="1" t="array" ref="H595">MIN(30-SUM(I595:L595),_xlfn.XLOOKUP($D595&amp;"_"&amp;H$61,$B$23:$B$45&amp;"_"&amp;$C$23:$C$45,$D$23:$D$45)*$E595,18)</f>
        <v>14.4176378316032</v>
      </c>
      <c r="I595" s="67" cm="1">
        <f ca="1" t="array" ref="I595">MIN(30-SUM(J595:L595),6-L595,_xlfn.XLOOKUP($D595&amp;"_"&amp;I$61,$B$23:$B$45&amp;"_"&amp;$C$23:$C$45,$D$23:$D$45)*$E595)</f>
        <v>2.58932871972318</v>
      </c>
      <c r="J595" s="67" cm="1">
        <f ca="1" t="array" ref="J595">MIN(8,_xlfn.XLOOKUP($D595&amp;"_"&amp;J$61,$B$23:$B$45&amp;"_"&amp;$C$23:$C$45,$D$23:$D$45)*$E595)</f>
        <v>7.30858131487888</v>
      </c>
      <c r="K595" s="67" cm="1">
        <f ca="1" t="array" ref="K595">MIN(18,_xlfn.XLOOKUP($D595&amp;"_"&amp;K$61,$B$23:$B$45&amp;"_"&amp;$C$23:$C$45,$D$23:$D$45)*$E595)</f>
        <v>2.27378085351788</v>
      </c>
      <c r="L595" s="67" cm="1">
        <f ca="1" t="array" ref="L595">MIN(6,_xlfn.XLOOKUP($D595&amp;"_"&amp;L$61,$B$23:$B$45&amp;"_"&amp;$C$23:$C$45,$D$23:$D$45)*$E595)</f>
        <v>3.41067128027682</v>
      </c>
      <c r="M595" s="67" cm="1">
        <f ca="1" t="array" ref="M595">(1+SUMPRODUCT(G595:H595,OFFSET($H$49:$I$49,D595,0)))*(1+OFFSET($J$49,D595,0))^I595*(1+OFFSET($K$49,D595,0))^J595*(1+OFFSET($L$49,D595,0))^K595*(1+OFFSET($M$49,D595,0))^L595</f>
        <v>205.428879989636</v>
      </c>
      <c r="N595" s="67">
        <f ca="1">MAX(MAX($N$62:N594),OFFSET($C$61,MATCH(M595*1.07,$M$62:$M$2061,1),0)-C595)</f>
        <v>6120</v>
      </c>
    </row>
    <row r="596" spans="2:14">
      <c r="B596" s="67">
        <v>535</v>
      </c>
      <c r="C596" s="67">
        <f t="shared" si="60"/>
        <v>192600</v>
      </c>
      <c r="D596" s="67">
        <f t="shared" si="56"/>
        <v>5</v>
      </c>
      <c r="E596" s="67">
        <f ca="1" t="shared" si="57"/>
        <v>565</v>
      </c>
      <c r="F596" s="67">
        <f ca="1" t="shared" si="58"/>
        <v>0</v>
      </c>
      <c r="G596" s="67">
        <f ca="1" t="shared" si="59"/>
        <v>0</v>
      </c>
      <c r="H596" s="67" cm="1">
        <f ca="1" t="array" ref="H596">MIN(30-SUM(I596:L596),_xlfn.XLOOKUP($D596&amp;"_"&amp;H$61,$B$23:$B$45&amp;"_"&amp;$C$23:$C$45,$D$23:$D$45)*$E596,18)</f>
        <v>14.4006478277586</v>
      </c>
      <c r="I596" s="67" cm="1">
        <f ca="1" t="array" ref="I596">MIN(30-SUM(J596:L596),6-L596,_xlfn.XLOOKUP($D596&amp;"_"&amp;I$61,$B$23:$B$45&amp;"_"&amp;$C$23:$C$45,$D$23:$D$45)*$E596)</f>
        <v>2.58328143021915</v>
      </c>
      <c r="J596" s="67" cm="1">
        <f ca="1" t="array" ref="J596">MIN(8,_xlfn.XLOOKUP($D596&amp;"_"&amp;J$61,$B$23:$B$45&amp;"_"&amp;$C$23:$C$45,$D$23:$D$45)*$E596)</f>
        <v>7.32153979238753</v>
      </c>
      <c r="K596" s="67" cm="1">
        <f ca="1" t="array" ref="K596">MIN(18,_xlfn.XLOOKUP($D596&amp;"_"&amp;K$61,$B$23:$B$45&amp;"_"&amp;$C$23:$C$45,$D$23:$D$45)*$E596)</f>
        <v>2.2778123798539</v>
      </c>
      <c r="L596" s="67" cm="1">
        <f ca="1" t="array" ref="L596">MIN(6,_xlfn.XLOOKUP($D596&amp;"_"&amp;L$61,$B$23:$B$45&amp;"_"&amp;$C$23:$C$45,$D$23:$D$45)*$E596)</f>
        <v>3.41671856978085</v>
      </c>
      <c r="M596" s="67" cm="1">
        <f ca="1" t="array" ref="M596">(1+SUMPRODUCT(G596:H596,OFFSET($H$49:$I$49,D596,0)))*(1+OFFSET($J$49,D596,0))^I596*(1+OFFSET($K$49,D596,0))^J596*(1+OFFSET($L$49,D596,0))^K596*(1+OFFSET($M$49,D596,0))^L596</f>
        <v>206.208285977512</v>
      </c>
      <c r="N596" s="67">
        <f ca="1">MAX(MAX($N$62:N595),OFFSET($C$61,MATCH(M596*1.07,$M$62:$M$2061,1),0)-C596)</f>
        <v>6120</v>
      </c>
    </row>
    <row r="597" spans="2:14">
      <c r="B597" s="67">
        <v>536</v>
      </c>
      <c r="C597" s="67">
        <f t="shared" si="60"/>
        <v>192960</v>
      </c>
      <c r="D597" s="67">
        <f t="shared" si="56"/>
        <v>5</v>
      </c>
      <c r="E597" s="67">
        <f ca="1" t="shared" si="57"/>
        <v>566</v>
      </c>
      <c r="F597" s="67">
        <f ca="1" t="shared" si="58"/>
        <v>0</v>
      </c>
      <c r="G597" s="67">
        <f ca="1" t="shared" si="59"/>
        <v>0</v>
      </c>
      <c r="H597" s="67" cm="1">
        <f ca="1" t="array" ref="H597">MIN(30-SUM(I597:L597),_xlfn.XLOOKUP($D597&amp;"_"&amp;H$61,$B$23:$B$45&amp;"_"&amp;$C$23:$C$45,$D$23:$D$45)*$E597,18)</f>
        <v>14.3836578239139</v>
      </c>
      <c r="I597" s="67" cm="1">
        <f ca="1" t="array" ref="I597">MIN(30-SUM(J597:L597),6-L597,_xlfn.XLOOKUP($D597&amp;"_"&amp;I$61,$B$23:$B$45&amp;"_"&amp;$C$23:$C$45,$D$23:$D$45)*$E597)</f>
        <v>2.57723414071511</v>
      </c>
      <c r="J597" s="67" cm="1">
        <f ca="1" t="array" ref="J597">MIN(8,_xlfn.XLOOKUP($D597&amp;"_"&amp;J$61,$B$23:$B$45&amp;"_"&amp;$C$23:$C$45,$D$23:$D$45)*$E597)</f>
        <v>7.33449826989618</v>
      </c>
      <c r="K597" s="67" cm="1">
        <f ca="1" t="array" ref="K597">MIN(18,_xlfn.XLOOKUP($D597&amp;"_"&amp;K$61,$B$23:$B$45&amp;"_"&amp;$C$23:$C$45,$D$23:$D$45)*$E597)</f>
        <v>2.28184390618993</v>
      </c>
      <c r="L597" s="67" cm="1">
        <f ca="1" t="array" ref="L597">MIN(6,_xlfn.XLOOKUP($D597&amp;"_"&amp;L$61,$B$23:$B$45&amp;"_"&amp;$C$23:$C$45,$D$23:$D$45)*$E597)</f>
        <v>3.42276585928489</v>
      </c>
      <c r="M597" s="67" cm="1">
        <f ca="1" t="array" ref="M597">(1+SUMPRODUCT(G597:H597,OFFSET($H$49:$I$49,D597,0)))*(1+OFFSET($J$49,D597,0))^I597*(1+OFFSET($K$49,D597,0))^J597*(1+OFFSET($L$49,D597,0))^K597*(1+OFFSET($M$49,D597,0))^L597</f>
        <v>206.990490318272</v>
      </c>
      <c r="N597" s="67">
        <f ca="1">MAX(MAX($N$62:N596),OFFSET($C$61,MATCH(M597*1.07,$M$62:$M$2061,1),0)-C597)</f>
        <v>6120</v>
      </c>
    </row>
    <row r="598" spans="2:14">
      <c r="B598" s="67">
        <v>537</v>
      </c>
      <c r="C598" s="67">
        <f t="shared" si="60"/>
        <v>193320</v>
      </c>
      <c r="D598" s="67">
        <f t="shared" si="56"/>
        <v>5</v>
      </c>
      <c r="E598" s="67">
        <f ca="1" t="shared" si="57"/>
        <v>567</v>
      </c>
      <c r="F598" s="67">
        <f ca="1" t="shared" si="58"/>
        <v>0</v>
      </c>
      <c r="G598" s="67">
        <f ca="1" t="shared" si="59"/>
        <v>0</v>
      </c>
      <c r="H598" s="67" cm="1">
        <f ca="1" t="array" ref="H598">MIN(30-SUM(I598:L598),_xlfn.XLOOKUP($D598&amp;"_"&amp;H$61,$B$23:$B$45&amp;"_"&amp;$C$23:$C$45,$D$23:$D$45)*$E598,18)</f>
        <v>14.3666678200692</v>
      </c>
      <c r="I598" s="67" cm="1">
        <f ca="1" t="array" ref="I598">MIN(30-SUM(J598:L598),6-L598,_xlfn.XLOOKUP($D598&amp;"_"&amp;I$61,$B$23:$B$45&amp;"_"&amp;$C$23:$C$45,$D$23:$D$45)*$E598)</f>
        <v>2.57118685121107</v>
      </c>
      <c r="J598" s="67" cm="1">
        <f ca="1" t="array" ref="J598">MIN(8,_xlfn.XLOOKUP($D598&amp;"_"&amp;J$61,$B$23:$B$45&amp;"_"&amp;$C$23:$C$45,$D$23:$D$45)*$E598)</f>
        <v>7.34745674740483</v>
      </c>
      <c r="K598" s="67" cm="1">
        <f ca="1" t="array" ref="K598">MIN(18,_xlfn.XLOOKUP($D598&amp;"_"&amp;K$61,$B$23:$B$45&amp;"_"&amp;$C$23:$C$45,$D$23:$D$45)*$E598)</f>
        <v>2.28587543252595</v>
      </c>
      <c r="L598" s="67" cm="1">
        <f ca="1" t="array" ref="L598">MIN(6,_xlfn.XLOOKUP($D598&amp;"_"&amp;L$61,$B$23:$B$45&amp;"_"&amp;$C$23:$C$45,$D$23:$D$45)*$E598)</f>
        <v>3.42881314878893</v>
      </c>
      <c r="M598" s="67" cm="1">
        <f ca="1" t="array" ref="M598">(1+SUMPRODUCT(G598:H598,OFFSET($H$49:$I$49,D598,0)))*(1+OFFSET($J$49,D598,0))^I598*(1+OFFSET($K$49,D598,0))^J598*(1+OFFSET($L$49,D598,0))^K598*(1+OFFSET($M$49,D598,0))^L598</f>
        <v>207.775502145304</v>
      </c>
      <c r="N598" s="67">
        <f ca="1">MAX(MAX($N$62:N597),OFFSET($C$61,MATCH(M598*1.07,$M$62:$M$2061,1),0)-C598)</f>
        <v>6120</v>
      </c>
    </row>
    <row r="599" spans="2:14">
      <c r="B599" s="67">
        <v>538</v>
      </c>
      <c r="C599" s="67">
        <f t="shared" si="60"/>
        <v>193680</v>
      </c>
      <c r="D599" s="67">
        <f t="shared" si="56"/>
        <v>5</v>
      </c>
      <c r="E599" s="67">
        <f ca="1" t="shared" si="57"/>
        <v>568</v>
      </c>
      <c r="F599" s="67">
        <f ca="1" t="shared" si="58"/>
        <v>0</v>
      </c>
      <c r="G599" s="67">
        <f ca="1" t="shared" si="59"/>
        <v>0</v>
      </c>
      <c r="H599" s="67" cm="1">
        <f ca="1" t="array" ref="H599">MIN(30-SUM(I599:L599),_xlfn.XLOOKUP($D599&amp;"_"&amp;H$61,$B$23:$B$45&amp;"_"&amp;$C$23:$C$45,$D$23:$D$45)*$E599,18)</f>
        <v>14.3496778162245</v>
      </c>
      <c r="I599" s="67" cm="1">
        <f ca="1" t="array" ref="I599">MIN(30-SUM(J599:L599),6-L599,_xlfn.XLOOKUP($D599&amp;"_"&amp;I$61,$B$23:$B$45&amp;"_"&amp;$C$23:$C$45,$D$23:$D$45)*$E599)</f>
        <v>2.56513956170703</v>
      </c>
      <c r="J599" s="67" cm="1">
        <f ca="1" t="array" ref="J599">MIN(8,_xlfn.XLOOKUP($D599&amp;"_"&amp;J$61,$B$23:$B$45&amp;"_"&amp;$C$23:$C$45,$D$23:$D$45)*$E599)</f>
        <v>7.36041522491348</v>
      </c>
      <c r="K599" s="67" cm="1">
        <f ca="1" t="array" ref="K599">MIN(18,_xlfn.XLOOKUP($D599&amp;"_"&amp;K$61,$B$23:$B$45&amp;"_"&amp;$C$23:$C$45,$D$23:$D$45)*$E599)</f>
        <v>2.28990695886198</v>
      </c>
      <c r="L599" s="67" cm="1">
        <f ca="1" t="array" ref="L599">MIN(6,_xlfn.XLOOKUP($D599&amp;"_"&amp;L$61,$B$23:$B$45&amp;"_"&amp;$C$23:$C$45,$D$23:$D$45)*$E599)</f>
        <v>3.43486043829296</v>
      </c>
      <c r="M599" s="67" cm="1">
        <f ca="1" t="array" ref="M599">(1+SUMPRODUCT(G599:H599,OFFSET($H$49:$I$49,D599,0)))*(1+OFFSET($J$49,D599,0))^I599*(1+OFFSET($K$49,D599,0))^J599*(1+OFFSET($L$49,D599,0))^K599*(1+OFFSET($M$49,D599,0))^L599</f>
        <v>208.563330616248</v>
      </c>
      <c r="N599" s="67">
        <f ca="1">MAX(MAX($N$62:N598),OFFSET($C$61,MATCH(M599*1.07,$M$62:$M$2061,1),0)-C599)</f>
        <v>6120</v>
      </c>
    </row>
    <row r="600" spans="2:14">
      <c r="B600" s="67">
        <v>539</v>
      </c>
      <c r="C600" s="67">
        <f t="shared" si="60"/>
        <v>194040</v>
      </c>
      <c r="D600" s="67">
        <f t="shared" si="56"/>
        <v>5</v>
      </c>
      <c r="E600" s="67">
        <f ca="1" t="shared" si="57"/>
        <v>569</v>
      </c>
      <c r="F600" s="67">
        <f ca="1" t="shared" si="58"/>
        <v>0</v>
      </c>
      <c r="G600" s="67">
        <f ca="1" t="shared" si="59"/>
        <v>0</v>
      </c>
      <c r="H600" s="67" cm="1">
        <f ca="1" t="array" ref="H600">MIN(30-SUM(I600:L600),_xlfn.XLOOKUP($D600&amp;"_"&amp;H$61,$B$23:$B$45&amp;"_"&amp;$C$23:$C$45,$D$23:$D$45)*$E600,18)</f>
        <v>14.3326878123799</v>
      </c>
      <c r="I600" s="67" cm="1">
        <f ca="1" t="array" ref="I600">MIN(30-SUM(J600:L600),6-L600,_xlfn.XLOOKUP($D600&amp;"_"&amp;I$61,$B$23:$B$45&amp;"_"&amp;$C$23:$C$45,$D$23:$D$45)*$E600)</f>
        <v>2.559092272203</v>
      </c>
      <c r="J600" s="67" cm="1">
        <f ca="1" t="array" ref="J600">MIN(8,_xlfn.XLOOKUP($D600&amp;"_"&amp;J$61,$B$23:$B$45&amp;"_"&amp;$C$23:$C$45,$D$23:$D$45)*$E600)</f>
        <v>7.37337370242213</v>
      </c>
      <c r="K600" s="67" cm="1">
        <f ca="1" t="array" ref="K600">MIN(18,_xlfn.XLOOKUP($D600&amp;"_"&amp;K$61,$B$23:$B$45&amp;"_"&amp;$C$23:$C$45,$D$23:$D$45)*$E600)</f>
        <v>2.293938485198</v>
      </c>
      <c r="L600" s="67" cm="1">
        <f ca="1" t="array" ref="L600">MIN(6,_xlfn.XLOOKUP($D600&amp;"_"&amp;L$61,$B$23:$B$45&amp;"_"&amp;$C$23:$C$45,$D$23:$D$45)*$E600)</f>
        <v>3.440907727797</v>
      </c>
      <c r="M600" s="67" cm="1">
        <f ca="1" t="array" ref="M600">(1+SUMPRODUCT(G600:H600,OFFSET($H$49:$I$49,D600,0)))*(1+OFFSET($J$49,D600,0))^I600*(1+OFFSET($K$49,D600,0))^J600*(1+OFFSET($L$49,D600,0))^K600*(1+OFFSET($M$49,D600,0))^L600</f>
        <v>209.353984913024</v>
      </c>
      <c r="N600" s="67">
        <f ca="1">MAX(MAX($N$62:N599),OFFSET($C$61,MATCH(M600*1.07,$M$62:$M$2061,1),0)-C600)</f>
        <v>6120</v>
      </c>
    </row>
    <row r="601" spans="2:14">
      <c r="B601" s="67">
        <v>540</v>
      </c>
      <c r="C601" s="67">
        <f t="shared" si="60"/>
        <v>194400</v>
      </c>
      <c r="D601" s="67">
        <f t="shared" si="56"/>
        <v>5</v>
      </c>
      <c r="E601" s="67">
        <f ca="1" t="shared" si="57"/>
        <v>570</v>
      </c>
      <c r="F601" s="67">
        <f ca="1" t="shared" si="58"/>
        <v>0</v>
      </c>
      <c r="G601" s="67">
        <f ca="1" t="shared" si="59"/>
        <v>0</v>
      </c>
      <c r="H601" s="67" cm="1">
        <f ca="1" t="array" ref="H601">MIN(30-SUM(I601:L601),_xlfn.XLOOKUP($D601&amp;"_"&amp;H$61,$B$23:$B$45&amp;"_"&amp;$C$23:$C$45,$D$23:$D$45)*$E601,18)</f>
        <v>14.3156978085352</v>
      </c>
      <c r="I601" s="67" cm="1">
        <f ca="1" t="array" ref="I601">MIN(30-SUM(J601:L601),6-L601,_xlfn.XLOOKUP($D601&amp;"_"&amp;I$61,$B$23:$B$45&amp;"_"&amp;$C$23:$C$45,$D$23:$D$45)*$E601)</f>
        <v>2.55304498269896</v>
      </c>
      <c r="J601" s="67" cm="1">
        <f ca="1" t="array" ref="J601">MIN(8,_xlfn.XLOOKUP($D601&amp;"_"&amp;J$61,$B$23:$B$45&amp;"_"&amp;$C$23:$C$45,$D$23:$D$45)*$E601)</f>
        <v>7.38633217993078</v>
      </c>
      <c r="K601" s="67" cm="1">
        <f ca="1" t="array" ref="K601">MIN(18,_xlfn.XLOOKUP($D601&amp;"_"&amp;K$61,$B$23:$B$45&amp;"_"&amp;$C$23:$C$45,$D$23:$D$45)*$E601)</f>
        <v>2.29797001153403</v>
      </c>
      <c r="L601" s="67" cm="1">
        <f ca="1" t="array" ref="L601">MIN(6,_xlfn.XLOOKUP($D601&amp;"_"&amp;L$61,$B$23:$B$45&amp;"_"&amp;$C$23:$C$45,$D$23:$D$45)*$E601)</f>
        <v>3.44695501730104</v>
      </c>
      <c r="M601" s="67" cm="1">
        <f ca="1" t="array" ref="M601">(1+SUMPRODUCT(G601:H601,OFFSET($H$49:$I$49,D601,0)))*(1+OFFSET($J$49,D601,0))^I601*(1+OFFSET($K$49,D601,0))^J601*(1+OFFSET($L$49,D601,0))^K601*(1+OFFSET($M$49,D601,0))^L601</f>
        <v>210.147474241858</v>
      </c>
      <c r="N601" s="67">
        <f ca="1">MAX(MAX($N$62:N600),OFFSET($C$61,MATCH(M601*1.07,$M$62:$M$2061,1),0)-C601)</f>
        <v>6120</v>
      </c>
    </row>
    <row r="602" spans="2:14">
      <c r="B602" s="67">
        <v>541</v>
      </c>
      <c r="C602" s="67">
        <f t="shared" si="60"/>
        <v>194760</v>
      </c>
      <c r="D602" s="67">
        <f t="shared" si="56"/>
        <v>5</v>
      </c>
      <c r="E602" s="67">
        <f ca="1" t="shared" si="57"/>
        <v>571</v>
      </c>
      <c r="F602" s="67">
        <f ca="1" t="shared" si="58"/>
        <v>0</v>
      </c>
      <c r="G602" s="67">
        <f ca="1" t="shared" si="59"/>
        <v>0</v>
      </c>
      <c r="H602" s="67" cm="1">
        <f ca="1" t="array" ref="H602">MIN(30-SUM(I602:L602),_xlfn.XLOOKUP($D602&amp;"_"&amp;H$61,$B$23:$B$45&amp;"_"&amp;$C$23:$C$45,$D$23:$D$45)*$E602,18)</f>
        <v>14.2987078046905</v>
      </c>
      <c r="I602" s="67" cm="1">
        <f ca="1" t="array" ref="I602">MIN(30-SUM(J602:L602),6-L602,_xlfn.XLOOKUP($D602&amp;"_"&amp;I$61,$B$23:$B$45&amp;"_"&amp;$C$23:$C$45,$D$23:$D$45)*$E602)</f>
        <v>2.54699769319492</v>
      </c>
      <c r="J602" s="67" cm="1">
        <f ca="1" t="array" ref="J602">MIN(8,_xlfn.XLOOKUP($D602&amp;"_"&amp;J$61,$B$23:$B$45&amp;"_"&amp;$C$23:$C$45,$D$23:$D$45)*$E602)</f>
        <v>7.39929065743944</v>
      </c>
      <c r="K602" s="67" cm="1">
        <f ca="1" t="array" ref="K602">MIN(18,_xlfn.XLOOKUP($D602&amp;"_"&amp;K$61,$B$23:$B$45&amp;"_"&amp;$C$23:$C$45,$D$23:$D$45)*$E602)</f>
        <v>2.30200153787005</v>
      </c>
      <c r="L602" s="67" cm="1">
        <f ca="1" t="array" ref="L602">MIN(6,_xlfn.XLOOKUP($D602&amp;"_"&amp;L$61,$B$23:$B$45&amp;"_"&amp;$C$23:$C$45,$D$23:$D$45)*$E602)</f>
        <v>3.45300230680508</v>
      </c>
      <c r="M602" s="67" cm="1">
        <f ca="1" t="array" ref="M602">(1+SUMPRODUCT(G602:H602,OFFSET($H$49:$I$49,D602,0)))*(1+OFFSET($J$49,D602,0))^I602*(1+OFFSET($K$49,D602,0))^J602*(1+OFFSET($L$49,D602,0))^K602*(1+OFFSET($M$49,D602,0))^L602</f>
        <v>210.943807833308</v>
      </c>
      <c r="N602" s="67">
        <f ca="1">MAX(MAX($N$62:N601),OFFSET($C$61,MATCH(M602*1.07,$M$62:$M$2061,1),0)-C602)</f>
        <v>6120</v>
      </c>
    </row>
    <row r="603" spans="2:14">
      <c r="B603" s="67">
        <v>542</v>
      </c>
      <c r="C603" s="67">
        <f t="shared" si="60"/>
        <v>195120</v>
      </c>
      <c r="D603" s="67">
        <f t="shared" si="56"/>
        <v>5</v>
      </c>
      <c r="E603" s="67">
        <f ca="1" t="shared" si="57"/>
        <v>572</v>
      </c>
      <c r="F603" s="67">
        <f ca="1" t="shared" si="58"/>
        <v>0</v>
      </c>
      <c r="G603" s="67">
        <f ca="1" t="shared" si="59"/>
        <v>0</v>
      </c>
      <c r="H603" s="67" cm="1">
        <f ca="1" t="array" ref="H603">MIN(30-SUM(I603:L603),_xlfn.XLOOKUP($D603&amp;"_"&amp;H$61,$B$23:$B$45&amp;"_"&amp;$C$23:$C$45,$D$23:$D$45)*$E603,18)</f>
        <v>14.2817178008458</v>
      </c>
      <c r="I603" s="67" cm="1">
        <f ca="1" t="array" ref="I603">MIN(30-SUM(J603:L603),6-L603,_xlfn.XLOOKUP($D603&amp;"_"&amp;I$61,$B$23:$B$45&amp;"_"&amp;$C$23:$C$45,$D$23:$D$45)*$E603)</f>
        <v>2.54095040369089</v>
      </c>
      <c r="J603" s="67" cm="1">
        <f ca="1" t="array" ref="J603">MIN(8,_xlfn.XLOOKUP($D603&amp;"_"&amp;J$61,$B$23:$B$45&amp;"_"&amp;$C$23:$C$45,$D$23:$D$45)*$E603)</f>
        <v>7.41224913494809</v>
      </c>
      <c r="K603" s="67" cm="1">
        <f ca="1" t="array" ref="K603">MIN(18,_xlfn.XLOOKUP($D603&amp;"_"&amp;K$61,$B$23:$B$45&amp;"_"&amp;$C$23:$C$45,$D$23:$D$45)*$E603)</f>
        <v>2.30603306420608</v>
      </c>
      <c r="L603" s="67" cm="1">
        <f ca="1" t="array" ref="L603">MIN(6,_xlfn.XLOOKUP($D603&amp;"_"&amp;L$61,$B$23:$B$45&amp;"_"&amp;$C$23:$C$45,$D$23:$D$45)*$E603)</f>
        <v>3.45904959630911</v>
      </c>
      <c r="M603" s="67" cm="1">
        <f ca="1" t="array" ref="M603">(1+SUMPRODUCT(G603:H603,OFFSET($H$49:$I$49,D603,0)))*(1+OFFSET($J$49,D603,0))^I603*(1+OFFSET($K$49,D603,0))^J603*(1+OFFSET($L$49,D603,0))^K603*(1+OFFSET($M$49,D603,0))^L603</f>
        <v>211.742994942295</v>
      </c>
      <c r="N603" s="67">
        <f ca="1">MAX(MAX($N$62:N602),OFFSET($C$61,MATCH(M603*1.07,$M$62:$M$2061,1),0)-C603)</f>
        <v>6120</v>
      </c>
    </row>
    <row r="604" spans="2:14">
      <c r="B604" s="67">
        <v>543</v>
      </c>
      <c r="C604" s="67">
        <f t="shared" si="60"/>
        <v>195480</v>
      </c>
      <c r="D604" s="67">
        <f t="shared" si="56"/>
        <v>5</v>
      </c>
      <c r="E604" s="67">
        <f ca="1" t="shared" si="57"/>
        <v>573</v>
      </c>
      <c r="F604" s="67">
        <f ca="1" t="shared" si="58"/>
        <v>0</v>
      </c>
      <c r="G604" s="67">
        <f ca="1" t="shared" si="59"/>
        <v>0</v>
      </c>
      <c r="H604" s="67" cm="1">
        <f ca="1" t="array" ref="H604">MIN(30-SUM(I604:L604),_xlfn.XLOOKUP($D604&amp;"_"&amp;H$61,$B$23:$B$45&amp;"_"&amp;$C$23:$C$45,$D$23:$D$45)*$E604,18)</f>
        <v>14.2647277970012</v>
      </c>
      <c r="I604" s="67" cm="1">
        <f ca="1" t="array" ref="I604">MIN(30-SUM(J604:L604),6-L604,_xlfn.XLOOKUP($D604&amp;"_"&amp;I$61,$B$23:$B$45&amp;"_"&amp;$C$23:$C$45,$D$23:$D$45)*$E604)</f>
        <v>2.53490311418685</v>
      </c>
      <c r="J604" s="67" cm="1">
        <f ca="1" t="array" ref="J604">MIN(8,_xlfn.XLOOKUP($D604&amp;"_"&amp;J$61,$B$23:$B$45&amp;"_"&amp;$C$23:$C$45,$D$23:$D$45)*$E604)</f>
        <v>7.42520761245674</v>
      </c>
      <c r="K604" s="67" cm="1">
        <f ca="1" t="array" ref="K604">MIN(18,_xlfn.XLOOKUP($D604&amp;"_"&amp;K$61,$B$23:$B$45&amp;"_"&amp;$C$23:$C$45,$D$23:$D$45)*$E604)</f>
        <v>2.3100645905421</v>
      </c>
      <c r="L604" s="67" cm="1">
        <f ca="1" t="array" ref="L604">MIN(6,_xlfn.XLOOKUP($D604&amp;"_"&amp;L$61,$B$23:$B$45&amp;"_"&amp;$C$23:$C$45,$D$23:$D$45)*$E604)</f>
        <v>3.46509688581315</v>
      </c>
      <c r="M604" s="67" cm="1">
        <f ca="1" t="array" ref="M604">(1+SUMPRODUCT(G604:H604,OFFSET($H$49:$I$49,D604,0)))*(1+OFFSET($J$49,D604,0))^I604*(1+OFFSET($K$49,D604,0))^J604*(1+OFFSET($L$49,D604,0))^K604*(1+OFFSET($M$49,D604,0))^L604</f>
        <v>212.545044848122</v>
      </c>
      <c r="N604" s="67">
        <f ca="1">MAX(MAX($N$62:N603),OFFSET($C$61,MATCH(M604*1.07,$M$62:$M$2061,1),0)-C604)</f>
        <v>6120</v>
      </c>
    </row>
    <row r="605" spans="2:14">
      <c r="B605" s="67">
        <v>544</v>
      </c>
      <c r="C605" s="67">
        <f t="shared" si="60"/>
        <v>195840</v>
      </c>
      <c r="D605" s="67">
        <f t="shared" si="56"/>
        <v>5</v>
      </c>
      <c r="E605" s="67">
        <f ca="1" t="shared" si="57"/>
        <v>574</v>
      </c>
      <c r="F605" s="67">
        <f ca="1" t="shared" si="58"/>
        <v>0</v>
      </c>
      <c r="G605" s="67">
        <f ca="1" t="shared" si="59"/>
        <v>0</v>
      </c>
      <c r="H605" s="67" cm="1">
        <f ca="1" t="array" ref="H605">MIN(30-SUM(I605:L605),_xlfn.XLOOKUP($D605&amp;"_"&amp;H$61,$B$23:$B$45&amp;"_"&amp;$C$23:$C$45,$D$23:$D$45)*$E605,18)</f>
        <v>14.2477377931565</v>
      </c>
      <c r="I605" s="67" cm="1">
        <f ca="1" t="array" ref="I605">MIN(30-SUM(J605:L605),6-L605,_xlfn.XLOOKUP($D605&amp;"_"&amp;I$61,$B$23:$B$45&amp;"_"&amp;$C$23:$C$45,$D$23:$D$45)*$E605)</f>
        <v>2.52885582468281</v>
      </c>
      <c r="J605" s="67" cm="1">
        <f ca="1" t="array" ref="J605">MIN(8,_xlfn.XLOOKUP($D605&amp;"_"&amp;J$61,$B$23:$B$45&amp;"_"&amp;$C$23:$C$45,$D$23:$D$45)*$E605)</f>
        <v>7.43816608996539</v>
      </c>
      <c r="K605" s="67" cm="1">
        <f ca="1" t="array" ref="K605">MIN(18,_xlfn.XLOOKUP($D605&amp;"_"&amp;K$61,$B$23:$B$45&amp;"_"&amp;$C$23:$C$45,$D$23:$D$45)*$E605)</f>
        <v>2.31409611687813</v>
      </c>
      <c r="L605" s="67" cm="1">
        <f ca="1" t="array" ref="L605">MIN(6,_xlfn.XLOOKUP($D605&amp;"_"&amp;L$61,$B$23:$B$45&amp;"_"&amp;$C$23:$C$45,$D$23:$D$45)*$E605)</f>
        <v>3.47114417531719</v>
      </c>
      <c r="M605" s="67" cm="1">
        <f ca="1" t="array" ref="M605">(1+SUMPRODUCT(G605:H605,OFFSET($H$49:$I$49,D605,0)))*(1+OFFSET($J$49,D605,0))^I605*(1+OFFSET($K$49,D605,0))^J605*(1+OFFSET($L$49,D605,0))^K605*(1+OFFSET($M$49,D605,0))^L605</f>
        <v>213.349966854505</v>
      </c>
      <c r="N605" s="67">
        <f ca="1">MAX(MAX($N$62:N604),OFFSET($C$61,MATCH(M605*1.07,$M$62:$M$2061,1),0)-C605)</f>
        <v>6120</v>
      </c>
    </row>
    <row r="606" spans="2:14">
      <c r="B606" s="67">
        <v>545</v>
      </c>
      <c r="C606" s="67">
        <f t="shared" si="60"/>
        <v>196200</v>
      </c>
      <c r="D606" s="67">
        <f t="shared" si="56"/>
        <v>5</v>
      </c>
      <c r="E606" s="67">
        <f ca="1" t="shared" si="57"/>
        <v>575</v>
      </c>
      <c r="F606" s="67">
        <f ca="1" t="shared" si="58"/>
        <v>0</v>
      </c>
      <c r="G606" s="67">
        <f ca="1" t="shared" si="59"/>
        <v>0</v>
      </c>
      <c r="H606" s="67" cm="1">
        <f ca="1" t="array" ref="H606">MIN(30-SUM(I606:L606),_xlfn.XLOOKUP($D606&amp;"_"&amp;H$61,$B$23:$B$45&amp;"_"&amp;$C$23:$C$45,$D$23:$D$45)*$E606,18)</f>
        <v>14.2307477893118</v>
      </c>
      <c r="I606" s="67" cm="1">
        <f ca="1" t="array" ref="I606">MIN(30-SUM(J606:L606),6-L606,_xlfn.XLOOKUP($D606&amp;"_"&amp;I$61,$B$23:$B$45&amp;"_"&amp;$C$23:$C$45,$D$23:$D$45)*$E606)</f>
        <v>2.52280853517878</v>
      </c>
      <c r="J606" s="67" cm="1">
        <f ca="1" t="array" ref="J606">MIN(8,_xlfn.XLOOKUP($D606&amp;"_"&amp;J$61,$B$23:$B$45&amp;"_"&amp;$C$23:$C$45,$D$23:$D$45)*$E606)</f>
        <v>7.45112456747404</v>
      </c>
      <c r="K606" s="67" cm="1">
        <f ca="1" t="array" ref="K606">MIN(18,_xlfn.XLOOKUP($D606&amp;"_"&amp;K$61,$B$23:$B$45&amp;"_"&amp;$C$23:$C$45,$D$23:$D$45)*$E606)</f>
        <v>2.31812764321415</v>
      </c>
      <c r="L606" s="67" cm="1">
        <f ca="1" t="array" ref="L606">MIN(6,_xlfn.XLOOKUP($D606&amp;"_"&amp;L$61,$B$23:$B$45&amp;"_"&amp;$C$23:$C$45,$D$23:$D$45)*$E606)</f>
        <v>3.47719146482122</v>
      </c>
      <c r="M606" s="67" cm="1">
        <f ca="1" t="array" ref="M606">(1+SUMPRODUCT(G606:H606,OFFSET($H$49:$I$49,D606,0)))*(1+OFFSET($J$49,D606,0))^I606*(1+OFFSET($K$49,D606,0))^J606*(1+OFFSET($L$49,D606,0))^K606*(1+OFFSET($M$49,D606,0))^L606</f>
        <v>214.157770289598</v>
      </c>
      <c r="N606" s="67">
        <f ca="1">MAX(MAX($N$62:N605),OFFSET($C$61,MATCH(M606*1.07,$M$62:$M$2061,1),0)-C606)</f>
        <v>6120</v>
      </c>
    </row>
    <row r="607" spans="2:14">
      <c r="B607" s="67">
        <v>546</v>
      </c>
      <c r="C607" s="67">
        <f t="shared" si="60"/>
        <v>196560</v>
      </c>
      <c r="D607" s="67">
        <f t="shared" si="56"/>
        <v>5</v>
      </c>
      <c r="E607" s="67">
        <f ca="1" t="shared" si="57"/>
        <v>576</v>
      </c>
      <c r="F607" s="67">
        <f ca="1" t="shared" si="58"/>
        <v>0</v>
      </c>
      <c r="G607" s="67">
        <f ca="1" t="shared" si="59"/>
        <v>0</v>
      </c>
      <c r="H607" s="67" cm="1">
        <f ca="1" t="array" ref="H607">MIN(30-SUM(I607:L607),_xlfn.XLOOKUP($D607&amp;"_"&amp;H$61,$B$23:$B$45&amp;"_"&amp;$C$23:$C$45,$D$23:$D$45)*$E607,18)</f>
        <v>14.2137577854671</v>
      </c>
      <c r="I607" s="67" cm="1">
        <f ca="1" t="array" ref="I607">MIN(30-SUM(J607:L607),6-L607,_xlfn.XLOOKUP($D607&amp;"_"&amp;I$61,$B$23:$B$45&amp;"_"&amp;$C$23:$C$45,$D$23:$D$45)*$E607)</f>
        <v>2.51676124567474</v>
      </c>
      <c r="J607" s="67" cm="1">
        <f ca="1" t="array" ref="J607">MIN(8,_xlfn.XLOOKUP($D607&amp;"_"&amp;J$61,$B$23:$B$45&amp;"_"&amp;$C$23:$C$45,$D$23:$D$45)*$E607)</f>
        <v>7.46408304498269</v>
      </c>
      <c r="K607" s="67" cm="1">
        <f ca="1" t="array" ref="K607">MIN(18,_xlfn.XLOOKUP($D607&amp;"_"&amp;K$61,$B$23:$B$45&amp;"_"&amp;$C$23:$C$45,$D$23:$D$45)*$E607)</f>
        <v>2.32215916955018</v>
      </c>
      <c r="L607" s="67" cm="1">
        <f ca="1" t="array" ref="L607">MIN(6,_xlfn.XLOOKUP($D607&amp;"_"&amp;L$61,$B$23:$B$45&amp;"_"&amp;$C$23:$C$45,$D$23:$D$45)*$E607)</f>
        <v>3.48323875432526</v>
      </c>
      <c r="M607" s="67" cm="1">
        <f ca="1" t="array" ref="M607">(1+SUMPRODUCT(G607:H607,OFFSET($H$49:$I$49,D607,0)))*(1+OFFSET($J$49,D607,0))^I607*(1+OFFSET($K$49,D607,0))^J607*(1+OFFSET($L$49,D607,0))^K607*(1+OFFSET($M$49,D607,0))^L607</f>
        <v>214.968464506014</v>
      </c>
      <c r="N607" s="67">
        <f ca="1">MAX(MAX($N$62:N606),OFFSET($C$61,MATCH(M607*1.07,$M$62:$M$2061,1),0)-C607)</f>
        <v>6120</v>
      </c>
    </row>
    <row r="608" spans="2:14">
      <c r="B608" s="67">
        <v>547</v>
      </c>
      <c r="C608" s="67">
        <f t="shared" si="60"/>
        <v>196920</v>
      </c>
      <c r="D608" s="67">
        <f t="shared" si="56"/>
        <v>5</v>
      </c>
      <c r="E608" s="67">
        <f ca="1" t="shared" si="57"/>
        <v>577</v>
      </c>
      <c r="F608" s="67">
        <f ca="1" t="shared" si="58"/>
        <v>0</v>
      </c>
      <c r="G608" s="67">
        <f ca="1" t="shared" si="59"/>
        <v>0</v>
      </c>
      <c r="H608" s="67" cm="1">
        <f ca="1" t="array" ref="H608">MIN(30-SUM(I608:L608),_xlfn.XLOOKUP($D608&amp;"_"&amp;H$61,$B$23:$B$45&amp;"_"&amp;$C$23:$C$45,$D$23:$D$45)*$E608,18)</f>
        <v>14.1967677816225</v>
      </c>
      <c r="I608" s="67" cm="1">
        <f ca="1" t="array" ref="I608">MIN(30-SUM(J608:L608),6-L608,_xlfn.XLOOKUP($D608&amp;"_"&amp;I$61,$B$23:$B$45&amp;"_"&amp;$C$23:$C$45,$D$23:$D$45)*$E608)</f>
        <v>2.5107139561707</v>
      </c>
      <c r="J608" s="67" cm="1">
        <f ca="1" t="array" ref="J608">MIN(8,_xlfn.XLOOKUP($D608&amp;"_"&amp;J$61,$B$23:$B$45&amp;"_"&amp;$C$23:$C$45,$D$23:$D$45)*$E608)</f>
        <v>7.47704152249134</v>
      </c>
      <c r="K608" s="67" cm="1">
        <f ca="1" t="array" ref="K608">MIN(18,_xlfn.XLOOKUP($D608&amp;"_"&amp;K$61,$B$23:$B$45&amp;"_"&amp;$C$23:$C$45,$D$23:$D$45)*$E608)</f>
        <v>2.3261906958862</v>
      </c>
      <c r="L608" s="67" cm="1">
        <f ca="1" t="array" ref="L608">MIN(6,_xlfn.XLOOKUP($D608&amp;"_"&amp;L$61,$B$23:$B$45&amp;"_"&amp;$C$23:$C$45,$D$23:$D$45)*$E608)</f>
        <v>3.4892860438293</v>
      </c>
      <c r="M608" s="67" cm="1">
        <f ca="1" t="array" ref="M608">(1+SUMPRODUCT(G608:H608,OFFSET($H$49:$I$49,D608,0)))*(1+OFFSET($J$49,D608,0))^I608*(1+OFFSET($K$49,D608,0))^J608*(1+OFFSET($L$49,D608,0))^K608*(1+OFFSET($M$49,D608,0))^L608</f>
        <v>215.782058880856</v>
      </c>
      <c r="N608" s="67">
        <f ca="1">MAX(MAX($N$62:N607),OFFSET($C$61,MATCH(M608*1.07,$M$62:$M$2061,1),0)-C608)</f>
        <v>6120</v>
      </c>
    </row>
    <row r="609" spans="2:14">
      <c r="B609" s="67">
        <v>548</v>
      </c>
      <c r="C609" s="67">
        <f t="shared" si="60"/>
        <v>197280</v>
      </c>
      <c r="D609" s="67">
        <f t="shared" si="56"/>
        <v>5</v>
      </c>
      <c r="E609" s="67">
        <f ca="1" t="shared" si="57"/>
        <v>578</v>
      </c>
      <c r="F609" s="67">
        <f ca="1" t="shared" si="58"/>
        <v>0</v>
      </c>
      <c r="G609" s="67">
        <f ca="1" t="shared" si="59"/>
        <v>0</v>
      </c>
      <c r="H609" s="67" cm="1">
        <f ca="1" t="array" ref="H609">MIN(30-SUM(I609:L609),_xlfn.XLOOKUP($D609&amp;"_"&amp;H$61,$B$23:$B$45&amp;"_"&amp;$C$23:$C$45,$D$23:$D$45)*$E609,18)</f>
        <v>14.1797777777778</v>
      </c>
      <c r="I609" s="67" cm="1">
        <f ca="1" t="array" ref="I609">MIN(30-SUM(J609:L609),6-L609,_xlfn.XLOOKUP($D609&amp;"_"&amp;I$61,$B$23:$B$45&amp;"_"&amp;$C$23:$C$45,$D$23:$D$45)*$E609)</f>
        <v>2.50466666666667</v>
      </c>
      <c r="J609" s="67" cm="1">
        <f ca="1" t="array" ref="J609">MIN(8,_xlfn.XLOOKUP($D609&amp;"_"&amp;J$61,$B$23:$B$45&amp;"_"&amp;$C$23:$C$45,$D$23:$D$45)*$E609)</f>
        <v>7.48999999999999</v>
      </c>
      <c r="K609" s="67" cm="1">
        <f ca="1" t="array" ref="K609">MIN(18,_xlfn.XLOOKUP($D609&amp;"_"&amp;K$61,$B$23:$B$45&amp;"_"&amp;$C$23:$C$45,$D$23:$D$45)*$E609)</f>
        <v>2.33022222222222</v>
      </c>
      <c r="L609" s="67" cm="1">
        <f ca="1" t="array" ref="L609">MIN(6,_xlfn.XLOOKUP($D609&amp;"_"&amp;L$61,$B$23:$B$45&amp;"_"&amp;$C$23:$C$45,$D$23:$D$45)*$E609)</f>
        <v>3.49533333333333</v>
      </c>
      <c r="M609" s="67" cm="1">
        <f ca="1" t="array" ref="M609">(1+SUMPRODUCT(G609:H609,OFFSET($H$49:$I$49,D609,0)))*(1+OFFSET($J$49,D609,0))^I609*(1+OFFSET($K$49,D609,0))^J609*(1+OFFSET($L$49,D609,0))^K609*(1+OFFSET($M$49,D609,0))^L609</f>
        <v>216.598562815738</v>
      </c>
      <c r="N609" s="67">
        <f ca="1">MAX(MAX($N$62:N608),OFFSET($C$61,MATCH(M609*1.07,$M$62:$M$2061,1),0)-C609)</f>
        <v>6120</v>
      </c>
    </row>
    <row r="610" spans="2:14">
      <c r="B610" s="67">
        <v>549</v>
      </c>
      <c r="C610" s="67">
        <f t="shared" si="60"/>
        <v>197640</v>
      </c>
      <c r="D610" s="67">
        <f t="shared" si="56"/>
        <v>5</v>
      </c>
      <c r="E610" s="67">
        <f ca="1" t="shared" si="57"/>
        <v>579</v>
      </c>
      <c r="F610" s="67">
        <f ca="1" t="shared" si="58"/>
        <v>0</v>
      </c>
      <c r="G610" s="67">
        <f ca="1" t="shared" si="59"/>
        <v>0</v>
      </c>
      <c r="H610" s="67" cm="1">
        <f ca="1" t="array" ref="H610">MIN(30-SUM(I610:L610),_xlfn.XLOOKUP($D610&amp;"_"&amp;H$61,$B$23:$B$45&amp;"_"&amp;$C$23:$C$45,$D$23:$D$45)*$E610,18)</f>
        <v>14.1627877739331</v>
      </c>
      <c r="I610" s="67" cm="1">
        <f ca="1" t="array" ref="I610">MIN(30-SUM(J610:L610),6-L610,_xlfn.XLOOKUP($D610&amp;"_"&amp;I$61,$B$23:$B$45&amp;"_"&amp;$C$23:$C$45,$D$23:$D$45)*$E610)</f>
        <v>2.49861937716263</v>
      </c>
      <c r="J610" s="67" cm="1">
        <f ca="1" t="array" ref="J610">MIN(8,_xlfn.XLOOKUP($D610&amp;"_"&amp;J$61,$B$23:$B$45&amp;"_"&amp;$C$23:$C$45,$D$23:$D$45)*$E610)</f>
        <v>7.50295847750864</v>
      </c>
      <c r="K610" s="67" cm="1">
        <f ca="1" t="array" ref="K610">MIN(18,_xlfn.XLOOKUP($D610&amp;"_"&amp;K$61,$B$23:$B$45&amp;"_"&amp;$C$23:$C$45,$D$23:$D$45)*$E610)</f>
        <v>2.33425374855825</v>
      </c>
      <c r="L610" s="67" cm="1">
        <f ca="1" t="array" ref="L610">MIN(6,_xlfn.XLOOKUP($D610&amp;"_"&amp;L$61,$B$23:$B$45&amp;"_"&amp;$C$23:$C$45,$D$23:$D$45)*$E610)</f>
        <v>3.50138062283737</v>
      </c>
      <c r="M610" s="67" cm="1">
        <f ca="1" t="array" ref="M610">(1+SUMPRODUCT(G610:H610,OFFSET($H$49:$I$49,D610,0)))*(1+OFFSET($J$49,D610,0))^I610*(1+OFFSET($K$49,D610,0))^J610*(1+OFFSET($L$49,D610,0))^K610*(1+OFFSET($M$49,D610,0))^L610</f>
        <v>217.417985736809</v>
      </c>
      <c r="N610" s="67">
        <f ca="1">MAX(MAX($N$62:N609),OFFSET($C$61,MATCH(M610*1.07,$M$62:$M$2061,1),0)-C610)</f>
        <v>6120</v>
      </c>
    </row>
    <row r="611" spans="2:14">
      <c r="B611" s="67">
        <v>550</v>
      </c>
      <c r="C611" s="67">
        <f t="shared" si="60"/>
        <v>198000</v>
      </c>
      <c r="D611" s="67">
        <f t="shared" si="56"/>
        <v>5</v>
      </c>
      <c r="E611" s="67">
        <f ca="1" t="shared" si="57"/>
        <v>580</v>
      </c>
      <c r="F611" s="67">
        <f ca="1" t="shared" si="58"/>
        <v>0</v>
      </c>
      <c r="G611" s="67">
        <f ca="1" t="shared" si="59"/>
        <v>0</v>
      </c>
      <c r="H611" s="67" cm="1">
        <f ca="1" t="array" ref="H611">MIN(30-SUM(I611:L611),_xlfn.XLOOKUP($D611&amp;"_"&amp;H$61,$B$23:$B$45&amp;"_"&amp;$C$23:$C$45,$D$23:$D$45)*$E611,18)</f>
        <v>14.1457977700884</v>
      </c>
      <c r="I611" s="67" cm="1">
        <f ca="1" t="array" ref="I611">MIN(30-SUM(J611:L611),6-L611,_xlfn.XLOOKUP($D611&amp;"_"&amp;I$61,$B$23:$B$45&amp;"_"&amp;$C$23:$C$45,$D$23:$D$45)*$E611)</f>
        <v>2.49257208765859</v>
      </c>
      <c r="J611" s="67" cm="1">
        <f ca="1" t="array" ref="J611">MIN(8,_xlfn.XLOOKUP($D611&amp;"_"&amp;J$61,$B$23:$B$45&amp;"_"&amp;$C$23:$C$45,$D$23:$D$45)*$E611)</f>
        <v>7.51591695501729</v>
      </c>
      <c r="K611" s="67" cm="1">
        <f ca="1" t="array" ref="K611">MIN(18,_xlfn.XLOOKUP($D611&amp;"_"&amp;K$61,$B$23:$B$45&amp;"_"&amp;$C$23:$C$45,$D$23:$D$45)*$E611)</f>
        <v>2.33828527489427</v>
      </c>
      <c r="L611" s="67" cm="1">
        <f ca="1" t="array" ref="L611">MIN(6,_xlfn.XLOOKUP($D611&amp;"_"&amp;L$61,$B$23:$B$45&amp;"_"&amp;$C$23:$C$45,$D$23:$D$45)*$E611)</f>
        <v>3.50742791234141</v>
      </c>
      <c r="M611" s="67" cm="1">
        <f ca="1" t="array" ref="M611">(1+SUMPRODUCT(G611:H611,OFFSET($H$49:$I$49,D611,0)))*(1+OFFSET($J$49,D611,0))^I611*(1+OFFSET($K$49,D611,0))^J611*(1+OFFSET($L$49,D611,0))^K611*(1+OFFSET($M$49,D611,0))^L611</f>
        <v>218.24033709478</v>
      </c>
      <c r="N611" s="67">
        <f ca="1">MAX(MAX($N$62:N610),OFFSET($C$61,MATCH(M611*1.07,$M$62:$M$2061,1),0)-C611)</f>
        <v>6120</v>
      </c>
    </row>
    <row r="612" spans="2:14">
      <c r="B612" s="67">
        <v>551</v>
      </c>
      <c r="C612" s="67">
        <f t="shared" si="60"/>
        <v>198360</v>
      </c>
      <c r="D612" s="67">
        <f t="shared" si="56"/>
        <v>5</v>
      </c>
      <c r="E612" s="67">
        <f ca="1" t="shared" si="57"/>
        <v>581</v>
      </c>
      <c r="F612" s="67">
        <f ca="1" t="shared" si="58"/>
        <v>0</v>
      </c>
      <c r="G612" s="67">
        <f ca="1" t="shared" si="59"/>
        <v>0</v>
      </c>
      <c r="H612" s="67" cm="1">
        <f ca="1" t="array" ref="H612">MIN(30-SUM(I612:L612),_xlfn.XLOOKUP($D612&amp;"_"&amp;H$61,$B$23:$B$45&amp;"_"&amp;$C$23:$C$45,$D$23:$D$45)*$E612,18)</f>
        <v>14.1288077662438</v>
      </c>
      <c r="I612" s="67" cm="1">
        <f ca="1" t="array" ref="I612">MIN(30-SUM(J612:L612),6-L612,_xlfn.XLOOKUP($D612&amp;"_"&amp;I$61,$B$23:$B$45&amp;"_"&amp;$C$23:$C$45,$D$23:$D$45)*$E612)</f>
        <v>2.48652479815455</v>
      </c>
      <c r="J612" s="67" cm="1">
        <f ca="1" t="array" ref="J612">MIN(8,_xlfn.XLOOKUP($D612&amp;"_"&amp;J$61,$B$23:$B$45&amp;"_"&amp;$C$23:$C$45,$D$23:$D$45)*$E612)</f>
        <v>7.52887543252594</v>
      </c>
      <c r="K612" s="67" cm="1">
        <f ca="1" t="array" ref="K612">MIN(18,_xlfn.XLOOKUP($D612&amp;"_"&amp;K$61,$B$23:$B$45&amp;"_"&amp;$C$23:$C$45,$D$23:$D$45)*$E612)</f>
        <v>2.3423168012303</v>
      </c>
      <c r="L612" s="67" cm="1">
        <f ca="1" t="array" ref="L612">MIN(6,_xlfn.XLOOKUP($D612&amp;"_"&amp;L$61,$B$23:$B$45&amp;"_"&amp;$C$23:$C$45,$D$23:$D$45)*$E612)</f>
        <v>3.51347520184544</v>
      </c>
      <c r="M612" s="67" cm="1">
        <f ca="1" t="array" ref="M612">(1+SUMPRODUCT(G612:H612,OFFSET($H$49:$I$49,D612,0)))*(1+OFFSET($J$49,D612,0))^I612*(1+OFFSET($K$49,D612,0))^J612*(1+OFFSET($L$49,D612,0))^K612*(1+OFFSET($M$49,D612,0))^L612</f>
        <v>219.065626364944</v>
      </c>
      <c r="N612" s="67">
        <f ca="1">MAX(MAX($N$62:N611),OFFSET($C$61,MATCH(M612*1.07,$M$62:$M$2061,1),0)-C612)</f>
        <v>6120</v>
      </c>
    </row>
    <row r="613" spans="2:14">
      <c r="B613" s="67">
        <v>552</v>
      </c>
      <c r="C613" s="67">
        <f t="shared" si="60"/>
        <v>198720</v>
      </c>
      <c r="D613" s="67">
        <f t="shared" si="56"/>
        <v>5</v>
      </c>
      <c r="E613" s="67">
        <f ca="1" t="shared" si="57"/>
        <v>582</v>
      </c>
      <c r="F613" s="67">
        <f ca="1" t="shared" si="58"/>
        <v>0</v>
      </c>
      <c r="G613" s="67">
        <f ca="1" t="shared" si="59"/>
        <v>0</v>
      </c>
      <c r="H613" s="67" cm="1">
        <f ca="1" t="array" ref="H613">MIN(30-SUM(I613:L613),_xlfn.XLOOKUP($D613&amp;"_"&amp;H$61,$B$23:$B$45&amp;"_"&amp;$C$23:$C$45,$D$23:$D$45)*$E613,18)</f>
        <v>14.1118177623991</v>
      </c>
      <c r="I613" s="67" cm="1">
        <f ca="1" t="array" ref="I613">MIN(30-SUM(J613:L613),6-L613,_xlfn.XLOOKUP($D613&amp;"_"&amp;I$61,$B$23:$B$45&amp;"_"&amp;$C$23:$C$45,$D$23:$D$45)*$E613)</f>
        <v>2.48047750865052</v>
      </c>
      <c r="J613" s="67" cm="1">
        <f ca="1" t="array" ref="J613">MIN(8,_xlfn.XLOOKUP($D613&amp;"_"&amp;J$61,$B$23:$B$45&amp;"_"&amp;$C$23:$C$45,$D$23:$D$45)*$E613)</f>
        <v>7.54183391003459</v>
      </c>
      <c r="K613" s="67" cm="1">
        <f ca="1" t="array" ref="K613">MIN(18,_xlfn.XLOOKUP($D613&amp;"_"&amp;K$61,$B$23:$B$45&amp;"_"&amp;$C$23:$C$45,$D$23:$D$45)*$E613)</f>
        <v>2.34634832756632</v>
      </c>
      <c r="L613" s="67" cm="1">
        <f ca="1" t="array" ref="L613">MIN(6,_xlfn.XLOOKUP($D613&amp;"_"&amp;L$61,$B$23:$B$45&amp;"_"&amp;$C$23:$C$45,$D$23:$D$45)*$E613)</f>
        <v>3.51952249134948</v>
      </c>
      <c r="M613" s="67" cm="1">
        <f ca="1" t="array" ref="M613">(1+SUMPRODUCT(G613:H613,OFFSET($H$49:$I$49,D613,0)))*(1+OFFSET($J$49,D613,0))^I613*(1+OFFSET($K$49,D613,0))^J613*(1+OFFSET($L$49,D613,0))^K613*(1+OFFSET($M$49,D613,0))^L613</f>
        <v>219.893863047201</v>
      </c>
      <c r="N613" s="67">
        <f ca="1">MAX(MAX($N$62:N612),OFFSET($C$61,MATCH(M613*1.07,$M$62:$M$2061,1),0)-C613)</f>
        <v>6120</v>
      </c>
    </row>
    <row r="614" spans="2:14">
      <c r="B614" s="67">
        <v>553</v>
      </c>
      <c r="C614" s="67">
        <f t="shared" si="60"/>
        <v>199080</v>
      </c>
      <c r="D614" s="67">
        <f t="shared" si="56"/>
        <v>5</v>
      </c>
      <c r="E614" s="67">
        <f ca="1" t="shared" si="57"/>
        <v>583</v>
      </c>
      <c r="F614" s="67">
        <f ca="1" t="shared" si="58"/>
        <v>0</v>
      </c>
      <c r="G614" s="67">
        <f ca="1" t="shared" si="59"/>
        <v>0</v>
      </c>
      <c r="H614" s="67" cm="1">
        <f ca="1" t="array" ref="H614">MIN(30-SUM(I614:L614),_xlfn.XLOOKUP($D614&amp;"_"&amp;H$61,$B$23:$B$45&amp;"_"&amp;$C$23:$C$45,$D$23:$D$45)*$E614,18)</f>
        <v>14.0948277585544</v>
      </c>
      <c r="I614" s="67" cm="1">
        <f ca="1" t="array" ref="I614">MIN(30-SUM(J614:L614),6-L614,_xlfn.XLOOKUP($D614&amp;"_"&amp;I$61,$B$23:$B$45&amp;"_"&amp;$C$23:$C$45,$D$23:$D$45)*$E614)</f>
        <v>2.47443021914648</v>
      </c>
      <c r="J614" s="67" cm="1">
        <f ca="1" t="array" ref="J614">MIN(8,_xlfn.XLOOKUP($D614&amp;"_"&amp;J$61,$B$23:$B$45&amp;"_"&amp;$C$23:$C$45,$D$23:$D$45)*$E614)</f>
        <v>7.55479238754324</v>
      </c>
      <c r="K614" s="67" cm="1">
        <f ca="1" t="array" ref="K614">MIN(18,_xlfn.XLOOKUP($D614&amp;"_"&amp;K$61,$B$23:$B$45&amp;"_"&amp;$C$23:$C$45,$D$23:$D$45)*$E614)</f>
        <v>2.35037985390235</v>
      </c>
      <c r="L614" s="67" cm="1">
        <f ca="1" t="array" ref="L614">MIN(6,_xlfn.XLOOKUP($D614&amp;"_"&amp;L$61,$B$23:$B$45&amp;"_"&amp;$C$23:$C$45,$D$23:$D$45)*$E614)</f>
        <v>3.52556978085352</v>
      </c>
      <c r="M614" s="67" cm="1">
        <f ca="1" t="array" ref="M614">(1+SUMPRODUCT(G614:H614,OFFSET($H$49:$I$49,D614,0)))*(1+OFFSET($J$49,D614,0))^I614*(1+OFFSET($K$49,D614,0))^J614*(1+OFFSET($L$49,D614,0))^K614*(1+OFFSET($M$49,D614,0))^L614</f>
        <v>220.725056666083</v>
      </c>
      <c r="N614" s="67">
        <f ca="1">MAX(MAX($N$62:N613),OFFSET($C$61,MATCH(M614*1.07,$M$62:$M$2061,1),0)-C614)</f>
        <v>6120</v>
      </c>
    </row>
    <row r="615" spans="2:14">
      <c r="B615" s="67">
        <v>554</v>
      </c>
      <c r="C615" s="67">
        <f t="shared" si="60"/>
        <v>199440</v>
      </c>
      <c r="D615" s="67">
        <f t="shared" si="56"/>
        <v>5</v>
      </c>
      <c r="E615" s="67">
        <f ca="1" t="shared" si="57"/>
        <v>584</v>
      </c>
      <c r="F615" s="67">
        <f ca="1" t="shared" si="58"/>
        <v>0</v>
      </c>
      <c r="G615" s="67">
        <f ca="1" t="shared" si="59"/>
        <v>0</v>
      </c>
      <c r="H615" s="67" cm="1">
        <f ca="1" t="array" ref="H615">MIN(30-SUM(I615:L615),_xlfn.XLOOKUP($D615&amp;"_"&amp;H$61,$B$23:$B$45&amp;"_"&amp;$C$23:$C$45,$D$23:$D$45)*$E615,18)</f>
        <v>14.0778377547097</v>
      </c>
      <c r="I615" s="67" cm="1">
        <f ca="1" t="array" ref="I615">MIN(30-SUM(J615:L615),6-L615,_xlfn.XLOOKUP($D615&amp;"_"&amp;I$61,$B$23:$B$45&amp;"_"&amp;$C$23:$C$45,$D$23:$D$45)*$E615)</f>
        <v>2.46838292964244</v>
      </c>
      <c r="J615" s="67" cm="1">
        <f ca="1" t="array" ref="J615">MIN(8,_xlfn.XLOOKUP($D615&amp;"_"&amp;J$61,$B$23:$B$45&amp;"_"&amp;$C$23:$C$45,$D$23:$D$45)*$E615)</f>
        <v>7.56775086505189</v>
      </c>
      <c r="K615" s="67" cm="1">
        <f ca="1" t="array" ref="K615">MIN(18,_xlfn.XLOOKUP($D615&amp;"_"&amp;K$61,$B$23:$B$45&amp;"_"&amp;$C$23:$C$45,$D$23:$D$45)*$E615)</f>
        <v>2.35441138023837</v>
      </c>
      <c r="L615" s="67" cm="1">
        <f ca="1" t="array" ref="L615">MIN(6,_xlfn.XLOOKUP($D615&amp;"_"&amp;L$61,$B$23:$B$45&amp;"_"&amp;$C$23:$C$45,$D$23:$D$45)*$E615)</f>
        <v>3.53161707035756</v>
      </c>
      <c r="M615" s="67" cm="1">
        <f ca="1" t="array" ref="M615">(1+SUMPRODUCT(G615:H615,OFFSET($H$49:$I$49,D615,0)))*(1+OFFSET($J$49,D615,0))^I615*(1+OFFSET($K$49,D615,0))^J615*(1+OFFSET($L$49,D615,0))^K615*(1+OFFSET($M$49,D615,0))^L615</f>
        <v>221.559216770772</v>
      </c>
      <c r="N615" s="67">
        <f ca="1">MAX(MAX($N$62:N614),OFFSET($C$61,MATCH(M615*1.07,$M$62:$M$2061,1),0)-C615)</f>
        <v>6120</v>
      </c>
    </row>
    <row r="616" spans="2:14">
      <c r="B616" s="67">
        <v>555</v>
      </c>
      <c r="C616" s="67">
        <f t="shared" si="60"/>
        <v>199800</v>
      </c>
      <c r="D616" s="67">
        <f t="shared" si="56"/>
        <v>5</v>
      </c>
      <c r="E616" s="67">
        <f ca="1" t="shared" si="57"/>
        <v>585</v>
      </c>
      <c r="F616" s="67">
        <f ca="1" t="shared" si="58"/>
        <v>0</v>
      </c>
      <c r="G616" s="67">
        <f ca="1" t="shared" si="59"/>
        <v>0</v>
      </c>
      <c r="H616" s="67" cm="1">
        <f ca="1" t="array" ref="H616">MIN(30-SUM(I616:L616),_xlfn.XLOOKUP($D616&amp;"_"&amp;H$61,$B$23:$B$45&amp;"_"&amp;$C$23:$C$45,$D$23:$D$45)*$E616,18)</f>
        <v>14.0608477508651</v>
      </c>
      <c r="I616" s="67" cm="1">
        <f ca="1" t="array" ref="I616">MIN(30-SUM(J616:L616),6-L616,_xlfn.XLOOKUP($D616&amp;"_"&amp;I$61,$B$23:$B$45&amp;"_"&amp;$C$23:$C$45,$D$23:$D$45)*$E616)</f>
        <v>2.46233564013841</v>
      </c>
      <c r="J616" s="67" cm="1">
        <f ca="1" t="array" ref="J616">MIN(8,_xlfn.XLOOKUP($D616&amp;"_"&amp;J$61,$B$23:$B$45&amp;"_"&amp;$C$23:$C$45,$D$23:$D$45)*$E616)</f>
        <v>7.58070934256054</v>
      </c>
      <c r="K616" s="67" cm="1">
        <f ca="1" t="array" ref="K616">MIN(18,_xlfn.XLOOKUP($D616&amp;"_"&amp;K$61,$B$23:$B$45&amp;"_"&amp;$C$23:$C$45,$D$23:$D$45)*$E616)</f>
        <v>2.3584429065744</v>
      </c>
      <c r="L616" s="67" cm="1">
        <f ca="1" t="array" ref="L616">MIN(6,_xlfn.XLOOKUP($D616&amp;"_"&amp;L$61,$B$23:$B$45&amp;"_"&amp;$C$23:$C$45,$D$23:$D$45)*$E616)</f>
        <v>3.53766435986159</v>
      </c>
      <c r="M616" s="67" cm="1">
        <f ca="1" t="array" ref="M616">(1+SUMPRODUCT(G616:H616,OFFSET($H$49:$I$49,D616,0)))*(1+OFFSET($J$49,D616,0))^I616*(1+OFFSET($K$49,D616,0))^J616*(1+OFFSET($L$49,D616,0))^K616*(1+OFFSET($M$49,D616,0))^L616</f>
        <v>222.396352935128</v>
      </c>
      <c r="N616" s="67">
        <f ca="1">MAX(MAX($N$62:N615),OFFSET($C$61,MATCH(M616*1.07,$M$62:$M$2061,1),0)-C616)</f>
        <v>6120</v>
      </c>
    </row>
    <row r="617" spans="2:14">
      <c r="B617" s="67">
        <v>556</v>
      </c>
      <c r="C617" s="67">
        <f t="shared" si="60"/>
        <v>200160</v>
      </c>
      <c r="D617" s="67">
        <f t="shared" si="56"/>
        <v>5</v>
      </c>
      <c r="E617" s="67">
        <f ca="1" t="shared" si="57"/>
        <v>586</v>
      </c>
      <c r="F617" s="67">
        <f ca="1" t="shared" si="58"/>
        <v>0</v>
      </c>
      <c r="G617" s="67">
        <f ca="1" t="shared" si="59"/>
        <v>0</v>
      </c>
      <c r="H617" s="67" cm="1">
        <f ca="1" t="array" ref="H617">MIN(30-SUM(I617:L617),_xlfn.XLOOKUP($D617&amp;"_"&amp;H$61,$B$23:$B$45&amp;"_"&amp;$C$23:$C$45,$D$23:$D$45)*$E617,18)</f>
        <v>14.0438577470204</v>
      </c>
      <c r="I617" s="67" cm="1">
        <f ca="1" t="array" ref="I617">MIN(30-SUM(J617:L617),6-L617,_xlfn.XLOOKUP($D617&amp;"_"&amp;I$61,$B$23:$B$45&amp;"_"&amp;$C$23:$C$45,$D$23:$D$45)*$E617)</f>
        <v>2.45628835063437</v>
      </c>
      <c r="J617" s="67" cm="1">
        <f ca="1" t="array" ref="J617">MIN(8,_xlfn.XLOOKUP($D617&amp;"_"&amp;J$61,$B$23:$B$45&amp;"_"&amp;$C$23:$C$45,$D$23:$D$45)*$E617)</f>
        <v>7.59366782006919</v>
      </c>
      <c r="K617" s="67" cm="1">
        <f ca="1" t="array" ref="K617">MIN(18,_xlfn.XLOOKUP($D617&amp;"_"&amp;K$61,$B$23:$B$45&amp;"_"&amp;$C$23:$C$45,$D$23:$D$45)*$E617)</f>
        <v>2.36247443291042</v>
      </c>
      <c r="L617" s="67" cm="1">
        <f ca="1" t="array" ref="L617">MIN(6,_xlfn.XLOOKUP($D617&amp;"_"&amp;L$61,$B$23:$B$45&amp;"_"&amp;$C$23:$C$45,$D$23:$D$45)*$E617)</f>
        <v>3.54371164936563</v>
      </c>
      <c r="M617" s="67" cm="1">
        <f ca="1" t="array" ref="M617">(1+SUMPRODUCT(G617:H617,OFFSET($H$49:$I$49,D617,0)))*(1+OFFSET($J$49,D617,0))^I617*(1+OFFSET($K$49,D617,0))^J617*(1+OFFSET($L$49,D617,0))^K617*(1+OFFSET($M$49,D617,0))^L617</f>
        <v>223.236474757708</v>
      </c>
      <c r="N617" s="67">
        <f ca="1">MAX(MAX($N$62:N616),OFFSET($C$61,MATCH(M617*1.07,$M$62:$M$2061,1),0)-C617)</f>
        <v>6120</v>
      </c>
    </row>
    <row r="618" spans="2:14">
      <c r="B618" s="67">
        <v>557</v>
      </c>
      <c r="C618" s="67">
        <f t="shared" ref="C618:C657" si="61">C617+360</f>
        <v>200520</v>
      </c>
      <c r="D618" s="67">
        <f t="shared" si="56"/>
        <v>5</v>
      </c>
      <c r="E618" s="67">
        <f ca="1" t="shared" si="57"/>
        <v>587</v>
      </c>
      <c r="F618" s="67">
        <f ca="1" t="shared" si="58"/>
        <v>0</v>
      </c>
      <c r="G618" s="67">
        <f ca="1" t="shared" si="59"/>
        <v>0</v>
      </c>
      <c r="H618" s="67" cm="1">
        <f ca="1" t="array" ref="H618">MIN(30-SUM(I618:L618),_xlfn.XLOOKUP($D618&amp;"_"&amp;H$61,$B$23:$B$45&amp;"_"&amp;$C$23:$C$45,$D$23:$D$45)*$E618,18)</f>
        <v>14.0268677431757</v>
      </c>
      <c r="I618" s="67" cm="1">
        <f ca="1" t="array" ref="I618">MIN(30-SUM(J618:L618),6-L618,_xlfn.XLOOKUP($D618&amp;"_"&amp;I$61,$B$23:$B$45&amp;"_"&amp;$C$23:$C$45,$D$23:$D$45)*$E618)</f>
        <v>2.45024106113033</v>
      </c>
      <c r="J618" s="67" cm="1">
        <f ca="1" t="array" ref="J618">MIN(8,_xlfn.XLOOKUP($D618&amp;"_"&amp;J$61,$B$23:$B$45&amp;"_"&amp;$C$23:$C$45,$D$23:$D$45)*$E618)</f>
        <v>7.60662629757784</v>
      </c>
      <c r="K618" s="67" cm="1">
        <f ca="1" t="array" ref="K618">MIN(18,_xlfn.XLOOKUP($D618&amp;"_"&amp;K$61,$B$23:$B$45&amp;"_"&amp;$C$23:$C$45,$D$23:$D$45)*$E618)</f>
        <v>2.36650595924645</v>
      </c>
      <c r="L618" s="67" cm="1">
        <f ca="1" t="array" ref="L618">MIN(6,_xlfn.XLOOKUP($D618&amp;"_"&amp;L$61,$B$23:$B$45&amp;"_"&amp;$C$23:$C$45,$D$23:$D$45)*$E618)</f>
        <v>3.54975893886967</v>
      </c>
      <c r="M618" s="67" cm="1">
        <f ca="1" t="array" ref="M618">(1+SUMPRODUCT(G618:H618,OFFSET($H$49:$I$49,D618,0)))*(1+OFFSET($J$49,D618,0))^I618*(1+OFFSET($K$49,D618,0))^J618*(1+OFFSET($L$49,D618,0))^K618*(1+OFFSET($M$49,D618,0))^L618</f>
        <v>224.079591861787</v>
      </c>
      <c r="N618" s="67">
        <f ca="1">MAX(MAX($N$62:N617),OFFSET($C$61,MATCH(M618*1.07,$M$62:$M$2061,1),0)-C618)</f>
        <v>6120</v>
      </c>
    </row>
    <row r="619" spans="2:14">
      <c r="B619" s="67">
        <v>558</v>
      </c>
      <c r="C619" s="67">
        <f t="shared" si="61"/>
        <v>200880</v>
      </c>
      <c r="D619" s="67">
        <f t="shared" si="56"/>
        <v>5</v>
      </c>
      <c r="E619" s="67">
        <f ca="1" t="shared" si="57"/>
        <v>588</v>
      </c>
      <c r="F619" s="67">
        <f ca="1" t="shared" si="58"/>
        <v>0</v>
      </c>
      <c r="G619" s="67">
        <f ca="1" t="shared" si="59"/>
        <v>0</v>
      </c>
      <c r="H619" s="67" cm="1">
        <f ca="1" t="array" ref="H619">MIN(30-SUM(I619:L619),_xlfn.XLOOKUP($D619&amp;"_"&amp;H$61,$B$23:$B$45&amp;"_"&amp;$C$23:$C$45,$D$23:$D$45)*$E619,18)</f>
        <v>14.009877739331</v>
      </c>
      <c r="I619" s="67" cm="1">
        <f ca="1" t="array" ref="I619">MIN(30-SUM(J619:L619),6-L619,_xlfn.XLOOKUP($D619&amp;"_"&amp;I$61,$B$23:$B$45&amp;"_"&amp;$C$23:$C$45,$D$23:$D$45)*$E619)</f>
        <v>2.4441937716263</v>
      </c>
      <c r="J619" s="67" cm="1">
        <f ca="1" t="array" ref="J619">MIN(8,_xlfn.XLOOKUP($D619&amp;"_"&amp;J$61,$B$23:$B$45&amp;"_"&amp;$C$23:$C$45,$D$23:$D$45)*$E619)</f>
        <v>7.61958477508649</v>
      </c>
      <c r="K619" s="67" cm="1">
        <f ca="1" t="array" ref="K619">MIN(18,_xlfn.XLOOKUP($D619&amp;"_"&amp;K$61,$B$23:$B$45&amp;"_"&amp;$C$23:$C$45,$D$23:$D$45)*$E619)</f>
        <v>2.37053748558247</v>
      </c>
      <c r="L619" s="67" cm="1">
        <f ca="1" t="array" ref="L619">MIN(6,_xlfn.XLOOKUP($D619&amp;"_"&amp;L$61,$B$23:$B$45&amp;"_"&amp;$C$23:$C$45,$D$23:$D$45)*$E619)</f>
        <v>3.5558062283737</v>
      </c>
      <c r="M619" s="67" cm="1">
        <f ca="1" t="array" ref="M619">(1+SUMPRODUCT(G619:H619,OFFSET($H$49:$I$49,D619,0)))*(1+OFFSET($J$49,D619,0))^I619*(1+OFFSET($K$49,D619,0))^J619*(1+OFFSET($L$49,D619,0))^K619*(1+OFFSET($M$49,D619,0))^L619</f>
        <v>224.92571389538</v>
      </c>
      <c r="N619" s="67">
        <f ca="1">MAX(MAX($N$62:N618),OFFSET($C$61,MATCH(M619*1.07,$M$62:$M$2061,1),0)-C619)</f>
        <v>6120</v>
      </c>
    </row>
    <row r="620" spans="2:14">
      <c r="B620" s="67">
        <v>559</v>
      </c>
      <c r="C620" s="67">
        <f t="shared" si="61"/>
        <v>201240</v>
      </c>
      <c r="D620" s="67">
        <f t="shared" si="56"/>
        <v>5</v>
      </c>
      <c r="E620" s="67">
        <f ca="1" t="shared" si="57"/>
        <v>589</v>
      </c>
      <c r="F620" s="67">
        <f ca="1" t="shared" si="58"/>
        <v>0</v>
      </c>
      <c r="G620" s="67">
        <f ca="1" t="shared" si="59"/>
        <v>0</v>
      </c>
      <c r="H620" s="67" cm="1">
        <f ca="1" t="array" ref="H620">MIN(30-SUM(I620:L620),_xlfn.XLOOKUP($D620&amp;"_"&amp;H$61,$B$23:$B$45&amp;"_"&amp;$C$23:$C$45,$D$23:$D$45)*$E620,18)</f>
        <v>13.9928877354864</v>
      </c>
      <c r="I620" s="67" cm="1">
        <f ca="1" t="array" ref="I620">MIN(30-SUM(J620:L620),6-L620,_xlfn.XLOOKUP($D620&amp;"_"&amp;I$61,$B$23:$B$45&amp;"_"&amp;$C$23:$C$45,$D$23:$D$45)*$E620)</f>
        <v>2.43814648212226</v>
      </c>
      <c r="J620" s="67" cm="1">
        <f ca="1" t="array" ref="J620">MIN(8,_xlfn.XLOOKUP($D620&amp;"_"&amp;J$61,$B$23:$B$45&amp;"_"&amp;$C$23:$C$45,$D$23:$D$45)*$E620)</f>
        <v>7.63254325259514</v>
      </c>
      <c r="K620" s="67" cm="1">
        <f ca="1" t="array" ref="K620">MIN(18,_xlfn.XLOOKUP($D620&amp;"_"&amp;K$61,$B$23:$B$45&amp;"_"&amp;$C$23:$C$45,$D$23:$D$45)*$E620)</f>
        <v>2.3745690119185</v>
      </c>
      <c r="L620" s="67" cm="1">
        <f ca="1" t="array" ref="L620">MIN(6,_xlfn.XLOOKUP($D620&amp;"_"&amp;L$61,$B$23:$B$45&amp;"_"&amp;$C$23:$C$45,$D$23:$D$45)*$E620)</f>
        <v>3.56185351787774</v>
      </c>
      <c r="M620" s="67" cm="1">
        <f ca="1" t="array" ref="M620">(1+SUMPRODUCT(G620:H620,OFFSET($H$49:$I$49,D620,0)))*(1+OFFSET($J$49,D620,0))^I620*(1+OFFSET($K$49,D620,0))^J620*(1+OFFSET($L$49,D620,0))^K620*(1+OFFSET($M$49,D620,0))^L620</f>
        <v>225.774850531267</v>
      </c>
      <c r="N620" s="67">
        <f ca="1">MAX(MAX($N$62:N619),OFFSET($C$61,MATCH(M620*1.07,$M$62:$M$2061,1),0)-C620)</f>
        <v>6120</v>
      </c>
    </row>
    <row r="621" spans="2:14">
      <c r="B621" s="67">
        <v>560</v>
      </c>
      <c r="C621" s="67">
        <f t="shared" si="61"/>
        <v>201600</v>
      </c>
      <c r="D621" s="67">
        <f t="shared" si="56"/>
        <v>5</v>
      </c>
      <c r="E621" s="67">
        <f ca="1" t="shared" si="57"/>
        <v>590</v>
      </c>
      <c r="F621" s="67">
        <f ca="1" t="shared" si="58"/>
        <v>0</v>
      </c>
      <c r="G621" s="67">
        <f ca="1" t="shared" si="59"/>
        <v>0</v>
      </c>
      <c r="H621" s="67" cm="1">
        <f ca="1" t="array" ref="H621">MIN(30-SUM(I621:L621),_xlfn.XLOOKUP($D621&amp;"_"&amp;H$61,$B$23:$B$45&amp;"_"&amp;$C$23:$C$45,$D$23:$D$45)*$E621,18)</f>
        <v>13.9758977316417</v>
      </c>
      <c r="I621" s="67" cm="1">
        <f ca="1" t="array" ref="I621">MIN(30-SUM(J621:L621),6-L621,_xlfn.XLOOKUP($D621&amp;"_"&amp;I$61,$B$23:$B$45&amp;"_"&amp;$C$23:$C$45,$D$23:$D$45)*$E621)</f>
        <v>2.43209919261822</v>
      </c>
      <c r="J621" s="67" cm="1">
        <f ca="1" t="array" ref="J621">MIN(8,_xlfn.XLOOKUP($D621&amp;"_"&amp;J$61,$B$23:$B$45&amp;"_"&amp;$C$23:$C$45,$D$23:$D$45)*$E621)</f>
        <v>7.64550173010379</v>
      </c>
      <c r="K621" s="67" cm="1">
        <f ca="1" t="array" ref="K621">MIN(18,_xlfn.XLOOKUP($D621&amp;"_"&amp;K$61,$B$23:$B$45&amp;"_"&amp;$C$23:$C$45,$D$23:$D$45)*$E621)</f>
        <v>2.37860053825452</v>
      </c>
      <c r="L621" s="67" cm="1">
        <f ca="1" t="array" ref="L621">MIN(6,_xlfn.XLOOKUP($D621&amp;"_"&amp;L$61,$B$23:$B$45&amp;"_"&amp;$C$23:$C$45,$D$23:$D$45)*$E621)</f>
        <v>3.56790080738178</v>
      </c>
      <c r="M621" s="67" cm="1">
        <f ca="1" t="array" ref="M621">(1+SUMPRODUCT(G621:H621,OFFSET($H$49:$I$49,D621,0)))*(1+OFFSET($J$49,D621,0))^I621*(1+OFFSET($K$49,D621,0))^J621*(1+OFFSET($L$49,D621,0))^K621*(1+OFFSET($M$49,D621,0))^L621</f>
        <v>226.627011467006</v>
      </c>
      <c r="N621" s="67">
        <f ca="1">MAX(MAX($N$62:N620),OFFSET($C$61,MATCH(M621*1.07,$M$62:$M$2061,1),0)-C621)</f>
        <v>6120</v>
      </c>
    </row>
    <row r="622" spans="2:14">
      <c r="B622" s="67">
        <v>561</v>
      </c>
      <c r="C622" s="67">
        <f t="shared" si="61"/>
        <v>201960</v>
      </c>
      <c r="D622" s="67">
        <f t="shared" si="56"/>
        <v>5</v>
      </c>
      <c r="E622" s="67">
        <f ca="1" t="shared" si="57"/>
        <v>591</v>
      </c>
      <c r="F622" s="67">
        <f ca="1" t="shared" si="58"/>
        <v>0</v>
      </c>
      <c r="G622" s="67">
        <f ca="1" t="shared" si="59"/>
        <v>0</v>
      </c>
      <c r="H622" s="67" cm="1">
        <f ca="1" t="array" ref="H622">MIN(30-SUM(I622:L622),_xlfn.XLOOKUP($D622&amp;"_"&amp;H$61,$B$23:$B$45&amp;"_"&amp;$C$23:$C$45,$D$23:$D$45)*$E622,18)</f>
        <v>13.958907727797</v>
      </c>
      <c r="I622" s="67" cm="1">
        <f ca="1" t="array" ref="I622">MIN(30-SUM(J622:L622),6-L622,_xlfn.XLOOKUP($D622&amp;"_"&amp;I$61,$B$23:$B$45&amp;"_"&amp;$C$23:$C$45,$D$23:$D$45)*$E622)</f>
        <v>2.42605190311419</v>
      </c>
      <c r="J622" s="67" cm="1">
        <f ca="1" t="array" ref="J622">MIN(8,_xlfn.XLOOKUP($D622&amp;"_"&amp;J$61,$B$23:$B$45&amp;"_"&amp;$C$23:$C$45,$D$23:$D$45)*$E622)</f>
        <v>7.65846020761245</v>
      </c>
      <c r="K622" s="67" cm="1">
        <f ca="1" t="array" ref="K622">MIN(18,_xlfn.XLOOKUP($D622&amp;"_"&amp;K$61,$B$23:$B$45&amp;"_"&amp;$C$23:$C$45,$D$23:$D$45)*$E622)</f>
        <v>2.38263206459054</v>
      </c>
      <c r="L622" s="67" cm="1">
        <f ca="1" t="array" ref="L622">MIN(6,_xlfn.XLOOKUP($D622&amp;"_"&amp;L$61,$B$23:$B$45&amp;"_"&amp;$C$23:$C$45,$D$23:$D$45)*$E622)</f>
        <v>3.57394809688581</v>
      </c>
      <c r="M622" s="67" cm="1">
        <f ca="1" t="array" ref="M622">(1+SUMPRODUCT(G622:H622,OFFSET($H$49:$I$49,D622,0)))*(1+OFFSET($J$49,D622,0))^I622*(1+OFFSET($K$49,D622,0))^J622*(1+OFFSET($L$49,D622,0))^K622*(1+OFFSET($M$49,D622,0))^L622</f>
        <v>227.482206424962</v>
      </c>
      <c r="N622" s="67">
        <f ca="1">MAX(MAX($N$62:N621),OFFSET($C$61,MATCH(M622*1.07,$M$62:$M$2061,1),0)-C622)</f>
        <v>6480</v>
      </c>
    </row>
    <row r="623" spans="2:14">
      <c r="B623" s="67">
        <v>562</v>
      </c>
      <c r="C623" s="67">
        <f t="shared" si="61"/>
        <v>202320</v>
      </c>
      <c r="D623" s="67">
        <f t="shared" si="56"/>
        <v>5</v>
      </c>
      <c r="E623" s="67">
        <f ca="1" t="shared" si="57"/>
        <v>592</v>
      </c>
      <c r="F623" s="67">
        <f ca="1" t="shared" si="58"/>
        <v>0</v>
      </c>
      <c r="G623" s="67">
        <f ca="1" t="shared" si="59"/>
        <v>0</v>
      </c>
      <c r="H623" s="67" cm="1">
        <f ca="1" t="array" ref="H623">MIN(30-SUM(I623:L623),_xlfn.XLOOKUP($D623&amp;"_"&amp;H$61,$B$23:$B$45&amp;"_"&amp;$C$23:$C$45,$D$23:$D$45)*$E623,18)</f>
        <v>13.9419177239523</v>
      </c>
      <c r="I623" s="67" cm="1">
        <f ca="1" t="array" ref="I623">MIN(30-SUM(J623:L623),6-L623,_xlfn.XLOOKUP($D623&amp;"_"&amp;I$61,$B$23:$B$45&amp;"_"&amp;$C$23:$C$45,$D$23:$D$45)*$E623)</f>
        <v>2.42000461361015</v>
      </c>
      <c r="J623" s="67" cm="1">
        <f ca="1" t="array" ref="J623">MIN(8,_xlfn.XLOOKUP($D623&amp;"_"&amp;J$61,$B$23:$B$45&amp;"_"&amp;$C$23:$C$45,$D$23:$D$45)*$E623)</f>
        <v>7.6714186851211</v>
      </c>
      <c r="K623" s="67" cm="1">
        <f ca="1" t="array" ref="K623">MIN(18,_xlfn.XLOOKUP($D623&amp;"_"&amp;K$61,$B$23:$B$45&amp;"_"&amp;$C$23:$C$45,$D$23:$D$45)*$E623)</f>
        <v>2.38666359092657</v>
      </c>
      <c r="L623" s="67" cm="1">
        <f ca="1" t="array" ref="L623">MIN(6,_xlfn.XLOOKUP($D623&amp;"_"&amp;L$61,$B$23:$B$45&amp;"_"&amp;$C$23:$C$45,$D$23:$D$45)*$E623)</f>
        <v>3.57999538638985</v>
      </c>
      <c r="M623" s="67" cm="1">
        <f ca="1" t="array" ref="M623">(1+SUMPRODUCT(G623:H623,OFFSET($H$49:$I$49,D623,0)))*(1+OFFSET($J$49,D623,0))^I623*(1+OFFSET($K$49,D623,0))^J623*(1+OFFSET($L$49,D623,0))^K623*(1+OFFSET($M$49,D623,0))^L623</f>
        <v>228.340445152319</v>
      </c>
      <c r="N623" s="67">
        <f ca="1">MAX(MAX($N$62:N622),OFFSET($C$61,MATCH(M623*1.07,$M$62:$M$2061,1),0)-C623)</f>
        <v>6480</v>
      </c>
    </row>
    <row r="624" spans="2:14">
      <c r="B624" s="67">
        <v>563</v>
      </c>
      <c r="C624" s="67">
        <f t="shared" si="61"/>
        <v>202680</v>
      </c>
      <c r="D624" s="67">
        <f t="shared" si="56"/>
        <v>5</v>
      </c>
      <c r="E624" s="67">
        <f ca="1" t="shared" si="57"/>
        <v>593</v>
      </c>
      <c r="F624" s="67">
        <f ca="1" t="shared" si="58"/>
        <v>0</v>
      </c>
      <c r="G624" s="67">
        <f ca="1" t="shared" si="59"/>
        <v>0</v>
      </c>
      <c r="H624" s="67" cm="1">
        <f ca="1" t="array" ref="H624">MIN(30-SUM(I624:L624),_xlfn.XLOOKUP($D624&amp;"_"&amp;H$61,$B$23:$B$45&amp;"_"&amp;$C$23:$C$45,$D$23:$D$45)*$E624,18)</f>
        <v>13.9249277201077</v>
      </c>
      <c r="I624" s="67" cm="1">
        <f ca="1" t="array" ref="I624">MIN(30-SUM(J624:L624),6-L624,_xlfn.XLOOKUP($D624&amp;"_"&amp;I$61,$B$23:$B$45&amp;"_"&amp;$C$23:$C$45,$D$23:$D$45)*$E624)</f>
        <v>2.41395732410611</v>
      </c>
      <c r="J624" s="67" cm="1">
        <f ca="1" t="array" ref="J624">MIN(8,_xlfn.XLOOKUP($D624&amp;"_"&amp;J$61,$B$23:$B$45&amp;"_"&amp;$C$23:$C$45,$D$23:$D$45)*$E624)</f>
        <v>7.68437716262975</v>
      </c>
      <c r="K624" s="67" cm="1">
        <f ca="1" t="array" ref="K624">MIN(18,_xlfn.XLOOKUP($D624&amp;"_"&amp;K$61,$B$23:$B$45&amp;"_"&amp;$C$23:$C$45,$D$23:$D$45)*$E624)</f>
        <v>2.39069511726259</v>
      </c>
      <c r="L624" s="67" cm="1">
        <f ca="1" t="array" ref="L624">MIN(6,_xlfn.XLOOKUP($D624&amp;"_"&amp;L$61,$B$23:$B$45&amp;"_"&amp;$C$23:$C$45,$D$23:$D$45)*$E624)</f>
        <v>3.58604267589389</v>
      </c>
      <c r="M624" s="67" cm="1">
        <f ca="1" t="array" ref="M624">(1+SUMPRODUCT(G624:H624,OFFSET($H$49:$I$49,D624,0)))*(1+OFFSET($J$49,D624,0))^I624*(1+OFFSET($K$49,D624,0))^J624*(1+OFFSET($L$49,D624,0))^K624*(1+OFFSET($M$49,D624,0))^L624</f>
        <v>229.201737421107</v>
      </c>
      <c r="N624" s="67">
        <f ca="1">MAX(MAX($N$62:N623),OFFSET($C$61,MATCH(M624*1.07,$M$62:$M$2061,1),0)-C624)</f>
        <v>6480</v>
      </c>
    </row>
    <row r="625" spans="2:14">
      <c r="B625" s="67">
        <v>564</v>
      </c>
      <c r="C625" s="67">
        <f t="shared" si="61"/>
        <v>203040</v>
      </c>
      <c r="D625" s="67">
        <f t="shared" si="56"/>
        <v>5</v>
      </c>
      <c r="E625" s="67">
        <f ca="1" t="shared" si="57"/>
        <v>594</v>
      </c>
      <c r="F625" s="67">
        <f ca="1" t="shared" si="58"/>
        <v>0</v>
      </c>
      <c r="G625" s="67">
        <f ca="1" t="shared" si="59"/>
        <v>0</v>
      </c>
      <c r="H625" s="67" cm="1">
        <f ca="1" t="array" ref="H625">MIN(30-SUM(I625:L625),_xlfn.XLOOKUP($D625&amp;"_"&amp;H$61,$B$23:$B$45&amp;"_"&amp;$C$23:$C$45,$D$23:$D$45)*$E625,18)</f>
        <v>13.907937716263</v>
      </c>
      <c r="I625" s="67" cm="1">
        <f ca="1" t="array" ref="I625">MIN(30-SUM(J625:L625),6-L625,_xlfn.XLOOKUP($D625&amp;"_"&amp;I$61,$B$23:$B$45&amp;"_"&amp;$C$23:$C$45,$D$23:$D$45)*$E625)</f>
        <v>2.40791003460208</v>
      </c>
      <c r="J625" s="67" cm="1">
        <f ca="1" t="array" ref="J625">MIN(8,_xlfn.XLOOKUP($D625&amp;"_"&amp;J$61,$B$23:$B$45&amp;"_"&amp;$C$23:$C$45,$D$23:$D$45)*$E625)</f>
        <v>7.6973356401384</v>
      </c>
      <c r="K625" s="67" cm="1">
        <f ca="1" t="array" ref="K625">MIN(18,_xlfn.XLOOKUP($D625&amp;"_"&amp;K$61,$B$23:$B$45&amp;"_"&amp;$C$23:$C$45,$D$23:$D$45)*$E625)</f>
        <v>2.39472664359862</v>
      </c>
      <c r="L625" s="67" cm="1">
        <f ca="1" t="array" ref="L625">MIN(6,_xlfn.XLOOKUP($D625&amp;"_"&amp;L$61,$B$23:$B$45&amp;"_"&amp;$C$23:$C$45,$D$23:$D$45)*$E625)</f>
        <v>3.59208996539792</v>
      </c>
      <c r="M625" s="67" cm="1">
        <f ca="1" t="array" ref="M625">(1+SUMPRODUCT(G625:H625,OFFSET($H$49:$I$49,D625,0)))*(1+OFFSET($J$49,D625,0))^I625*(1+OFFSET($K$49,D625,0))^J625*(1+OFFSET($L$49,D625,0))^K625*(1+OFFSET($M$49,D625,0))^L625</f>
        <v>230.066093028214</v>
      </c>
      <c r="N625" s="67">
        <f ca="1">MAX(MAX($N$62:N624),OFFSET($C$61,MATCH(M625*1.07,$M$62:$M$2061,1),0)-C625)</f>
        <v>6480</v>
      </c>
    </row>
    <row r="626" spans="2:14">
      <c r="B626" s="67">
        <v>565</v>
      </c>
      <c r="C626" s="67">
        <f t="shared" si="61"/>
        <v>203400</v>
      </c>
      <c r="D626" s="67">
        <f t="shared" si="56"/>
        <v>5</v>
      </c>
      <c r="E626" s="67">
        <f ca="1" t="shared" si="57"/>
        <v>595</v>
      </c>
      <c r="F626" s="67">
        <f ca="1" t="shared" si="58"/>
        <v>0</v>
      </c>
      <c r="G626" s="67">
        <f ca="1" t="shared" si="59"/>
        <v>0</v>
      </c>
      <c r="H626" s="67" cm="1">
        <f ca="1" t="array" ref="H626">MIN(30-SUM(I626:L626),_xlfn.XLOOKUP($D626&amp;"_"&amp;H$61,$B$23:$B$45&amp;"_"&amp;$C$23:$C$45,$D$23:$D$45)*$E626,18)</f>
        <v>13.8909477124183</v>
      </c>
      <c r="I626" s="67" cm="1">
        <f ca="1" t="array" ref="I626">MIN(30-SUM(J626:L626),6-L626,_xlfn.XLOOKUP($D626&amp;"_"&amp;I$61,$B$23:$B$45&amp;"_"&amp;$C$23:$C$45,$D$23:$D$45)*$E626)</f>
        <v>2.40186274509804</v>
      </c>
      <c r="J626" s="67" cm="1">
        <f ca="1" t="array" ref="J626">MIN(8,_xlfn.XLOOKUP($D626&amp;"_"&amp;J$61,$B$23:$B$45&amp;"_"&amp;$C$23:$C$45,$D$23:$D$45)*$E626)</f>
        <v>7.71029411764705</v>
      </c>
      <c r="K626" s="67" cm="1">
        <f ca="1" t="array" ref="K626">MIN(18,_xlfn.XLOOKUP($D626&amp;"_"&amp;K$61,$B$23:$B$45&amp;"_"&amp;$C$23:$C$45,$D$23:$D$45)*$E626)</f>
        <v>2.39875816993464</v>
      </c>
      <c r="L626" s="67" cm="1">
        <f ca="1" t="array" ref="L626">MIN(6,_xlfn.XLOOKUP($D626&amp;"_"&amp;L$61,$B$23:$B$45&amp;"_"&amp;$C$23:$C$45,$D$23:$D$45)*$E626)</f>
        <v>3.59813725490196</v>
      </c>
      <c r="M626" s="67" cm="1">
        <f ca="1" t="array" ref="M626">(1+SUMPRODUCT(G626:H626,OFFSET($H$49:$I$49,D626,0)))*(1+OFFSET($J$49,D626,0))^I626*(1+OFFSET($K$49,D626,0))^J626*(1+OFFSET($L$49,D626,0))^K626*(1+OFFSET($M$49,D626,0))^L626</f>
        <v>230.933521795413</v>
      </c>
      <c r="N626" s="67">
        <f ca="1">MAX(MAX($N$62:N625),OFFSET($C$61,MATCH(M626*1.07,$M$62:$M$2061,1),0)-C626)</f>
        <v>6480</v>
      </c>
    </row>
    <row r="627" spans="2:14">
      <c r="B627" s="67">
        <v>566</v>
      </c>
      <c r="C627" s="67">
        <f t="shared" si="61"/>
        <v>203760</v>
      </c>
      <c r="D627" s="67">
        <f t="shared" si="56"/>
        <v>5</v>
      </c>
      <c r="E627" s="67">
        <f ca="1" t="shared" si="57"/>
        <v>596</v>
      </c>
      <c r="F627" s="67">
        <f ca="1" t="shared" si="58"/>
        <v>0</v>
      </c>
      <c r="G627" s="67">
        <f ca="1" t="shared" si="59"/>
        <v>0</v>
      </c>
      <c r="H627" s="67" cm="1">
        <f ca="1" t="array" ref="H627">MIN(30-SUM(I627:L627),_xlfn.XLOOKUP($D627&amp;"_"&amp;H$61,$B$23:$B$45&amp;"_"&amp;$C$23:$C$45,$D$23:$D$45)*$E627,18)</f>
        <v>13.8739577085736</v>
      </c>
      <c r="I627" s="67" cm="1">
        <f ca="1" t="array" ref="I627">MIN(30-SUM(J627:L627),6-L627,_xlfn.XLOOKUP($D627&amp;"_"&amp;I$61,$B$23:$B$45&amp;"_"&amp;$C$23:$C$45,$D$23:$D$45)*$E627)</f>
        <v>2.395815455594</v>
      </c>
      <c r="J627" s="67" cm="1">
        <f ca="1" t="array" ref="J627">MIN(8,_xlfn.XLOOKUP($D627&amp;"_"&amp;J$61,$B$23:$B$45&amp;"_"&amp;$C$23:$C$45,$D$23:$D$45)*$E627)</f>
        <v>7.7232525951557</v>
      </c>
      <c r="K627" s="67" cm="1">
        <f ca="1" t="array" ref="K627">MIN(18,_xlfn.XLOOKUP($D627&amp;"_"&amp;K$61,$B$23:$B$45&amp;"_"&amp;$C$23:$C$45,$D$23:$D$45)*$E627)</f>
        <v>2.40278969627067</v>
      </c>
      <c r="L627" s="67" cm="1">
        <f ca="1" t="array" ref="L627">MIN(6,_xlfn.XLOOKUP($D627&amp;"_"&amp;L$61,$B$23:$B$45&amp;"_"&amp;$C$23:$C$45,$D$23:$D$45)*$E627)</f>
        <v>3.604184544406</v>
      </c>
      <c r="M627" s="67" cm="1">
        <f ca="1" t="array" ref="M627">(1+SUMPRODUCT(G627:H627,OFFSET($H$49:$I$49,D627,0)))*(1+OFFSET($J$49,D627,0))^I627*(1+OFFSET($K$49,D627,0))^J627*(1+OFFSET($L$49,D627,0))^K627*(1+OFFSET($M$49,D627,0))^L627</f>
        <v>231.804033569373</v>
      </c>
      <c r="N627" s="67">
        <f ca="1">MAX(MAX($N$62:N626),OFFSET($C$61,MATCH(M627*1.07,$M$62:$M$2061,1),0)-C627)</f>
        <v>6480</v>
      </c>
    </row>
    <row r="628" spans="2:14">
      <c r="B628" s="67">
        <v>567</v>
      </c>
      <c r="C628" s="67">
        <f t="shared" si="61"/>
        <v>204120</v>
      </c>
      <c r="D628" s="67">
        <f t="shared" si="56"/>
        <v>5</v>
      </c>
      <c r="E628" s="67">
        <f ca="1" t="shared" si="57"/>
        <v>597</v>
      </c>
      <c r="F628" s="67">
        <f ca="1" t="shared" si="58"/>
        <v>0</v>
      </c>
      <c r="G628" s="67">
        <f ca="1" t="shared" si="59"/>
        <v>0</v>
      </c>
      <c r="H628" s="67" cm="1">
        <f ca="1" t="array" ref="H628">MIN(30-SUM(I628:L628),_xlfn.XLOOKUP($D628&amp;"_"&amp;H$61,$B$23:$B$45&amp;"_"&amp;$C$23:$C$45,$D$23:$D$45)*$E628,18)</f>
        <v>13.856967704729</v>
      </c>
      <c r="I628" s="67" cm="1">
        <f ca="1" t="array" ref="I628">MIN(30-SUM(J628:L628),6-L628,_xlfn.XLOOKUP($D628&amp;"_"&amp;I$61,$B$23:$B$45&amp;"_"&amp;$C$23:$C$45,$D$23:$D$45)*$E628)</f>
        <v>2.38976816608996</v>
      </c>
      <c r="J628" s="67" cm="1">
        <f ca="1" t="array" ref="J628">MIN(8,_xlfn.XLOOKUP($D628&amp;"_"&amp;J$61,$B$23:$B$45&amp;"_"&amp;$C$23:$C$45,$D$23:$D$45)*$E628)</f>
        <v>7.73621107266435</v>
      </c>
      <c r="K628" s="67" cm="1">
        <f ca="1" t="array" ref="K628">MIN(18,_xlfn.XLOOKUP($D628&amp;"_"&amp;K$61,$B$23:$B$45&amp;"_"&amp;$C$23:$C$45,$D$23:$D$45)*$E628)</f>
        <v>2.40682122260669</v>
      </c>
      <c r="L628" s="67" cm="1">
        <f ca="1" t="array" ref="L628">MIN(6,_xlfn.XLOOKUP($D628&amp;"_"&amp;L$61,$B$23:$B$45&amp;"_"&amp;$C$23:$C$45,$D$23:$D$45)*$E628)</f>
        <v>3.61023183391004</v>
      </c>
      <c r="M628" s="67" cm="1">
        <f ca="1" t="array" ref="M628">(1+SUMPRODUCT(G628:H628,OFFSET($H$49:$I$49,D628,0)))*(1+OFFSET($J$49,D628,0))^I628*(1+OFFSET($K$49,D628,0))^J628*(1+OFFSET($L$49,D628,0))^K628*(1+OFFSET($M$49,D628,0))^L628</f>
        <v>232.677638221683</v>
      </c>
      <c r="N628" s="67">
        <f ca="1">MAX(MAX($N$62:N627),OFFSET($C$61,MATCH(M628*1.07,$M$62:$M$2061,1),0)-C628)</f>
        <v>6480</v>
      </c>
    </row>
    <row r="629" spans="2:14">
      <c r="B629" s="67">
        <v>568</v>
      </c>
      <c r="C629" s="67">
        <f t="shared" si="61"/>
        <v>204480</v>
      </c>
      <c r="D629" s="67">
        <f t="shared" si="56"/>
        <v>5</v>
      </c>
      <c r="E629" s="67">
        <f ca="1" t="shared" si="57"/>
        <v>598</v>
      </c>
      <c r="F629" s="67">
        <f ca="1" t="shared" si="58"/>
        <v>0</v>
      </c>
      <c r="G629" s="67">
        <f ca="1" t="shared" si="59"/>
        <v>0</v>
      </c>
      <c r="H629" s="67" cm="1">
        <f ca="1" t="array" ref="H629">MIN(30-SUM(I629:L629),_xlfn.XLOOKUP($D629&amp;"_"&amp;H$61,$B$23:$B$45&amp;"_"&amp;$C$23:$C$45,$D$23:$D$45)*$E629,18)</f>
        <v>13.8399777008843</v>
      </c>
      <c r="I629" s="67" cm="1">
        <f ca="1" t="array" ref="I629">MIN(30-SUM(J629:L629),6-L629,_xlfn.XLOOKUP($D629&amp;"_"&amp;I$61,$B$23:$B$45&amp;"_"&amp;$C$23:$C$45,$D$23:$D$45)*$E629)</f>
        <v>2.38372087658593</v>
      </c>
      <c r="J629" s="67" cm="1">
        <f ca="1" t="array" ref="J629">MIN(8,_xlfn.XLOOKUP($D629&amp;"_"&amp;J$61,$B$23:$B$45&amp;"_"&amp;$C$23:$C$45,$D$23:$D$45)*$E629)</f>
        <v>7.749169550173</v>
      </c>
      <c r="K629" s="67" cm="1">
        <f ca="1" t="array" ref="K629">MIN(18,_xlfn.XLOOKUP($D629&amp;"_"&amp;K$61,$B$23:$B$45&amp;"_"&amp;$C$23:$C$45,$D$23:$D$45)*$E629)</f>
        <v>2.41085274894272</v>
      </c>
      <c r="L629" s="67" cm="1">
        <f ca="1" t="array" ref="L629">MIN(6,_xlfn.XLOOKUP($D629&amp;"_"&amp;L$61,$B$23:$B$45&amp;"_"&amp;$C$23:$C$45,$D$23:$D$45)*$E629)</f>
        <v>3.61627912341407</v>
      </c>
      <c r="M629" s="67" cm="1">
        <f ca="1" t="array" ref="M629">(1+SUMPRODUCT(G629:H629,OFFSET($H$49:$I$49,D629,0)))*(1+OFFSET($J$49,D629,0))^I629*(1+OFFSET($K$49,D629,0))^J629*(1+OFFSET($L$49,D629,0))^K629*(1+OFFSET($M$49,D629,0))^L629</f>
        <v>233.554345648865</v>
      </c>
      <c r="N629" s="67">
        <f ca="1">MAX(MAX($N$62:N628),OFFSET($C$61,MATCH(M629*1.07,$M$62:$M$2061,1),0)-C629)</f>
        <v>6480</v>
      </c>
    </row>
    <row r="630" spans="2:14">
      <c r="B630" s="67">
        <v>569</v>
      </c>
      <c r="C630" s="67">
        <f t="shared" si="61"/>
        <v>204840</v>
      </c>
      <c r="D630" s="67">
        <f t="shared" si="56"/>
        <v>5</v>
      </c>
      <c r="E630" s="67">
        <f ca="1" t="shared" si="57"/>
        <v>599</v>
      </c>
      <c r="F630" s="67">
        <f ca="1" t="shared" si="58"/>
        <v>0</v>
      </c>
      <c r="G630" s="67">
        <f ca="1" t="shared" si="59"/>
        <v>0</v>
      </c>
      <c r="H630" s="67" cm="1">
        <f ca="1" t="array" ref="H630">MIN(30-SUM(I630:L630),_xlfn.XLOOKUP($D630&amp;"_"&amp;H$61,$B$23:$B$45&amp;"_"&amp;$C$23:$C$45,$D$23:$D$45)*$E630,18)</f>
        <v>13.8229876970396</v>
      </c>
      <c r="I630" s="67" cm="1">
        <f ca="1" t="array" ref="I630">MIN(30-SUM(J630:L630),6-L630,_xlfn.XLOOKUP($D630&amp;"_"&amp;I$61,$B$23:$B$45&amp;"_"&amp;$C$23:$C$45,$D$23:$D$45)*$E630)</f>
        <v>2.37767358708189</v>
      </c>
      <c r="J630" s="67" cm="1">
        <f ca="1" t="array" ref="J630">MIN(8,_xlfn.XLOOKUP($D630&amp;"_"&amp;J$61,$B$23:$B$45&amp;"_"&amp;$C$23:$C$45,$D$23:$D$45)*$E630)</f>
        <v>7.76212802768165</v>
      </c>
      <c r="K630" s="67" cm="1">
        <f ca="1" t="array" ref="K630">MIN(18,_xlfn.XLOOKUP($D630&amp;"_"&amp;K$61,$B$23:$B$45&amp;"_"&amp;$C$23:$C$45,$D$23:$D$45)*$E630)</f>
        <v>2.41488427527874</v>
      </c>
      <c r="L630" s="67" cm="1">
        <f ca="1" t="array" ref="L630">MIN(6,_xlfn.XLOOKUP($D630&amp;"_"&amp;L$61,$B$23:$B$45&amp;"_"&amp;$C$23:$C$45,$D$23:$D$45)*$E630)</f>
        <v>3.62232641291811</v>
      </c>
      <c r="M630" s="67" cm="1">
        <f ca="1" t="array" ref="M630">(1+SUMPRODUCT(G630:H630,OFFSET($H$49:$I$49,D630,0)))*(1+OFFSET($J$49,D630,0))^I630*(1+OFFSET($K$49,D630,0))^J630*(1+OFFSET($L$49,D630,0))^K630*(1+OFFSET($M$49,D630,0))^L630</f>
        <v>234.434165772396</v>
      </c>
      <c r="N630" s="67">
        <f ca="1">MAX(MAX($N$62:N629),OFFSET($C$61,MATCH(M630*1.07,$M$62:$M$2061,1),0)-C630)</f>
        <v>6480</v>
      </c>
    </row>
    <row r="631" spans="2:14">
      <c r="B631" s="67">
        <v>570</v>
      </c>
      <c r="C631" s="67">
        <f t="shared" si="61"/>
        <v>205200</v>
      </c>
      <c r="D631" s="67">
        <f t="shared" si="56"/>
        <v>5</v>
      </c>
      <c r="E631" s="67">
        <f ca="1" t="shared" si="57"/>
        <v>600</v>
      </c>
      <c r="F631" s="67">
        <f ca="1" t="shared" si="58"/>
        <v>0</v>
      </c>
      <c r="G631" s="67">
        <f ca="1" t="shared" si="59"/>
        <v>0</v>
      </c>
      <c r="H631" s="67" cm="1">
        <f ca="1" t="array" ref="H631">MIN(30-SUM(I631:L631),_xlfn.XLOOKUP($D631&amp;"_"&amp;H$61,$B$23:$B$45&amp;"_"&amp;$C$23:$C$45,$D$23:$D$45)*$E631,18)</f>
        <v>13.8059976931949</v>
      </c>
      <c r="I631" s="67" cm="1">
        <f ca="1" t="array" ref="I631">MIN(30-SUM(J631:L631),6-L631,_xlfn.XLOOKUP($D631&amp;"_"&amp;I$61,$B$23:$B$45&amp;"_"&amp;$C$23:$C$45,$D$23:$D$45)*$E631)</f>
        <v>2.37162629757785</v>
      </c>
      <c r="J631" s="67" cm="1">
        <f ca="1" t="array" ref="J631">MIN(8,_xlfn.XLOOKUP($D631&amp;"_"&amp;J$61,$B$23:$B$45&amp;"_"&amp;$C$23:$C$45,$D$23:$D$45)*$E631)</f>
        <v>7.7750865051903</v>
      </c>
      <c r="K631" s="67" cm="1">
        <f ca="1" t="array" ref="K631">MIN(18,_xlfn.XLOOKUP($D631&amp;"_"&amp;K$61,$B$23:$B$45&amp;"_"&amp;$C$23:$C$45,$D$23:$D$45)*$E631)</f>
        <v>2.41891580161477</v>
      </c>
      <c r="L631" s="67" cm="1">
        <f ca="1" t="array" ref="L631">MIN(6,_xlfn.XLOOKUP($D631&amp;"_"&amp;L$61,$B$23:$B$45&amp;"_"&amp;$C$23:$C$45,$D$23:$D$45)*$E631)</f>
        <v>3.62837370242215</v>
      </c>
      <c r="M631" s="67" cm="1">
        <f ca="1" t="array" ref="M631">(1+SUMPRODUCT(G631:H631,OFFSET($H$49:$I$49,D631,0)))*(1+OFFSET($J$49,D631,0))^I631*(1+OFFSET($K$49,D631,0))^J631*(1+OFFSET($L$49,D631,0))^K631*(1+OFFSET($M$49,D631,0))^L631</f>
        <v>235.317108538722</v>
      </c>
      <c r="N631" s="67">
        <f ca="1">MAX(MAX($N$62:N630),OFFSET($C$61,MATCH(M631*1.07,$M$62:$M$2061,1),0)-C631)</f>
        <v>7200</v>
      </c>
    </row>
    <row r="632" spans="2:14">
      <c r="B632" s="67">
        <v>571</v>
      </c>
      <c r="C632" s="67">
        <f t="shared" si="61"/>
        <v>205560</v>
      </c>
      <c r="D632" s="67">
        <f t="shared" si="56"/>
        <v>5</v>
      </c>
      <c r="E632" s="67">
        <f ca="1" t="shared" si="57"/>
        <v>601</v>
      </c>
      <c r="F632" s="67">
        <f ca="1" t="shared" si="58"/>
        <v>0</v>
      </c>
      <c r="G632" s="67">
        <f ca="1" t="shared" si="59"/>
        <v>0</v>
      </c>
      <c r="H632" s="67" cm="1">
        <f ca="1" t="array" ref="H632">MIN(30-SUM(I632:L632),_xlfn.XLOOKUP($D632&amp;"_"&amp;H$61,$B$23:$B$45&amp;"_"&amp;$C$23:$C$45,$D$23:$D$45)*$E632,18)</f>
        <v>13.7890076893503</v>
      </c>
      <c r="I632" s="67" cm="1">
        <f ca="1" t="array" ref="I632">MIN(30-SUM(J632:L632),6-L632,_xlfn.XLOOKUP($D632&amp;"_"&amp;I$61,$B$23:$B$45&amp;"_"&amp;$C$23:$C$45,$D$23:$D$45)*$E632)</f>
        <v>2.36557900807382</v>
      </c>
      <c r="J632" s="67" cm="1">
        <f ca="1" t="array" ref="J632">MIN(8,_xlfn.XLOOKUP($D632&amp;"_"&amp;J$61,$B$23:$B$45&amp;"_"&amp;$C$23:$C$45,$D$23:$D$45)*$E632)</f>
        <v>7.78804498269895</v>
      </c>
      <c r="K632" s="67" cm="1">
        <f ca="1" t="array" ref="K632">MIN(18,_xlfn.XLOOKUP($D632&amp;"_"&amp;K$61,$B$23:$B$45&amp;"_"&amp;$C$23:$C$45,$D$23:$D$45)*$E632)</f>
        <v>2.42294732795079</v>
      </c>
      <c r="L632" s="67" cm="1">
        <f ca="1" t="array" ref="L632">MIN(6,_xlfn.XLOOKUP($D632&amp;"_"&amp;L$61,$B$23:$B$45&amp;"_"&amp;$C$23:$C$45,$D$23:$D$45)*$E632)</f>
        <v>3.63442099192618</v>
      </c>
      <c r="M632" s="67" cm="1">
        <f ca="1" t="array" ref="M632">(1+SUMPRODUCT(G632:H632,OFFSET($H$49:$I$49,D632,0)))*(1+OFFSET($J$49,D632,0))^I632*(1+OFFSET($K$49,D632,0))^J632*(1+OFFSET($L$49,D632,0))^K632*(1+OFFSET($M$49,D632,0))^L632</f>
        <v>236.203183919276</v>
      </c>
      <c r="N632" s="67">
        <f ca="1">MAX(MAX($N$62:N631),OFFSET($C$61,MATCH(M632*1.07,$M$62:$M$2061,1),0)-C632)</f>
        <v>8280</v>
      </c>
    </row>
    <row r="633" spans="2:14">
      <c r="B633" s="67">
        <v>572</v>
      </c>
      <c r="C633" s="67">
        <f t="shared" si="61"/>
        <v>205920</v>
      </c>
      <c r="D633" s="67">
        <f t="shared" si="56"/>
        <v>5</v>
      </c>
      <c r="E633" s="67">
        <f ca="1" t="shared" si="57"/>
        <v>602</v>
      </c>
      <c r="F633" s="67">
        <f ca="1" t="shared" si="58"/>
        <v>0</v>
      </c>
      <c r="G633" s="67">
        <f ca="1" t="shared" si="59"/>
        <v>0</v>
      </c>
      <c r="H633" s="67" cm="1">
        <f ca="1" t="array" ref="H633">MIN(30-SUM(I633:L633),_xlfn.XLOOKUP($D633&amp;"_"&amp;H$61,$B$23:$B$45&amp;"_"&amp;$C$23:$C$45,$D$23:$D$45)*$E633,18)</f>
        <v>13.7720176855056</v>
      </c>
      <c r="I633" s="67" cm="1">
        <f ca="1" t="array" ref="I633">MIN(30-SUM(J633:L633),6-L633,_xlfn.XLOOKUP($D633&amp;"_"&amp;I$61,$B$23:$B$45&amp;"_"&amp;$C$23:$C$45,$D$23:$D$45)*$E633)</f>
        <v>2.35953171856978</v>
      </c>
      <c r="J633" s="67" cm="1">
        <f ca="1" t="array" ref="J633">MIN(8,_xlfn.XLOOKUP($D633&amp;"_"&amp;J$61,$B$23:$B$45&amp;"_"&amp;$C$23:$C$45,$D$23:$D$45)*$E633)</f>
        <v>7.8010034602076</v>
      </c>
      <c r="K633" s="67" cm="1">
        <f ca="1" t="array" ref="K633">MIN(18,_xlfn.XLOOKUP($D633&amp;"_"&amp;K$61,$B$23:$B$45&amp;"_"&amp;$C$23:$C$45,$D$23:$D$45)*$E633)</f>
        <v>2.42697885428682</v>
      </c>
      <c r="L633" s="67" cm="1">
        <f ca="1" t="array" ref="L633">MIN(6,_xlfn.XLOOKUP($D633&amp;"_"&amp;L$61,$B$23:$B$45&amp;"_"&amp;$C$23:$C$45,$D$23:$D$45)*$E633)</f>
        <v>3.64046828143022</v>
      </c>
      <c r="M633" s="67" cm="1">
        <f ca="1" t="array" ref="M633">(1+SUMPRODUCT(G633:H633,OFFSET($H$49:$I$49,D633,0)))*(1+OFFSET($J$49,D633,0))^I633*(1+OFFSET($K$49,D633,0))^J633*(1+OFFSET($L$49,D633,0))^K633*(1+OFFSET($M$49,D633,0))^L633</f>
        <v>237.092401910496</v>
      </c>
      <c r="N633" s="67">
        <f ca="1">MAX(MAX($N$62:N632),OFFSET($C$61,MATCH(M633*1.07,$M$62:$M$2061,1),0)-C633)</f>
        <v>9720</v>
      </c>
    </row>
    <row r="634" spans="2:14">
      <c r="B634" s="67">
        <v>573</v>
      </c>
      <c r="C634" s="67">
        <f t="shared" si="61"/>
        <v>206280</v>
      </c>
      <c r="D634" s="67">
        <f t="shared" si="56"/>
        <v>5</v>
      </c>
      <c r="E634" s="67">
        <f ca="1" t="shared" si="57"/>
        <v>603</v>
      </c>
      <c r="F634" s="67">
        <f ca="1" t="shared" si="58"/>
        <v>0</v>
      </c>
      <c r="G634" s="67">
        <f ca="1" t="shared" si="59"/>
        <v>0</v>
      </c>
      <c r="H634" s="67" cm="1">
        <f ca="1" t="array" ref="H634">MIN(30-SUM(I634:L634),_xlfn.XLOOKUP($D634&amp;"_"&amp;H$61,$B$23:$B$45&amp;"_"&amp;$C$23:$C$45,$D$23:$D$45)*$E634,18)</f>
        <v>13.7550276816609</v>
      </c>
      <c r="I634" s="67" cm="1">
        <f ca="1" t="array" ref="I634">MIN(30-SUM(J634:L634),6-L634,_xlfn.XLOOKUP($D634&amp;"_"&amp;I$61,$B$23:$B$45&amp;"_"&amp;$C$23:$C$45,$D$23:$D$45)*$E634)</f>
        <v>2.35348442906574</v>
      </c>
      <c r="J634" s="67" cm="1">
        <f ca="1" t="array" ref="J634">MIN(8,_xlfn.XLOOKUP($D634&amp;"_"&amp;J$61,$B$23:$B$45&amp;"_"&amp;$C$23:$C$45,$D$23:$D$45)*$E634)</f>
        <v>7.81396193771625</v>
      </c>
      <c r="K634" s="67" cm="1">
        <f ca="1" t="array" ref="K634">MIN(18,_xlfn.XLOOKUP($D634&amp;"_"&amp;K$61,$B$23:$B$45&amp;"_"&amp;$C$23:$C$45,$D$23:$D$45)*$E634)</f>
        <v>2.43101038062284</v>
      </c>
      <c r="L634" s="67" cm="1">
        <f ca="1" t="array" ref="L634">MIN(6,_xlfn.XLOOKUP($D634&amp;"_"&amp;L$61,$B$23:$B$45&amp;"_"&amp;$C$23:$C$45,$D$23:$D$45)*$E634)</f>
        <v>3.64651557093426</v>
      </c>
      <c r="M634" s="67" cm="1">
        <f ca="1" t="array" ref="M634">(1+SUMPRODUCT(G634:H634,OFFSET($H$49:$I$49,D634,0)))*(1+OFFSET($J$49,D634,0))^I634*(1+OFFSET($K$49,D634,0))^J634*(1+OFFSET($L$49,D634,0))^K634*(1+OFFSET($M$49,D634,0))^L634</f>
        <v>237.984772533834</v>
      </c>
      <c r="N634" s="67">
        <f ca="1">MAX(MAX($N$62:N633),OFFSET($C$61,MATCH(M634*1.07,$M$62:$M$2061,1),0)-C634)</f>
        <v>10800</v>
      </c>
    </row>
    <row r="635" spans="2:14">
      <c r="B635" s="67">
        <v>574</v>
      </c>
      <c r="C635" s="67">
        <f t="shared" si="61"/>
        <v>206640</v>
      </c>
      <c r="D635" s="67">
        <f t="shared" si="56"/>
        <v>5</v>
      </c>
      <c r="E635" s="67">
        <f ca="1" t="shared" si="57"/>
        <v>604</v>
      </c>
      <c r="F635" s="67">
        <f ca="1" t="shared" si="58"/>
        <v>0</v>
      </c>
      <c r="G635" s="67">
        <f ca="1" t="shared" si="59"/>
        <v>0</v>
      </c>
      <c r="H635" s="67" cm="1">
        <f ca="1" t="array" ref="H635">MIN(30-SUM(I635:L635),_xlfn.XLOOKUP($D635&amp;"_"&amp;H$61,$B$23:$B$45&amp;"_"&amp;$C$23:$C$45,$D$23:$D$45)*$E635,18)</f>
        <v>13.7380376778162</v>
      </c>
      <c r="I635" s="67" cm="1">
        <f ca="1" t="array" ref="I635">MIN(30-SUM(J635:L635),6-L635,_xlfn.XLOOKUP($D635&amp;"_"&amp;I$61,$B$23:$B$45&amp;"_"&amp;$C$23:$C$45,$D$23:$D$45)*$E635)</f>
        <v>2.34743713956171</v>
      </c>
      <c r="J635" s="67" cm="1">
        <f ca="1" t="array" ref="J635">MIN(8,_xlfn.XLOOKUP($D635&amp;"_"&amp;J$61,$B$23:$B$45&amp;"_"&amp;$C$23:$C$45,$D$23:$D$45)*$E635)</f>
        <v>7.8269204152249</v>
      </c>
      <c r="K635" s="67" cm="1">
        <f ca="1" t="array" ref="K635">MIN(18,_xlfn.XLOOKUP($D635&amp;"_"&amp;K$61,$B$23:$B$45&amp;"_"&amp;$C$23:$C$45,$D$23:$D$45)*$E635)</f>
        <v>2.43504190695886</v>
      </c>
      <c r="L635" s="67" cm="1">
        <f ca="1" t="array" ref="L635">MIN(6,_xlfn.XLOOKUP($D635&amp;"_"&amp;L$61,$B$23:$B$45&amp;"_"&amp;$C$23:$C$45,$D$23:$D$45)*$E635)</f>
        <v>3.65256286043829</v>
      </c>
      <c r="M635" s="67" cm="1">
        <f ca="1" t="array" ref="M635">(1+SUMPRODUCT(G635:H635,OFFSET($H$49:$I$49,D635,0)))*(1+OFFSET($J$49,D635,0))^I635*(1+OFFSET($K$49,D635,0))^J635*(1+OFFSET($L$49,D635,0))^K635*(1+OFFSET($M$49,D635,0))^L635</f>
        <v>238.880305835782</v>
      </c>
      <c r="N635" s="67">
        <f ca="1">MAX(MAX($N$62:N634),OFFSET($C$61,MATCH(M635*1.07,$M$62:$M$2061,1),0)-C635)</f>
        <v>12240</v>
      </c>
    </row>
    <row r="636" spans="2:14">
      <c r="B636" s="67">
        <v>575</v>
      </c>
      <c r="C636" s="67">
        <f t="shared" si="61"/>
        <v>207000</v>
      </c>
      <c r="D636" s="67">
        <f t="shared" si="56"/>
        <v>5</v>
      </c>
      <c r="E636" s="67">
        <f ca="1" t="shared" si="57"/>
        <v>605</v>
      </c>
      <c r="F636" s="67">
        <f ca="1" t="shared" si="58"/>
        <v>0</v>
      </c>
      <c r="G636" s="67">
        <f ca="1" t="shared" si="59"/>
        <v>0</v>
      </c>
      <c r="H636" s="67" cm="1">
        <f ca="1" t="array" ref="H636">MIN(30-SUM(I636:L636),_xlfn.XLOOKUP($D636&amp;"_"&amp;H$61,$B$23:$B$45&amp;"_"&amp;$C$23:$C$45,$D$23:$D$45)*$E636,18)</f>
        <v>13.7210476739716</v>
      </c>
      <c r="I636" s="67" cm="1">
        <f ca="1" t="array" ref="I636">MIN(30-SUM(J636:L636),6-L636,_xlfn.XLOOKUP($D636&amp;"_"&amp;I$61,$B$23:$B$45&amp;"_"&amp;$C$23:$C$45,$D$23:$D$45)*$E636)</f>
        <v>2.34138985005767</v>
      </c>
      <c r="J636" s="67" cm="1">
        <f ca="1" t="array" ref="J636">MIN(8,_xlfn.XLOOKUP($D636&amp;"_"&amp;J$61,$B$23:$B$45&amp;"_"&amp;$C$23:$C$45,$D$23:$D$45)*$E636)</f>
        <v>7.83987889273355</v>
      </c>
      <c r="K636" s="67" cm="1">
        <f ca="1" t="array" ref="K636">MIN(18,_xlfn.XLOOKUP($D636&amp;"_"&amp;K$61,$B$23:$B$45&amp;"_"&amp;$C$23:$C$45,$D$23:$D$45)*$E636)</f>
        <v>2.43907343329489</v>
      </c>
      <c r="L636" s="67" cm="1">
        <f ca="1" t="array" ref="L636">MIN(6,_xlfn.XLOOKUP($D636&amp;"_"&amp;L$61,$B$23:$B$45&amp;"_"&amp;$C$23:$C$45,$D$23:$D$45)*$E636)</f>
        <v>3.65861014994233</v>
      </c>
      <c r="M636" s="67" cm="1">
        <f ca="1" t="array" ref="M636">(1+SUMPRODUCT(G636:H636,OFFSET($H$49:$I$49,D636,0)))*(1+OFFSET($J$49,D636,0))^I636*(1+OFFSET($K$49,D636,0))^J636*(1+OFFSET($L$49,D636,0))^K636*(1+OFFSET($M$49,D636,0))^L636</f>
        <v>239.779011887879</v>
      </c>
      <c r="N636" s="67">
        <f ca="1">MAX(MAX($N$62:N635),OFFSET($C$61,MATCH(M636*1.07,$M$62:$M$2061,1),0)-C636)</f>
        <v>13320</v>
      </c>
    </row>
    <row r="637" spans="2:14">
      <c r="B637" s="67">
        <v>576</v>
      </c>
      <c r="C637" s="67">
        <f t="shared" si="61"/>
        <v>207360</v>
      </c>
      <c r="D637" s="67">
        <f t="shared" si="56"/>
        <v>5</v>
      </c>
      <c r="E637" s="67">
        <f ca="1" t="shared" si="57"/>
        <v>606</v>
      </c>
      <c r="F637" s="67">
        <f ca="1" t="shared" si="58"/>
        <v>0</v>
      </c>
      <c r="G637" s="67">
        <f ca="1" t="shared" si="59"/>
        <v>0</v>
      </c>
      <c r="H637" s="67" cm="1">
        <f ca="1" t="array" ref="H637">MIN(30-SUM(I637:L637),_xlfn.XLOOKUP($D637&amp;"_"&amp;H$61,$B$23:$B$45&amp;"_"&amp;$C$23:$C$45,$D$23:$D$45)*$E637,18)</f>
        <v>13.7040576701269</v>
      </c>
      <c r="I637" s="67" cm="1">
        <f ca="1" t="array" ref="I637">MIN(30-SUM(J637:L637),6-L637,_xlfn.XLOOKUP($D637&amp;"_"&amp;I$61,$B$23:$B$45&amp;"_"&amp;$C$23:$C$45,$D$23:$D$45)*$E637)</f>
        <v>2.33534256055363</v>
      </c>
      <c r="J637" s="67" cm="1">
        <f ca="1" t="array" ref="J637">MIN(8,_xlfn.XLOOKUP($D637&amp;"_"&amp;J$61,$B$23:$B$45&amp;"_"&amp;$C$23:$C$45,$D$23:$D$45)*$E637)</f>
        <v>7.8528373702422</v>
      </c>
      <c r="K637" s="67" cm="1">
        <f ca="1" t="array" ref="K637">MIN(18,_xlfn.XLOOKUP($D637&amp;"_"&amp;K$61,$B$23:$B$45&amp;"_"&amp;$C$23:$C$45,$D$23:$D$45)*$E637)</f>
        <v>2.44310495963091</v>
      </c>
      <c r="L637" s="67" cm="1">
        <f ca="1" t="array" ref="L637">MIN(6,_xlfn.XLOOKUP($D637&amp;"_"&amp;L$61,$B$23:$B$45&amp;"_"&amp;$C$23:$C$45,$D$23:$D$45)*$E637)</f>
        <v>3.66465743944637</v>
      </c>
      <c r="M637" s="67" cm="1">
        <f ca="1" t="array" ref="M637">(1+SUMPRODUCT(G637:H637,OFFSET($H$49:$I$49,D637,0)))*(1+OFFSET($J$49,D637,0))^I637*(1+OFFSET($K$49,D637,0))^J637*(1+OFFSET($L$49,D637,0))^K637*(1+OFFSET($M$49,D637,0))^L637</f>
        <v>240.680900786728</v>
      </c>
      <c r="N637" s="67">
        <f ca="1">MAX(MAX($N$62:N636),OFFSET($C$61,MATCH(M637*1.07,$M$62:$M$2061,1),0)-C637)</f>
        <v>14760</v>
      </c>
    </row>
    <row r="638" spans="2:14">
      <c r="B638" s="67">
        <v>577</v>
      </c>
      <c r="C638" s="67">
        <f t="shared" si="61"/>
        <v>207720</v>
      </c>
      <c r="D638" s="67">
        <f t="shared" si="56"/>
        <v>5</v>
      </c>
      <c r="E638" s="67">
        <f ca="1" t="shared" si="57"/>
        <v>607</v>
      </c>
      <c r="F638" s="67">
        <f ca="1" t="shared" si="58"/>
        <v>0</v>
      </c>
      <c r="G638" s="67">
        <f ca="1" t="shared" si="59"/>
        <v>0</v>
      </c>
      <c r="H638" s="67" cm="1">
        <f ca="1" t="array" ref="H638">MIN(30-SUM(I638:L638),_xlfn.XLOOKUP($D638&amp;"_"&amp;H$61,$B$23:$B$45&amp;"_"&amp;$C$23:$C$45,$D$23:$D$45)*$E638,18)</f>
        <v>13.6870676662822</v>
      </c>
      <c r="I638" s="67" cm="1">
        <f ca="1" t="array" ref="I638">MIN(30-SUM(J638:L638),6-L638,_xlfn.XLOOKUP($D638&amp;"_"&amp;I$61,$B$23:$B$45&amp;"_"&amp;$C$23:$C$45,$D$23:$D$45)*$E638)</f>
        <v>2.3292952710496</v>
      </c>
      <c r="J638" s="67" cm="1">
        <f ca="1" t="array" ref="J638">MIN(8,_xlfn.XLOOKUP($D638&amp;"_"&amp;J$61,$B$23:$B$45&amp;"_"&amp;$C$23:$C$45,$D$23:$D$45)*$E638)</f>
        <v>7.86579584775085</v>
      </c>
      <c r="K638" s="67" cm="1">
        <f ca="1" t="array" ref="K638">MIN(18,_xlfn.XLOOKUP($D638&amp;"_"&amp;K$61,$B$23:$B$45&amp;"_"&amp;$C$23:$C$45,$D$23:$D$45)*$E638)</f>
        <v>2.44713648596694</v>
      </c>
      <c r="L638" s="67" cm="1">
        <f ca="1" t="array" ref="L638">MIN(6,_xlfn.XLOOKUP($D638&amp;"_"&amp;L$61,$B$23:$B$45&amp;"_"&amp;$C$23:$C$45,$D$23:$D$45)*$E638)</f>
        <v>3.6707047289504</v>
      </c>
      <c r="M638" s="67" cm="1">
        <f ca="1" t="array" ref="M638">(1+SUMPRODUCT(G638:H638,OFFSET($H$49:$I$49,D638,0)))*(1+OFFSET($J$49,D638,0))^I638*(1+OFFSET($K$49,D638,0))^J638*(1+OFFSET($L$49,D638,0))^K638*(1+OFFSET($M$49,D638,0))^L638</f>
        <v>241.585982654012</v>
      </c>
      <c r="N638" s="67">
        <f ca="1">MAX(MAX($N$62:N637),OFFSET($C$61,MATCH(M638*1.07,$M$62:$M$2061,1),0)-C638)</f>
        <v>15840</v>
      </c>
    </row>
    <row r="639" spans="2:14">
      <c r="B639" s="67">
        <v>578</v>
      </c>
      <c r="C639" s="67">
        <f t="shared" si="61"/>
        <v>208080</v>
      </c>
      <c r="D639" s="67">
        <f t="shared" ref="D639:D702" si="62">_xlfn.XLOOKUP("非R",$B$49:$B$54,$C$49:$C$54)</f>
        <v>5</v>
      </c>
      <c r="E639" s="67">
        <f ca="1" t="shared" ref="E639:E702" si="63">INT(C639/_xlfn.XLOOKUP(D639,$R$14:$R$21,$S$14:$S$21))+OFFSET($R$49,D639,0)</f>
        <v>608</v>
      </c>
      <c r="F639" s="67">
        <f ca="1" t="shared" si="58"/>
        <v>0</v>
      </c>
      <c r="G639" s="67">
        <f ca="1" t="shared" si="59"/>
        <v>0</v>
      </c>
      <c r="H639" s="67" cm="1">
        <f ca="1" t="array" ref="H639">MIN(30-SUM(I639:L639),_xlfn.XLOOKUP($D639&amp;"_"&amp;H$61,$B$23:$B$45&amp;"_"&amp;$C$23:$C$45,$D$23:$D$45)*$E639,18)</f>
        <v>13.6700776624375</v>
      </c>
      <c r="I639" s="67" cm="1">
        <f ca="1" t="array" ref="I639">MIN(30-SUM(J639:L639),6-L639,_xlfn.XLOOKUP($D639&amp;"_"&amp;I$61,$B$23:$B$45&amp;"_"&amp;$C$23:$C$45,$D$23:$D$45)*$E639)</f>
        <v>2.32324798154556</v>
      </c>
      <c r="J639" s="67" cm="1">
        <f ca="1" t="array" ref="J639">MIN(8,_xlfn.XLOOKUP($D639&amp;"_"&amp;J$61,$B$23:$B$45&amp;"_"&amp;$C$23:$C$45,$D$23:$D$45)*$E639)</f>
        <v>7.8787543252595</v>
      </c>
      <c r="K639" s="67" cm="1">
        <f ca="1" t="array" ref="K639">MIN(18,_xlfn.XLOOKUP($D639&amp;"_"&amp;K$61,$B$23:$B$45&amp;"_"&amp;$C$23:$C$45,$D$23:$D$45)*$E639)</f>
        <v>2.45116801230296</v>
      </c>
      <c r="L639" s="67" cm="1">
        <f ca="1" t="array" ref="L639">MIN(6,_xlfn.XLOOKUP($D639&amp;"_"&amp;L$61,$B$23:$B$45&amp;"_"&amp;$C$23:$C$45,$D$23:$D$45)*$E639)</f>
        <v>3.67675201845444</v>
      </c>
      <c r="M639" s="67" cm="1">
        <f ca="1" t="array" ref="M639">(1+SUMPRODUCT(G639:H639,OFFSET($H$49:$I$49,D639,0)))*(1+OFFSET($J$49,D639,0))^I639*(1+OFFSET($K$49,D639,0))^J639*(1+OFFSET($L$49,D639,0))^K639*(1+OFFSET($M$49,D639,0))^L639</f>
        <v>242.494267636506</v>
      </c>
      <c r="N639" s="67">
        <f ca="1">MAX(MAX($N$62:N638),OFFSET($C$61,MATCH(M639*1.07,$M$62:$M$2061,1),0)-C639)</f>
        <v>16920</v>
      </c>
    </row>
    <row r="640" spans="2:14">
      <c r="B640" s="67">
        <v>579</v>
      </c>
      <c r="C640" s="67">
        <f t="shared" si="61"/>
        <v>208440</v>
      </c>
      <c r="D640" s="67">
        <f t="shared" si="62"/>
        <v>5</v>
      </c>
      <c r="E640" s="67">
        <f ca="1" t="shared" si="63"/>
        <v>609</v>
      </c>
      <c r="F640" s="67">
        <f ca="1" t="shared" ref="F640:F703" si="64">30-SUM(G640:L640)</f>
        <v>0</v>
      </c>
      <c r="G640" s="67">
        <f ca="1" t="shared" ref="G640:G703" si="65">30-SUM(H640:L640)</f>
        <v>0</v>
      </c>
      <c r="H640" s="67" cm="1">
        <f ca="1" t="array" ref="H640">MIN(30-SUM(I640:L640),_xlfn.XLOOKUP($D640&amp;"_"&amp;H$61,$B$23:$B$45&amp;"_"&amp;$C$23:$C$45,$D$23:$D$45)*$E640,18)</f>
        <v>13.6530876585929</v>
      </c>
      <c r="I640" s="67" cm="1">
        <f ca="1" t="array" ref="I640">MIN(30-SUM(J640:L640),6-L640,_xlfn.XLOOKUP($D640&amp;"_"&amp;I$61,$B$23:$B$45&amp;"_"&amp;$C$23:$C$45,$D$23:$D$45)*$E640)</f>
        <v>2.31720069204152</v>
      </c>
      <c r="J640" s="67" cm="1">
        <f ca="1" t="array" ref="J640">MIN(8,_xlfn.XLOOKUP($D640&amp;"_"&amp;J$61,$B$23:$B$45&amp;"_"&amp;$C$23:$C$45,$D$23:$D$45)*$E640)</f>
        <v>7.89171280276815</v>
      </c>
      <c r="K640" s="67" cm="1">
        <f ca="1" t="array" ref="K640">MIN(18,_xlfn.XLOOKUP($D640&amp;"_"&amp;K$61,$B$23:$B$45&amp;"_"&amp;$C$23:$C$45,$D$23:$D$45)*$E640)</f>
        <v>2.45519953863899</v>
      </c>
      <c r="L640" s="67" cm="1">
        <f ca="1" t="array" ref="L640">MIN(6,_xlfn.XLOOKUP($D640&amp;"_"&amp;L$61,$B$23:$B$45&amp;"_"&amp;$C$23:$C$45,$D$23:$D$45)*$E640)</f>
        <v>3.68279930795848</v>
      </c>
      <c r="M640" s="67" cm="1">
        <f ca="1" t="array" ref="M640">(1+SUMPRODUCT(G640:H640,OFFSET($H$49:$I$49,D640,0)))*(1+OFFSET($J$49,D640,0))^I640*(1+OFFSET($K$49,D640,0))^J640*(1+OFFSET($L$49,D640,0))^K640*(1+OFFSET($M$49,D640,0))^L640</f>
        <v>243.405765906091</v>
      </c>
      <c r="N640" s="67">
        <f ca="1">MAX(MAX($N$62:N639),OFFSET($C$61,MATCH(M640*1.07,$M$62:$M$2061,1),0)-C640)</f>
        <v>18360</v>
      </c>
    </row>
    <row r="641" spans="2:14">
      <c r="B641" s="67">
        <v>580</v>
      </c>
      <c r="C641" s="67">
        <f t="shared" si="61"/>
        <v>208800</v>
      </c>
      <c r="D641" s="67">
        <f t="shared" si="62"/>
        <v>5</v>
      </c>
      <c r="E641" s="67">
        <f ca="1" t="shared" si="63"/>
        <v>610</v>
      </c>
      <c r="F641" s="67">
        <f ca="1" t="shared" si="64"/>
        <v>0</v>
      </c>
      <c r="G641" s="67">
        <f ca="1" t="shared" si="65"/>
        <v>0</v>
      </c>
      <c r="H641" s="67" cm="1">
        <f ca="1" t="array" ref="H641">MIN(30-SUM(I641:L641),_xlfn.XLOOKUP($D641&amp;"_"&amp;H$61,$B$23:$B$45&amp;"_"&amp;$C$23:$C$45,$D$23:$D$45)*$E641,18)</f>
        <v>13.6360976547482</v>
      </c>
      <c r="I641" s="67" cm="1">
        <f ca="1" t="array" ref="I641">MIN(30-SUM(J641:L641),6-L641,_xlfn.XLOOKUP($D641&amp;"_"&amp;I$61,$B$23:$B$45&amp;"_"&amp;$C$23:$C$45,$D$23:$D$45)*$E641)</f>
        <v>2.31115340253748</v>
      </c>
      <c r="J641" s="67" cm="1">
        <f ca="1" t="array" ref="J641">MIN(8,_xlfn.XLOOKUP($D641&amp;"_"&amp;J$61,$B$23:$B$45&amp;"_"&amp;$C$23:$C$45,$D$23:$D$45)*$E641)</f>
        <v>7.9046712802768</v>
      </c>
      <c r="K641" s="67" cm="1">
        <f ca="1" t="array" ref="K641">MIN(18,_xlfn.XLOOKUP($D641&amp;"_"&amp;K$61,$B$23:$B$45&amp;"_"&amp;$C$23:$C$45,$D$23:$D$45)*$E641)</f>
        <v>2.45923106497501</v>
      </c>
      <c r="L641" s="67" cm="1">
        <f ca="1" t="array" ref="L641">MIN(6,_xlfn.XLOOKUP($D641&amp;"_"&amp;L$61,$B$23:$B$45&amp;"_"&amp;$C$23:$C$45,$D$23:$D$45)*$E641)</f>
        <v>3.68884659746252</v>
      </c>
      <c r="M641" s="67" cm="1">
        <f ca="1" t="array" ref="M641">(1+SUMPRODUCT(G641:H641,OFFSET($H$49:$I$49,D641,0)))*(1+OFFSET($J$49,D641,0))^I641*(1+OFFSET($K$49,D641,0))^J641*(1+OFFSET($L$49,D641,0))^K641*(1+OFFSET($M$49,D641,0))^L641</f>
        <v>244.320487659767</v>
      </c>
      <c r="N641" s="67">
        <f ca="1">MAX(MAX($N$62:N640),OFFSET($C$61,MATCH(M641*1.07,$M$62:$M$2061,1),0)-C641)</f>
        <v>19440</v>
      </c>
    </row>
    <row r="642" spans="2:14">
      <c r="B642" s="67">
        <v>581</v>
      </c>
      <c r="C642" s="67">
        <f t="shared" si="61"/>
        <v>209160</v>
      </c>
      <c r="D642" s="67">
        <f t="shared" si="62"/>
        <v>5</v>
      </c>
      <c r="E642" s="67">
        <f ca="1" t="shared" si="63"/>
        <v>611</v>
      </c>
      <c r="F642" s="67">
        <f ca="1" t="shared" si="64"/>
        <v>0</v>
      </c>
      <c r="G642" s="67">
        <f ca="1" t="shared" si="65"/>
        <v>0</v>
      </c>
      <c r="H642" s="67" cm="1">
        <f ca="1" t="array" ref="H642">MIN(30-SUM(I642:L642),_xlfn.XLOOKUP($D642&amp;"_"&amp;H$61,$B$23:$B$45&amp;"_"&amp;$C$23:$C$45,$D$23:$D$45)*$E642,18)</f>
        <v>13.6191076509035</v>
      </c>
      <c r="I642" s="67" cm="1">
        <f ca="1" t="array" ref="I642">MIN(30-SUM(J642:L642),6-L642,_xlfn.XLOOKUP($D642&amp;"_"&amp;I$61,$B$23:$B$45&amp;"_"&amp;$C$23:$C$45,$D$23:$D$45)*$E642)</f>
        <v>2.30510611303345</v>
      </c>
      <c r="J642" s="67" cm="1">
        <f ca="1" t="array" ref="J642">MIN(8,_xlfn.XLOOKUP($D642&amp;"_"&amp;J$61,$B$23:$B$45&amp;"_"&amp;$C$23:$C$45,$D$23:$D$45)*$E642)</f>
        <v>7.91762975778546</v>
      </c>
      <c r="K642" s="67" cm="1">
        <f ca="1" t="array" ref="K642">MIN(18,_xlfn.XLOOKUP($D642&amp;"_"&amp;K$61,$B$23:$B$45&amp;"_"&amp;$C$23:$C$45,$D$23:$D$45)*$E642)</f>
        <v>2.46326259131104</v>
      </c>
      <c r="L642" s="67" cm="1">
        <f ca="1" t="array" ref="L642">MIN(6,_xlfn.XLOOKUP($D642&amp;"_"&amp;L$61,$B$23:$B$45&amp;"_"&amp;$C$23:$C$45,$D$23:$D$45)*$E642)</f>
        <v>3.69489388696655</v>
      </c>
      <c r="M642" s="67" cm="1">
        <f ca="1" t="array" ref="M642">(1+SUMPRODUCT(G642:H642,OFFSET($H$49:$I$49,D642,0)))*(1+OFFSET($J$49,D642,0))^I642*(1+OFFSET($K$49,D642,0))^J642*(1+OFFSET($L$49,D642,0))^K642*(1+OFFSET($M$49,D642,0))^L642</f>
        <v>245.238443119667</v>
      </c>
      <c r="N642" s="67">
        <f ca="1">MAX(MAX($N$62:N641),OFFSET($C$61,MATCH(M642*1.07,$M$62:$M$2061,1),0)-C642)</f>
        <v>20880</v>
      </c>
    </row>
    <row r="643" spans="2:14">
      <c r="B643" s="67">
        <v>582</v>
      </c>
      <c r="C643" s="67">
        <f t="shared" si="61"/>
        <v>209520</v>
      </c>
      <c r="D643" s="67">
        <f t="shared" si="62"/>
        <v>5</v>
      </c>
      <c r="E643" s="67">
        <f ca="1" t="shared" si="63"/>
        <v>612</v>
      </c>
      <c r="F643" s="67">
        <f ca="1" t="shared" si="64"/>
        <v>0</v>
      </c>
      <c r="G643" s="67">
        <f ca="1" t="shared" si="65"/>
        <v>0</v>
      </c>
      <c r="H643" s="67" cm="1">
        <f ca="1" t="array" ref="H643">MIN(30-SUM(I643:L643),_xlfn.XLOOKUP($D643&amp;"_"&amp;H$61,$B$23:$B$45&amp;"_"&amp;$C$23:$C$45,$D$23:$D$45)*$E643,18)</f>
        <v>13.6021176470588</v>
      </c>
      <c r="I643" s="67" cm="1">
        <f ca="1" t="array" ref="I643">MIN(30-SUM(J643:L643),6-L643,_xlfn.XLOOKUP($D643&amp;"_"&amp;I$61,$B$23:$B$45&amp;"_"&amp;$C$23:$C$45,$D$23:$D$45)*$E643)</f>
        <v>2.29905882352941</v>
      </c>
      <c r="J643" s="67" cm="1">
        <f ca="1" t="array" ref="J643">MIN(8,_xlfn.XLOOKUP($D643&amp;"_"&amp;J$61,$B$23:$B$45&amp;"_"&amp;$C$23:$C$45,$D$23:$D$45)*$E643)</f>
        <v>7.93058823529411</v>
      </c>
      <c r="K643" s="67" cm="1">
        <f ca="1" t="array" ref="K643">MIN(18,_xlfn.XLOOKUP($D643&amp;"_"&amp;K$61,$B$23:$B$45&amp;"_"&amp;$C$23:$C$45,$D$23:$D$45)*$E643)</f>
        <v>2.46729411764706</v>
      </c>
      <c r="L643" s="67" cm="1">
        <f ca="1" t="array" ref="L643">MIN(6,_xlfn.XLOOKUP($D643&amp;"_"&amp;L$61,$B$23:$B$45&amp;"_"&amp;$C$23:$C$45,$D$23:$D$45)*$E643)</f>
        <v>3.70094117647059</v>
      </c>
      <c r="M643" s="67" cm="1">
        <f ca="1" t="array" ref="M643">(1+SUMPRODUCT(G643:H643,OFFSET($H$49:$I$49,D643,0)))*(1+OFFSET($J$49,D643,0))^I643*(1+OFFSET($K$49,D643,0))^J643*(1+OFFSET($L$49,D643,0))^K643*(1+OFFSET($M$49,D643,0))^L643</f>
        <v>246.159642533066</v>
      </c>
      <c r="N643" s="67">
        <f ca="1">MAX(MAX($N$62:N642),OFFSET($C$61,MATCH(M643*1.07,$M$62:$M$2061,1),0)-C643)</f>
        <v>21960</v>
      </c>
    </row>
    <row r="644" spans="2:14">
      <c r="B644" s="67">
        <v>583</v>
      </c>
      <c r="C644" s="67">
        <f t="shared" si="61"/>
        <v>209880</v>
      </c>
      <c r="D644" s="67">
        <f t="shared" si="62"/>
        <v>5</v>
      </c>
      <c r="E644" s="67">
        <f ca="1" t="shared" si="63"/>
        <v>613</v>
      </c>
      <c r="F644" s="67">
        <f ca="1" t="shared" si="64"/>
        <v>0</v>
      </c>
      <c r="G644" s="67">
        <f ca="1" t="shared" si="65"/>
        <v>0</v>
      </c>
      <c r="H644" s="67" cm="1">
        <f ca="1" t="array" ref="H644">MIN(30-SUM(I644:L644),_xlfn.XLOOKUP($D644&amp;"_"&amp;H$61,$B$23:$B$45&amp;"_"&amp;$C$23:$C$45,$D$23:$D$45)*$E644,18)</f>
        <v>13.5851276432142</v>
      </c>
      <c r="I644" s="67" cm="1">
        <f ca="1" t="array" ref="I644">MIN(30-SUM(J644:L644),6-L644,_xlfn.XLOOKUP($D644&amp;"_"&amp;I$61,$B$23:$B$45&amp;"_"&amp;$C$23:$C$45,$D$23:$D$45)*$E644)</f>
        <v>2.29301153402537</v>
      </c>
      <c r="J644" s="67" cm="1">
        <f ca="1" t="array" ref="J644">MIN(8,_xlfn.XLOOKUP($D644&amp;"_"&amp;J$61,$B$23:$B$45&amp;"_"&amp;$C$23:$C$45,$D$23:$D$45)*$E644)</f>
        <v>7.94354671280276</v>
      </c>
      <c r="K644" s="67" cm="1">
        <f ca="1" t="array" ref="K644">MIN(18,_xlfn.XLOOKUP($D644&amp;"_"&amp;K$61,$B$23:$B$45&amp;"_"&amp;$C$23:$C$45,$D$23:$D$45)*$E644)</f>
        <v>2.47132564398309</v>
      </c>
      <c r="L644" s="67" cm="1">
        <f ca="1" t="array" ref="L644">MIN(6,_xlfn.XLOOKUP($D644&amp;"_"&amp;L$61,$B$23:$B$45&amp;"_"&amp;$C$23:$C$45,$D$23:$D$45)*$E644)</f>
        <v>3.70698846597463</v>
      </c>
      <c r="M644" s="67" cm="1">
        <f ca="1" t="array" ref="M644">(1+SUMPRODUCT(G644:H644,OFFSET($H$49:$I$49,D644,0)))*(1+OFFSET($J$49,D644,0))^I644*(1+OFFSET($K$49,D644,0))^J644*(1+OFFSET($L$49,D644,0))^K644*(1+OFFSET($M$49,D644,0))^L644</f>
        <v>247.084096172396</v>
      </c>
      <c r="N644" s="67">
        <f ca="1">MAX(MAX($N$62:N643),OFFSET($C$61,MATCH(M644*1.07,$M$62:$M$2061,1),0)-C644)</f>
        <v>23400</v>
      </c>
    </row>
    <row r="645" spans="2:14">
      <c r="B645" s="67">
        <v>584</v>
      </c>
      <c r="C645" s="67">
        <f t="shared" si="61"/>
        <v>210240</v>
      </c>
      <c r="D645" s="67">
        <f t="shared" si="62"/>
        <v>5</v>
      </c>
      <c r="E645" s="67">
        <f ca="1" t="shared" si="63"/>
        <v>614</v>
      </c>
      <c r="F645" s="67">
        <f ca="1" t="shared" si="64"/>
        <v>0</v>
      </c>
      <c r="G645" s="67">
        <f ca="1" t="shared" si="65"/>
        <v>0</v>
      </c>
      <c r="H645" s="67" cm="1">
        <f ca="1" t="array" ref="H645">MIN(30-SUM(I645:L645),_xlfn.XLOOKUP($D645&amp;"_"&amp;H$61,$B$23:$B$45&amp;"_"&amp;$C$23:$C$45,$D$23:$D$45)*$E645,18)</f>
        <v>13.5681376393695</v>
      </c>
      <c r="I645" s="67" cm="1">
        <f ca="1" t="array" ref="I645">MIN(30-SUM(J645:L645),6-L645,_xlfn.XLOOKUP($D645&amp;"_"&amp;I$61,$B$23:$B$45&amp;"_"&amp;$C$23:$C$45,$D$23:$D$45)*$E645)</f>
        <v>2.28696424452134</v>
      </c>
      <c r="J645" s="67" cm="1">
        <f ca="1" t="array" ref="J645">MIN(8,_xlfn.XLOOKUP($D645&amp;"_"&amp;J$61,$B$23:$B$45&amp;"_"&amp;$C$23:$C$45,$D$23:$D$45)*$E645)</f>
        <v>7.95650519031141</v>
      </c>
      <c r="K645" s="67" cm="1">
        <f ca="1" t="array" ref="K645">MIN(18,_xlfn.XLOOKUP($D645&amp;"_"&amp;K$61,$B$23:$B$45&amp;"_"&amp;$C$23:$C$45,$D$23:$D$45)*$E645)</f>
        <v>2.47535717031911</v>
      </c>
      <c r="L645" s="67" cm="1">
        <f ca="1" t="array" ref="L645">MIN(6,_xlfn.XLOOKUP($D645&amp;"_"&amp;L$61,$B$23:$B$45&amp;"_"&amp;$C$23:$C$45,$D$23:$D$45)*$E645)</f>
        <v>3.71303575547866</v>
      </c>
      <c r="M645" s="67" cm="1">
        <f ca="1" t="array" ref="M645">(1+SUMPRODUCT(G645:H645,OFFSET($H$49:$I$49,D645,0)))*(1+OFFSET($J$49,D645,0))^I645*(1+OFFSET($K$49,D645,0))^J645*(1+OFFSET($L$49,D645,0))^K645*(1+OFFSET($M$49,D645,0))^L645</f>
        <v>248.011814335257</v>
      </c>
      <c r="N645" s="67">
        <f ca="1">MAX(MAX($N$62:N644),OFFSET($C$61,MATCH(M645*1.07,$M$62:$M$2061,1),0)-C645)</f>
        <v>24480</v>
      </c>
    </row>
    <row r="646" spans="2:14">
      <c r="B646" s="67">
        <v>585</v>
      </c>
      <c r="C646" s="67">
        <f t="shared" si="61"/>
        <v>210600</v>
      </c>
      <c r="D646" s="67">
        <f t="shared" si="62"/>
        <v>5</v>
      </c>
      <c r="E646" s="67">
        <f ca="1" t="shared" si="63"/>
        <v>615</v>
      </c>
      <c r="F646" s="67">
        <f ca="1" t="shared" si="64"/>
        <v>0</v>
      </c>
      <c r="G646" s="67">
        <f ca="1" t="shared" si="65"/>
        <v>0</v>
      </c>
      <c r="H646" s="67" cm="1">
        <f ca="1" t="array" ref="H646">MIN(30-SUM(I646:L646),_xlfn.XLOOKUP($D646&amp;"_"&amp;H$61,$B$23:$B$45&amp;"_"&amp;$C$23:$C$45,$D$23:$D$45)*$E646,18)</f>
        <v>13.5511476355248</v>
      </c>
      <c r="I646" s="67" cm="1">
        <f ca="1" t="array" ref="I646">MIN(30-SUM(J646:L646),6-L646,_xlfn.XLOOKUP($D646&amp;"_"&amp;I$61,$B$23:$B$45&amp;"_"&amp;$C$23:$C$45,$D$23:$D$45)*$E646)</f>
        <v>2.2809169550173</v>
      </c>
      <c r="J646" s="67" cm="1">
        <f ca="1" t="array" ref="J646">MIN(8,_xlfn.XLOOKUP($D646&amp;"_"&amp;J$61,$B$23:$B$45&amp;"_"&amp;$C$23:$C$45,$D$23:$D$45)*$E646)</f>
        <v>7.96946366782006</v>
      </c>
      <c r="K646" s="67" cm="1">
        <f ca="1" t="array" ref="K646">MIN(18,_xlfn.XLOOKUP($D646&amp;"_"&amp;K$61,$B$23:$B$45&amp;"_"&amp;$C$23:$C$45,$D$23:$D$45)*$E646)</f>
        <v>2.47938869665513</v>
      </c>
      <c r="L646" s="67" cm="1">
        <f ca="1" t="array" ref="L646">MIN(6,_xlfn.XLOOKUP($D646&amp;"_"&amp;L$61,$B$23:$B$45&amp;"_"&amp;$C$23:$C$45,$D$23:$D$45)*$E646)</f>
        <v>3.7190830449827</v>
      </c>
      <c r="M646" s="67" cm="1">
        <f ca="1" t="array" ref="M646">(1+SUMPRODUCT(G646:H646,OFFSET($H$49:$I$49,D646,0)))*(1+OFFSET($J$49,D646,0))^I646*(1+OFFSET($K$49,D646,0))^J646*(1+OFFSET($L$49,D646,0))^K646*(1+OFFSET($M$49,D646,0))^L646</f>
        <v>248.942807344424</v>
      </c>
      <c r="N646" s="67">
        <f ca="1">MAX(MAX($N$62:N645),OFFSET($C$61,MATCH(M646*1.07,$M$62:$M$2061,1),0)-C646)</f>
        <v>25560</v>
      </c>
    </row>
    <row r="647" spans="2:14">
      <c r="B647" s="67">
        <v>586</v>
      </c>
      <c r="C647" s="67">
        <f t="shared" si="61"/>
        <v>210960</v>
      </c>
      <c r="D647" s="67">
        <f t="shared" si="62"/>
        <v>5</v>
      </c>
      <c r="E647" s="67">
        <f ca="1" t="shared" si="63"/>
        <v>616</v>
      </c>
      <c r="F647" s="67">
        <f ca="1" t="shared" si="64"/>
        <v>0</v>
      </c>
      <c r="G647" s="67">
        <f ca="1" t="shared" si="65"/>
        <v>0</v>
      </c>
      <c r="H647" s="67" cm="1">
        <f ca="1" t="array" ref="H647">MIN(30-SUM(I647:L647),_xlfn.XLOOKUP($D647&amp;"_"&amp;H$61,$B$23:$B$45&amp;"_"&amp;$C$23:$C$45,$D$23:$D$45)*$E647,18)</f>
        <v>13.5341576316801</v>
      </c>
      <c r="I647" s="67" cm="1">
        <f ca="1" t="array" ref="I647">MIN(30-SUM(J647:L647),6-L647,_xlfn.XLOOKUP($D647&amp;"_"&amp;I$61,$B$23:$B$45&amp;"_"&amp;$C$23:$C$45,$D$23:$D$45)*$E647)</f>
        <v>2.27486966551326</v>
      </c>
      <c r="J647" s="67" cm="1">
        <f ca="1" t="array" ref="J647">MIN(8,_xlfn.XLOOKUP($D647&amp;"_"&amp;J$61,$B$23:$B$45&amp;"_"&amp;$C$23:$C$45,$D$23:$D$45)*$E647)</f>
        <v>7.98242214532871</v>
      </c>
      <c r="K647" s="67" cm="1">
        <f ca="1" t="array" ref="K647">MIN(18,_xlfn.XLOOKUP($D647&amp;"_"&amp;K$61,$B$23:$B$45&amp;"_"&amp;$C$23:$C$45,$D$23:$D$45)*$E647)</f>
        <v>2.48342022299116</v>
      </c>
      <c r="L647" s="67" cm="1">
        <f ca="1" t="array" ref="L647">MIN(6,_xlfn.XLOOKUP($D647&amp;"_"&amp;L$61,$B$23:$B$45&amp;"_"&amp;$C$23:$C$45,$D$23:$D$45)*$E647)</f>
        <v>3.72513033448674</v>
      </c>
      <c r="M647" s="67" cm="1">
        <f ca="1" t="array" ref="M647">(1+SUMPRODUCT(G647:H647,OFFSET($H$49:$I$49,D647,0)))*(1+OFFSET($J$49,D647,0))^I647*(1+OFFSET($K$49,D647,0))^J647*(1+OFFSET($L$49,D647,0))^K647*(1+OFFSET($M$49,D647,0))^L647</f>
        <v>249.877085547864</v>
      </c>
      <c r="N647" s="67">
        <f ca="1">MAX(MAX($N$62:N646),OFFSET($C$61,MATCH(M647*1.07,$M$62:$M$2061,1),0)-C647)</f>
        <v>27000</v>
      </c>
    </row>
    <row r="648" spans="2:14">
      <c r="B648" s="67">
        <v>587</v>
      </c>
      <c r="C648" s="67">
        <f t="shared" si="61"/>
        <v>211320</v>
      </c>
      <c r="D648" s="67">
        <f t="shared" si="62"/>
        <v>5</v>
      </c>
      <c r="E648" s="67">
        <f ca="1" t="shared" si="63"/>
        <v>617</v>
      </c>
      <c r="F648" s="67">
        <f ca="1" t="shared" si="64"/>
        <v>0</v>
      </c>
      <c r="G648" s="67">
        <f ca="1" t="shared" si="65"/>
        <v>0</v>
      </c>
      <c r="H648" s="67" cm="1">
        <f ca="1" t="array" ref="H648">MIN(30-SUM(I648:L648),_xlfn.XLOOKUP($D648&amp;"_"&amp;H$61,$B$23:$B$45&amp;"_"&amp;$C$23:$C$45,$D$23:$D$45)*$E648,18)</f>
        <v>13.5171676278355</v>
      </c>
      <c r="I648" s="67" cm="1">
        <f ca="1" t="array" ref="I648">MIN(30-SUM(J648:L648),6-L648,_xlfn.XLOOKUP($D648&amp;"_"&amp;I$61,$B$23:$B$45&amp;"_"&amp;$C$23:$C$45,$D$23:$D$45)*$E648)</f>
        <v>2.26882237600923</v>
      </c>
      <c r="J648" s="67" cm="1">
        <f ca="1" t="array" ref="J648">MIN(8,_xlfn.XLOOKUP($D648&amp;"_"&amp;J$61,$B$23:$B$45&amp;"_"&amp;$C$23:$C$45,$D$23:$D$45)*$E648)</f>
        <v>7.99538062283736</v>
      </c>
      <c r="K648" s="67" cm="1">
        <f ca="1" t="array" ref="K648">MIN(18,_xlfn.XLOOKUP($D648&amp;"_"&amp;K$61,$B$23:$B$45&amp;"_"&amp;$C$23:$C$45,$D$23:$D$45)*$E648)</f>
        <v>2.48745174932718</v>
      </c>
      <c r="L648" s="67" cm="1">
        <f ca="1" t="array" ref="L648">MIN(6,_xlfn.XLOOKUP($D648&amp;"_"&amp;L$61,$B$23:$B$45&amp;"_"&amp;$C$23:$C$45,$D$23:$D$45)*$E648)</f>
        <v>3.73117762399077</v>
      </c>
      <c r="M648" s="67" cm="1">
        <f ca="1" t="array" ref="M648">(1+SUMPRODUCT(G648:H648,OFFSET($H$49:$I$49,D648,0)))*(1+OFFSET($J$49,D648,0))^I648*(1+OFFSET($K$49,D648,0))^J648*(1+OFFSET($L$49,D648,0))^K648*(1+OFFSET($M$49,D648,0))^L648</f>
        <v>250.81465931874</v>
      </c>
      <c r="N648" s="67">
        <f ca="1">MAX(MAX($N$62:N647),OFFSET($C$61,MATCH(M648*1.07,$M$62:$M$2061,1),0)-C648)</f>
        <v>28080</v>
      </c>
    </row>
    <row r="649" spans="2:14">
      <c r="B649" s="67">
        <v>588</v>
      </c>
      <c r="C649" s="67">
        <f t="shared" si="61"/>
        <v>211680</v>
      </c>
      <c r="D649" s="67">
        <f t="shared" si="62"/>
        <v>5</v>
      </c>
      <c r="E649" s="67">
        <f ca="1" t="shared" si="63"/>
        <v>618</v>
      </c>
      <c r="F649" s="67">
        <f ca="1" t="shared" si="64"/>
        <v>0</v>
      </c>
      <c r="G649" s="67">
        <f ca="1" t="shared" si="65"/>
        <v>0</v>
      </c>
      <c r="H649" s="67" cm="1">
        <f ca="1" t="array" ref="H649">MIN(30-SUM(I649:L649),_xlfn.XLOOKUP($D649&amp;"_"&amp;H$61,$B$23:$B$45&amp;"_"&amp;$C$23:$C$45,$D$23:$D$45)*$E649,18)</f>
        <v>13.5085167243368</v>
      </c>
      <c r="I649" s="67" cm="1">
        <f ca="1" t="array" ref="I649">MIN(30-SUM(J649:L649),6-L649,_xlfn.XLOOKUP($D649&amp;"_"&amp;I$61,$B$23:$B$45&amp;"_"&amp;$C$23:$C$45,$D$23:$D$45)*$E649)</f>
        <v>2.26277508650519</v>
      </c>
      <c r="J649" s="67" cm="1">
        <f ca="1" t="array" ref="J649">MIN(8,_xlfn.XLOOKUP($D649&amp;"_"&amp;J$61,$B$23:$B$45&amp;"_"&amp;$C$23:$C$45,$D$23:$D$45)*$E649)</f>
        <v>8</v>
      </c>
      <c r="K649" s="67" cm="1">
        <f ca="1" t="array" ref="K649">MIN(18,_xlfn.XLOOKUP($D649&amp;"_"&amp;K$61,$B$23:$B$45&amp;"_"&amp;$C$23:$C$45,$D$23:$D$45)*$E649)</f>
        <v>2.49148327566321</v>
      </c>
      <c r="L649" s="67" cm="1">
        <f ca="1" t="array" ref="L649">MIN(6,_xlfn.XLOOKUP($D649&amp;"_"&amp;L$61,$B$23:$B$45&amp;"_"&amp;$C$23:$C$45,$D$23:$D$45)*$E649)</f>
        <v>3.73722491349481</v>
      </c>
      <c r="M649" s="67" cm="1">
        <f ca="1" t="array" ref="M649">(1+SUMPRODUCT(G649:H649,OFFSET($H$49:$I$49,D649,0)))*(1+OFFSET($J$49,D649,0))^I649*(1+OFFSET($K$49,D649,0))^J649*(1+OFFSET($L$49,D649,0))^K649*(1+OFFSET($M$49,D649,0))^L649</f>
        <v>251.286567468025</v>
      </c>
      <c r="N649" s="67">
        <f ca="1">MAX(MAX($N$62:N648),OFFSET($C$61,MATCH(M649*1.07,$M$62:$M$2061,1),0)-C649)</f>
        <v>28800</v>
      </c>
    </row>
    <row r="650" spans="2:14">
      <c r="B650" s="67">
        <v>589</v>
      </c>
      <c r="C650" s="67">
        <f t="shared" si="61"/>
        <v>212040</v>
      </c>
      <c r="D650" s="67">
        <f t="shared" si="62"/>
        <v>5</v>
      </c>
      <c r="E650" s="67">
        <f ca="1" t="shared" si="63"/>
        <v>619</v>
      </c>
      <c r="F650" s="67">
        <f ca="1" t="shared" si="64"/>
        <v>0</v>
      </c>
      <c r="G650" s="67">
        <f ca="1" t="shared" si="65"/>
        <v>0</v>
      </c>
      <c r="H650" s="67" cm="1">
        <f ca="1" t="array" ref="H650">MIN(30-SUM(I650:L650),_xlfn.XLOOKUP($D650&amp;"_"&amp;H$61,$B$23:$B$45&amp;"_"&amp;$C$23:$C$45,$D$23:$D$45)*$E650,18)</f>
        <v>13.5044851980008</v>
      </c>
      <c r="I650" s="67" cm="1">
        <f ca="1" t="array" ref="I650">MIN(30-SUM(J650:L650),6-L650,_xlfn.XLOOKUP($D650&amp;"_"&amp;I$61,$B$23:$B$45&amp;"_"&amp;$C$23:$C$45,$D$23:$D$45)*$E650)</f>
        <v>2.25672779700115</v>
      </c>
      <c r="J650" s="67" cm="1">
        <f ca="1" t="array" ref="J650">MIN(8,_xlfn.XLOOKUP($D650&amp;"_"&amp;J$61,$B$23:$B$45&amp;"_"&amp;$C$23:$C$45,$D$23:$D$45)*$E650)</f>
        <v>8</v>
      </c>
      <c r="K650" s="67" cm="1">
        <f ca="1" t="array" ref="K650">MIN(18,_xlfn.XLOOKUP($D650&amp;"_"&amp;K$61,$B$23:$B$45&amp;"_"&amp;$C$23:$C$45,$D$23:$D$45)*$E650)</f>
        <v>2.49551480199923</v>
      </c>
      <c r="L650" s="67" cm="1">
        <f ca="1" t="array" ref="L650">MIN(6,_xlfn.XLOOKUP($D650&amp;"_"&amp;L$61,$B$23:$B$45&amp;"_"&amp;$C$23:$C$45,$D$23:$D$45)*$E650)</f>
        <v>3.74327220299885</v>
      </c>
      <c r="M650" s="67" cm="1">
        <f ca="1" t="array" ref="M650">(1+SUMPRODUCT(G650:H650,OFFSET($H$49:$I$49,D650,0)))*(1+OFFSET($J$49,D650,0))^I650*(1+OFFSET($K$49,D650,0))^J650*(1+OFFSET($L$49,D650,0))^K650*(1+OFFSET($M$49,D650,0))^L650</f>
        <v>251.499420947327</v>
      </c>
      <c r="N650" s="67">
        <f ca="1">MAX(MAX($N$62:N649),OFFSET($C$61,MATCH(M650*1.07,$M$62:$M$2061,1),0)-C650)</f>
        <v>28800</v>
      </c>
    </row>
    <row r="651" spans="2:14">
      <c r="B651" s="67">
        <v>590</v>
      </c>
      <c r="C651" s="67">
        <f t="shared" si="61"/>
        <v>212400</v>
      </c>
      <c r="D651" s="67">
        <f t="shared" si="62"/>
        <v>5</v>
      </c>
      <c r="E651" s="67">
        <f ca="1" t="shared" si="63"/>
        <v>620</v>
      </c>
      <c r="F651" s="67">
        <f ca="1" t="shared" si="64"/>
        <v>0</v>
      </c>
      <c r="G651" s="67">
        <f ca="1" t="shared" si="65"/>
        <v>0</v>
      </c>
      <c r="H651" s="67" cm="1">
        <f ca="1" t="array" ref="H651">MIN(30-SUM(I651:L651),_xlfn.XLOOKUP($D651&amp;"_"&amp;H$61,$B$23:$B$45&amp;"_"&amp;$C$23:$C$45,$D$23:$D$45)*$E651,18)</f>
        <v>13.5004536716647</v>
      </c>
      <c r="I651" s="67" cm="1">
        <f ca="1" t="array" ref="I651">MIN(30-SUM(J651:L651),6-L651,_xlfn.XLOOKUP($D651&amp;"_"&amp;I$61,$B$23:$B$45&amp;"_"&amp;$C$23:$C$45,$D$23:$D$45)*$E651)</f>
        <v>2.25068050749712</v>
      </c>
      <c r="J651" s="67" cm="1">
        <f ca="1" t="array" ref="J651">MIN(8,_xlfn.XLOOKUP($D651&amp;"_"&amp;J$61,$B$23:$B$45&amp;"_"&amp;$C$23:$C$45,$D$23:$D$45)*$E651)</f>
        <v>8</v>
      </c>
      <c r="K651" s="67" cm="1">
        <f ca="1" t="array" ref="K651">MIN(18,_xlfn.XLOOKUP($D651&amp;"_"&amp;K$61,$B$23:$B$45&amp;"_"&amp;$C$23:$C$45,$D$23:$D$45)*$E651)</f>
        <v>2.49954632833526</v>
      </c>
      <c r="L651" s="67" cm="1">
        <f ca="1" t="array" ref="L651">MIN(6,_xlfn.XLOOKUP($D651&amp;"_"&amp;L$61,$B$23:$B$45&amp;"_"&amp;$C$23:$C$45,$D$23:$D$45)*$E651)</f>
        <v>3.74931949250288</v>
      </c>
      <c r="M651" s="67" cm="1">
        <f ca="1" t="array" ref="M651">(1+SUMPRODUCT(G651:H651,OFFSET($H$49:$I$49,D651,0)))*(1+OFFSET($J$49,D651,0))^I651*(1+OFFSET($K$49,D651,0))^J651*(1+OFFSET($L$49,D651,0))^K651*(1+OFFSET($M$49,D651,0))^L651</f>
        <v>251.71244277733</v>
      </c>
      <c r="N651" s="67">
        <f ca="1">MAX(MAX($N$62:N650),OFFSET($C$61,MATCH(M651*1.07,$M$62:$M$2061,1),0)-C651)</f>
        <v>28800</v>
      </c>
    </row>
    <row r="652" spans="2:14">
      <c r="B652" s="67">
        <v>591</v>
      </c>
      <c r="C652" s="67">
        <f t="shared" si="61"/>
        <v>212760</v>
      </c>
      <c r="D652" s="67">
        <f t="shared" si="62"/>
        <v>5</v>
      </c>
      <c r="E652" s="67">
        <f ca="1" t="shared" si="63"/>
        <v>621</v>
      </c>
      <c r="F652" s="67">
        <f ca="1" t="shared" si="64"/>
        <v>0</v>
      </c>
      <c r="G652" s="67">
        <f ca="1" t="shared" si="65"/>
        <v>0</v>
      </c>
      <c r="H652" s="67" cm="1">
        <f ca="1" t="array" ref="H652">MIN(30-SUM(I652:L652),_xlfn.XLOOKUP($D652&amp;"_"&amp;H$61,$B$23:$B$45&amp;"_"&amp;$C$23:$C$45,$D$23:$D$45)*$E652,18)</f>
        <v>13.4964221453287</v>
      </c>
      <c r="I652" s="67" cm="1">
        <f ca="1" t="array" ref="I652">MIN(30-SUM(J652:L652),6-L652,_xlfn.XLOOKUP($D652&amp;"_"&amp;I$61,$B$23:$B$45&amp;"_"&amp;$C$23:$C$45,$D$23:$D$45)*$E652)</f>
        <v>2.24463321799308</v>
      </c>
      <c r="J652" s="67" cm="1">
        <f ca="1" t="array" ref="J652">MIN(8,_xlfn.XLOOKUP($D652&amp;"_"&amp;J$61,$B$23:$B$45&amp;"_"&amp;$C$23:$C$45,$D$23:$D$45)*$E652)</f>
        <v>8</v>
      </c>
      <c r="K652" s="67" cm="1">
        <f ca="1" t="array" ref="K652">MIN(18,_xlfn.XLOOKUP($D652&amp;"_"&amp;K$61,$B$23:$B$45&amp;"_"&amp;$C$23:$C$45,$D$23:$D$45)*$E652)</f>
        <v>2.50357785467128</v>
      </c>
      <c r="L652" s="67" cm="1">
        <f ca="1" t="array" ref="L652">MIN(6,_xlfn.XLOOKUP($D652&amp;"_"&amp;L$61,$B$23:$B$45&amp;"_"&amp;$C$23:$C$45,$D$23:$D$45)*$E652)</f>
        <v>3.75536678200692</v>
      </c>
      <c r="M652" s="67" cm="1">
        <f ca="1" t="array" ref="M652">(1+SUMPRODUCT(G652:H652,OFFSET($H$49:$I$49,D652,0)))*(1+OFFSET($J$49,D652,0))^I652*(1+OFFSET($K$49,D652,0))^J652*(1+OFFSET($L$49,D652,0))^K652*(1+OFFSET($M$49,D652,0))^L652</f>
        <v>251.925633075186</v>
      </c>
      <c r="N652" s="67">
        <f ca="1">MAX(MAX($N$62:N651),OFFSET($C$61,MATCH(M652*1.07,$M$62:$M$2061,1),0)-C652)</f>
        <v>28800</v>
      </c>
    </row>
    <row r="653" spans="2:14">
      <c r="B653" s="67">
        <v>592</v>
      </c>
      <c r="C653" s="67">
        <f t="shared" si="61"/>
        <v>213120</v>
      </c>
      <c r="D653" s="67">
        <f t="shared" si="62"/>
        <v>5</v>
      </c>
      <c r="E653" s="67">
        <f ca="1" t="shared" si="63"/>
        <v>622</v>
      </c>
      <c r="F653" s="67">
        <f ca="1" t="shared" si="64"/>
        <v>0</v>
      </c>
      <c r="G653" s="67">
        <f ca="1" t="shared" si="65"/>
        <v>0</v>
      </c>
      <c r="H653" s="67" cm="1">
        <f ca="1" t="array" ref="H653">MIN(30-SUM(I653:L653),_xlfn.XLOOKUP($D653&amp;"_"&amp;H$61,$B$23:$B$45&amp;"_"&amp;$C$23:$C$45,$D$23:$D$45)*$E653,18)</f>
        <v>13.4923906189927</v>
      </c>
      <c r="I653" s="67" cm="1">
        <f ca="1" t="array" ref="I653">MIN(30-SUM(J653:L653),6-L653,_xlfn.XLOOKUP($D653&amp;"_"&amp;I$61,$B$23:$B$45&amp;"_"&amp;$C$23:$C$45,$D$23:$D$45)*$E653)</f>
        <v>2.23858592848904</v>
      </c>
      <c r="J653" s="67" cm="1">
        <f ca="1" t="array" ref="J653">MIN(8,_xlfn.XLOOKUP($D653&amp;"_"&amp;J$61,$B$23:$B$45&amp;"_"&amp;$C$23:$C$45,$D$23:$D$45)*$E653)</f>
        <v>8</v>
      </c>
      <c r="K653" s="67" cm="1">
        <f ca="1" t="array" ref="K653">MIN(18,_xlfn.XLOOKUP($D653&amp;"_"&amp;K$61,$B$23:$B$45&amp;"_"&amp;$C$23:$C$45,$D$23:$D$45)*$E653)</f>
        <v>2.50760938100731</v>
      </c>
      <c r="L653" s="67" cm="1">
        <f ca="1" t="array" ref="L653">MIN(6,_xlfn.XLOOKUP($D653&amp;"_"&amp;L$61,$B$23:$B$45&amp;"_"&amp;$C$23:$C$45,$D$23:$D$45)*$E653)</f>
        <v>3.76141407151096</v>
      </c>
      <c r="M653" s="67" cm="1">
        <f ca="1" t="array" ref="M653">(1+SUMPRODUCT(G653:H653,OFFSET($H$49:$I$49,D653,0)))*(1+OFFSET($J$49,D653,0))^I653*(1+OFFSET($K$49,D653,0))^J653*(1+OFFSET($L$49,D653,0))^K653*(1+OFFSET($M$49,D653,0))^L653</f>
        <v>252.138991958103</v>
      </c>
      <c r="N653" s="67">
        <f ca="1">MAX(MAX($N$62:N652),OFFSET($C$61,MATCH(M653*1.07,$M$62:$M$2061,1),0)-C653)</f>
        <v>28800</v>
      </c>
    </row>
    <row r="654" spans="2:14">
      <c r="B654" s="67">
        <v>593</v>
      </c>
      <c r="C654" s="67">
        <f t="shared" si="61"/>
        <v>213480</v>
      </c>
      <c r="D654" s="67">
        <f t="shared" si="62"/>
        <v>5</v>
      </c>
      <c r="E654" s="67">
        <f ca="1" t="shared" si="63"/>
        <v>623</v>
      </c>
      <c r="F654" s="67">
        <f ca="1" t="shared" si="64"/>
        <v>0</v>
      </c>
      <c r="G654" s="67">
        <f ca="1" t="shared" si="65"/>
        <v>0</v>
      </c>
      <c r="H654" s="67" cm="1">
        <f ca="1" t="array" ref="H654">MIN(30-SUM(I654:L654),_xlfn.XLOOKUP($D654&amp;"_"&amp;H$61,$B$23:$B$45&amp;"_"&amp;$C$23:$C$45,$D$23:$D$45)*$E654,18)</f>
        <v>13.4883590926567</v>
      </c>
      <c r="I654" s="67" cm="1">
        <f ca="1" t="array" ref="I654">MIN(30-SUM(J654:L654),6-L654,_xlfn.XLOOKUP($D654&amp;"_"&amp;I$61,$B$23:$B$45&amp;"_"&amp;$C$23:$C$45,$D$23:$D$45)*$E654)</f>
        <v>2.232538638985</v>
      </c>
      <c r="J654" s="67" cm="1">
        <f ca="1" t="array" ref="J654">MIN(8,_xlfn.XLOOKUP($D654&amp;"_"&amp;J$61,$B$23:$B$45&amp;"_"&amp;$C$23:$C$45,$D$23:$D$45)*$E654)</f>
        <v>8</v>
      </c>
      <c r="K654" s="67" cm="1">
        <f ca="1" t="array" ref="K654">MIN(18,_xlfn.XLOOKUP($D654&amp;"_"&amp;K$61,$B$23:$B$45&amp;"_"&amp;$C$23:$C$45,$D$23:$D$45)*$E654)</f>
        <v>2.51164090734333</v>
      </c>
      <c r="L654" s="67" cm="1">
        <f ca="1" t="array" ref="L654">MIN(6,_xlfn.XLOOKUP($D654&amp;"_"&amp;L$61,$B$23:$B$45&amp;"_"&amp;$C$23:$C$45,$D$23:$D$45)*$E654)</f>
        <v>3.76746136101499</v>
      </c>
      <c r="M654" s="67" cm="1">
        <f ca="1" t="array" ref="M654">(1+SUMPRODUCT(G654:H654,OFFSET($H$49:$I$49,D654,0)))*(1+OFFSET($J$49,D654,0))^I654*(1+OFFSET($K$49,D654,0))^J654*(1+OFFSET($L$49,D654,0))^K654*(1+OFFSET($M$49,D654,0))^L654</f>
        <v>252.352519543349</v>
      </c>
      <c r="N654" s="67">
        <f ca="1">MAX(MAX($N$62:N653),OFFSET($C$61,MATCH(M654*1.07,$M$62:$M$2061,1),0)-C654)</f>
        <v>28800</v>
      </c>
    </row>
    <row r="655" spans="2:14">
      <c r="B655" s="67">
        <v>594</v>
      </c>
      <c r="C655" s="67">
        <f t="shared" si="61"/>
        <v>213840</v>
      </c>
      <c r="D655" s="67">
        <f t="shared" si="62"/>
        <v>5</v>
      </c>
      <c r="E655" s="67">
        <f ca="1" t="shared" si="63"/>
        <v>624</v>
      </c>
      <c r="F655" s="67">
        <f ca="1" t="shared" si="64"/>
        <v>0</v>
      </c>
      <c r="G655" s="67">
        <f ca="1" t="shared" si="65"/>
        <v>0</v>
      </c>
      <c r="H655" s="67" cm="1">
        <f ca="1" t="array" ref="H655">MIN(30-SUM(I655:L655),_xlfn.XLOOKUP($D655&amp;"_"&amp;H$61,$B$23:$B$45&amp;"_"&amp;$C$23:$C$45,$D$23:$D$45)*$E655,18)</f>
        <v>13.4843275663206</v>
      </c>
      <c r="I655" s="67" cm="1">
        <f ca="1" t="array" ref="I655">MIN(30-SUM(J655:L655),6-L655,_xlfn.XLOOKUP($D655&amp;"_"&amp;I$61,$B$23:$B$45&amp;"_"&amp;$C$23:$C$45,$D$23:$D$45)*$E655)</f>
        <v>2.22649134948097</v>
      </c>
      <c r="J655" s="67" cm="1">
        <f ca="1" t="array" ref="J655">MIN(8,_xlfn.XLOOKUP($D655&amp;"_"&amp;J$61,$B$23:$B$45&amp;"_"&amp;$C$23:$C$45,$D$23:$D$45)*$E655)</f>
        <v>8</v>
      </c>
      <c r="K655" s="67" cm="1">
        <f ca="1" t="array" ref="K655">MIN(18,_xlfn.XLOOKUP($D655&amp;"_"&amp;K$61,$B$23:$B$45&amp;"_"&amp;$C$23:$C$45,$D$23:$D$45)*$E655)</f>
        <v>2.51567243367936</v>
      </c>
      <c r="L655" s="67" cm="1">
        <f ca="1" t="array" ref="L655">MIN(6,_xlfn.XLOOKUP($D655&amp;"_"&amp;L$61,$B$23:$B$45&amp;"_"&amp;$C$23:$C$45,$D$23:$D$45)*$E655)</f>
        <v>3.77350865051903</v>
      </c>
      <c r="M655" s="67" cm="1">
        <f ca="1" t="array" ref="M655">(1+SUMPRODUCT(G655:H655,OFFSET($H$49:$I$49,D655,0)))*(1+OFFSET($J$49,D655,0))^I655*(1+OFFSET($K$49,D655,0))^J655*(1+OFFSET($L$49,D655,0))^K655*(1+OFFSET($M$49,D655,0))^L655</f>
        <v>252.566215948252</v>
      </c>
      <c r="N655" s="67">
        <f ca="1">MAX(MAX($N$62:N654),OFFSET($C$61,MATCH(M655*1.07,$M$62:$M$2061,1),0)-C655)</f>
        <v>28800</v>
      </c>
    </row>
    <row r="656" spans="2:14">
      <c r="B656" s="67">
        <v>595</v>
      </c>
      <c r="C656" s="67">
        <f t="shared" si="61"/>
        <v>214200</v>
      </c>
      <c r="D656" s="67">
        <f t="shared" si="62"/>
        <v>5</v>
      </c>
      <c r="E656" s="67">
        <f ca="1" t="shared" si="63"/>
        <v>625</v>
      </c>
      <c r="F656" s="67">
        <f ca="1" t="shared" si="64"/>
        <v>0</v>
      </c>
      <c r="G656" s="67">
        <f ca="1" t="shared" si="65"/>
        <v>0</v>
      </c>
      <c r="H656" s="67" cm="1">
        <f ca="1" t="array" ref="H656">MIN(30-SUM(I656:L656),_xlfn.XLOOKUP($D656&amp;"_"&amp;H$61,$B$23:$B$45&amp;"_"&amp;$C$23:$C$45,$D$23:$D$45)*$E656,18)</f>
        <v>13.4802960399846</v>
      </c>
      <c r="I656" s="67" cm="1">
        <f ca="1" t="array" ref="I656">MIN(30-SUM(J656:L656),6-L656,_xlfn.XLOOKUP($D656&amp;"_"&amp;I$61,$B$23:$B$45&amp;"_"&amp;$C$23:$C$45,$D$23:$D$45)*$E656)</f>
        <v>2.22044405997693</v>
      </c>
      <c r="J656" s="67" cm="1">
        <f ca="1" t="array" ref="J656">MIN(8,_xlfn.XLOOKUP($D656&amp;"_"&amp;J$61,$B$23:$B$45&amp;"_"&amp;$C$23:$C$45,$D$23:$D$45)*$E656)</f>
        <v>8</v>
      </c>
      <c r="K656" s="67" cm="1">
        <f ca="1" t="array" ref="K656">MIN(18,_xlfn.XLOOKUP($D656&amp;"_"&amp;K$61,$B$23:$B$45&amp;"_"&amp;$C$23:$C$45,$D$23:$D$45)*$E656)</f>
        <v>2.51970396001538</v>
      </c>
      <c r="L656" s="67" cm="1">
        <f ca="1" t="array" ref="L656">MIN(6,_xlfn.XLOOKUP($D656&amp;"_"&amp;L$61,$B$23:$B$45&amp;"_"&amp;$C$23:$C$45,$D$23:$D$45)*$E656)</f>
        <v>3.77955594002307</v>
      </c>
      <c r="M656" s="67" cm="1">
        <f ca="1" t="array" ref="M656">(1+SUMPRODUCT(G656:H656,OFFSET($H$49:$I$49,D656,0)))*(1+OFFSET($J$49,D656,0))^I656*(1+OFFSET($K$49,D656,0))^J656*(1+OFFSET($L$49,D656,0))^K656*(1+OFFSET($M$49,D656,0))^L656</f>
        <v>252.780081290196</v>
      </c>
      <c r="N656" s="67">
        <f ca="1">MAX(MAX($N$62:N655),OFFSET($C$61,MATCH(M656*1.07,$M$62:$M$2061,1),0)-C656)</f>
        <v>28800</v>
      </c>
    </row>
    <row r="657" spans="2:14">
      <c r="B657" s="67">
        <v>596</v>
      </c>
      <c r="C657" s="67">
        <f t="shared" si="61"/>
        <v>214560</v>
      </c>
      <c r="D657" s="67">
        <f t="shared" si="62"/>
        <v>5</v>
      </c>
      <c r="E657" s="67">
        <f ca="1" t="shared" si="63"/>
        <v>626</v>
      </c>
      <c r="F657" s="67">
        <f ca="1" t="shared" si="64"/>
        <v>0</v>
      </c>
      <c r="G657" s="67">
        <f ca="1" t="shared" si="65"/>
        <v>0</v>
      </c>
      <c r="H657" s="67" cm="1">
        <f ca="1" t="array" ref="H657">MIN(30-SUM(I657:L657),_xlfn.XLOOKUP($D657&amp;"_"&amp;H$61,$B$23:$B$45&amp;"_"&amp;$C$23:$C$45,$D$23:$D$45)*$E657,18)</f>
        <v>13.4762645136486</v>
      </c>
      <c r="I657" s="67" cm="1">
        <f ca="1" t="array" ref="I657">MIN(30-SUM(J657:L657),6-L657,_xlfn.XLOOKUP($D657&amp;"_"&amp;I$61,$B$23:$B$45&amp;"_"&amp;$C$23:$C$45,$D$23:$D$45)*$E657)</f>
        <v>2.21439677047289</v>
      </c>
      <c r="J657" s="67" cm="1">
        <f ca="1" t="array" ref="J657">MIN(8,_xlfn.XLOOKUP($D657&amp;"_"&amp;J$61,$B$23:$B$45&amp;"_"&amp;$C$23:$C$45,$D$23:$D$45)*$E657)</f>
        <v>8</v>
      </c>
      <c r="K657" s="67" cm="1">
        <f ca="1" t="array" ref="K657">MIN(18,_xlfn.XLOOKUP($D657&amp;"_"&amp;K$61,$B$23:$B$45&amp;"_"&amp;$C$23:$C$45,$D$23:$D$45)*$E657)</f>
        <v>2.52373548635141</v>
      </c>
      <c r="L657" s="67" cm="1">
        <f ca="1" t="array" ref="L657">MIN(6,_xlfn.XLOOKUP($D657&amp;"_"&amp;L$61,$B$23:$B$45&amp;"_"&amp;$C$23:$C$45,$D$23:$D$45)*$E657)</f>
        <v>3.78560322952711</v>
      </c>
      <c r="M657" s="67" cm="1">
        <f ca="1" t="array" ref="M657">(1+SUMPRODUCT(G657:H657,OFFSET($H$49:$I$49,D657,0)))*(1+OFFSET($J$49,D657,0))^I657*(1+OFFSET($K$49,D657,0))^J657*(1+OFFSET($L$49,D657,0))^K657*(1+OFFSET($M$49,D657,0))^L657</f>
        <v>252.994115686624</v>
      </c>
      <c r="N657" s="67">
        <f ca="1">MAX(MAX($N$62:N656),OFFSET($C$61,MATCH(M657*1.07,$M$62:$M$2061,1),0)-C657)</f>
        <v>28800</v>
      </c>
    </row>
    <row r="658" spans="2:14">
      <c r="B658" s="67">
        <v>597</v>
      </c>
      <c r="C658" s="67">
        <f t="shared" ref="C658:C689" si="66">C657+360</f>
        <v>214920</v>
      </c>
      <c r="D658" s="67">
        <f t="shared" si="62"/>
        <v>5</v>
      </c>
      <c r="E658" s="67">
        <f ca="1" t="shared" si="63"/>
        <v>627</v>
      </c>
      <c r="F658" s="67">
        <f ca="1" t="shared" si="64"/>
        <v>0</v>
      </c>
      <c r="G658" s="67">
        <f ca="1" t="shared" si="65"/>
        <v>0</v>
      </c>
      <c r="H658" s="67" cm="1">
        <f ca="1" t="array" ref="H658">MIN(30-SUM(I658:L658),_xlfn.XLOOKUP($D658&amp;"_"&amp;H$61,$B$23:$B$45&amp;"_"&amp;$C$23:$C$45,$D$23:$D$45)*$E658,18)</f>
        <v>13.4722329873126</v>
      </c>
      <c r="I658" s="67" cm="1">
        <f ca="1" t="array" ref="I658">MIN(30-SUM(J658:L658),6-L658,_xlfn.XLOOKUP($D658&amp;"_"&amp;I$61,$B$23:$B$45&amp;"_"&amp;$C$23:$C$45,$D$23:$D$45)*$E658)</f>
        <v>2.20834948096886</v>
      </c>
      <c r="J658" s="67" cm="1">
        <f ca="1" t="array" ref="J658">MIN(8,_xlfn.XLOOKUP($D658&amp;"_"&amp;J$61,$B$23:$B$45&amp;"_"&amp;$C$23:$C$45,$D$23:$D$45)*$E658)</f>
        <v>8</v>
      </c>
      <c r="K658" s="67" cm="1">
        <f ca="1" t="array" ref="K658">MIN(18,_xlfn.XLOOKUP($D658&amp;"_"&amp;K$61,$B$23:$B$45&amp;"_"&amp;$C$23:$C$45,$D$23:$D$45)*$E658)</f>
        <v>2.52776701268743</v>
      </c>
      <c r="L658" s="67" cm="1">
        <f ca="1" t="array" ref="L658">MIN(6,_xlfn.XLOOKUP($D658&amp;"_"&amp;L$61,$B$23:$B$45&amp;"_"&amp;$C$23:$C$45,$D$23:$D$45)*$E658)</f>
        <v>3.79165051903114</v>
      </c>
      <c r="M658" s="67" cm="1">
        <f ca="1" t="array" ref="M658">(1+SUMPRODUCT(G658:H658,OFFSET($H$49:$I$49,D658,0)))*(1+OFFSET($J$49,D658,0))^I658*(1+OFFSET($K$49,D658,0))^J658*(1+OFFSET($L$49,D658,0))^K658*(1+OFFSET($M$49,D658,0))^L658</f>
        <v>253.208319255039</v>
      </c>
      <c r="N658" s="67">
        <f ca="1">MAX(MAX($N$62:N657),OFFSET($C$61,MATCH(M658*1.07,$M$62:$M$2061,1),0)-C658)</f>
        <v>28800</v>
      </c>
    </row>
    <row r="659" spans="2:14">
      <c r="B659" s="67">
        <v>598</v>
      </c>
      <c r="C659" s="67">
        <f t="shared" si="66"/>
        <v>215280</v>
      </c>
      <c r="D659" s="67">
        <f t="shared" si="62"/>
        <v>5</v>
      </c>
      <c r="E659" s="67">
        <f ca="1" t="shared" si="63"/>
        <v>628</v>
      </c>
      <c r="F659" s="67">
        <f ca="1" t="shared" si="64"/>
        <v>0</v>
      </c>
      <c r="G659" s="67">
        <f ca="1" t="shared" si="65"/>
        <v>0</v>
      </c>
      <c r="H659" s="67" cm="1">
        <f ca="1" t="array" ref="H659">MIN(30-SUM(I659:L659),_xlfn.XLOOKUP($D659&amp;"_"&amp;H$61,$B$23:$B$45&amp;"_"&amp;$C$23:$C$45,$D$23:$D$45)*$E659,18)</f>
        <v>13.4682014609765</v>
      </c>
      <c r="I659" s="67" cm="1">
        <f ca="1" t="array" ref="I659">MIN(30-SUM(J659:L659),6-L659,_xlfn.XLOOKUP($D659&amp;"_"&amp;I$61,$B$23:$B$45&amp;"_"&amp;$C$23:$C$45,$D$23:$D$45)*$E659)</f>
        <v>2.20230219146482</v>
      </c>
      <c r="J659" s="67" cm="1">
        <f ca="1" t="array" ref="J659">MIN(8,_xlfn.XLOOKUP($D659&amp;"_"&amp;J$61,$B$23:$B$45&amp;"_"&amp;$C$23:$C$45,$D$23:$D$45)*$E659)</f>
        <v>8</v>
      </c>
      <c r="K659" s="67" cm="1">
        <f ca="1" t="array" ref="K659">MIN(18,_xlfn.XLOOKUP($D659&amp;"_"&amp;K$61,$B$23:$B$45&amp;"_"&amp;$C$23:$C$45,$D$23:$D$45)*$E659)</f>
        <v>2.53179853902345</v>
      </c>
      <c r="L659" s="67" cm="1">
        <f ca="1" t="array" ref="L659">MIN(6,_xlfn.XLOOKUP($D659&amp;"_"&amp;L$61,$B$23:$B$45&amp;"_"&amp;$C$23:$C$45,$D$23:$D$45)*$E659)</f>
        <v>3.79769780853518</v>
      </c>
      <c r="M659" s="67" cm="1">
        <f ca="1" t="array" ref="M659">(1+SUMPRODUCT(G659:H659,OFFSET($H$49:$I$49,D659,0)))*(1+OFFSET($J$49,D659,0))^I659*(1+OFFSET($K$49,D659,0))^J659*(1+OFFSET($L$49,D659,0))^K659*(1+OFFSET($M$49,D659,0))^L659</f>
        <v>253.422692113002</v>
      </c>
      <c r="N659" s="67">
        <f ca="1">MAX(MAX($N$62:N658),OFFSET($C$61,MATCH(M659*1.07,$M$62:$M$2061,1),0)-C659)</f>
        <v>28800</v>
      </c>
    </row>
    <row r="660" spans="2:14">
      <c r="B660" s="67">
        <v>599</v>
      </c>
      <c r="C660" s="67">
        <f t="shared" si="66"/>
        <v>215640</v>
      </c>
      <c r="D660" s="67">
        <f t="shared" si="62"/>
        <v>5</v>
      </c>
      <c r="E660" s="67">
        <f ca="1" t="shared" si="63"/>
        <v>629</v>
      </c>
      <c r="F660" s="67">
        <f ca="1" t="shared" si="64"/>
        <v>0</v>
      </c>
      <c r="G660" s="67">
        <f ca="1" t="shared" si="65"/>
        <v>0</v>
      </c>
      <c r="H660" s="67" cm="1">
        <f ca="1" t="array" ref="H660">MIN(30-SUM(I660:L660),_xlfn.XLOOKUP($D660&amp;"_"&amp;H$61,$B$23:$B$45&amp;"_"&amp;$C$23:$C$45,$D$23:$D$45)*$E660,18)</f>
        <v>13.4641699346405</v>
      </c>
      <c r="I660" s="67" cm="1">
        <f ca="1" t="array" ref="I660">MIN(30-SUM(J660:L660),6-L660,_xlfn.XLOOKUP($D660&amp;"_"&amp;I$61,$B$23:$B$45&amp;"_"&amp;$C$23:$C$45,$D$23:$D$45)*$E660)</f>
        <v>2.19625490196078</v>
      </c>
      <c r="J660" s="67" cm="1">
        <f ca="1" t="array" ref="J660">MIN(8,_xlfn.XLOOKUP($D660&amp;"_"&amp;J$61,$B$23:$B$45&amp;"_"&amp;$C$23:$C$45,$D$23:$D$45)*$E660)</f>
        <v>8</v>
      </c>
      <c r="K660" s="67" cm="1">
        <f ca="1" t="array" ref="K660">MIN(18,_xlfn.XLOOKUP($D660&amp;"_"&amp;K$61,$B$23:$B$45&amp;"_"&amp;$C$23:$C$45,$D$23:$D$45)*$E660)</f>
        <v>2.53583006535948</v>
      </c>
      <c r="L660" s="67" cm="1">
        <f ca="1" t="array" ref="L660">MIN(6,_xlfn.XLOOKUP($D660&amp;"_"&amp;L$61,$B$23:$B$45&amp;"_"&amp;$C$23:$C$45,$D$23:$D$45)*$E660)</f>
        <v>3.80374509803922</v>
      </c>
      <c r="M660" s="67" cm="1">
        <f ca="1" t="array" ref="M660">(1+SUMPRODUCT(G660:H660,OFFSET($H$49:$I$49,D660,0)))*(1+OFFSET($J$49,D660,0))^I660*(1+OFFSET($K$49,D660,0))^J660*(1+OFFSET($L$49,D660,0))^K660*(1+OFFSET($M$49,D660,0))^L660</f>
        <v>253.637234378131</v>
      </c>
      <c r="N660" s="67">
        <f ca="1">MAX(MAX($N$62:N659),OFFSET($C$61,MATCH(M660*1.07,$M$62:$M$2061,1),0)-C660)</f>
        <v>28800</v>
      </c>
    </row>
    <row r="661" spans="2:14">
      <c r="B661" s="67">
        <v>600</v>
      </c>
      <c r="C661" s="67">
        <f t="shared" si="66"/>
        <v>216000</v>
      </c>
      <c r="D661" s="67">
        <f t="shared" si="62"/>
        <v>5</v>
      </c>
      <c r="E661" s="67">
        <f ca="1" t="shared" si="63"/>
        <v>630</v>
      </c>
      <c r="F661" s="67">
        <f ca="1" t="shared" si="64"/>
        <v>0</v>
      </c>
      <c r="G661" s="67">
        <f ca="1" t="shared" si="65"/>
        <v>0</v>
      </c>
      <c r="H661" s="67" cm="1">
        <f ca="1" t="array" ref="H661">MIN(30-SUM(I661:L661),_xlfn.XLOOKUP($D661&amp;"_"&amp;H$61,$B$23:$B$45&amp;"_"&amp;$C$23:$C$45,$D$23:$D$45)*$E661,18)</f>
        <v>13.4601384083045</v>
      </c>
      <c r="I661" s="67" cm="1">
        <f ca="1" t="array" ref="I661">MIN(30-SUM(J661:L661),6-L661,_xlfn.XLOOKUP($D661&amp;"_"&amp;I$61,$B$23:$B$45&amp;"_"&amp;$C$23:$C$45,$D$23:$D$45)*$E661)</f>
        <v>2.19020761245675</v>
      </c>
      <c r="J661" s="67" cm="1">
        <f ca="1" t="array" ref="J661">MIN(8,_xlfn.XLOOKUP($D661&amp;"_"&amp;J$61,$B$23:$B$45&amp;"_"&amp;$C$23:$C$45,$D$23:$D$45)*$E661)</f>
        <v>8</v>
      </c>
      <c r="K661" s="67" cm="1">
        <f ca="1" t="array" ref="K661">MIN(18,_xlfn.XLOOKUP($D661&amp;"_"&amp;K$61,$B$23:$B$45&amp;"_"&amp;$C$23:$C$45,$D$23:$D$45)*$E661)</f>
        <v>2.5398615916955</v>
      </c>
      <c r="L661" s="67" cm="1">
        <f ca="1" t="array" ref="L661">MIN(6,_xlfn.XLOOKUP($D661&amp;"_"&amp;L$61,$B$23:$B$45&amp;"_"&amp;$C$23:$C$45,$D$23:$D$45)*$E661)</f>
        <v>3.80979238754325</v>
      </c>
      <c r="M661" s="67" cm="1">
        <f ca="1" t="array" ref="M661">(1+SUMPRODUCT(G661:H661,OFFSET($H$49:$I$49,D661,0)))*(1+OFFSET($J$49,D661,0))^I661*(1+OFFSET($K$49,D661,0))^J661*(1+OFFSET($L$49,D661,0))^K661*(1+OFFSET($M$49,D661,0))^L661</f>
        <v>253.851946168104</v>
      </c>
      <c r="N661" s="67">
        <f ca="1">MAX(MAX($N$62:N660),OFFSET($C$61,MATCH(M661*1.07,$M$62:$M$2061,1),0)-C661)</f>
        <v>28800</v>
      </c>
    </row>
    <row r="662" spans="2:14">
      <c r="B662" s="67">
        <v>601</v>
      </c>
      <c r="C662" s="67">
        <f t="shared" si="66"/>
        <v>216360</v>
      </c>
      <c r="D662" s="67">
        <f t="shared" si="62"/>
        <v>5</v>
      </c>
      <c r="E662" s="67">
        <f ca="1" t="shared" si="63"/>
        <v>631</v>
      </c>
      <c r="F662" s="67">
        <f ca="1" t="shared" si="64"/>
        <v>0</v>
      </c>
      <c r="G662" s="67">
        <f ca="1" t="shared" si="65"/>
        <v>0</v>
      </c>
      <c r="H662" s="67" cm="1">
        <f ca="1" t="array" ref="H662">MIN(30-SUM(I662:L662),_xlfn.XLOOKUP($D662&amp;"_"&amp;H$61,$B$23:$B$45&amp;"_"&amp;$C$23:$C$45,$D$23:$D$45)*$E662,18)</f>
        <v>13.4561068819685</v>
      </c>
      <c r="I662" s="67" cm="1">
        <f ca="1" t="array" ref="I662">MIN(30-SUM(J662:L662),6-L662,_xlfn.XLOOKUP($D662&amp;"_"&amp;I$61,$B$23:$B$45&amp;"_"&amp;$C$23:$C$45,$D$23:$D$45)*$E662)</f>
        <v>2.18416032295271</v>
      </c>
      <c r="J662" s="67" cm="1">
        <f ca="1" t="array" ref="J662">MIN(8,_xlfn.XLOOKUP($D662&amp;"_"&amp;J$61,$B$23:$B$45&amp;"_"&amp;$C$23:$C$45,$D$23:$D$45)*$E662)</f>
        <v>8</v>
      </c>
      <c r="K662" s="67" cm="1">
        <f ca="1" t="array" ref="K662">MIN(18,_xlfn.XLOOKUP($D662&amp;"_"&amp;K$61,$B$23:$B$45&amp;"_"&amp;$C$23:$C$45,$D$23:$D$45)*$E662)</f>
        <v>2.54389311803153</v>
      </c>
      <c r="L662" s="67" cm="1">
        <f ca="1" t="array" ref="L662">MIN(6,_xlfn.XLOOKUP($D662&amp;"_"&amp;L$61,$B$23:$B$45&amp;"_"&amp;$C$23:$C$45,$D$23:$D$45)*$E662)</f>
        <v>3.81583967704729</v>
      </c>
      <c r="M662" s="67" cm="1">
        <f ca="1" t="array" ref="M662">(1+SUMPRODUCT(G662:H662,OFFSET($H$49:$I$49,D662,0)))*(1+OFFSET($J$49,D662,0))^I662*(1+OFFSET($K$49,D662,0))^J662*(1+OFFSET($L$49,D662,0))^K662*(1+OFFSET($M$49,D662,0))^L662</f>
        <v>254.066827600658</v>
      </c>
      <c r="N662" s="67">
        <f ca="1">MAX(MAX($N$62:N661),OFFSET($C$61,MATCH(M662*1.07,$M$62:$M$2061,1),0)-C662)</f>
        <v>28800</v>
      </c>
    </row>
    <row r="663" spans="2:14">
      <c r="B663" s="67">
        <v>602</v>
      </c>
      <c r="C663" s="67">
        <f t="shared" si="66"/>
        <v>216720</v>
      </c>
      <c r="D663" s="67">
        <f t="shared" si="62"/>
        <v>5</v>
      </c>
      <c r="E663" s="67">
        <f ca="1" t="shared" si="63"/>
        <v>632</v>
      </c>
      <c r="F663" s="67">
        <f ca="1" t="shared" si="64"/>
        <v>0</v>
      </c>
      <c r="G663" s="67">
        <f ca="1" t="shared" si="65"/>
        <v>0</v>
      </c>
      <c r="H663" s="67" cm="1">
        <f ca="1" t="array" ref="H663">MIN(30-SUM(I663:L663),_xlfn.XLOOKUP($D663&amp;"_"&amp;H$61,$B$23:$B$45&amp;"_"&amp;$C$23:$C$45,$D$23:$D$45)*$E663,18)</f>
        <v>13.4520753556324</v>
      </c>
      <c r="I663" s="67" cm="1">
        <f ca="1" t="array" ref="I663">MIN(30-SUM(J663:L663),6-L663,_xlfn.XLOOKUP($D663&amp;"_"&amp;I$61,$B$23:$B$45&amp;"_"&amp;$C$23:$C$45,$D$23:$D$45)*$E663)</f>
        <v>2.17811303344867</v>
      </c>
      <c r="J663" s="67" cm="1">
        <f ca="1" t="array" ref="J663">MIN(8,_xlfn.XLOOKUP($D663&amp;"_"&amp;J$61,$B$23:$B$45&amp;"_"&amp;$C$23:$C$45,$D$23:$D$45)*$E663)</f>
        <v>8</v>
      </c>
      <c r="K663" s="67" cm="1">
        <f ca="1" t="array" ref="K663">MIN(18,_xlfn.XLOOKUP($D663&amp;"_"&amp;K$61,$B$23:$B$45&amp;"_"&amp;$C$23:$C$45,$D$23:$D$45)*$E663)</f>
        <v>2.54792464436755</v>
      </c>
      <c r="L663" s="67" cm="1">
        <f ca="1" t="array" ref="L663">MIN(6,_xlfn.XLOOKUP($D663&amp;"_"&amp;L$61,$B$23:$B$45&amp;"_"&amp;$C$23:$C$45,$D$23:$D$45)*$E663)</f>
        <v>3.82188696655133</v>
      </c>
      <c r="M663" s="67" cm="1">
        <f ca="1" t="array" ref="M663">(1+SUMPRODUCT(G663:H663,OFFSET($H$49:$I$49,D663,0)))*(1+OFFSET($J$49,D663,0))^I663*(1+OFFSET($K$49,D663,0))^J663*(1+OFFSET($L$49,D663,0))^K663*(1+OFFSET($M$49,D663,0))^L663</f>
        <v>254.281878793586</v>
      </c>
      <c r="N663" s="67">
        <f ca="1">MAX(MAX($N$62:N662),OFFSET($C$61,MATCH(M663*1.07,$M$62:$M$2061,1),0)-C663)</f>
        <v>28800</v>
      </c>
    </row>
    <row r="664" spans="2:14">
      <c r="B664" s="67">
        <v>603</v>
      </c>
      <c r="C664" s="67">
        <f t="shared" si="66"/>
        <v>217080</v>
      </c>
      <c r="D664" s="67">
        <f t="shared" si="62"/>
        <v>5</v>
      </c>
      <c r="E664" s="67">
        <f ca="1" t="shared" si="63"/>
        <v>633</v>
      </c>
      <c r="F664" s="67">
        <f ca="1" t="shared" si="64"/>
        <v>0</v>
      </c>
      <c r="G664" s="67">
        <f ca="1" t="shared" si="65"/>
        <v>0</v>
      </c>
      <c r="H664" s="67" cm="1">
        <f ca="1" t="array" ref="H664">MIN(30-SUM(I664:L664),_xlfn.XLOOKUP($D664&amp;"_"&amp;H$61,$B$23:$B$45&amp;"_"&amp;$C$23:$C$45,$D$23:$D$45)*$E664,18)</f>
        <v>13.4480438292964</v>
      </c>
      <c r="I664" s="67" cm="1">
        <f ca="1" t="array" ref="I664">MIN(30-SUM(J664:L664),6-L664,_xlfn.XLOOKUP($D664&amp;"_"&amp;I$61,$B$23:$B$45&amp;"_"&amp;$C$23:$C$45,$D$23:$D$45)*$E664)</f>
        <v>2.17206574394464</v>
      </c>
      <c r="J664" s="67" cm="1">
        <f ca="1" t="array" ref="J664">MIN(8,_xlfn.XLOOKUP($D664&amp;"_"&amp;J$61,$B$23:$B$45&amp;"_"&amp;$C$23:$C$45,$D$23:$D$45)*$E664)</f>
        <v>8</v>
      </c>
      <c r="K664" s="67" cm="1">
        <f ca="1" t="array" ref="K664">MIN(18,_xlfn.XLOOKUP($D664&amp;"_"&amp;K$61,$B$23:$B$45&amp;"_"&amp;$C$23:$C$45,$D$23:$D$45)*$E664)</f>
        <v>2.55195617070358</v>
      </c>
      <c r="L664" s="67" cm="1">
        <f ca="1" t="array" ref="L664">MIN(6,_xlfn.XLOOKUP($D664&amp;"_"&amp;L$61,$B$23:$B$45&amp;"_"&amp;$C$23:$C$45,$D$23:$D$45)*$E664)</f>
        <v>3.82793425605536</v>
      </c>
      <c r="M664" s="67" cm="1">
        <f ca="1" t="array" ref="M664">(1+SUMPRODUCT(G664:H664,OFFSET($H$49:$I$49,D664,0)))*(1+OFFSET($J$49,D664,0))^I664*(1+OFFSET($K$49,D664,0))^J664*(1+OFFSET($L$49,D664,0))^K664*(1+OFFSET($M$49,D664,0))^L664</f>
        <v>254.497099864742</v>
      </c>
      <c r="N664" s="67">
        <f ca="1">MAX(MAX($N$62:N663),OFFSET($C$61,MATCH(M664*1.07,$M$62:$M$2061,1),0)-C664)</f>
        <v>28800</v>
      </c>
    </row>
    <row r="665" spans="2:14">
      <c r="B665" s="67">
        <v>604</v>
      </c>
      <c r="C665" s="67">
        <f t="shared" si="66"/>
        <v>217440</v>
      </c>
      <c r="D665" s="67">
        <f t="shared" si="62"/>
        <v>5</v>
      </c>
      <c r="E665" s="67">
        <f ca="1" t="shared" si="63"/>
        <v>634</v>
      </c>
      <c r="F665" s="67">
        <f ca="1" t="shared" si="64"/>
        <v>0</v>
      </c>
      <c r="G665" s="67">
        <f ca="1" t="shared" si="65"/>
        <v>0</v>
      </c>
      <c r="H665" s="67" cm="1">
        <f ca="1" t="array" ref="H665">MIN(30-SUM(I665:L665),_xlfn.XLOOKUP($D665&amp;"_"&amp;H$61,$B$23:$B$45&amp;"_"&amp;$C$23:$C$45,$D$23:$D$45)*$E665,18)</f>
        <v>13.4440123029604</v>
      </c>
      <c r="I665" s="67" cm="1">
        <f ca="1" t="array" ref="I665">MIN(30-SUM(J665:L665),6-L665,_xlfn.XLOOKUP($D665&amp;"_"&amp;I$61,$B$23:$B$45&amp;"_"&amp;$C$23:$C$45,$D$23:$D$45)*$E665)</f>
        <v>2.1660184544406</v>
      </c>
      <c r="J665" s="67" cm="1">
        <f ca="1" t="array" ref="J665">MIN(8,_xlfn.XLOOKUP($D665&amp;"_"&amp;J$61,$B$23:$B$45&amp;"_"&amp;$C$23:$C$45,$D$23:$D$45)*$E665)</f>
        <v>8</v>
      </c>
      <c r="K665" s="67" cm="1">
        <f ca="1" t="array" ref="K665">MIN(18,_xlfn.XLOOKUP($D665&amp;"_"&amp;K$61,$B$23:$B$45&amp;"_"&amp;$C$23:$C$45,$D$23:$D$45)*$E665)</f>
        <v>2.5559876970396</v>
      </c>
      <c r="L665" s="67" cm="1">
        <f ca="1" t="array" ref="L665">MIN(6,_xlfn.XLOOKUP($D665&amp;"_"&amp;L$61,$B$23:$B$45&amp;"_"&amp;$C$23:$C$45,$D$23:$D$45)*$E665)</f>
        <v>3.8339815455594</v>
      </c>
      <c r="M665" s="67" cm="1">
        <f ca="1" t="array" ref="M665">(1+SUMPRODUCT(G665:H665,OFFSET($H$49:$I$49,D665,0)))*(1+OFFSET($J$49,D665,0))^I665*(1+OFFSET($K$49,D665,0))^J665*(1+OFFSET($L$49,D665,0))^K665*(1+OFFSET($M$49,D665,0))^L665</f>
        <v>254.712490932037</v>
      </c>
      <c r="N665" s="67">
        <f ca="1">MAX(MAX($N$62:N664),OFFSET($C$61,MATCH(M665*1.07,$M$62:$M$2061,1),0)-C665)</f>
        <v>28800</v>
      </c>
    </row>
    <row r="666" spans="2:14">
      <c r="B666" s="67">
        <v>605</v>
      </c>
      <c r="C666" s="67">
        <f t="shared" si="66"/>
        <v>217800</v>
      </c>
      <c r="D666" s="67">
        <f t="shared" si="62"/>
        <v>5</v>
      </c>
      <c r="E666" s="67">
        <f ca="1" t="shared" si="63"/>
        <v>635</v>
      </c>
      <c r="F666" s="67">
        <f ca="1" t="shared" si="64"/>
        <v>0</v>
      </c>
      <c r="G666" s="67">
        <f ca="1" t="shared" si="65"/>
        <v>0</v>
      </c>
      <c r="H666" s="67" cm="1">
        <f ca="1" t="array" ref="H666">MIN(30-SUM(I666:L666),_xlfn.XLOOKUP($D666&amp;"_"&amp;H$61,$B$23:$B$45&amp;"_"&amp;$C$23:$C$45,$D$23:$D$45)*$E666,18)</f>
        <v>13.4399807766244</v>
      </c>
      <c r="I666" s="67" cm="1">
        <f ca="1" t="array" ref="I666">MIN(30-SUM(J666:L666),6-L666,_xlfn.XLOOKUP($D666&amp;"_"&amp;I$61,$B$23:$B$45&amp;"_"&amp;$C$23:$C$45,$D$23:$D$45)*$E666)</f>
        <v>2.15997116493656</v>
      </c>
      <c r="J666" s="67" cm="1">
        <f ca="1" t="array" ref="J666">MIN(8,_xlfn.XLOOKUP($D666&amp;"_"&amp;J$61,$B$23:$B$45&amp;"_"&amp;$C$23:$C$45,$D$23:$D$45)*$E666)</f>
        <v>8</v>
      </c>
      <c r="K666" s="67" cm="1">
        <f ca="1" t="array" ref="K666">MIN(18,_xlfn.XLOOKUP($D666&amp;"_"&amp;K$61,$B$23:$B$45&amp;"_"&amp;$C$23:$C$45,$D$23:$D$45)*$E666)</f>
        <v>2.56001922337563</v>
      </c>
      <c r="L666" s="67" cm="1">
        <f ca="1" t="array" ref="L666">MIN(6,_xlfn.XLOOKUP($D666&amp;"_"&amp;L$61,$B$23:$B$45&amp;"_"&amp;$C$23:$C$45,$D$23:$D$45)*$E666)</f>
        <v>3.84002883506344</v>
      </c>
      <c r="M666" s="67" cm="1">
        <f ca="1" t="array" ref="M666">(1+SUMPRODUCT(G666:H666,OFFSET($H$49:$I$49,D666,0)))*(1+OFFSET($J$49,D666,0))^I666*(1+OFFSET($K$49,D666,0))^J666*(1+OFFSET($L$49,D666,0))^K666*(1+OFFSET($M$49,D666,0))^L666</f>
        <v>254.928052113442</v>
      </c>
      <c r="N666" s="67">
        <f ca="1">MAX(MAX($N$62:N665),OFFSET($C$61,MATCH(M666*1.07,$M$62:$M$2061,1),0)-C666)</f>
        <v>28800</v>
      </c>
    </row>
    <row r="667" spans="2:14">
      <c r="B667" s="67">
        <v>606</v>
      </c>
      <c r="C667" s="67">
        <f t="shared" si="66"/>
        <v>218160</v>
      </c>
      <c r="D667" s="67">
        <f t="shared" si="62"/>
        <v>5</v>
      </c>
      <c r="E667" s="67">
        <f ca="1" t="shared" si="63"/>
        <v>636</v>
      </c>
      <c r="F667" s="67">
        <f ca="1" t="shared" si="64"/>
        <v>0</v>
      </c>
      <c r="G667" s="67">
        <f ca="1" t="shared" si="65"/>
        <v>0</v>
      </c>
      <c r="H667" s="67" cm="1">
        <f ca="1" t="array" ref="H667">MIN(30-SUM(I667:L667),_xlfn.XLOOKUP($D667&amp;"_"&amp;H$61,$B$23:$B$45&amp;"_"&amp;$C$23:$C$45,$D$23:$D$45)*$E667,18)</f>
        <v>13.4359492502883</v>
      </c>
      <c r="I667" s="67" cm="1">
        <f ca="1" t="array" ref="I667">MIN(30-SUM(J667:L667),6-L667,_xlfn.XLOOKUP($D667&amp;"_"&amp;I$61,$B$23:$B$45&amp;"_"&amp;$C$23:$C$45,$D$23:$D$45)*$E667)</f>
        <v>2.15392387543252</v>
      </c>
      <c r="J667" s="67" cm="1">
        <f ca="1" t="array" ref="J667">MIN(8,_xlfn.XLOOKUP($D667&amp;"_"&amp;J$61,$B$23:$B$45&amp;"_"&amp;$C$23:$C$45,$D$23:$D$45)*$E667)</f>
        <v>8</v>
      </c>
      <c r="K667" s="67" cm="1">
        <f ca="1" t="array" ref="K667">MIN(18,_xlfn.XLOOKUP($D667&amp;"_"&amp;K$61,$B$23:$B$45&amp;"_"&amp;$C$23:$C$45,$D$23:$D$45)*$E667)</f>
        <v>2.56405074971165</v>
      </c>
      <c r="L667" s="67" cm="1">
        <f ca="1" t="array" ref="L667">MIN(6,_xlfn.XLOOKUP($D667&amp;"_"&amp;L$61,$B$23:$B$45&amp;"_"&amp;$C$23:$C$45,$D$23:$D$45)*$E667)</f>
        <v>3.84607612456747</v>
      </c>
      <c r="M667" s="67" cm="1">
        <f ca="1" t="array" ref="M667">(1+SUMPRODUCT(G667:H667,OFFSET($H$49:$I$49,D667,0)))*(1+OFFSET($J$49,D667,0))^I667*(1+OFFSET($K$49,D667,0))^J667*(1+OFFSET($L$49,D667,0))^K667*(1+OFFSET($M$49,D667,0))^L667</f>
        <v>255.143783526985</v>
      </c>
      <c r="N667" s="67">
        <f ca="1">MAX(MAX($N$62:N666),OFFSET($C$61,MATCH(M667*1.07,$M$62:$M$2061,1),0)-C667)</f>
        <v>28800</v>
      </c>
    </row>
    <row r="668" spans="2:14">
      <c r="B668" s="67">
        <v>607</v>
      </c>
      <c r="C668" s="67">
        <f t="shared" si="66"/>
        <v>218520</v>
      </c>
      <c r="D668" s="67">
        <f t="shared" si="62"/>
        <v>5</v>
      </c>
      <c r="E668" s="67">
        <f ca="1" t="shared" si="63"/>
        <v>637</v>
      </c>
      <c r="F668" s="67">
        <f ca="1" t="shared" si="64"/>
        <v>0</v>
      </c>
      <c r="G668" s="67">
        <f ca="1" t="shared" si="65"/>
        <v>0</v>
      </c>
      <c r="H668" s="67" cm="1">
        <f ca="1" t="array" ref="H668">MIN(30-SUM(I668:L668),_xlfn.XLOOKUP($D668&amp;"_"&amp;H$61,$B$23:$B$45&amp;"_"&amp;$C$23:$C$45,$D$23:$D$45)*$E668,18)</f>
        <v>13.4319177239523</v>
      </c>
      <c r="I668" s="67" cm="1">
        <f ca="1" t="array" ref="I668">MIN(30-SUM(J668:L668),6-L668,_xlfn.XLOOKUP($D668&amp;"_"&amp;I$61,$B$23:$B$45&amp;"_"&amp;$C$23:$C$45,$D$23:$D$45)*$E668)</f>
        <v>2.14787658592849</v>
      </c>
      <c r="J668" s="67" cm="1">
        <f ca="1" t="array" ref="J668">MIN(8,_xlfn.XLOOKUP($D668&amp;"_"&amp;J$61,$B$23:$B$45&amp;"_"&amp;$C$23:$C$45,$D$23:$D$45)*$E668)</f>
        <v>8</v>
      </c>
      <c r="K668" s="67" cm="1">
        <f ca="1" t="array" ref="K668">MIN(18,_xlfn.XLOOKUP($D668&amp;"_"&amp;K$61,$B$23:$B$45&amp;"_"&amp;$C$23:$C$45,$D$23:$D$45)*$E668)</f>
        <v>2.56808227604768</v>
      </c>
      <c r="L668" s="67" cm="1">
        <f ca="1" t="array" ref="L668">MIN(6,_xlfn.XLOOKUP($D668&amp;"_"&amp;L$61,$B$23:$B$45&amp;"_"&amp;$C$23:$C$45,$D$23:$D$45)*$E668)</f>
        <v>3.85212341407151</v>
      </c>
      <c r="M668" s="67" cm="1">
        <f ca="1" t="array" ref="M668">(1+SUMPRODUCT(G668:H668,OFFSET($H$49:$I$49,D668,0)))*(1+OFFSET($J$49,D668,0))^I668*(1+OFFSET($K$49,D668,0))^J668*(1+OFFSET($L$49,D668,0))^K668*(1+OFFSET($M$49,D668,0))^L668</f>
        <v>255.359685290753</v>
      </c>
      <c r="N668" s="67">
        <f ca="1">MAX(MAX($N$62:N667),OFFSET($C$61,MATCH(M668*1.07,$M$62:$M$2061,1),0)-C668)</f>
        <v>28800</v>
      </c>
    </row>
    <row r="669" spans="2:14">
      <c r="B669" s="67">
        <v>608</v>
      </c>
      <c r="C669" s="67">
        <f t="shared" si="66"/>
        <v>218880</v>
      </c>
      <c r="D669" s="67">
        <f t="shared" si="62"/>
        <v>5</v>
      </c>
      <c r="E669" s="67">
        <f ca="1" t="shared" si="63"/>
        <v>638</v>
      </c>
      <c r="F669" s="67">
        <f ca="1" t="shared" si="64"/>
        <v>0</v>
      </c>
      <c r="G669" s="67">
        <f ca="1" t="shared" si="65"/>
        <v>0</v>
      </c>
      <c r="H669" s="67" cm="1">
        <f ca="1" t="array" ref="H669">MIN(30-SUM(I669:L669),_xlfn.XLOOKUP($D669&amp;"_"&amp;H$61,$B$23:$B$45&amp;"_"&amp;$C$23:$C$45,$D$23:$D$45)*$E669,18)</f>
        <v>13.4278861976163</v>
      </c>
      <c r="I669" s="67" cm="1">
        <f ca="1" t="array" ref="I669">MIN(30-SUM(J669:L669),6-L669,_xlfn.XLOOKUP($D669&amp;"_"&amp;I$61,$B$23:$B$45&amp;"_"&amp;$C$23:$C$45,$D$23:$D$45)*$E669)</f>
        <v>2.14182929642445</v>
      </c>
      <c r="J669" s="67" cm="1">
        <f ca="1" t="array" ref="J669">MIN(8,_xlfn.XLOOKUP($D669&amp;"_"&amp;J$61,$B$23:$B$45&amp;"_"&amp;$C$23:$C$45,$D$23:$D$45)*$E669)</f>
        <v>8</v>
      </c>
      <c r="K669" s="67" cm="1">
        <f ca="1" t="array" ref="K669">MIN(18,_xlfn.XLOOKUP($D669&amp;"_"&amp;K$61,$B$23:$B$45&amp;"_"&amp;$C$23:$C$45,$D$23:$D$45)*$E669)</f>
        <v>2.5721138023837</v>
      </c>
      <c r="L669" s="67" cm="1">
        <f ca="1" t="array" ref="L669">MIN(6,_xlfn.XLOOKUP($D669&amp;"_"&amp;L$61,$B$23:$B$45&amp;"_"&amp;$C$23:$C$45,$D$23:$D$45)*$E669)</f>
        <v>3.85817070357555</v>
      </c>
      <c r="M669" s="67" cm="1">
        <f ca="1" t="array" ref="M669">(1+SUMPRODUCT(G669:H669,OFFSET($H$49:$I$49,D669,0)))*(1+OFFSET($J$49,D669,0))^I669*(1+OFFSET($K$49,D669,0))^J669*(1+OFFSET($L$49,D669,0))^K669*(1+OFFSET($M$49,D669,0))^L669</f>
        <v>255.57575752289</v>
      </c>
      <c r="N669" s="67">
        <f ca="1">MAX(MAX($N$62:N668),OFFSET($C$61,MATCH(M669*1.07,$M$62:$M$2061,1),0)-C669)</f>
        <v>28800</v>
      </c>
    </row>
    <row r="670" spans="2:14">
      <c r="B670" s="67">
        <v>609</v>
      </c>
      <c r="C670" s="67">
        <f t="shared" si="66"/>
        <v>219240</v>
      </c>
      <c r="D670" s="67">
        <f t="shared" si="62"/>
        <v>5</v>
      </c>
      <c r="E670" s="67">
        <f ca="1" t="shared" si="63"/>
        <v>639</v>
      </c>
      <c r="F670" s="67">
        <f ca="1" t="shared" si="64"/>
        <v>0</v>
      </c>
      <c r="G670" s="67">
        <f ca="1" t="shared" si="65"/>
        <v>0</v>
      </c>
      <c r="H670" s="67" cm="1">
        <f ca="1" t="array" ref="H670">MIN(30-SUM(I670:L670),_xlfn.XLOOKUP($D670&amp;"_"&amp;H$61,$B$23:$B$45&amp;"_"&amp;$C$23:$C$45,$D$23:$D$45)*$E670,18)</f>
        <v>13.4238546712803</v>
      </c>
      <c r="I670" s="67" cm="1">
        <f ca="1" t="array" ref="I670">MIN(30-SUM(J670:L670),6-L670,_xlfn.XLOOKUP($D670&amp;"_"&amp;I$61,$B$23:$B$45&amp;"_"&amp;$C$23:$C$45,$D$23:$D$45)*$E670)</f>
        <v>2.13578200692041</v>
      </c>
      <c r="J670" s="67" cm="1">
        <f ca="1" t="array" ref="J670">MIN(8,_xlfn.XLOOKUP($D670&amp;"_"&amp;J$61,$B$23:$B$45&amp;"_"&amp;$C$23:$C$45,$D$23:$D$45)*$E670)</f>
        <v>8</v>
      </c>
      <c r="K670" s="67" cm="1">
        <f ca="1" t="array" ref="K670">MIN(18,_xlfn.XLOOKUP($D670&amp;"_"&amp;K$61,$B$23:$B$45&amp;"_"&amp;$C$23:$C$45,$D$23:$D$45)*$E670)</f>
        <v>2.57614532871973</v>
      </c>
      <c r="L670" s="67" cm="1">
        <f ca="1" t="array" ref="L670">MIN(6,_xlfn.XLOOKUP($D670&amp;"_"&amp;L$61,$B$23:$B$45&amp;"_"&amp;$C$23:$C$45,$D$23:$D$45)*$E670)</f>
        <v>3.86421799307959</v>
      </c>
      <c r="M670" s="67" cm="1">
        <f ca="1" t="array" ref="M670">(1+SUMPRODUCT(G670:H670,OFFSET($H$49:$I$49,D670,0)))*(1+OFFSET($J$49,D670,0))^I670*(1+OFFSET($K$49,D670,0))^J670*(1+OFFSET($L$49,D670,0))^K670*(1+OFFSET($M$49,D670,0))^L670</f>
        <v>255.792000341602</v>
      </c>
      <c r="N670" s="67">
        <f ca="1">MAX(MAX($N$62:N669),OFFSET($C$61,MATCH(M670*1.07,$M$62:$M$2061,1),0)-C670)</f>
        <v>28800</v>
      </c>
    </row>
    <row r="671" spans="2:14">
      <c r="B671" s="67">
        <v>610</v>
      </c>
      <c r="C671" s="67">
        <f t="shared" si="66"/>
        <v>219600</v>
      </c>
      <c r="D671" s="67">
        <f t="shared" si="62"/>
        <v>5</v>
      </c>
      <c r="E671" s="67">
        <f ca="1" t="shared" si="63"/>
        <v>640</v>
      </c>
      <c r="F671" s="67">
        <f ca="1" t="shared" si="64"/>
        <v>0</v>
      </c>
      <c r="G671" s="67">
        <f ca="1" t="shared" si="65"/>
        <v>0</v>
      </c>
      <c r="H671" s="67" cm="1">
        <f ca="1" t="array" ref="H671">MIN(30-SUM(I671:L671),_xlfn.XLOOKUP($D671&amp;"_"&amp;H$61,$B$23:$B$45&amp;"_"&amp;$C$23:$C$45,$D$23:$D$45)*$E671,18)</f>
        <v>13.4198231449442</v>
      </c>
      <c r="I671" s="67" cm="1">
        <f ca="1" t="array" ref="I671">MIN(30-SUM(J671:L671),6-L671,_xlfn.XLOOKUP($D671&amp;"_"&amp;I$61,$B$23:$B$45&amp;"_"&amp;$C$23:$C$45,$D$23:$D$45)*$E671)</f>
        <v>2.12973471741638</v>
      </c>
      <c r="J671" s="67" cm="1">
        <f ca="1" t="array" ref="J671">MIN(8,_xlfn.XLOOKUP($D671&amp;"_"&amp;J$61,$B$23:$B$45&amp;"_"&amp;$C$23:$C$45,$D$23:$D$45)*$E671)</f>
        <v>8</v>
      </c>
      <c r="K671" s="67" cm="1">
        <f ca="1" t="array" ref="K671">MIN(18,_xlfn.XLOOKUP($D671&amp;"_"&amp;K$61,$B$23:$B$45&amp;"_"&amp;$C$23:$C$45,$D$23:$D$45)*$E671)</f>
        <v>2.58017685505575</v>
      </c>
      <c r="L671" s="67" cm="1">
        <f ca="1" t="array" ref="L671">MIN(6,_xlfn.XLOOKUP($D671&amp;"_"&amp;L$61,$B$23:$B$45&amp;"_"&amp;$C$23:$C$45,$D$23:$D$45)*$E671)</f>
        <v>3.87026528258362</v>
      </c>
      <c r="M671" s="67" cm="1">
        <f ca="1" t="array" ref="M671">(1+SUMPRODUCT(G671:H671,OFFSET($H$49:$I$49,D671,0)))*(1+OFFSET($J$49,D671,0))^I671*(1+OFFSET($K$49,D671,0))^J671*(1+OFFSET($L$49,D671,0))^K671*(1+OFFSET($M$49,D671,0))^L671</f>
        <v>256.00841386515</v>
      </c>
      <c r="N671" s="67">
        <f ca="1">MAX(MAX($N$62:N670),OFFSET($C$61,MATCH(M671*1.07,$M$62:$M$2061,1),0)-C671)</f>
        <v>28800</v>
      </c>
    </row>
    <row r="672" spans="2:14">
      <c r="B672" s="67">
        <v>611</v>
      </c>
      <c r="C672" s="67">
        <f t="shared" si="66"/>
        <v>219960</v>
      </c>
      <c r="D672" s="67">
        <f t="shared" si="62"/>
        <v>5</v>
      </c>
      <c r="E672" s="67">
        <f ca="1" t="shared" si="63"/>
        <v>641</v>
      </c>
      <c r="F672" s="67">
        <f ca="1" t="shared" si="64"/>
        <v>0</v>
      </c>
      <c r="G672" s="67">
        <f ca="1" t="shared" si="65"/>
        <v>0</v>
      </c>
      <c r="H672" s="67" cm="1">
        <f ca="1" t="array" ref="H672">MIN(30-SUM(I672:L672),_xlfn.XLOOKUP($D672&amp;"_"&amp;H$61,$B$23:$B$45&amp;"_"&amp;$C$23:$C$45,$D$23:$D$45)*$E672,18)</f>
        <v>13.4157916186082</v>
      </c>
      <c r="I672" s="67" cm="1">
        <f ca="1" t="array" ref="I672">MIN(30-SUM(J672:L672),6-L672,_xlfn.XLOOKUP($D672&amp;"_"&amp;I$61,$B$23:$B$45&amp;"_"&amp;$C$23:$C$45,$D$23:$D$45)*$E672)</f>
        <v>2.12368742791234</v>
      </c>
      <c r="J672" s="67" cm="1">
        <f ca="1" t="array" ref="J672">MIN(8,_xlfn.XLOOKUP($D672&amp;"_"&amp;J$61,$B$23:$B$45&amp;"_"&amp;$C$23:$C$45,$D$23:$D$45)*$E672)</f>
        <v>8</v>
      </c>
      <c r="K672" s="67" cm="1">
        <f ca="1" t="array" ref="K672">MIN(18,_xlfn.XLOOKUP($D672&amp;"_"&amp;K$61,$B$23:$B$45&amp;"_"&amp;$C$23:$C$45,$D$23:$D$45)*$E672)</f>
        <v>2.58420838139177</v>
      </c>
      <c r="L672" s="67" cm="1">
        <f ca="1" t="array" ref="L672">MIN(6,_xlfn.XLOOKUP($D672&amp;"_"&amp;L$61,$B$23:$B$45&amp;"_"&amp;$C$23:$C$45,$D$23:$D$45)*$E672)</f>
        <v>3.87631257208766</v>
      </c>
      <c r="M672" s="67" cm="1">
        <f ca="1" t="array" ref="M672">(1+SUMPRODUCT(G672:H672,OFFSET($H$49:$I$49,D672,0)))*(1+OFFSET($J$49,D672,0))^I672*(1+OFFSET($K$49,D672,0))^J672*(1+OFFSET($L$49,D672,0))^K672*(1+OFFSET($M$49,D672,0))^L672</f>
        <v>256.224998211854</v>
      </c>
      <c r="N672" s="67">
        <f ca="1">MAX(MAX($N$62:N671),OFFSET($C$61,MATCH(M672*1.07,$M$62:$M$2061,1),0)-C672)</f>
        <v>28800</v>
      </c>
    </row>
    <row r="673" spans="2:14">
      <c r="B673" s="67">
        <v>612</v>
      </c>
      <c r="C673" s="67">
        <f t="shared" si="66"/>
        <v>220320</v>
      </c>
      <c r="D673" s="67">
        <f t="shared" si="62"/>
        <v>5</v>
      </c>
      <c r="E673" s="67">
        <f ca="1" t="shared" si="63"/>
        <v>642</v>
      </c>
      <c r="F673" s="67">
        <f ca="1" t="shared" si="64"/>
        <v>0</v>
      </c>
      <c r="G673" s="67">
        <f ca="1" t="shared" si="65"/>
        <v>0</v>
      </c>
      <c r="H673" s="67" cm="1">
        <f ca="1" t="array" ref="H673">MIN(30-SUM(I673:L673),_xlfn.XLOOKUP($D673&amp;"_"&amp;H$61,$B$23:$B$45&amp;"_"&amp;$C$23:$C$45,$D$23:$D$45)*$E673,18)</f>
        <v>13.4117600922722</v>
      </c>
      <c r="I673" s="67" cm="1">
        <f ca="1" t="array" ref="I673">MIN(30-SUM(J673:L673),6-L673,_xlfn.XLOOKUP($D673&amp;"_"&amp;I$61,$B$23:$B$45&amp;"_"&amp;$C$23:$C$45,$D$23:$D$45)*$E673)</f>
        <v>2.1176401384083</v>
      </c>
      <c r="J673" s="67" cm="1">
        <f ca="1" t="array" ref="J673">MIN(8,_xlfn.XLOOKUP($D673&amp;"_"&amp;J$61,$B$23:$B$45&amp;"_"&amp;$C$23:$C$45,$D$23:$D$45)*$E673)</f>
        <v>8</v>
      </c>
      <c r="K673" s="67" cm="1">
        <f ca="1" t="array" ref="K673">MIN(18,_xlfn.XLOOKUP($D673&amp;"_"&amp;K$61,$B$23:$B$45&amp;"_"&amp;$C$23:$C$45,$D$23:$D$45)*$E673)</f>
        <v>2.5882399077278</v>
      </c>
      <c r="L673" s="67" cm="1">
        <f ca="1" t="array" ref="L673">MIN(6,_xlfn.XLOOKUP($D673&amp;"_"&amp;L$61,$B$23:$B$45&amp;"_"&amp;$C$23:$C$45,$D$23:$D$45)*$E673)</f>
        <v>3.8823598615917</v>
      </c>
      <c r="M673" s="67" cm="1">
        <f ca="1" t="array" ref="M673">(1+SUMPRODUCT(G673:H673,OFFSET($H$49:$I$49,D673,0)))*(1+OFFSET($J$49,D673,0))^I673*(1+OFFSET($K$49,D673,0))^J673*(1+OFFSET($L$49,D673,0))^K673*(1+OFFSET($M$49,D673,0))^L673</f>
        <v>256.441753500094</v>
      </c>
      <c r="N673" s="67">
        <f ca="1">MAX(MAX($N$62:N672),OFFSET($C$61,MATCH(M673*1.07,$M$62:$M$2061,1),0)-C673)</f>
        <v>28800</v>
      </c>
    </row>
    <row r="674" spans="2:14">
      <c r="B674" s="67">
        <v>613</v>
      </c>
      <c r="C674" s="67">
        <f t="shared" si="66"/>
        <v>220680</v>
      </c>
      <c r="D674" s="67">
        <f t="shared" si="62"/>
        <v>5</v>
      </c>
      <c r="E674" s="67">
        <f ca="1" t="shared" si="63"/>
        <v>643</v>
      </c>
      <c r="F674" s="67">
        <f ca="1" t="shared" si="64"/>
        <v>0</v>
      </c>
      <c r="G674" s="67">
        <f ca="1" t="shared" si="65"/>
        <v>0</v>
      </c>
      <c r="H674" s="67" cm="1">
        <f ca="1" t="array" ref="H674">MIN(30-SUM(I674:L674),_xlfn.XLOOKUP($D674&amp;"_"&amp;H$61,$B$23:$B$45&amp;"_"&amp;$C$23:$C$45,$D$23:$D$45)*$E674,18)</f>
        <v>13.4077285659362</v>
      </c>
      <c r="I674" s="67" cm="1">
        <f ca="1" t="array" ref="I674">MIN(30-SUM(J674:L674),6-L674,_xlfn.XLOOKUP($D674&amp;"_"&amp;I$61,$B$23:$B$45&amp;"_"&amp;$C$23:$C$45,$D$23:$D$45)*$E674)</f>
        <v>2.11159284890427</v>
      </c>
      <c r="J674" s="67" cm="1">
        <f ca="1" t="array" ref="J674">MIN(8,_xlfn.XLOOKUP($D674&amp;"_"&amp;J$61,$B$23:$B$45&amp;"_"&amp;$C$23:$C$45,$D$23:$D$45)*$E674)</f>
        <v>8</v>
      </c>
      <c r="K674" s="67" cm="1">
        <f ca="1" t="array" ref="K674">MIN(18,_xlfn.XLOOKUP($D674&amp;"_"&amp;K$61,$B$23:$B$45&amp;"_"&amp;$C$23:$C$45,$D$23:$D$45)*$E674)</f>
        <v>2.59227143406382</v>
      </c>
      <c r="L674" s="67" cm="1">
        <f ca="1" t="array" ref="L674">MIN(6,_xlfn.XLOOKUP($D674&amp;"_"&amp;L$61,$B$23:$B$45&amp;"_"&amp;$C$23:$C$45,$D$23:$D$45)*$E674)</f>
        <v>3.88840715109573</v>
      </c>
      <c r="M674" s="67" cm="1">
        <f ca="1" t="array" ref="M674">(1+SUMPRODUCT(G674:H674,OFFSET($H$49:$I$49,D674,0)))*(1+OFFSET($J$49,D674,0))^I674*(1+OFFSET($K$49,D674,0))^J674*(1+OFFSET($L$49,D674,0))^K674*(1+OFFSET($M$49,D674,0))^L674</f>
        <v>256.658679848306</v>
      </c>
      <c r="N674" s="67">
        <f ca="1">MAX(MAX($N$62:N673),OFFSET($C$61,MATCH(M674*1.07,$M$62:$M$2061,1),0)-C674)</f>
        <v>28800</v>
      </c>
    </row>
    <row r="675" spans="2:14">
      <c r="B675" s="67">
        <v>614</v>
      </c>
      <c r="C675" s="67">
        <f t="shared" si="66"/>
        <v>221040</v>
      </c>
      <c r="D675" s="67">
        <f t="shared" si="62"/>
        <v>5</v>
      </c>
      <c r="E675" s="67">
        <f ca="1" t="shared" si="63"/>
        <v>644</v>
      </c>
      <c r="F675" s="67">
        <f ca="1" t="shared" si="64"/>
        <v>0</v>
      </c>
      <c r="G675" s="67">
        <f ca="1" t="shared" si="65"/>
        <v>0</v>
      </c>
      <c r="H675" s="67" cm="1">
        <f ca="1" t="array" ref="H675">MIN(30-SUM(I675:L675),_xlfn.XLOOKUP($D675&amp;"_"&amp;H$61,$B$23:$B$45&amp;"_"&amp;$C$23:$C$45,$D$23:$D$45)*$E675,18)</f>
        <v>13.4036970396001</v>
      </c>
      <c r="I675" s="67" cm="1">
        <f ca="1" t="array" ref="I675">MIN(30-SUM(J675:L675),6-L675,_xlfn.XLOOKUP($D675&amp;"_"&amp;I$61,$B$23:$B$45&amp;"_"&amp;$C$23:$C$45,$D$23:$D$45)*$E675)</f>
        <v>2.10554555940023</v>
      </c>
      <c r="J675" s="67" cm="1">
        <f ca="1" t="array" ref="J675">MIN(8,_xlfn.XLOOKUP($D675&amp;"_"&amp;J$61,$B$23:$B$45&amp;"_"&amp;$C$23:$C$45,$D$23:$D$45)*$E675)</f>
        <v>8</v>
      </c>
      <c r="K675" s="67" cm="1">
        <f ca="1" t="array" ref="K675">MIN(18,_xlfn.XLOOKUP($D675&amp;"_"&amp;K$61,$B$23:$B$45&amp;"_"&amp;$C$23:$C$45,$D$23:$D$45)*$E675)</f>
        <v>2.59630296039985</v>
      </c>
      <c r="L675" s="67" cm="1">
        <f ca="1" t="array" ref="L675">MIN(6,_xlfn.XLOOKUP($D675&amp;"_"&amp;L$61,$B$23:$B$45&amp;"_"&amp;$C$23:$C$45,$D$23:$D$45)*$E675)</f>
        <v>3.89445444059977</v>
      </c>
      <c r="M675" s="67" cm="1">
        <f ca="1" t="array" ref="M675">(1+SUMPRODUCT(G675:H675,OFFSET($H$49:$I$49,D675,0)))*(1+OFFSET($J$49,D675,0))^I675*(1+OFFSET($K$49,D675,0))^J675*(1+OFFSET($L$49,D675,0))^K675*(1+OFFSET($M$49,D675,0))^L675</f>
        <v>256.875777374987</v>
      </c>
      <c r="N675" s="67">
        <f ca="1">MAX(MAX($N$62:N674),OFFSET($C$61,MATCH(M675*1.07,$M$62:$M$2061,1),0)-C675)</f>
        <v>28800</v>
      </c>
    </row>
    <row r="676" spans="2:14">
      <c r="B676" s="67">
        <v>615</v>
      </c>
      <c r="C676" s="67">
        <f t="shared" si="66"/>
        <v>221400</v>
      </c>
      <c r="D676" s="67">
        <f t="shared" si="62"/>
        <v>5</v>
      </c>
      <c r="E676" s="67">
        <f ca="1" t="shared" si="63"/>
        <v>645</v>
      </c>
      <c r="F676" s="67">
        <f ca="1" t="shared" si="64"/>
        <v>0</v>
      </c>
      <c r="G676" s="67">
        <f ca="1" t="shared" si="65"/>
        <v>0</v>
      </c>
      <c r="H676" s="67" cm="1">
        <f ca="1" t="array" ref="H676">MIN(30-SUM(I676:L676),_xlfn.XLOOKUP($D676&amp;"_"&amp;H$61,$B$23:$B$45&amp;"_"&amp;$C$23:$C$45,$D$23:$D$45)*$E676,18)</f>
        <v>13.3996655132641</v>
      </c>
      <c r="I676" s="67" cm="1">
        <f ca="1" t="array" ref="I676">MIN(30-SUM(J676:L676),6-L676,_xlfn.XLOOKUP($D676&amp;"_"&amp;I$61,$B$23:$B$45&amp;"_"&amp;$C$23:$C$45,$D$23:$D$45)*$E676)</f>
        <v>2.09949826989619</v>
      </c>
      <c r="J676" s="67" cm="1">
        <f ca="1" t="array" ref="J676">MIN(8,_xlfn.XLOOKUP($D676&amp;"_"&amp;J$61,$B$23:$B$45&amp;"_"&amp;$C$23:$C$45,$D$23:$D$45)*$E676)</f>
        <v>8</v>
      </c>
      <c r="K676" s="67" cm="1">
        <f ca="1" t="array" ref="K676">MIN(18,_xlfn.XLOOKUP($D676&amp;"_"&amp;K$61,$B$23:$B$45&amp;"_"&amp;$C$23:$C$45,$D$23:$D$45)*$E676)</f>
        <v>2.60033448673587</v>
      </c>
      <c r="L676" s="67" cm="1">
        <f ca="1" t="array" ref="L676">MIN(6,_xlfn.XLOOKUP($D676&amp;"_"&amp;L$61,$B$23:$B$45&amp;"_"&amp;$C$23:$C$45,$D$23:$D$45)*$E676)</f>
        <v>3.90050173010381</v>
      </c>
      <c r="M676" s="67" cm="1">
        <f ca="1" t="array" ref="M676">(1+SUMPRODUCT(G676:H676,OFFSET($H$49:$I$49,D676,0)))*(1+OFFSET($J$49,D676,0))^I676*(1+OFFSET($K$49,D676,0))^J676*(1+OFFSET($L$49,D676,0))^K676*(1+OFFSET($M$49,D676,0))^L676</f>
        <v>257.093046198691</v>
      </c>
      <c r="N676" s="67">
        <f ca="1">MAX(MAX($N$62:N675),OFFSET($C$61,MATCH(M676*1.07,$M$62:$M$2061,1),0)-C676)</f>
        <v>28800</v>
      </c>
    </row>
    <row r="677" spans="2:14">
      <c r="B677" s="67">
        <v>616</v>
      </c>
      <c r="C677" s="67">
        <f t="shared" si="66"/>
        <v>221760</v>
      </c>
      <c r="D677" s="67">
        <f t="shared" si="62"/>
        <v>5</v>
      </c>
      <c r="E677" s="67">
        <f ca="1" t="shared" si="63"/>
        <v>646</v>
      </c>
      <c r="F677" s="67">
        <f ca="1" t="shared" si="64"/>
        <v>0</v>
      </c>
      <c r="G677" s="67">
        <f ca="1" t="shared" si="65"/>
        <v>0</v>
      </c>
      <c r="H677" s="67" cm="1">
        <f ca="1" t="array" ref="H677">MIN(30-SUM(I677:L677),_xlfn.XLOOKUP($D677&amp;"_"&amp;H$61,$B$23:$B$45&amp;"_"&amp;$C$23:$C$45,$D$23:$D$45)*$E677,18)</f>
        <v>13.3956339869281</v>
      </c>
      <c r="I677" s="67" cm="1">
        <f ca="1" t="array" ref="I677">MIN(30-SUM(J677:L677),6-L677,_xlfn.XLOOKUP($D677&amp;"_"&amp;I$61,$B$23:$B$45&amp;"_"&amp;$C$23:$C$45,$D$23:$D$45)*$E677)</f>
        <v>2.09345098039216</v>
      </c>
      <c r="J677" s="67" cm="1">
        <f ca="1" t="array" ref="J677">MIN(8,_xlfn.XLOOKUP($D677&amp;"_"&amp;J$61,$B$23:$B$45&amp;"_"&amp;$C$23:$C$45,$D$23:$D$45)*$E677)</f>
        <v>8</v>
      </c>
      <c r="K677" s="67" cm="1">
        <f ca="1" t="array" ref="K677">MIN(18,_xlfn.XLOOKUP($D677&amp;"_"&amp;K$61,$B$23:$B$45&amp;"_"&amp;$C$23:$C$45,$D$23:$D$45)*$E677)</f>
        <v>2.6043660130719</v>
      </c>
      <c r="L677" s="67" cm="1">
        <f ca="1" t="array" ref="L677">MIN(6,_xlfn.XLOOKUP($D677&amp;"_"&amp;L$61,$B$23:$B$45&amp;"_"&amp;$C$23:$C$45,$D$23:$D$45)*$E677)</f>
        <v>3.90654901960784</v>
      </c>
      <c r="M677" s="67" cm="1">
        <f ca="1" t="array" ref="M677">(1+SUMPRODUCT(G677:H677,OFFSET($H$49:$I$49,D677,0)))*(1+OFFSET($J$49,D677,0))^I677*(1+OFFSET($K$49,D677,0))^J677*(1+OFFSET($L$49,D677,0))^K677*(1+OFFSET($M$49,D677,0))^L677</f>
        <v>257.31048643803</v>
      </c>
      <c r="N677" s="67">
        <f ca="1">MAX(MAX($N$62:N676),OFFSET($C$61,MATCH(M677*1.07,$M$62:$M$2061,1),0)-C677)</f>
        <v>28800</v>
      </c>
    </row>
    <row r="678" spans="2:14">
      <c r="B678" s="67">
        <v>617</v>
      </c>
      <c r="C678" s="67">
        <f t="shared" si="66"/>
        <v>222120</v>
      </c>
      <c r="D678" s="67">
        <f t="shared" si="62"/>
        <v>5</v>
      </c>
      <c r="E678" s="67">
        <f ca="1" t="shared" si="63"/>
        <v>647</v>
      </c>
      <c r="F678" s="67">
        <f ca="1" t="shared" si="64"/>
        <v>0</v>
      </c>
      <c r="G678" s="67">
        <f ca="1" t="shared" si="65"/>
        <v>0</v>
      </c>
      <c r="H678" s="67" cm="1">
        <f ca="1" t="array" ref="H678">MIN(30-SUM(I678:L678),_xlfn.XLOOKUP($D678&amp;"_"&amp;H$61,$B$23:$B$45&amp;"_"&amp;$C$23:$C$45,$D$23:$D$45)*$E678,18)</f>
        <v>13.3916024605921</v>
      </c>
      <c r="I678" s="67" cm="1">
        <f ca="1" t="array" ref="I678">MIN(30-SUM(J678:L678),6-L678,_xlfn.XLOOKUP($D678&amp;"_"&amp;I$61,$B$23:$B$45&amp;"_"&amp;$C$23:$C$45,$D$23:$D$45)*$E678)</f>
        <v>2.08740369088812</v>
      </c>
      <c r="J678" s="67" cm="1">
        <f ca="1" t="array" ref="J678">MIN(8,_xlfn.XLOOKUP($D678&amp;"_"&amp;J$61,$B$23:$B$45&amp;"_"&amp;$C$23:$C$45,$D$23:$D$45)*$E678)</f>
        <v>8</v>
      </c>
      <c r="K678" s="67" cm="1">
        <f ca="1" t="array" ref="K678">MIN(18,_xlfn.XLOOKUP($D678&amp;"_"&amp;K$61,$B$23:$B$45&amp;"_"&amp;$C$23:$C$45,$D$23:$D$45)*$E678)</f>
        <v>2.60839753940792</v>
      </c>
      <c r="L678" s="67" cm="1">
        <f ca="1" t="array" ref="L678">MIN(6,_xlfn.XLOOKUP($D678&amp;"_"&amp;L$61,$B$23:$B$45&amp;"_"&amp;$C$23:$C$45,$D$23:$D$45)*$E678)</f>
        <v>3.91259630911188</v>
      </c>
      <c r="M678" s="67" cm="1">
        <f ca="1" t="array" ref="M678">(1+SUMPRODUCT(G678:H678,OFFSET($H$49:$I$49,D678,0)))*(1+OFFSET($J$49,D678,0))^I678*(1+OFFSET($K$49,D678,0))^J678*(1+OFFSET($L$49,D678,0))^K678*(1+OFFSET($M$49,D678,0))^L678</f>
        <v>257.528098211675</v>
      </c>
      <c r="N678" s="67">
        <f ca="1">MAX(MAX($N$62:N677),OFFSET($C$61,MATCH(M678*1.07,$M$62:$M$2061,1),0)-C678)</f>
        <v>28800</v>
      </c>
    </row>
    <row r="679" spans="2:14">
      <c r="B679" s="67">
        <v>618</v>
      </c>
      <c r="C679" s="67">
        <f t="shared" si="66"/>
        <v>222480</v>
      </c>
      <c r="D679" s="67">
        <f t="shared" si="62"/>
        <v>5</v>
      </c>
      <c r="E679" s="67">
        <f ca="1" t="shared" si="63"/>
        <v>648</v>
      </c>
      <c r="F679" s="67">
        <f ca="1" t="shared" si="64"/>
        <v>0</v>
      </c>
      <c r="G679" s="67">
        <f ca="1" t="shared" si="65"/>
        <v>0</v>
      </c>
      <c r="H679" s="67" cm="1">
        <f ca="1" t="array" ref="H679">MIN(30-SUM(I679:L679),_xlfn.XLOOKUP($D679&amp;"_"&amp;H$61,$B$23:$B$45&amp;"_"&amp;$C$23:$C$45,$D$23:$D$45)*$E679,18)</f>
        <v>13.3875709342561</v>
      </c>
      <c r="I679" s="67" cm="1">
        <f ca="1" t="array" ref="I679">MIN(30-SUM(J679:L679),6-L679,_xlfn.XLOOKUP($D679&amp;"_"&amp;I$61,$B$23:$B$45&amp;"_"&amp;$C$23:$C$45,$D$23:$D$45)*$E679)</f>
        <v>2.08135640138408</v>
      </c>
      <c r="J679" s="67" cm="1">
        <f ca="1" t="array" ref="J679">MIN(8,_xlfn.XLOOKUP($D679&amp;"_"&amp;J$61,$B$23:$B$45&amp;"_"&amp;$C$23:$C$45,$D$23:$D$45)*$E679)</f>
        <v>8</v>
      </c>
      <c r="K679" s="67" cm="1">
        <f ca="1" t="array" ref="K679">MIN(18,_xlfn.XLOOKUP($D679&amp;"_"&amp;K$61,$B$23:$B$45&amp;"_"&amp;$C$23:$C$45,$D$23:$D$45)*$E679)</f>
        <v>2.61242906574395</v>
      </c>
      <c r="L679" s="67" cm="1">
        <f ca="1" t="array" ref="L679">MIN(6,_xlfn.XLOOKUP($D679&amp;"_"&amp;L$61,$B$23:$B$45&amp;"_"&amp;$C$23:$C$45,$D$23:$D$45)*$E679)</f>
        <v>3.91864359861592</v>
      </c>
      <c r="M679" s="67" cm="1">
        <f ca="1" t="array" ref="M679">(1+SUMPRODUCT(G679:H679,OFFSET($H$49:$I$49,D679,0)))*(1+OFFSET($J$49,D679,0))^I679*(1+OFFSET($K$49,D679,0))^J679*(1+OFFSET($L$49,D679,0))^K679*(1+OFFSET($M$49,D679,0))^L679</f>
        <v>257.745881638354</v>
      </c>
      <c r="N679" s="67">
        <f ca="1">MAX(MAX($N$62:N678),OFFSET($C$61,MATCH(M679*1.07,$M$62:$M$2061,1),0)-C679)</f>
        <v>28800</v>
      </c>
    </row>
    <row r="680" spans="2:14">
      <c r="B680" s="67">
        <v>619</v>
      </c>
      <c r="C680" s="67">
        <f t="shared" si="66"/>
        <v>222840</v>
      </c>
      <c r="D680" s="67">
        <f t="shared" si="62"/>
        <v>5</v>
      </c>
      <c r="E680" s="67">
        <f ca="1" t="shared" si="63"/>
        <v>649</v>
      </c>
      <c r="F680" s="67">
        <f ca="1" t="shared" si="64"/>
        <v>0</v>
      </c>
      <c r="G680" s="67">
        <f ca="1" t="shared" si="65"/>
        <v>0</v>
      </c>
      <c r="H680" s="67" cm="1">
        <f ca="1" t="array" ref="H680">MIN(30-SUM(I680:L680),_xlfn.XLOOKUP($D680&amp;"_"&amp;H$61,$B$23:$B$45&amp;"_"&amp;$C$23:$C$45,$D$23:$D$45)*$E680,18)</f>
        <v>13.38353940792</v>
      </c>
      <c r="I680" s="67" cm="1">
        <f ca="1" t="array" ref="I680">MIN(30-SUM(J680:L680),6-L680,_xlfn.XLOOKUP($D680&amp;"_"&amp;I$61,$B$23:$B$45&amp;"_"&amp;$C$23:$C$45,$D$23:$D$45)*$E680)</f>
        <v>2.07530911188004</v>
      </c>
      <c r="J680" s="67" cm="1">
        <f ca="1" t="array" ref="J680">MIN(8,_xlfn.XLOOKUP($D680&amp;"_"&amp;J$61,$B$23:$B$45&amp;"_"&amp;$C$23:$C$45,$D$23:$D$45)*$E680)</f>
        <v>8</v>
      </c>
      <c r="K680" s="67" cm="1">
        <f ca="1" t="array" ref="K680">MIN(18,_xlfn.XLOOKUP($D680&amp;"_"&amp;K$61,$B$23:$B$45&amp;"_"&amp;$C$23:$C$45,$D$23:$D$45)*$E680)</f>
        <v>2.61646059207997</v>
      </c>
      <c r="L680" s="67" cm="1">
        <f ca="1" t="array" ref="L680">MIN(6,_xlfn.XLOOKUP($D680&amp;"_"&amp;L$61,$B$23:$B$45&amp;"_"&amp;$C$23:$C$45,$D$23:$D$45)*$E680)</f>
        <v>3.92469088811995</v>
      </c>
      <c r="M680" s="67" cm="1">
        <f ca="1" t="array" ref="M680">(1+SUMPRODUCT(G680:H680,OFFSET($H$49:$I$49,D680,0)))*(1+OFFSET($J$49,D680,0))^I680*(1+OFFSET($K$49,D680,0))^J680*(1+OFFSET($L$49,D680,0))^K680*(1+OFFSET($M$49,D680,0))^L680</f>
        <v>257.963836836856</v>
      </c>
      <c r="N680" s="67">
        <f ca="1">MAX(MAX($N$62:N679),OFFSET($C$61,MATCH(M680*1.07,$M$62:$M$2061,1),0)-C680)</f>
        <v>28800</v>
      </c>
    </row>
    <row r="681" spans="2:14">
      <c r="B681" s="67">
        <v>620</v>
      </c>
      <c r="C681" s="67">
        <f t="shared" si="66"/>
        <v>223200</v>
      </c>
      <c r="D681" s="67">
        <f t="shared" si="62"/>
        <v>5</v>
      </c>
      <c r="E681" s="67">
        <f ca="1" t="shared" si="63"/>
        <v>650</v>
      </c>
      <c r="F681" s="67">
        <f ca="1" t="shared" si="64"/>
        <v>0</v>
      </c>
      <c r="G681" s="67">
        <f ca="1" t="shared" si="65"/>
        <v>0</v>
      </c>
      <c r="H681" s="67" cm="1">
        <f ca="1" t="array" ref="H681">MIN(30-SUM(I681:L681),_xlfn.XLOOKUP($D681&amp;"_"&amp;H$61,$B$23:$B$45&amp;"_"&amp;$C$23:$C$45,$D$23:$D$45)*$E681,18)</f>
        <v>13.379507881584</v>
      </c>
      <c r="I681" s="67" cm="1">
        <f ca="1" t="array" ref="I681">MIN(30-SUM(J681:L681),6-L681,_xlfn.XLOOKUP($D681&amp;"_"&amp;I$61,$B$23:$B$45&amp;"_"&amp;$C$23:$C$45,$D$23:$D$45)*$E681)</f>
        <v>2.06926182237601</v>
      </c>
      <c r="J681" s="67" cm="1">
        <f ca="1" t="array" ref="J681">MIN(8,_xlfn.XLOOKUP($D681&amp;"_"&amp;J$61,$B$23:$B$45&amp;"_"&amp;$C$23:$C$45,$D$23:$D$45)*$E681)</f>
        <v>8</v>
      </c>
      <c r="K681" s="67" cm="1">
        <f ca="1" t="array" ref="K681">MIN(18,_xlfn.XLOOKUP($D681&amp;"_"&amp;K$61,$B$23:$B$45&amp;"_"&amp;$C$23:$C$45,$D$23:$D$45)*$E681)</f>
        <v>2.620492118416</v>
      </c>
      <c r="L681" s="67" cm="1">
        <f ca="1" t="array" ref="L681">MIN(6,_xlfn.XLOOKUP($D681&amp;"_"&amp;L$61,$B$23:$B$45&amp;"_"&amp;$C$23:$C$45,$D$23:$D$45)*$E681)</f>
        <v>3.93073817762399</v>
      </c>
      <c r="M681" s="67" cm="1">
        <f ca="1" t="array" ref="M681">(1+SUMPRODUCT(G681:H681,OFFSET($H$49:$I$49,D681,0)))*(1+OFFSET($J$49,D681,0))^I681*(1+OFFSET($K$49,D681,0))^J681*(1+OFFSET($L$49,D681,0))^K681*(1+OFFSET($M$49,D681,0))^L681</f>
        <v>258.181963926026</v>
      </c>
      <c r="N681" s="67">
        <f ca="1">MAX(MAX($N$62:N680),OFFSET($C$61,MATCH(M681*1.07,$M$62:$M$2061,1),0)-C681)</f>
        <v>28800</v>
      </c>
    </row>
    <row r="682" spans="2:14">
      <c r="B682" s="67">
        <v>621</v>
      </c>
      <c r="C682" s="67">
        <f t="shared" si="66"/>
        <v>223560</v>
      </c>
      <c r="D682" s="67">
        <f t="shared" si="62"/>
        <v>5</v>
      </c>
      <c r="E682" s="67">
        <f ca="1" t="shared" si="63"/>
        <v>651</v>
      </c>
      <c r="F682" s="67">
        <f ca="1" t="shared" si="64"/>
        <v>0</v>
      </c>
      <c r="G682" s="67">
        <f ca="1" t="shared" si="65"/>
        <v>0</v>
      </c>
      <c r="H682" s="67" cm="1">
        <f ca="1" t="array" ref="H682">MIN(30-SUM(I682:L682),_xlfn.XLOOKUP($D682&amp;"_"&amp;H$61,$B$23:$B$45&amp;"_"&amp;$C$23:$C$45,$D$23:$D$45)*$E682,18)</f>
        <v>13.375476355248</v>
      </c>
      <c r="I682" s="67" cm="1">
        <f ca="1" t="array" ref="I682">MIN(30-SUM(J682:L682),6-L682,_xlfn.XLOOKUP($D682&amp;"_"&amp;I$61,$B$23:$B$45&amp;"_"&amp;$C$23:$C$45,$D$23:$D$45)*$E682)</f>
        <v>2.06321453287197</v>
      </c>
      <c r="J682" s="67" cm="1">
        <f ca="1" t="array" ref="J682">MIN(8,_xlfn.XLOOKUP($D682&amp;"_"&amp;J$61,$B$23:$B$45&amp;"_"&amp;$C$23:$C$45,$D$23:$D$45)*$E682)</f>
        <v>8</v>
      </c>
      <c r="K682" s="67" cm="1">
        <f ca="1" t="array" ref="K682">MIN(18,_xlfn.XLOOKUP($D682&amp;"_"&amp;K$61,$B$23:$B$45&amp;"_"&amp;$C$23:$C$45,$D$23:$D$45)*$E682)</f>
        <v>2.62452364475202</v>
      </c>
      <c r="L682" s="67" cm="1">
        <f ca="1" t="array" ref="L682">MIN(6,_xlfn.XLOOKUP($D682&amp;"_"&amp;L$61,$B$23:$B$45&amp;"_"&amp;$C$23:$C$45,$D$23:$D$45)*$E682)</f>
        <v>3.93678546712803</v>
      </c>
      <c r="M682" s="67" cm="1">
        <f ca="1" t="array" ref="M682">(1+SUMPRODUCT(G682:H682,OFFSET($H$49:$I$49,D682,0)))*(1+OFFSET($J$49,D682,0))^I682*(1+OFFSET($K$49,D682,0))^J682*(1+OFFSET($L$49,D682,0))^K682*(1+OFFSET($M$49,D682,0))^L682</f>
        <v>258.400263024768</v>
      </c>
      <c r="N682" s="67">
        <f ca="1">MAX(MAX($N$62:N681),OFFSET($C$61,MATCH(M682*1.07,$M$62:$M$2061,1),0)-C682)</f>
        <v>28800</v>
      </c>
    </row>
    <row r="683" spans="2:14">
      <c r="B683" s="67">
        <v>622</v>
      </c>
      <c r="C683" s="67">
        <f t="shared" si="66"/>
        <v>223920</v>
      </c>
      <c r="D683" s="67">
        <f t="shared" si="62"/>
        <v>5</v>
      </c>
      <c r="E683" s="67">
        <f ca="1" t="shared" si="63"/>
        <v>652</v>
      </c>
      <c r="F683" s="67">
        <f ca="1" t="shared" si="64"/>
        <v>0</v>
      </c>
      <c r="G683" s="67">
        <f ca="1" t="shared" si="65"/>
        <v>0</v>
      </c>
      <c r="H683" s="67" cm="1">
        <f ca="1" t="array" ref="H683">MIN(30-SUM(I683:L683),_xlfn.XLOOKUP($D683&amp;"_"&amp;H$61,$B$23:$B$45&amp;"_"&amp;$C$23:$C$45,$D$23:$D$45)*$E683,18)</f>
        <v>13.371444828912</v>
      </c>
      <c r="I683" s="67" cm="1">
        <f ca="1" t="array" ref="I683">MIN(30-SUM(J683:L683),6-L683,_xlfn.XLOOKUP($D683&amp;"_"&amp;I$61,$B$23:$B$45&amp;"_"&amp;$C$23:$C$45,$D$23:$D$45)*$E683)</f>
        <v>2.05716724336793</v>
      </c>
      <c r="J683" s="67" cm="1">
        <f ca="1" t="array" ref="J683">MIN(8,_xlfn.XLOOKUP($D683&amp;"_"&amp;J$61,$B$23:$B$45&amp;"_"&amp;$C$23:$C$45,$D$23:$D$45)*$E683)</f>
        <v>8</v>
      </c>
      <c r="K683" s="67" cm="1">
        <f ca="1" t="array" ref="K683">MIN(18,_xlfn.XLOOKUP($D683&amp;"_"&amp;K$61,$B$23:$B$45&amp;"_"&amp;$C$23:$C$45,$D$23:$D$45)*$E683)</f>
        <v>2.62855517108805</v>
      </c>
      <c r="L683" s="67" cm="1">
        <f ca="1" t="array" ref="L683">MIN(6,_xlfn.XLOOKUP($D683&amp;"_"&amp;L$61,$B$23:$B$45&amp;"_"&amp;$C$23:$C$45,$D$23:$D$45)*$E683)</f>
        <v>3.94283275663207</v>
      </c>
      <c r="M683" s="67" cm="1">
        <f ca="1" t="array" ref="M683">(1+SUMPRODUCT(G683:H683,OFFSET($H$49:$I$49,D683,0)))*(1+OFFSET($J$49,D683,0))^I683*(1+OFFSET($K$49,D683,0))^J683*(1+OFFSET($L$49,D683,0))^K683*(1+OFFSET($M$49,D683,0))^L683</f>
        <v>258.618734252044</v>
      </c>
      <c r="N683" s="67">
        <f ca="1">MAX(MAX($N$62:N682),OFFSET($C$61,MATCH(M683*1.07,$M$62:$M$2061,1),0)-C683)</f>
        <v>28800</v>
      </c>
    </row>
    <row r="684" spans="2:14">
      <c r="B684" s="67">
        <v>623</v>
      </c>
      <c r="C684" s="67">
        <f t="shared" si="66"/>
        <v>224280</v>
      </c>
      <c r="D684" s="67">
        <f t="shared" si="62"/>
        <v>5</v>
      </c>
      <c r="E684" s="67">
        <f ca="1" t="shared" si="63"/>
        <v>653</v>
      </c>
      <c r="F684" s="67">
        <f ca="1" t="shared" si="64"/>
        <v>0</v>
      </c>
      <c r="G684" s="67">
        <f ca="1" t="shared" si="65"/>
        <v>0</v>
      </c>
      <c r="H684" s="67" cm="1">
        <f ca="1" t="array" ref="H684">MIN(30-SUM(I684:L684),_xlfn.XLOOKUP($D684&amp;"_"&amp;H$61,$B$23:$B$45&amp;"_"&amp;$C$23:$C$45,$D$23:$D$45)*$E684,18)</f>
        <v>13.3674133025759</v>
      </c>
      <c r="I684" s="67" cm="1">
        <f ca="1" t="array" ref="I684">MIN(30-SUM(J684:L684),6-L684,_xlfn.XLOOKUP($D684&amp;"_"&amp;I$61,$B$23:$B$45&amp;"_"&amp;$C$23:$C$45,$D$23:$D$45)*$E684)</f>
        <v>2.0511199538639</v>
      </c>
      <c r="J684" s="67" cm="1">
        <f ca="1" t="array" ref="J684">MIN(8,_xlfn.XLOOKUP($D684&amp;"_"&amp;J$61,$B$23:$B$45&amp;"_"&amp;$C$23:$C$45,$D$23:$D$45)*$E684)</f>
        <v>8</v>
      </c>
      <c r="K684" s="67" cm="1">
        <f ca="1" t="array" ref="K684">MIN(18,_xlfn.XLOOKUP($D684&amp;"_"&amp;K$61,$B$23:$B$45&amp;"_"&amp;$C$23:$C$45,$D$23:$D$45)*$E684)</f>
        <v>2.63258669742407</v>
      </c>
      <c r="L684" s="67" cm="1">
        <f ca="1" t="array" ref="L684">MIN(6,_xlfn.XLOOKUP($D684&amp;"_"&amp;L$61,$B$23:$B$45&amp;"_"&amp;$C$23:$C$45,$D$23:$D$45)*$E684)</f>
        <v>3.9488800461361</v>
      </c>
      <c r="M684" s="67" cm="1">
        <f ca="1" t="array" ref="M684">(1+SUMPRODUCT(G684:H684,OFFSET($H$49:$I$49,D684,0)))*(1+OFFSET($J$49,D684,0))^I684*(1+OFFSET($K$49,D684,0))^J684*(1+OFFSET($L$49,D684,0))^K684*(1+OFFSET($M$49,D684,0))^L684</f>
        <v>258.837377726875</v>
      </c>
      <c r="N684" s="67">
        <f ca="1">MAX(MAX($N$62:N683),OFFSET($C$61,MATCH(M684*1.07,$M$62:$M$2061,1),0)-C684)</f>
        <v>28800</v>
      </c>
    </row>
    <row r="685" spans="2:14">
      <c r="B685" s="67">
        <v>624</v>
      </c>
      <c r="C685" s="67">
        <f t="shared" si="66"/>
        <v>224640</v>
      </c>
      <c r="D685" s="67">
        <f t="shared" si="62"/>
        <v>5</v>
      </c>
      <c r="E685" s="67">
        <f ca="1" t="shared" si="63"/>
        <v>654</v>
      </c>
      <c r="F685" s="67">
        <f ca="1" t="shared" si="64"/>
        <v>0</v>
      </c>
      <c r="G685" s="67">
        <f ca="1" t="shared" si="65"/>
        <v>0</v>
      </c>
      <c r="H685" s="67" cm="1">
        <f ca="1" t="array" ref="H685">MIN(30-SUM(I685:L685),_xlfn.XLOOKUP($D685&amp;"_"&amp;H$61,$B$23:$B$45&amp;"_"&amp;$C$23:$C$45,$D$23:$D$45)*$E685,18)</f>
        <v>13.3633817762399</v>
      </c>
      <c r="I685" s="67" cm="1">
        <f ca="1" t="array" ref="I685">MIN(30-SUM(J685:L685),6-L685,_xlfn.XLOOKUP($D685&amp;"_"&amp;I$61,$B$23:$B$45&amp;"_"&amp;$C$23:$C$45,$D$23:$D$45)*$E685)</f>
        <v>2.04507266435986</v>
      </c>
      <c r="J685" s="67" cm="1">
        <f ca="1" t="array" ref="J685">MIN(8,_xlfn.XLOOKUP($D685&amp;"_"&amp;J$61,$B$23:$B$45&amp;"_"&amp;$C$23:$C$45,$D$23:$D$45)*$E685)</f>
        <v>8</v>
      </c>
      <c r="K685" s="67" cm="1">
        <f ca="1" t="array" ref="K685">MIN(18,_xlfn.XLOOKUP($D685&amp;"_"&amp;K$61,$B$23:$B$45&amp;"_"&amp;$C$23:$C$45,$D$23:$D$45)*$E685)</f>
        <v>2.63661822376009</v>
      </c>
      <c r="L685" s="67" cm="1">
        <f ca="1" t="array" ref="L685">MIN(6,_xlfn.XLOOKUP($D685&amp;"_"&amp;L$61,$B$23:$B$45&amp;"_"&amp;$C$23:$C$45,$D$23:$D$45)*$E685)</f>
        <v>3.95492733564014</v>
      </c>
      <c r="M685" s="67" cm="1">
        <f ca="1" t="array" ref="M685">(1+SUMPRODUCT(G685:H685,OFFSET($H$49:$I$49,D685,0)))*(1+OFFSET($J$49,D685,0))^I685*(1+OFFSET($K$49,D685,0))^J685*(1+OFFSET($L$49,D685,0))^K685*(1+OFFSET($M$49,D685,0))^L685</f>
        <v>259.05619356834</v>
      </c>
      <c r="N685" s="67">
        <f ca="1">MAX(MAX($N$62:N684),OFFSET($C$61,MATCH(M685*1.07,$M$62:$M$2061,1),0)-C685)</f>
        <v>28800</v>
      </c>
    </row>
    <row r="686" spans="2:14">
      <c r="B686" s="67">
        <v>625</v>
      </c>
      <c r="C686" s="67">
        <f t="shared" si="66"/>
        <v>225000</v>
      </c>
      <c r="D686" s="67">
        <f t="shared" si="62"/>
        <v>5</v>
      </c>
      <c r="E686" s="67">
        <f ca="1" t="shared" si="63"/>
        <v>655</v>
      </c>
      <c r="F686" s="67">
        <f ca="1" t="shared" si="64"/>
        <v>0</v>
      </c>
      <c r="G686" s="67">
        <f ca="1" t="shared" si="65"/>
        <v>0</v>
      </c>
      <c r="H686" s="67" cm="1">
        <f ca="1" t="array" ref="H686">MIN(30-SUM(I686:L686),_xlfn.XLOOKUP($D686&amp;"_"&amp;H$61,$B$23:$B$45&amp;"_"&amp;$C$23:$C$45,$D$23:$D$45)*$E686,18)</f>
        <v>13.3593502499039</v>
      </c>
      <c r="I686" s="67" cm="1">
        <f ca="1" t="array" ref="I686">MIN(30-SUM(J686:L686),6-L686,_xlfn.XLOOKUP($D686&amp;"_"&amp;I$61,$B$23:$B$45&amp;"_"&amp;$C$23:$C$45,$D$23:$D$45)*$E686)</f>
        <v>2.03902537485582</v>
      </c>
      <c r="J686" s="67" cm="1">
        <f ca="1" t="array" ref="J686">MIN(8,_xlfn.XLOOKUP($D686&amp;"_"&amp;J$61,$B$23:$B$45&amp;"_"&amp;$C$23:$C$45,$D$23:$D$45)*$E686)</f>
        <v>8</v>
      </c>
      <c r="K686" s="67" cm="1">
        <f ca="1" t="array" ref="K686">MIN(18,_xlfn.XLOOKUP($D686&amp;"_"&amp;K$61,$B$23:$B$45&amp;"_"&amp;$C$23:$C$45,$D$23:$D$45)*$E686)</f>
        <v>2.64064975009612</v>
      </c>
      <c r="L686" s="67" cm="1">
        <f ca="1" t="array" ref="L686">MIN(6,_xlfn.XLOOKUP($D686&amp;"_"&amp;L$61,$B$23:$B$45&amp;"_"&amp;$C$23:$C$45,$D$23:$D$45)*$E686)</f>
        <v>3.96097462514418</v>
      </c>
      <c r="M686" s="67" cm="1">
        <f ca="1" t="array" ref="M686">(1+SUMPRODUCT(G686:H686,OFFSET($H$49:$I$49,D686,0)))*(1+OFFSET($J$49,D686,0))^I686*(1+OFFSET($K$49,D686,0))^J686*(1+OFFSET($L$49,D686,0))^K686*(1+OFFSET($M$49,D686,0))^L686</f>
        <v>259.275181895576</v>
      </c>
      <c r="N686" s="67">
        <f ca="1">MAX(MAX($N$62:N685),OFFSET($C$61,MATCH(M686*1.07,$M$62:$M$2061,1),0)-C686)</f>
        <v>28800</v>
      </c>
    </row>
    <row r="687" spans="2:14">
      <c r="B687" s="67">
        <v>626</v>
      </c>
      <c r="C687" s="67">
        <f t="shared" si="66"/>
        <v>225360</v>
      </c>
      <c r="D687" s="67">
        <f t="shared" si="62"/>
        <v>5</v>
      </c>
      <c r="E687" s="67">
        <f ca="1" t="shared" si="63"/>
        <v>656</v>
      </c>
      <c r="F687" s="67">
        <f ca="1" t="shared" si="64"/>
        <v>0</v>
      </c>
      <c r="G687" s="67">
        <f ca="1" t="shared" si="65"/>
        <v>0</v>
      </c>
      <c r="H687" s="67" cm="1">
        <f ca="1" t="array" ref="H687">MIN(30-SUM(I687:L687),_xlfn.XLOOKUP($D687&amp;"_"&amp;H$61,$B$23:$B$45&amp;"_"&amp;$C$23:$C$45,$D$23:$D$45)*$E687,18)</f>
        <v>13.3553187235679</v>
      </c>
      <c r="I687" s="67" cm="1">
        <f ca="1" t="array" ref="I687">MIN(30-SUM(J687:L687),6-L687,_xlfn.XLOOKUP($D687&amp;"_"&amp;I$61,$B$23:$B$45&amp;"_"&amp;$C$23:$C$45,$D$23:$D$45)*$E687)</f>
        <v>2.03297808535179</v>
      </c>
      <c r="J687" s="67" cm="1">
        <f ca="1" t="array" ref="J687">MIN(8,_xlfn.XLOOKUP($D687&amp;"_"&amp;J$61,$B$23:$B$45&amp;"_"&amp;$C$23:$C$45,$D$23:$D$45)*$E687)</f>
        <v>8</v>
      </c>
      <c r="K687" s="67" cm="1">
        <f ca="1" t="array" ref="K687">MIN(18,_xlfn.XLOOKUP($D687&amp;"_"&amp;K$61,$B$23:$B$45&amp;"_"&amp;$C$23:$C$45,$D$23:$D$45)*$E687)</f>
        <v>2.64468127643214</v>
      </c>
      <c r="L687" s="67" cm="1">
        <f ca="1" t="array" ref="L687">MIN(6,_xlfn.XLOOKUP($D687&amp;"_"&amp;L$61,$B$23:$B$45&amp;"_"&amp;$C$23:$C$45,$D$23:$D$45)*$E687)</f>
        <v>3.96702191464821</v>
      </c>
      <c r="M687" s="67" cm="1">
        <f ca="1" t="array" ref="M687">(1+SUMPRODUCT(G687:H687,OFFSET($H$49:$I$49,D687,0)))*(1+OFFSET($J$49,D687,0))^I687*(1+OFFSET($K$49,D687,0))^J687*(1+OFFSET($L$49,D687,0))^K687*(1+OFFSET($M$49,D687,0))^L687</f>
        <v>259.494342827778</v>
      </c>
      <c r="N687" s="67">
        <f ca="1">MAX(MAX($N$62:N686),OFFSET($C$61,MATCH(M687*1.07,$M$62:$M$2061,1),0)-C687)</f>
        <v>28800</v>
      </c>
    </row>
    <row r="688" spans="2:14">
      <c r="B688" s="67">
        <v>627</v>
      </c>
      <c r="C688" s="67">
        <f t="shared" si="66"/>
        <v>225720</v>
      </c>
      <c r="D688" s="67">
        <f t="shared" si="62"/>
        <v>5</v>
      </c>
      <c r="E688" s="67">
        <f ca="1" t="shared" si="63"/>
        <v>657</v>
      </c>
      <c r="F688" s="67">
        <f ca="1" t="shared" si="64"/>
        <v>0</v>
      </c>
      <c r="G688" s="67">
        <f ca="1" t="shared" si="65"/>
        <v>0</v>
      </c>
      <c r="H688" s="67" cm="1">
        <f ca="1" t="array" ref="H688">MIN(30-SUM(I688:L688),_xlfn.XLOOKUP($D688&amp;"_"&amp;H$61,$B$23:$B$45&amp;"_"&amp;$C$23:$C$45,$D$23:$D$45)*$E688,18)</f>
        <v>13.3512871972318</v>
      </c>
      <c r="I688" s="67" cm="1">
        <f ca="1" t="array" ref="I688">MIN(30-SUM(J688:L688),6-L688,_xlfn.XLOOKUP($D688&amp;"_"&amp;I$61,$B$23:$B$45&amp;"_"&amp;$C$23:$C$45,$D$23:$D$45)*$E688)</f>
        <v>2.02693079584775</v>
      </c>
      <c r="J688" s="67" cm="1">
        <f ca="1" t="array" ref="J688">MIN(8,_xlfn.XLOOKUP($D688&amp;"_"&amp;J$61,$B$23:$B$45&amp;"_"&amp;$C$23:$C$45,$D$23:$D$45)*$E688)</f>
        <v>8</v>
      </c>
      <c r="K688" s="67" cm="1">
        <f ca="1" t="array" ref="K688">MIN(18,_xlfn.XLOOKUP($D688&amp;"_"&amp;K$61,$B$23:$B$45&amp;"_"&amp;$C$23:$C$45,$D$23:$D$45)*$E688)</f>
        <v>2.64871280276817</v>
      </c>
      <c r="L688" s="67" cm="1">
        <f ca="1" t="array" ref="L688">MIN(6,_xlfn.XLOOKUP($D688&amp;"_"&amp;L$61,$B$23:$B$45&amp;"_"&amp;$C$23:$C$45,$D$23:$D$45)*$E688)</f>
        <v>3.97306920415225</v>
      </c>
      <c r="M688" s="67" cm="1">
        <f ca="1" t="array" ref="M688">(1+SUMPRODUCT(G688:H688,OFFSET($H$49:$I$49,D688,0)))*(1+OFFSET($J$49,D688,0))^I688*(1+OFFSET($K$49,D688,0))^J688*(1+OFFSET($L$49,D688,0))^K688*(1+OFFSET($M$49,D688,0))^L688</f>
        <v>259.713676484199</v>
      </c>
      <c r="N688" s="67">
        <f ca="1">MAX(MAX($N$62:N687),OFFSET($C$61,MATCH(M688*1.07,$M$62:$M$2061,1),0)-C688)</f>
        <v>28800</v>
      </c>
    </row>
    <row r="689" spans="2:14">
      <c r="B689" s="67">
        <v>628</v>
      </c>
      <c r="C689" s="67">
        <f t="shared" si="66"/>
        <v>226080</v>
      </c>
      <c r="D689" s="67">
        <f t="shared" si="62"/>
        <v>5</v>
      </c>
      <c r="E689" s="67">
        <f ca="1" t="shared" si="63"/>
        <v>658</v>
      </c>
      <c r="F689" s="67">
        <f ca="1" t="shared" si="64"/>
        <v>0</v>
      </c>
      <c r="G689" s="67">
        <f ca="1" t="shared" si="65"/>
        <v>0</v>
      </c>
      <c r="H689" s="67" cm="1">
        <f ca="1" t="array" ref="H689">MIN(30-SUM(I689:L689),_xlfn.XLOOKUP($D689&amp;"_"&amp;H$61,$B$23:$B$45&amp;"_"&amp;$C$23:$C$45,$D$23:$D$45)*$E689,18)</f>
        <v>13.3472556708958</v>
      </c>
      <c r="I689" s="67" cm="1">
        <f ca="1" t="array" ref="I689">MIN(30-SUM(J689:L689),6-L689,_xlfn.XLOOKUP($D689&amp;"_"&amp;I$61,$B$23:$B$45&amp;"_"&amp;$C$23:$C$45,$D$23:$D$45)*$E689)</f>
        <v>2.02088350634371</v>
      </c>
      <c r="J689" s="67" cm="1">
        <f ca="1" t="array" ref="J689">MIN(8,_xlfn.XLOOKUP($D689&amp;"_"&amp;J$61,$B$23:$B$45&amp;"_"&amp;$C$23:$C$45,$D$23:$D$45)*$E689)</f>
        <v>8</v>
      </c>
      <c r="K689" s="67" cm="1">
        <f ca="1" t="array" ref="K689">MIN(18,_xlfn.XLOOKUP($D689&amp;"_"&amp;K$61,$B$23:$B$45&amp;"_"&amp;$C$23:$C$45,$D$23:$D$45)*$E689)</f>
        <v>2.65274432910419</v>
      </c>
      <c r="L689" s="67" cm="1">
        <f ca="1" t="array" ref="L689">MIN(6,_xlfn.XLOOKUP($D689&amp;"_"&amp;L$61,$B$23:$B$45&amp;"_"&amp;$C$23:$C$45,$D$23:$D$45)*$E689)</f>
        <v>3.97911649365629</v>
      </c>
      <c r="M689" s="67" cm="1">
        <f ca="1" t="array" ref="M689">(1+SUMPRODUCT(G689:H689,OFFSET($H$49:$I$49,D689,0)))*(1+OFFSET($J$49,D689,0))^I689*(1+OFFSET($K$49,D689,0))^J689*(1+OFFSET($L$49,D689,0))^K689*(1+OFFSET($M$49,D689,0))^L689</f>
        <v>259.933182984153</v>
      </c>
      <c r="N689" s="67">
        <f ca="1">MAX(MAX($N$62:N688),OFFSET($C$61,MATCH(M689*1.07,$M$62:$M$2061,1),0)-C689)</f>
        <v>28800</v>
      </c>
    </row>
    <row r="690" spans="2:14">
      <c r="B690" s="67">
        <v>629</v>
      </c>
      <c r="C690" s="67">
        <f t="shared" ref="C690:C726" si="67">C689+360</f>
        <v>226440</v>
      </c>
      <c r="D690" s="67">
        <f t="shared" si="62"/>
        <v>5</v>
      </c>
      <c r="E690" s="67">
        <f ca="1" t="shared" si="63"/>
        <v>659</v>
      </c>
      <c r="F690" s="67">
        <f ca="1" t="shared" si="64"/>
        <v>0</v>
      </c>
      <c r="G690" s="67">
        <f ca="1" t="shared" si="65"/>
        <v>0</v>
      </c>
      <c r="H690" s="67" cm="1">
        <f ca="1" t="array" ref="H690">MIN(30-SUM(I690:L690),_xlfn.XLOOKUP($D690&amp;"_"&amp;H$61,$B$23:$B$45&amp;"_"&amp;$C$23:$C$45,$D$23:$D$45)*$E690,18)</f>
        <v>13.3432241445598</v>
      </c>
      <c r="I690" s="67" cm="1">
        <f ca="1" t="array" ref="I690">MIN(30-SUM(J690:L690),6-L690,_xlfn.XLOOKUP($D690&amp;"_"&amp;I$61,$B$23:$B$45&amp;"_"&amp;$C$23:$C$45,$D$23:$D$45)*$E690)</f>
        <v>2.01483621683968</v>
      </c>
      <c r="J690" s="67" cm="1">
        <f ca="1" t="array" ref="J690">MIN(8,_xlfn.XLOOKUP($D690&amp;"_"&amp;J$61,$B$23:$B$45&amp;"_"&amp;$C$23:$C$45,$D$23:$D$45)*$E690)</f>
        <v>8</v>
      </c>
      <c r="K690" s="67" cm="1">
        <f ca="1" t="array" ref="K690">MIN(18,_xlfn.XLOOKUP($D690&amp;"_"&amp;K$61,$B$23:$B$45&amp;"_"&amp;$C$23:$C$45,$D$23:$D$45)*$E690)</f>
        <v>2.65677585544022</v>
      </c>
      <c r="L690" s="67" cm="1">
        <f ca="1" t="array" ref="L690">MIN(6,_xlfn.XLOOKUP($D690&amp;"_"&amp;L$61,$B$23:$B$45&amp;"_"&amp;$C$23:$C$45,$D$23:$D$45)*$E690)</f>
        <v>3.98516378316032</v>
      </c>
      <c r="M690" s="67" cm="1">
        <f ca="1" t="array" ref="M690">(1+SUMPRODUCT(G690:H690,OFFSET($H$49:$I$49,D690,0)))*(1+OFFSET($J$49,D690,0))^I690*(1+OFFSET($K$49,D690,0))^J690*(1+OFFSET($L$49,D690,0))^K690*(1+OFFSET($M$49,D690,0))^L690</f>
        <v>260.152862447008</v>
      </c>
      <c r="N690" s="67">
        <f ca="1">MAX(MAX($N$62:N689),OFFSET($C$61,MATCH(M690*1.07,$M$62:$M$2061,1),0)-C690)</f>
        <v>28800</v>
      </c>
    </row>
    <row r="691" spans="2:14">
      <c r="B691" s="67">
        <v>630</v>
      </c>
      <c r="C691" s="67">
        <f t="shared" si="67"/>
        <v>226800</v>
      </c>
      <c r="D691" s="67">
        <f t="shared" si="62"/>
        <v>5</v>
      </c>
      <c r="E691" s="67">
        <f ca="1" t="shared" si="63"/>
        <v>660</v>
      </c>
      <c r="F691" s="67">
        <f ca="1" t="shared" si="64"/>
        <v>0</v>
      </c>
      <c r="G691" s="67">
        <f ca="1" t="shared" si="65"/>
        <v>0</v>
      </c>
      <c r="H691" s="67" cm="1">
        <f ca="1" t="array" ref="H691">MIN(30-SUM(I691:L691),_xlfn.XLOOKUP($D691&amp;"_"&amp;H$61,$B$23:$B$45&amp;"_"&amp;$C$23:$C$45,$D$23:$D$45)*$E691,18)</f>
        <v>13.3391926182238</v>
      </c>
      <c r="I691" s="67" cm="1">
        <f ca="1" t="array" ref="I691">MIN(30-SUM(J691:L691),6-L691,_xlfn.XLOOKUP($D691&amp;"_"&amp;I$61,$B$23:$B$45&amp;"_"&amp;$C$23:$C$45,$D$23:$D$45)*$E691)</f>
        <v>2.00878892733564</v>
      </c>
      <c r="J691" s="67" cm="1">
        <f ca="1" t="array" ref="J691">MIN(8,_xlfn.XLOOKUP($D691&amp;"_"&amp;J$61,$B$23:$B$45&amp;"_"&amp;$C$23:$C$45,$D$23:$D$45)*$E691)</f>
        <v>8</v>
      </c>
      <c r="K691" s="67" cm="1">
        <f ca="1" t="array" ref="K691">MIN(18,_xlfn.XLOOKUP($D691&amp;"_"&amp;K$61,$B$23:$B$45&amp;"_"&amp;$C$23:$C$45,$D$23:$D$45)*$E691)</f>
        <v>2.66080738177624</v>
      </c>
      <c r="L691" s="67" cm="1">
        <f ca="1" t="array" ref="L691">MIN(6,_xlfn.XLOOKUP($D691&amp;"_"&amp;L$61,$B$23:$B$45&amp;"_"&amp;$C$23:$C$45,$D$23:$D$45)*$E691)</f>
        <v>3.99121107266436</v>
      </c>
      <c r="M691" s="67" cm="1">
        <f ca="1" t="array" ref="M691">(1+SUMPRODUCT(G691:H691,OFFSET($H$49:$I$49,D691,0)))*(1+OFFSET($J$49,D691,0))^I691*(1+OFFSET($K$49,D691,0))^J691*(1+OFFSET($L$49,D691,0))^K691*(1+OFFSET($M$49,D691,0))^L691</f>
        <v>260.372714992193</v>
      </c>
      <c r="N691" s="67">
        <f ca="1">MAX(MAX($N$62:N690),OFFSET($C$61,MATCH(M691*1.07,$M$62:$M$2061,1),0)-C691)</f>
        <v>28800</v>
      </c>
    </row>
    <row r="692" spans="2:14">
      <c r="B692" s="67">
        <v>631</v>
      </c>
      <c r="C692" s="67">
        <f t="shared" si="67"/>
        <v>227160</v>
      </c>
      <c r="D692" s="67">
        <f t="shared" si="62"/>
        <v>5</v>
      </c>
      <c r="E692" s="67">
        <f ca="1" t="shared" si="63"/>
        <v>661</v>
      </c>
      <c r="F692" s="67">
        <f ca="1" t="shared" si="64"/>
        <v>0</v>
      </c>
      <c r="G692" s="67">
        <f ca="1" t="shared" si="65"/>
        <v>0</v>
      </c>
      <c r="H692" s="67" cm="1">
        <f ca="1" t="array" ref="H692">MIN(30-SUM(I692:L692),_xlfn.XLOOKUP($D692&amp;"_"&amp;H$61,$B$23:$B$45&amp;"_"&amp;$C$23:$C$45,$D$23:$D$45)*$E692,18)</f>
        <v>13.3351610918877</v>
      </c>
      <c r="I692" s="67" cm="1">
        <f ca="1" t="array" ref="I692">MIN(30-SUM(J692:L692),6-L692,_xlfn.XLOOKUP($D692&amp;"_"&amp;I$61,$B$23:$B$45&amp;"_"&amp;$C$23:$C$45,$D$23:$D$45)*$E692)</f>
        <v>2.0027416378316</v>
      </c>
      <c r="J692" s="67" cm="1">
        <f ca="1" t="array" ref="J692">MIN(8,_xlfn.XLOOKUP($D692&amp;"_"&amp;J$61,$B$23:$B$45&amp;"_"&amp;$C$23:$C$45,$D$23:$D$45)*$E692)</f>
        <v>8</v>
      </c>
      <c r="K692" s="67" cm="1">
        <f ca="1" t="array" ref="K692">MIN(18,_xlfn.XLOOKUP($D692&amp;"_"&amp;K$61,$B$23:$B$45&amp;"_"&amp;$C$23:$C$45,$D$23:$D$45)*$E692)</f>
        <v>2.66483890811227</v>
      </c>
      <c r="L692" s="67" cm="1">
        <f ca="1" t="array" ref="L692">MIN(6,_xlfn.XLOOKUP($D692&amp;"_"&amp;L$61,$B$23:$B$45&amp;"_"&amp;$C$23:$C$45,$D$23:$D$45)*$E692)</f>
        <v>3.9972583621684</v>
      </c>
      <c r="M692" s="67" cm="1">
        <f ca="1" t="array" ref="M692">(1+SUMPRODUCT(G692:H692,OFFSET($H$49:$I$49,D692,0)))*(1+OFFSET($J$49,D692,0))^I692*(1+OFFSET($K$49,D692,0))^J692*(1+OFFSET($L$49,D692,0))^K692*(1+OFFSET($M$49,D692,0))^L692</f>
        <v>260.592740739194</v>
      </c>
      <c r="N692" s="67">
        <f ca="1">MAX(MAX($N$62:N691),OFFSET($C$61,MATCH(M692*1.07,$M$62:$M$2061,1),0)-C692)</f>
        <v>28800</v>
      </c>
    </row>
    <row r="693" spans="2:14">
      <c r="B693" s="67">
        <v>632</v>
      </c>
      <c r="C693" s="67">
        <f t="shared" si="67"/>
        <v>227520</v>
      </c>
      <c r="D693" s="67">
        <f t="shared" si="62"/>
        <v>5</v>
      </c>
      <c r="E693" s="67">
        <f ca="1" t="shared" si="63"/>
        <v>662</v>
      </c>
      <c r="F693" s="67">
        <f ca="1" t="shared" si="64"/>
        <v>0</v>
      </c>
      <c r="G693" s="67">
        <f ca="1" t="shared" si="65"/>
        <v>0</v>
      </c>
      <c r="H693" s="67" cm="1">
        <f ca="1" t="array" ref="H693">MIN(30-SUM(I693:L693),_xlfn.XLOOKUP($D693&amp;"_"&amp;H$61,$B$23:$B$45&amp;"_"&amp;$C$23:$C$45,$D$23:$D$45)*$E693,18)</f>
        <v>13.3311295655517</v>
      </c>
      <c r="I693" s="67" cm="1">
        <f ca="1" t="array" ref="I693">MIN(30-SUM(J693:L693),6-L693,_xlfn.XLOOKUP($D693&amp;"_"&amp;I$61,$B$23:$B$45&amp;"_"&amp;$C$23:$C$45,$D$23:$D$45)*$E693)</f>
        <v>1.99669434832757</v>
      </c>
      <c r="J693" s="67" cm="1">
        <f ca="1" t="array" ref="J693">MIN(8,_xlfn.XLOOKUP($D693&amp;"_"&amp;J$61,$B$23:$B$45&amp;"_"&amp;$C$23:$C$45,$D$23:$D$45)*$E693)</f>
        <v>8</v>
      </c>
      <c r="K693" s="67" cm="1">
        <f ca="1" t="array" ref="K693">MIN(18,_xlfn.XLOOKUP($D693&amp;"_"&amp;K$61,$B$23:$B$45&amp;"_"&amp;$C$23:$C$45,$D$23:$D$45)*$E693)</f>
        <v>2.66887043444829</v>
      </c>
      <c r="L693" s="67" cm="1">
        <f ca="1" t="array" ref="L693">MIN(6,_xlfn.XLOOKUP($D693&amp;"_"&amp;L$61,$B$23:$B$45&amp;"_"&amp;$C$23:$C$45,$D$23:$D$45)*$E693)</f>
        <v>4.00330565167243</v>
      </c>
      <c r="M693" s="67" cm="1">
        <f ca="1" t="array" ref="M693">(1+SUMPRODUCT(G693:H693,OFFSET($H$49:$I$49,D693,0)))*(1+OFFSET($J$49,D693,0))^I693*(1+OFFSET($K$49,D693,0))^J693*(1+OFFSET($L$49,D693,0))^K693*(1+OFFSET($M$49,D693,0))^L693</f>
        <v>260.812939807557</v>
      </c>
      <c r="N693" s="67">
        <f ca="1">MAX(MAX($N$62:N692),OFFSET($C$61,MATCH(M693*1.07,$M$62:$M$2061,1),0)-C693)</f>
        <v>28800</v>
      </c>
    </row>
    <row r="694" spans="2:14">
      <c r="B694" s="67">
        <v>633</v>
      </c>
      <c r="C694" s="67">
        <f t="shared" si="67"/>
        <v>227880</v>
      </c>
      <c r="D694" s="67">
        <f t="shared" si="62"/>
        <v>5</v>
      </c>
      <c r="E694" s="67">
        <f ca="1" t="shared" si="63"/>
        <v>663</v>
      </c>
      <c r="F694" s="67">
        <f ca="1" t="shared" si="64"/>
        <v>0</v>
      </c>
      <c r="G694" s="67">
        <f ca="1" t="shared" si="65"/>
        <v>0</v>
      </c>
      <c r="H694" s="67" cm="1">
        <f ca="1" t="array" ref="H694">MIN(30-SUM(I694:L694),_xlfn.XLOOKUP($D694&amp;"_"&amp;H$61,$B$23:$B$45&amp;"_"&amp;$C$23:$C$45,$D$23:$D$45)*$E694,18)</f>
        <v>13.3270980392157</v>
      </c>
      <c r="I694" s="67" cm="1">
        <f ca="1" t="array" ref="I694">MIN(30-SUM(J694:L694),6-L694,_xlfn.XLOOKUP($D694&amp;"_"&amp;I$61,$B$23:$B$45&amp;"_"&amp;$C$23:$C$45,$D$23:$D$45)*$E694)</f>
        <v>1.99064705882353</v>
      </c>
      <c r="J694" s="67" cm="1">
        <f ca="1" t="array" ref="J694">MIN(8,_xlfn.XLOOKUP($D694&amp;"_"&amp;J$61,$B$23:$B$45&amp;"_"&amp;$C$23:$C$45,$D$23:$D$45)*$E694)</f>
        <v>8</v>
      </c>
      <c r="K694" s="67" cm="1">
        <f ca="1" t="array" ref="K694">MIN(18,_xlfn.XLOOKUP($D694&amp;"_"&amp;K$61,$B$23:$B$45&amp;"_"&amp;$C$23:$C$45,$D$23:$D$45)*$E694)</f>
        <v>2.67290196078432</v>
      </c>
      <c r="L694" s="67" cm="1">
        <f ca="1" t="array" ref="L694">MIN(6,_xlfn.XLOOKUP($D694&amp;"_"&amp;L$61,$B$23:$B$45&amp;"_"&amp;$C$23:$C$45,$D$23:$D$45)*$E694)</f>
        <v>4.00935294117647</v>
      </c>
      <c r="M694" s="67" cm="1">
        <f ca="1" t="array" ref="M694">(1+SUMPRODUCT(G694:H694,OFFSET($H$49:$I$49,D694,0)))*(1+OFFSET($J$49,D694,0))^I694*(1+OFFSET($K$49,D694,0))^J694*(1+OFFSET($L$49,D694,0))^K694*(1+OFFSET($M$49,D694,0))^L694</f>
        <v>261.033312316883</v>
      </c>
      <c r="N694" s="67">
        <f ca="1">MAX(MAX($N$62:N693),OFFSET($C$61,MATCH(M694*1.07,$M$62:$M$2061,1),0)-C694)</f>
        <v>28800</v>
      </c>
    </row>
    <row r="695" spans="2:14">
      <c r="B695" s="67">
        <v>634</v>
      </c>
      <c r="C695" s="67">
        <f t="shared" si="67"/>
        <v>228240</v>
      </c>
      <c r="D695" s="67">
        <f t="shared" si="62"/>
        <v>5</v>
      </c>
      <c r="E695" s="67">
        <f ca="1" t="shared" si="63"/>
        <v>664</v>
      </c>
      <c r="F695" s="67">
        <f ca="1" t="shared" si="64"/>
        <v>0</v>
      </c>
      <c r="G695" s="67">
        <f ca="1" t="shared" si="65"/>
        <v>0</v>
      </c>
      <c r="H695" s="67" cm="1">
        <f ca="1" t="array" ref="H695">MIN(30-SUM(I695:L695),_xlfn.XLOOKUP($D695&amp;"_"&amp;H$61,$B$23:$B$45&amp;"_"&amp;$C$23:$C$45,$D$23:$D$45)*$E695,18)</f>
        <v>13.3230665128797</v>
      </c>
      <c r="I695" s="67" cm="1">
        <f ca="1" t="array" ref="I695">MIN(30-SUM(J695:L695),6-L695,_xlfn.XLOOKUP($D695&amp;"_"&amp;I$61,$B$23:$B$45&amp;"_"&amp;$C$23:$C$45,$D$23:$D$45)*$E695)</f>
        <v>1.98459976931949</v>
      </c>
      <c r="J695" s="67" cm="1">
        <f ca="1" t="array" ref="J695">MIN(8,_xlfn.XLOOKUP($D695&amp;"_"&amp;J$61,$B$23:$B$45&amp;"_"&amp;$C$23:$C$45,$D$23:$D$45)*$E695)</f>
        <v>8</v>
      </c>
      <c r="K695" s="67" cm="1">
        <f ca="1" t="array" ref="K695">MIN(18,_xlfn.XLOOKUP($D695&amp;"_"&amp;K$61,$B$23:$B$45&amp;"_"&amp;$C$23:$C$45,$D$23:$D$45)*$E695)</f>
        <v>2.67693348712034</v>
      </c>
      <c r="L695" s="67" cm="1">
        <f ca="1" t="array" ref="L695">MIN(6,_xlfn.XLOOKUP($D695&amp;"_"&amp;L$61,$B$23:$B$45&amp;"_"&amp;$C$23:$C$45,$D$23:$D$45)*$E695)</f>
        <v>4.01540023068051</v>
      </c>
      <c r="M695" s="67" cm="1">
        <f ca="1" t="array" ref="M695">(1+SUMPRODUCT(G695:H695,OFFSET($H$49:$I$49,D695,0)))*(1+OFFSET($J$49,D695,0))^I695*(1+OFFSET($K$49,D695,0))^J695*(1+OFFSET($L$49,D695,0))^K695*(1+OFFSET($M$49,D695,0))^L695</f>
        <v>261.253858386833</v>
      </c>
      <c r="N695" s="67">
        <f ca="1">MAX(MAX($N$62:N694),OFFSET($C$61,MATCH(M695*1.07,$M$62:$M$2061,1),0)-C695)</f>
        <v>28800</v>
      </c>
    </row>
    <row r="696" spans="2:14">
      <c r="B696" s="67">
        <v>635</v>
      </c>
      <c r="C696" s="67">
        <f t="shared" si="67"/>
        <v>228600</v>
      </c>
      <c r="D696" s="67">
        <f t="shared" si="62"/>
        <v>5</v>
      </c>
      <c r="E696" s="67">
        <f ca="1" t="shared" si="63"/>
        <v>665</v>
      </c>
      <c r="F696" s="67">
        <f ca="1" t="shared" si="64"/>
        <v>0</v>
      </c>
      <c r="G696" s="67">
        <f ca="1" t="shared" si="65"/>
        <v>0</v>
      </c>
      <c r="H696" s="67" cm="1">
        <f ca="1" t="array" ref="H696">MIN(30-SUM(I696:L696),_xlfn.XLOOKUP($D696&amp;"_"&amp;H$61,$B$23:$B$45&amp;"_"&amp;$C$23:$C$45,$D$23:$D$45)*$E696,18)</f>
        <v>13.3190349865436</v>
      </c>
      <c r="I696" s="67" cm="1">
        <f ca="1" t="array" ref="I696">MIN(30-SUM(J696:L696),6-L696,_xlfn.XLOOKUP($D696&amp;"_"&amp;I$61,$B$23:$B$45&amp;"_"&amp;$C$23:$C$45,$D$23:$D$45)*$E696)</f>
        <v>1.97855247981545</v>
      </c>
      <c r="J696" s="67" cm="1">
        <f ca="1" t="array" ref="J696">MIN(8,_xlfn.XLOOKUP($D696&amp;"_"&amp;J$61,$B$23:$B$45&amp;"_"&amp;$C$23:$C$45,$D$23:$D$45)*$E696)</f>
        <v>8</v>
      </c>
      <c r="K696" s="67" cm="1">
        <f ca="1" t="array" ref="K696">MIN(18,_xlfn.XLOOKUP($D696&amp;"_"&amp;K$61,$B$23:$B$45&amp;"_"&amp;$C$23:$C$45,$D$23:$D$45)*$E696)</f>
        <v>2.68096501345637</v>
      </c>
      <c r="L696" s="67" cm="1">
        <f ca="1" t="array" ref="L696">MIN(6,_xlfn.XLOOKUP($D696&amp;"_"&amp;L$61,$B$23:$B$45&amp;"_"&amp;$C$23:$C$45,$D$23:$D$45)*$E696)</f>
        <v>4.02144752018455</v>
      </c>
      <c r="M696" s="67" cm="1">
        <f ca="1" t="array" ref="M696">(1+SUMPRODUCT(G696:H696,OFFSET($H$49:$I$49,D696,0)))*(1+OFFSET($J$49,D696,0))^I696*(1+OFFSET($K$49,D696,0))^J696*(1+OFFSET($L$49,D696,0))^K696*(1+OFFSET($M$49,D696,0))^L696</f>
        <v>261.474578137127</v>
      </c>
      <c r="N696" s="67">
        <f ca="1">MAX(MAX($N$62:N695),OFFSET($C$61,MATCH(M696*1.07,$M$62:$M$2061,1),0)-C696)</f>
        <v>28800</v>
      </c>
    </row>
    <row r="697" spans="2:14">
      <c r="B697" s="67">
        <v>636</v>
      </c>
      <c r="C697" s="67">
        <f t="shared" si="67"/>
        <v>228960</v>
      </c>
      <c r="D697" s="67">
        <f t="shared" si="62"/>
        <v>5</v>
      </c>
      <c r="E697" s="67">
        <f ca="1" t="shared" si="63"/>
        <v>666</v>
      </c>
      <c r="F697" s="67">
        <f ca="1" t="shared" si="64"/>
        <v>0</v>
      </c>
      <c r="G697" s="67">
        <f ca="1" t="shared" si="65"/>
        <v>0</v>
      </c>
      <c r="H697" s="67" cm="1">
        <f ca="1" t="array" ref="H697">MIN(30-SUM(I697:L697),_xlfn.XLOOKUP($D697&amp;"_"&amp;H$61,$B$23:$B$45&amp;"_"&amp;$C$23:$C$45,$D$23:$D$45)*$E697,18)</f>
        <v>13.3150034602076</v>
      </c>
      <c r="I697" s="67" cm="1">
        <f ca="1" t="array" ref="I697">MIN(30-SUM(J697:L697),6-L697,_xlfn.XLOOKUP($D697&amp;"_"&amp;I$61,$B$23:$B$45&amp;"_"&amp;$C$23:$C$45,$D$23:$D$45)*$E697)</f>
        <v>1.97250519031142</v>
      </c>
      <c r="J697" s="67" cm="1">
        <f ca="1" t="array" ref="J697">MIN(8,_xlfn.XLOOKUP($D697&amp;"_"&amp;J$61,$B$23:$B$45&amp;"_"&amp;$C$23:$C$45,$D$23:$D$45)*$E697)</f>
        <v>8</v>
      </c>
      <c r="K697" s="67" cm="1">
        <f ca="1" t="array" ref="K697">MIN(18,_xlfn.XLOOKUP($D697&amp;"_"&amp;K$61,$B$23:$B$45&amp;"_"&amp;$C$23:$C$45,$D$23:$D$45)*$E697)</f>
        <v>2.68499653979239</v>
      </c>
      <c r="L697" s="67" cm="1">
        <f ca="1" t="array" ref="L697">MIN(6,_xlfn.XLOOKUP($D697&amp;"_"&amp;L$61,$B$23:$B$45&amp;"_"&amp;$C$23:$C$45,$D$23:$D$45)*$E697)</f>
        <v>4.02749480968858</v>
      </c>
      <c r="M697" s="67" cm="1">
        <f ca="1" t="array" ref="M697">(1+SUMPRODUCT(G697:H697,OFFSET($H$49:$I$49,D697,0)))*(1+OFFSET($J$49,D697,0))^I697*(1+OFFSET($K$49,D697,0))^J697*(1+OFFSET($L$49,D697,0))^K697*(1+OFFSET($M$49,D697,0))^L697</f>
        <v>261.695471687542</v>
      </c>
      <c r="N697" s="67">
        <f ca="1">MAX(MAX($N$62:N696),OFFSET($C$61,MATCH(M697*1.07,$M$62:$M$2061,1),0)-C697)</f>
        <v>28800</v>
      </c>
    </row>
    <row r="698" spans="2:14">
      <c r="B698" s="67">
        <v>637</v>
      </c>
      <c r="C698" s="67">
        <f t="shared" si="67"/>
        <v>229320</v>
      </c>
      <c r="D698" s="67">
        <f t="shared" si="62"/>
        <v>5</v>
      </c>
      <c r="E698" s="67">
        <f ca="1" t="shared" si="63"/>
        <v>667</v>
      </c>
      <c r="F698" s="67">
        <f ca="1" t="shared" si="64"/>
        <v>0</v>
      </c>
      <c r="G698" s="67">
        <f ca="1" t="shared" si="65"/>
        <v>0</v>
      </c>
      <c r="H698" s="67" cm="1">
        <f ca="1" t="array" ref="H698">MIN(30-SUM(I698:L698),_xlfn.XLOOKUP($D698&amp;"_"&amp;H$61,$B$23:$B$45&amp;"_"&amp;$C$23:$C$45,$D$23:$D$45)*$E698,18)</f>
        <v>13.3109719338716</v>
      </c>
      <c r="I698" s="67" cm="1">
        <f ca="1" t="array" ref="I698">MIN(30-SUM(J698:L698),6-L698,_xlfn.XLOOKUP($D698&amp;"_"&amp;I$61,$B$23:$B$45&amp;"_"&amp;$C$23:$C$45,$D$23:$D$45)*$E698)</f>
        <v>1.96645790080738</v>
      </c>
      <c r="J698" s="67" cm="1">
        <f ca="1" t="array" ref="J698">MIN(8,_xlfn.XLOOKUP($D698&amp;"_"&amp;J$61,$B$23:$B$45&amp;"_"&amp;$C$23:$C$45,$D$23:$D$45)*$E698)</f>
        <v>8</v>
      </c>
      <c r="K698" s="67" cm="1">
        <f ca="1" t="array" ref="K698">MIN(18,_xlfn.XLOOKUP($D698&amp;"_"&amp;K$61,$B$23:$B$45&amp;"_"&amp;$C$23:$C$45,$D$23:$D$45)*$E698)</f>
        <v>2.68902806612841</v>
      </c>
      <c r="L698" s="67" cm="1">
        <f ca="1" t="array" ref="L698">MIN(6,_xlfn.XLOOKUP($D698&amp;"_"&amp;L$61,$B$23:$B$45&amp;"_"&amp;$C$23:$C$45,$D$23:$D$45)*$E698)</f>
        <v>4.03354209919262</v>
      </c>
      <c r="M698" s="67" cm="1">
        <f ca="1" t="array" ref="M698">(1+SUMPRODUCT(G698:H698,OFFSET($H$49:$I$49,D698,0)))*(1+OFFSET($J$49,D698,0))^I698*(1+OFFSET($K$49,D698,0))^J698*(1+OFFSET($L$49,D698,0))^K698*(1+OFFSET($M$49,D698,0))^L698</f>
        <v>261.916539157913</v>
      </c>
      <c r="N698" s="67">
        <f ca="1">MAX(MAX($N$62:N697),OFFSET($C$61,MATCH(M698*1.07,$M$62:$M$2061,1),0)-C698)</f>
        <v>28800</v>
      </c>
    </row>
    <row r="699" spans="2:14">
      <c r="B699" s="67">
        <v>638</v>
      </c>
      <c r="C699" s="67">
        <f t="shared" si="67"/>
        <v>229680</v>
      </c>
      <c r="D699" s="67">
        <f t="shared" si="62"/>
        <v>5</v>
      </c>
      <c r="E699" s="67">
        <f ca="1" t="shared" si="63"/>
        <v>668</v>
      </c>
      <c r="F699" s="67">
        <f ca="1" t="shared" si="64"/>
        <v>0</v>
      </c>
      <c r="G699" s="67">
        <f ca="1" t="shared" si="65"/>
        <v>0</v>
      </c>
      <c r="H699" s="67" cm="1">
        <f ca="1" t="array" ref="H699">MIN(30-SUM(I699:L699),_xlfn.XLOOKUP($D699&amp;"_"&amp;H$61,$B$23:$B$45&amp;"_"&amp;$C$23:$C$45,$D$23:$D$45)*$E699,18)</f>
        <v>13.3069404075356</v>
      </c>
      <c r="I699" s="67" cm="1">
        <f ca="1" t="array" ref="I699">MIN(30-SUM(J699:L699),6-L699,_xlfn.XLOOKUP($D699&amp;"_"&amp;I$61,$B$23:$B$45&amp;"_"&amp;$C$23:$C$45,$D$23:$D$45)*$E699)</f>
        <v>1.96041061130334</v>
      </c>
      <c r="J699" s="67" cm="1">
        <f ca="1" t="array" ref="J699">MIN(8,_xlfn.XLOOKUP($D699&amp;"_"&amp;J$61,$B$23:$B$45&amp;"_"&amp;$C$23:$C$45,$D$23:$D$45)*$E699)</f>
        <v>8</v>
      </c>
      <c r="K699" s="67" cm="1">
        <f ca="1" t="array" ref="K699">MIN(18,_xlfn.XLOOKUP($D699&amp;"_"&amp;K$61,$B$23:$B$45&amp;"_"&amp;$C$23:$C$45,$D$23:$D$45)*$E699)</f>
        <v>2.69305959246444</v>
      </c>
      <c r="L699" s="67" cm="1">
        <f ca="1" t="array" ref="L699">MIN(6,_xlfn.XLOOKUP($D699&amp;"_"&amp;L$61,$B$23:$B$45&amp;"_"&amp;$C$23:$C$45,$D$23:$D$45)*$E699)</f>
        <v>4.03958938869666</v>
      </c>
      <c r="M699" s="67" cm="1">
        <f ca="1" t="array" ref="M699">(1+SUMPRODUCT(G699:H699,OFFSET($H$49:$I$49,D699,0)))*(1+OFFSET($J$49,D699,0))^I699*(1+OFFSET($K$49,D699,0))^J699*(1+OFFSET($L$49,D699,0))^K699*(1+OFFSET($M$49,D699,0))^L699</f>
        <v>262.137780668134</v>
      </c>
      <c r="N699" s="67">
        <f ca="1">MAX(MAX($N$62:N698),OFFSET($C$61,MATCH(M699*1.07,$M$62:$M$2061,1),0)-C699)</f>
        <v>28800</v>
      </c>
    </row>
    <row r="700" spans="2:14">
      <c r="B700" s="67">
        <v>639</v>
      </c>
      <c r="C700" s="67">
        <f t="shared" si="67"/>
        <v>230040</v>
      </c>
      <c r="D700" s="67">
        <f t="shared" si="62"/>
        <v>5</v>
      </c>
      <c r="E700" s="67">
        <f ca="1" t="shared" si="63"/>
        <v>669</v>
      </c>
      <c r="F700" s="67">
        <f ca="1" t="shared" si="64"/>
        <v>0</v>
      </c>
      <c r="G700" s="67">
        <f ca="1" t="shared" si="65"/>
        <v>0</v>
      </c>
      <c r="H700" s="67" cm="1">
        <f ca="1" t="array" ref="H700">MIN(30-SUM(I700:L700),_xlfn.XLOOKUP($D700&amp;"_"&amp;H$61,$B$23:$B$45&amp;"_"&amp;$C$23:$C$45,$D$23:$D$45)*$E700,18)</f>
        <v>13.3029088811995</v>
      </c>
      <c r="I700" s="67" cm="1">
        <f ca="1" t="array" ref="I700">MIN(30-SUM(J700:L700),6-L700,_xlfn.XLOOKUP($D700&amp;"_"&amp;I$61,$B$23:$B$45&amp;"_"&amp;$C$23:$C$45,$D$23:$D$45)*$E700)</f>
        <v>1.95436332179931</v>
      </c>
      <c r="J700" s="67" cm="1">
        <f ca="1" t="array" ref="J700">MIN(8,_xlfn.XLOOKUP($D700&amp;"_"&amp;J$61,$B$23:$B$45&amp;"_"&amp;$C$23:$C$45,$D$23:$D$45)*$E700)</f>
        <v>8</v>
      </c>
      <c r="K700" s="67" cm="1">
        <f ca="1" t="array" ref="K700">MIN(18,_xlfn.XLOOKUP($D700&amp;"_"&amp;K$61,$B$23:$B$45&amp;"_"&amp;$C$23:$C$45,$D$23:$D$45)*$E700)</f>
        <v>2.69709111880046</v>
      </c>
      <c r="L700" s="67" cm="1">
        <f ca="1" t="array" ref="L700">MIN(6,_xlfn.XLOOKUP($D700&amp;"_"&amp;L$61,$B$23:$B$45&amp;"_"&amp;$C$23:$C$45,$D$23:$D$45)*$E700)</f>
        <v>4.04563667820069</v>
      </c>
      <c r="M700" s="67" cm="1">
        <f ca="1" t="array" ref="M700">(1+SUMPRODUCT(G700:H700,OFFSET($H$49:$I$49,D700,0)))*(1+OFFSET($J$49,D700,0))^I700*(1+OFFSET($K$49,D700,0))^J700*(1+OFFSET($L$49,D700,0))^K700*(1+OFFSET($M$49,D700,0))^L700</f>
        <v>262.359196338156</v>
      </c>
      <c r="N700" s="67">
        <f ca="1">MAX(MAX($N$62:N699),OFFSET($C$61,MATCH(M700*1.07,$M$62:$M$2061,1),0)-C700)</f>
        <v>28800</v>
      </c>
    </row>
    <row r="701" spans="2:14">
      <c r="B701" s="67">
        <v>640</v>
      </c>
      <c r="C701" s="67">
        <f t="shared" si="67"/>
        <v>230400</v>
      </c>
      <c r="D701" s="67">
        <f t="shared" si="62"/>
        <v>5</v>
      </c>
      <c r="E701" s="67">
        <f ca="1" t="shared" si="63"/>
        <v>670</v>
      </c>
      <c r="F701" s="67">
        <f ca="1" t="shared" si="64"/>
        <v>0</v>
      </c>
      <c r="G701" s="67">
        <f ca="1" t="shared" si="65"/>
        <v>0</v>
      </c>
      <c r="H701" s="67" cm="1">
        <f ca="1" t="array" ref="H701">MIN(30-SUM(I701:L701),_xlfn.XLOOKUP($D701&amp;"_"&amp;H$61,$B$23:$B$45&amp;"_"&amp;$C$23:$C$45,$D$23:$D$45)*$E701,18)</f>
        <v>13.2988773548635</v>
      </c>
      <c r="I701" s="67" cm="1">
        <f ca="1" t="array" ref="I701">MIN(30-SUM(J701:L701),6-L701,_xlfn.XLOOKUP($D701&amp;"_"&amp;I$61,$B$23:$B$45&amp;"_"&amp;$C$23:$C$45,$D$23:$D$45)*$E701)</f>
        <v>1.94831603229527</v>
      </c>
      <c r="J701" s="67" cm="1">
        <f ca="1" t="array" ref="J701">MIN(8,_xlfn.XLOOKUP($D701&amp;"_"&amp;J$61,$B$23:$B$45&amp;"_"&amp;$C$23:$C$45,$D$23:$D$45)*$E701)</f>
        <v>8</v>
      </c>
      <c r="K701" s="67" cm="1">
        <f ca="1" t="array" ref="K701">MIN(18,_xlfn.XLOOKUP($D701&amp;"_"&amp;K$61,$B$23:$B$45&amp;"_"&amp;$C$23:$C$45,$D$23:$D$45)*$E701)</f>
        <v>2.70112264513649</v>
      </c>
      <c r="L701" s="67" cm="1">
        <f ca="1" t="array" ref="L701">MIN(6,_xlfn.XLOOKUP($D701&amp;"_"&amp;L$61,$B$23:$B$45&amp;"_"&amp;$C$23:$C$45,$D$23:$D$45)*$E701)</f>
        <v>4.05168396770473</v>
      </c>
      <c r="M701" s="67" cm="1">
        <f ca="1" t="array" ref="M701">(1+SUMPRODUCT(G701:H701,OFFSET($H$49:$I$49,D701,0)))*(1+OFFSET($J$49,D701,0))^I701*(1+OFFSET($K$49,D701,0))^J701*(1+OFFSET($L$49,D701,0))^K701*(1+OFFSET($M$49,D701,0))^L701</f>
        <v>262.580786287988</v>
      </c>
      <c r="N701" s="67">
        <f ca="1">MAX(MAX($N$62:N700),OFFSET($C$61,MATCH(M701*1.07,$M$62:$M$2061,1),0)-C701)</f>
        <v>28800</v>
      </c>
    </row>
    <row r="702" spans="2:14">
      <c r="B702" s="67">
        <v>641</v>
      </c>
      <c r="C702" s="67">
        <f t="shared" si="67"/>
        <v>230760</v>
      </c>
      <c r="D702" s="67">
        <f t="shared" si="62"/>
        <v>5</v>
      </c>
      <c r="E702" s="67">
        <f ca="1" t="shared" si="63"/>
        <v>671</v>
      </c>
      <c r="F702" s="67">
        <f ca="1" t="shared" si="64"/>
        <v>0</v>
      </c>
      <c r="G702" s="67">
        <f ca="1" t="shared" si="65"/>
        <v>0</v>
      </c>
      <c r="H702" s="67" cm="1">
        <f ca="1" t="array" ref="H702">MIN(30-SUM(I702:L702),_xlfn.XLOOKUP($D702&amp;"_"&amp;H$61,$B$23:$B$45&amp;"_"&amp;$C$23:$C$45,$D$23:$D$45)*$E702,18)</f>
        <v>13.2948458285275</v>
      </c>
      <c r="I702" s="67" cm="1">
        <f ca="1" t="array" ref="I702">MIN(30-SUM(J702:L702),6-L702,_xlfn.XLOOKUP($D702&amp;"_"&amp;I$61,$B$23:$B$45&amp;"_"&amp;$C$23:$C$45,$D$23:$D$45)*$E702)</f>
        <v>1.94226874279123</v>
      </c>
      <c r="J702" s="67" cm="1">
        <f ca="1" t="array" ref="J702">MIN(8,_xlfn.XLOOKUP($D702&amp;"_"&amp;J$61,$B$23:$B$45&amp;"_"&amp;$C$23:$C$45,$D$23:$D$45)*$E702)</f>
        <v>8</v>
      </c>
      <c r="K702" s="67" cm="1">
        <f ca="1" t="array" ref="K702">MIN(18,_xlfn.XLOOKUP($D702&amp;"_"&amp;K$61,$B$23:$B$45&amp;"_"&amp;$C$23:$C$45,$D$23:$D$45)*$E702)</f>
        <v>2.70515417147251</v>
      </c>
      <c r="L702" s="67" cm="1">
        <f ca="1" t="array" ref="L702">MIN(6,_xlfn.XLOOKUP($D702&amp;"_"&amp;L$61,$B$23:$B$45&amp;"_"&amp;$C$23:$C$45,$D$23:$D$45)*$E702)</f>
        <v>4.05773125720877</v>
      </c>
      <c r="M702" s="67" cm="1">
        <f ca="1" t="array" ref="M702">(1+SUMPRODUCT(G702:H702,OFFSET($H$49:$I$49,D702,0)))*(1+OFFSET($J$49,D702,0))^I702*(1+OFFSET($K$49,D702,0))^J702*(1+OFFSET($L$49,D702,0))^K702*(1+OFFSET($M$49,D702,0))^L702</f>
        <v>262.802550637699</v>
      </c>
      <c r="N702" s="67">
        <f ca="1">MAX(MAX($N$62:N701),OFFSET($C$61,MATCH(M702*1.07,$M$62:$M$2061,1),0)-C702)</f>
        <v>28800</v>
      </c>
    </row>
    <row r="703" spans="2:14">
      <c r="B703" s="67">
        <v>642</v>
      </c>
      <c r="C703" s="67">
        <f t="shared" si="67"/>
        <v>231120</v>
      </c>
      <c r="D703" s="67">
        <f t="shared" ref="D703:D766" si="68">_xlfn.XLOOKUP("非R",$B$49:$B$54,$C$49:$C$54)</f>
        <v>5</v>
      </c>
      <c r="E703" s="67">
        <f ca="1" t="shared" ref="E703:E766" si="69">INT(C703/_xlfn.XLOOKUP(D703,$R$14:$R$21,$S$14:$S$21))+OFFSET($R$49,D703,0)</f>
        <v>672</v>
      </c>
      <c r="F703" s="67">
        <f ca="1" t="shared" si="64"/>
        <v>0</v>
      </c>
      <c r="G703" s="67">
        <f ca="1" t="shared" si="65"/>
        <v>0</v>
      </c>
      <c r="H703" s="67" cm="1">
        <f ca="1" t="array" ref="H703">MIN(30-SUM(I703:L703),_xlfn.XLOOKUP($D703&amp;"_"&amp;H$61,$B$23:$B$45&amp;"_"&amp;$C$23:$C$45,$D$23:$D$45)*$E703,18)</f>
        <v>13.2908143021915</v>
      </c>
      <c r="I703" s="67" cm="1">
        <f ca="1" t="array" ref="I703">MIN(30-SUM(J703:L703),6-L703,_xlfn.XLOOKUP($D703&amp;"_"&amp;I$61,$B$23:$B$45&amp;"_"&amp;$C$23:$C$45,$D$23:$D$45)*$E703)</f>
        <v>1.9362214532872</v>
      </c>
      <c r="J703" s="67" cm="1">
        <f ca="1" t="array" ref="J703">MIN(8,_xlfn.XLOOKUP($D703&amp;"_"&amp;J$61,$B$23:$B$45&amp;"_"&amp;$C$23:$C$45,$D$23:$D$45)*$E703)</f>
        <v>8</v>
      </c>
      <c r="K703" s="67" cm="1">
        <f ca="1" t="array" ref="K703">MIN(18,_xlfn.XLOOKUP($D703&amp;"_"&amp;K$61,$B$23:$B$45&amp;"_"&amp;$C$23:$C$45,$D$23:$D$45)*$E703)</f>
        <v>2.70918569780854</v>
      </c>
      <c r="L703" s="67" cm="1">
        <f ca="1" t="array" ref="L703">MIN(6,_xlfn.XLOOKUP($D703&amp;"_"&amp;L$61,$B$23:$B$45&amp;"_"&amp;$C$23:$C$45,$D$23:$D$45)*$E703)</f>
        <v>4.0637785467128</v>
      </c>
      <c r="M703" s="67" cm="1">
        <f ca="1" t="array" ref="M703">(1+SUMPRODUCT(G703:H703,OFFSET($H$49:$I$49,D703,0)))*(1+OFFSET($J$49,D703,0))^I703*(1+OFFSET($K$49,D703,0))^J703*(1+OFFSET($L$49,D703,0))^K703*(1+OFFSET($M$49,D703,0))^L703</f>
        <v>263.024489507413</v>
      </c>
      <c r="N703" s="67">
        <f ca="1">MAX(MAX($N$62:N702),OFFSET($C$61,MATCH(M703*1.07,$M$62:$M$2061,1),0)-C703)</f>
        <v>28800</v>
      </c>
    </row>
    <row r="704" spans="2:14">
      <c r="B704" s="67">
        <v>643</v>
      </c>
      <c r="C704" s="67">
        <f t="shared" si="67"/>
        <v>231480</v>
      </c>
      <c r="D704" s="67">
        <f t="shared" si="68"/>
        <v>5</v>
      </c>
      <c r="E704" s="67">
        <f ca="1" t="shared" si="69"/>
        <v>673</v>
      </c>
      <c r="F704" s="67">
        <f ca="1" t="shared" ref="F704:F767" si="70">30-SUM(G704:L704)</f>
        <v>0</v>
      </c>
      <c r="G704" s="67">
        <f ca="1" t="shared" ref="G704:G767" si="71">30-SUM(H704:L704)</f>
        <v>0</v>
      </c>
      <c r="H704" s="67" cm="1">
        <f ca="1" t="array" ref="H704">MIN(30-SUM(I704:L704),_xlfn.XLOOKUP($D704&amp;"_"&amp;H$61,$B$23:$B$45&amp;"_"&amp;$C$23:$C$45,$D$23:$D$45)*$E704,18)</f>
        <v>13.2867827758554</v>
      </c>
      <c r="I704" s="67" cm="1">
        <f ca="1" t="array" ref="I704">MIN(30-SUM(J704:L704),6-L704,_xlfn.XLOOKUP($D704&amp;"_"&amp;I$61,$B$23:$B$45&amp;"_"&amp;$C$23:$C$45,$D$23:$D$45)*$E704)</f>
        <v>1.93017416378316</v>
      </c>
      <c r="J704" s="67" cm="1">
        <f ca="1" t="array" ref="J704">MIN(8,_xlfn.XLOOKUP($D704&amp;"_"&amp;J$61,$B$23:$B$45&amp;"_"&amp;$C$23:$C$45,$D$23:$D$45)*$E704)</f>
        <v>8</v>
      </c>
      <c r="K704" s="67" cm="1">
        <f ca="1" t="array" ref="K704">MIN(18,_xlfn.XLOOKUP($D704&amp;"_"&amp;K$61,$B$23:$B$45&amp;"_"&amp;$C$23:$C$45,$D$23:$D$45)*$E704)</f>
        <v>2.71321722414456</v>
      </c>
      <c r="L704" s="67" cm="1">
        <f ca="1" t="array" ref="L704">MIN(6,_xlfn.XLOOKUP($D704&amp;"_"&amp;L$61,$B$23:$B$45&amp;"_"&amp;$C$23:$C$45,$D$23:$D$45)*$E704)</f>
        <v>4.06982583621684</v>
      </c>
      <c r="M704" s="67" cm="1">
        <f ca="1" t="array" ref="M704">(1+SUMPRODUCT(G704:H704,OFFSET($H$49:$I$49,D704,0)))*(1+OFFSET($J$49,D704,0))^I704*(1+OFFSET($K$49,D704,0))^J704*(1+OFFSET($L$49,D704,0))^K704*(1+OFFSET($M$49,D704,0))^L704</f>
        <v>263.246603017316</v>
      </c>
      <c r="N704" s="67">
        <f ca="1">MAX(MAX($N$62:N703),OFFSET($C$61,MATCH(M704*1.07,$M$62:$M$2061,1),0)-C704)</f>
        <v>28800</v>
      </c>
    </row>
    <row r="705" spans="2:14">
      <c r="B705" s="67">
        <v>644</v>
      </c>
      <c r="C705" s="67">
        <f t="shared" si="67"/>
        <v>231840</v>
      </c>
      <c r="D705" s="67">
        <f t="shared" si="68"/>
        <v>5</v>
      </c>
      <c r="E705" s="67">
        <f ca="1" t="shared" si="69"/>
        <v>674</v>
      </c>
      <c r="F705" s="67">
        <f ca="1" t="shared" si="70"/>
        <v>0</v>
      </c>
      <c r="G705" s="67">
        <f ca="1" t="shared" si="71"/>
        <v>0</v>
      </c>
      <c r="H705" s="67" cm="1">
        <f ca="1" t="array" ref="H705">MIN(30-SUM(I705:L705),_xlfn.XLOOKUP($D705&amp;"_"&amp;H$61,$B$23:$B$45&amp;"_"&amp;$C$23:$C$45,$D$23:$D$45)*$E705,18)</f>
        <v>13.2827512495194</v>
      </c>
      <c r="I705" s="67" cm="1">
        <f ca="1" t="array" ref="I705">MIN(30-SUM(J705:L705),6-L705,_xlfn.XLOOKUP($D705&amp;"_"&amp;I$61,$B$23:$B$45&amp;"_"&amp;$C$23:$C$45,$D$23:$D$45)*$E705)</f>
        <v>1.92412687427912</v>
      </c>
      <c r="J705" s="67" cm="1">
        <f ca="1" t="array" ref="J705">MIN(8,_xlfn.XLOOKUP($D705&amp;"_"&amp;J$61,$B$23:$B$45&amp;"_"&amp;$C$23:$C$45,$D$23:$D$45)*$E705)</f>
        <v>8</v>
      </c>
      <c r="K705" s="67" cm="1">
        <f ca="1" t="array" ref="K705">MIN(18,_xlfn.XLOOKUP($D705&amp;"_"&amp;K$61,$B$23:$B$45&amp;"_"&amp;$C$23:$C$45,$D$23:$D$45)*$E705)</f>
        <v>2.71724875048059</v>
      </c>
      <c r="L705" s="67" cm="1">
        <f ca="1" t="array" ref="L705">MIN(6,_xlfn.XLOOKUP($D705&amp;"_"&amp;L$61,$B$23:$B$45&amp;"_"&amp;$C$23:$C$45,$D$23:$D$45)*$E705)</f>
        <v>4.07587312572088</v>
      </c>
      <c r="M705" s="67" cm="1">
        <f ca="1" t="array" ref="M705">(1+SUMPRODUCT(G705:H705,OFFSET($H$49:$I$49,D705,0)))*(1+OFFSET($J$49,D705,0))^I705*(1+OFFSET($K$49,D705,0))^J705*(1+OFFSET($L$49,D705,0))^K705*(1+OFFSET($M$49,D705,0))^L705</f>
        <v>263.468891287648</v>
      </c>
      <c r="N705" s="67">
        <f ca="1">MAX(MAX($N$62:N704),OFFSET($C$61,MATCH(M705*1.07,$M$62:$M$2061,1),0)-C705)</f>
        <v>28800</v>
      </c>
    </row>
    <row r="706" spans="2:14">
      <c r="B706" s="67">
        <v>645</v>
      </c>
      <c r="C706" s="67">
        <f t="shared" si="67"/>
        <v>232200</v>
      </c>
      <c r="D706" s="67">
        <f t="shared" si="68"/>
        <v>5</v>
      </c>
      <c r="E706" s="67">
        <f ca="1" t="shared" si="69"/>
        <v>675</v>
      </c>
      <c r="F706" s="67">
        <f ca="1" t="shared" si="70"/>
        <v>0</v>
      </c>
      <c r="G706" s="67">
        <f ca="1" t="shared" si="71"/>
        <v>0</v>
      </c>
      <c r="H706" s="67" cm="1">
        <f ca="1" t="array" ref="H706">MIN(30-SUM(I706:L706),_xlfn.XLOOKUP($D706&amp;"_"&amp;H$61,$B$23:$B$45&amp;"_"&amp;$C$23:$C$45,$D$23:$D$45)*$E706,18)</f>
        <v>13.2787197231834</v>
      </c>
      <c r="I706" s="67" cm="1">
        <f ca="1" t="array" ref="I706">MIN(30-SUM(J706:L706),6-L706,_xlfn.XLOOKUP($D706&amp;"_"&amp;I$61,$B$23:$B$45&amp;"_"&amp;$C$23:$C$45,$D$23:$D$45)*$E706)</f>
        <v>1.91807958477509</v>
      </c>
      <c r="J706" s="67" cm="1">
        <f ca="1" t="array" ref="J706">MIN(8,_xlfn.XLOOKUP($D706&amp;"_"&amp;J$61,$B$23:$B$45&amp;"_"&amp;$C$23:$C$45,$D$23:$D$45)*$E706)</f>
        <v>8</v>
      </c>
      <c r="K706" s="67" cm="1">
        <f ca="1" t="array" ref="K706">MIN(18,_xlfn.XLOOKUP($D706&amp;"_"&amp;K$61,$B$23:$B$45&amp;"_"&amp;$C$23:$C$45,$D$23:$D$45)*$E706)</f>
        <v>2.72128027681661</v>
      </c>
      <c r="L706" s="67" cm="1">
        <f ca="1" t="array" ref="L706">MIN(6,_xlfn.XLOOKUP($D706&amp;"_"&amp;L$61,$B$23:$B$45&amp;"_"&amp;$C$23:$C$45,$D$23:$D$45)*$E706)</f>
        <v>4.08192041522491</v>
      </c>
      <c r="M706" s="67" cm="1">
        <f ca="1" t="array" ref="M706">(1+SUMPRODUCT(G706:H706,OFFSET($H$49:$I$49,D706,0)))*(1+OFFSET($J$49,D706,0))^I706*(1+OFFSET($K$49,D706,0))^J706*(1+OFFSET($L$49,D706,0))^K706*(1+OFFSET($M$49,D706,0))^L706</f>
        <v>263.69135443871</v>
      </c>
      <c r="N706" s="67">
        <f ca="1">MAX(MAX($N$62:N705),OFFSET($C$61,MATCH(M706*1.07,$M$62:$M$2061,1),0)-C706)</f>
        <v>28800</v>
      </c>
    </row>
    <row r="707" spans="2:14">
      <c r="B707" s="67">
        <v>646</v>
      </c>
      <c r="C707" s="67">
        <f t="shared" si="67"/>
        <v>232560</v>
      </c>
      <c r="D707" s="67">
        <f t="shared" si="68"/>
        <v>5</v>
      </c>
      <c r="E707" s="67">
        <f ca="1" t="shared" si="69"/>
        <v>676</v>
      </c>
      <c r="F707" s="67">
        <f ca="1" t="shared" si="70"/>
        <v>0</v>
      </c>
      <c r="G707" s="67">
        <f ca="1" t="shared" si="71"/>
        <v>0</v>
      </c>
      <c r="H707" s="67" cm="1">
        <f ca="1" t="array" ref="H707">MIN(30-SUM(I707:L707),_xlfn.XLOOKUP($D707&amp;"_"&amp;H$61,$B$23:$B$45&amp;"_"&amp;$C$23:$C$45,$D$23:$D$45)*$E707,18)</f>
        <v>13.2746881968474</v>
      </c>
      <c r="I707" s="67" cm="1">
        <f ca="1" t="array" ref="I707">MIN(30-SUM(J707:L707),6-L707,_xlfn.XLOOKUP($D707&amp;"_"&amp;I$61,$B$23:$B$45&amp;"_"&amp;$C$23:$C$45,$D$23:$D$45)*$E707)</f>
        <v>1.91203229527105</v>
      </c>
      <c r="J707" s="67" cm="1">
        <f ca="1" t="array" ref="J707">MIN(8,_xlfn.XLOOKUP($D707&amp;"_"&amp;J$61,$B$23:$B$45&amp;"_"&amp;$C$23:$C$45,$D$23:$D$45)*$E707)</f>
        <v>8</v>
      </c>
      <c r="K707" s="67" cm="1">
        <f ca="1" t="array" ref="K707">MIN(18,_xlfn.XLOOKUP($D707&amp;"_"&amp;K$61,$B$23:$B$45&amp;"_"&amp;$C$23:$C$45,$D$23:$D$45)*$E707)</f>
        <v>2.72531180315264</v>
      </c>
      <c r="L707" s="67" cm="1">
        <f ca="1" t="array" ref="L707">MIN(6,_xlfn.XLOOKUP($D707&amp;"_"&amp;L$61,$B$23:$B$45&amp;"_"&amp;$C$23:$C$45,$D$23:$D$45)*$E707)</f>
        <v>4.08796770472895</v>
      </c>
      <c r="M707" s="67" cm="1">
        <f ca="1" t="array" ref="M707">(1+SUMPRODUCT(G707:H707,OFFSET($H$49:$I$49,D707,0)))*(1+OFFSET($J$49,D707,0))^I707*(1+OFFSET($K$49,D707,0))^J707*(1+OFFSET($L$49,D707,0))^K707*(1+OFFSET($M$49,D707,0))^L707</f>
        <v>263.913992590858</v>
      </c>
      <c r="N707" s="67">
        <f ca="1">MAX(MAX($N$62:N706),OFFSET($C$61,MATCH(M707*1.07,$M$62:$M$2061,1),0)-C707)</f>
        <v>28800</v>
      </c>
    </row>
    <row r="708" spans="2:14">
      <c r="B708" s="67">
        <v>647</v>
      </c>
      <c r="C708" s="67">
        <f t="shared" si="67"/>
        <v>232920</v>
      </c>
      <c r="D708" s="67">
        <f t="shared" si="68"/>
        <v>5</v>
      </c>
      <c r="E708" s="67">
        <f ca="1" t="shared" si="69"/>
        <v>677</v>
      </c>
      <c r="F708" s="67">
        <f ca="1" t="shared" si="70"/>
        <v>0</v>
      </c>
      <c r="G708" s="67">
        <f ca="1" t="shared" si="71"/>
        <v>0</v>
      </c>
      <c r="H708" s="67" cm="1">
        <f ca="1" t="array" ref="H708">MIN(30-SUM(I708:L708),_xlfn.XLOOKUP($D708&amp;"_"&amp;H$61,$B$23:$B$45&amp;"_"&amp;$C$23:$C$45,$D$23:$D$45)*$E708,18)</f>
        <v>13.2706566705113</v>
      </c>
      <c r="I708" s="67" cm="1">
        <f ca="1" t="array" ref="I708">MIN(30-SUM(J708:L708),6-L708,_xlfn.XLOOKUP($D708&amp;"_"&amp;I$61,$B$23:$B$45&amp;"_"&amp;$C$23:$C$45,$D$23:$D$45)*$E708)</f>
        <v>1.90598500576701</v>
      </c>
      <c r="J708" s="67" cm="1">
        <f ca="1" t="array" ref="J708">MIN(8,_xlfn.XLOOKUP($D708&amp;"_"&amp;J$61,$B$23:$B$45&amp;"_"&amp;$C$23:$C$45,$D$23:$D$45)*$E708)</f>
        <v>8</v>
      </c>
      <c r="K708" s="67" cm="1">
        <f ca="1" t="array" ref="K708">MIN(18,_xlfn.XLOOKUP($D708&amp;"_"&amp;K$61,$B$23:$B$45&amp;"_"&amp;$C$23:$C$45,$D$23:$D$45)*$E708)</f>
        <v>2.72934332948866</v>
      </c>
      <c r="L708" s="67" cm="1">
        <f ca="1" t="array" ref="L708">MIN(6,_xlfn.XLOOKUP($D708&amp;"_"&amp;L$61,$B$23:$B$45&amp;"_"&amp;$C$23:$C$45,$D$23:$D$45)*$E708)</f>
        <v>4.09401499423299</v>
      </c>
      <c r="M708" s="67" cm="1">
        <f ca="1" t="array" ref="M708">(1+SUMPRODUCT(G708:H708,OFFSET($H$49:$I$49,D708,0)))*(1+OFFSET($J$49,D708,0))^I708*(1+OFFSET($K$49,D708,0))^J708*(1+OFFSET($L$49,D708,0))^K708*(1+OFFSET($M$49,D708,0))^L708</f>
        <v>264.13680586451</v>
      </c>
      <c r="N708" s="67">
        <f ca="1">MAX(MAX($N$62:N707),OFFSET($C$61,MATCH(M708*1.07,$M$62:$M$2061,1),0)-C708)</f>
        <v>28800</v>
      </c>
    </row>
    <row r="709" spans="2:14">
      <c r="B709" s="67">
        <v>648</v>
      </c>
      <c r="C709" s="67">
        <f t="shared" si="67"/>
        <v>233280</v>
      </c>
      <c r="D709" s="67">
        <f t="shared" si="68"/>
        <v>5</v>
      </c>
      <c r="E709" s="67">
        <f ca="1" t="shared" si="69"/>
        <v>678</v>
      </c>
      <c r="F709" s="67">
        <f ca="1" t="shared" si="70"/>
        <v>0</v>
      </c>
      <c r="G709" s="67">
        <f ca="1" t="shared" si="71"/>
        <v>0</v>
      </c>
      <c r="H709" s="67" cm="1">
        <f ca="1" t="array" ref="H709">MIN(30-SUM(I709:L709),_xlfn.XLOOKUP($D709&amp;"_"&amp;H$61,$B$23:$B$45&amp;"_"&amp;$C$23:$C$45,$D$23:$D$45)*$E709,18)</f>
        <v>13.2666251441753</v>
      </c>
      <c r="I709" s="67" cm="1">
        <f ca="1" t="array" ref="I709">MIN(30-SUM(J709:L709),6-L709,_xlfn.XLOOKUP($D709&amp;"_"&amp;I$61,$B$23:$B$45&amp;"_"&amp;$C$23:$C$45,$D$23:$D$45)*$E709)</f>
        <v>1.89993771626297</v>
      </c>
      <c r="J709" s="67" cm="1">
        <f ca="1" t="array" ref="J709">MIN(8,_xlfn.XLOOKUP($D709&amp;"_"&amp;J$61,$B$23:$B$45&amp;"_"&amp;$C$23:$C$45,$D$23:$D$45)*$E709)</f>
        <v>8</v>
      </c>
      <c r="K709" s="67" cm="1">
        <f ca="1" t="array" ref="K709">MIN(18,_xlfn.XLOOKUP($D709&amp;"_"&amp;K$61,$B$23:$B$45&amp;"_"&amp;$C$23:$C$45,$D$23:$D$45)*$E709)</f>
        <v>2.73337485582469</v>
      </c>
      <c r="L709" s="67" cm="1">
        <f ca="1" t="array" ref="L709">MIN(6,_xlfn.XLOOKUP($D709&amp;"_"&amp;L$61,$B$23:$B$45&amp;"_"&amp;$C$23:$C$45,$D$23:$D$45)*$E709)</f>
        <v>4.10006228373703</v>
      </c>
      <c r="M709" s="67" cm="1">
        <f ca="1" t="array" ref="M709">(1+SUMPRODUCT(G709:H709,OFFSET($H$49:$I$49,D709,0)))*(1+OFFSET($J$49,D709,0))^I709*(1+OFFSET($K$49,D709,0))^J709*(1+OFFSET($L$49,D709,0))^K709*(1+OFFSET($M$49,D709,0))^L709</f>
        <v>264.359794380139</v>
      </c>
      <c r="N709" s="67">
        <f ca="1">MAX(MAX($N$62:N708),OFFSET($C$61,MATCH(M709*1.07,$M$62:$M$2061,1),0)-C709)</f>
        <v>28800</v>
      </c>
    </row>
    <row r="710" spans="2:14">
      <c r="B710" s="67">
        <v>649</v>
      </c>
      <c r="C710" s="67">
        <f t="shared" si="67"/>
        <v>233640</v>
      </c>
      <c r="D710" s="67">
        <f t="shared" si="68"/>
        <v>5</v>
      </c>
      <c r="E710" s="67">
        <f ca="1" t="shared" si="69"/>
        <v>679</v>
      </c>
      <c r="F710" s="67">
        <f ca="1" t="shared" si="70"/>
        <v>0</v>
      </c>
      <c r="G710" s="67">
        <f ca="1" t="shared" si="71"/>
        <v>0</v>
      </c>
      <c r="H710" s="67" cm="1">
        <f ca="1" t="array" ref="H710">MIN(30-SUM(I710:L710),_xlfn.XLOOKUP($D710&amp;"_"&amp;H$61,$B$23:$B$45&amp;"_"&amp;$C$23:$C$45,$D$23:$D$45)*$E710,18)</f>
        <v>13.2625936178393</v>
      </c>
      <c r="I710" s="67" cm="1">
        <f ca="1" t="array" ref="I710">MIN(30-SUM(J710:L710),6-L710,_xlfn.XLOOKUP($D710&amp;"_"&amp;I$61,$B$23:$B$45&amp;"_"&amp;$C$23:$C$45,$D$23:$D$45)*$E710)</f>
        <v>1.89389042675894</v>
      </c>
      <c r="J710" s="67" cm="1">
        <f ca="1" t="array" ref="J710">MIN(8,_xlfn.XLOOKUP($D710&amp;"_"&amp;J$61,$B$23:$B$45&amp;"_"&amp;$C$23:$C$45,$D$23:$D$45)*$E710)</f>
        <v>8</v>
      </c>
      <c r="K710" s="67" cm="1">
        <f ca="1" t="array" ref="K710">MIN(18,_xlfn.XLOOKUP($D710&amp;"_"&amp;K$61,$B$23:$B$45&amp;"_"&amp;$C$23:$C$45,$D$23:$D$45)*$E710)</f>
        <v>2.73740638216071</v>
      </c>
      <c r="L710" s="67" cm="1">
        <f ca="1" t="array" ref="L710">MIN(6,_xlfn.XLOOKUP($D710&amp;"_"&amp;L$61,$B$23:$B$45&amp;"_"&amp;$C$23:$C$45,$D$23:$D$45)*$E710)</f>
        <v>4.10610957324106</v>
      </c>
      <c r="M710" s="67" cm="1">
        <f ca="1" t="array" ref="M710">(1+SUMPRODUCT(G710:H710,OFFSET($H$49:$I$49,D710,0)))*(1+OFFSET($J$49,D710,0))^I710*(1+OFFSET($K$49,D710,0))^J710*(1+OFFSET($L$49,D710,0))^K710*(1+OFFSET($M$49,D710,0))^L710</f>
        <v>264.582958258276</v>
      </c>
      <c r="N710" s="67">
        <f ca="1">MAX(MAX($N$62:N709),OFFSET($C$61,MATCH(M710*1.07,$M$62:$M$2061,1),0)-C710)</f>
        <v>28800</v>
      </c>
    </row>
    <row r="711" spans="2:14">
      <c r="B711" s="67">
        <v>650</v>
      </c>
      <c r="C711" s="67">
        <f t="shared" si="67"/>
        <v>234000</v>
      </c>
      <c r="D711" s="67">
        <f t="shared" si="68"/>
        <v>5</v>
      </c>
      <c r="E711" s="67">
        <f ca="1" t="shared" si="69"/>
        <v>680</v>
      </c>
      <c r="F711" s="67">
        <f ca="1" t="shared" si="70"/>
        <v>0</v>
      </c>
      <c r="G711" s="67">
        <f ca="1" t="shared" si="71"/>
        <v>0</v>
      </c>
      <c r="H711" s="67" cm="1">
        <f ca="1" t="array" ref="H711">MIN(30-SUM(I711:L711),_xlfn.XLOOKUP($D711&amp;"_"&amp;H$61,$B$23:$B$45&amp;"_"&amp;$C$23:$C$45,$D$23:$D$45)*$E711,18)</f>
        <v>13.2585620915033</v>
      </c>
      <c r="I711" s="67" cm="1">
        <f ca="1" t="array" ref="I711">MIN(30-SUM(J711:L711),6-L711,_xlfn.XLOOKUP($D711&amp;"_"&amp;I$61,$B$23:$B$45&amp;"_"&amp;$C$23:$C$45,$D$23:$D$45)*$E711)</f>
        <v>1.8878431372549</v>
      </c>
      <c r="J711" s="67" cm="1">
        <f ca="1" t="array" ref="J711">MIN(8,_xlfn.XLOOKUP($D711&amp;"_"&amp;J$61,$B$23:$B$45&amp;"_"&amp;$C$23:$C$45,$D$23:$D$45)*$E711)</f>
        <v>8</v>
      </c>
      <c r="K711" s="67" cm="1">
        <f ca="1" t="array" ref="K711">MIN(18,_xlfn.XLOOKUP($D711&amp;"_"&amp;K$61,$B$23:$B$45&amp;"_"&amp;$C$23:$C$45,$D$23:$D$45)*$E711)</f>
        <v>2.74143790849673</v>
      </c>
      <c r="L711" s="67" cm="1">
        <f ca="1" t="array" ref="L711">MIN(6,_xlfn.XLOOKUP($D711&amp;"_"&amp;L$61,$B$23:$B$45&amp;"_"&amp;$C$23:$C$45,$D$23:$D$45)*$E711)</f>
        <v>4.1121568627451</v>
      </c>
      <c r="M711" s="67" cm="1">
        <f ca="1" t="array" ref="M711">(1+SUMPRODUCT(G711:H711,OFFSET($H$49:$I$49,D711,0)))*(1+OFFSET($J$49,D711,0))^I711*(1+OFFSET($K$49,D711,0))^J711*(1+OFFSET($L$49,D711,0))^K711*(1+OFFSET($M$49,D711,0))^L711</f>
        <v>264.806297619512</v>
      </c>
      <c r="N711" s="67">
        <f ca="1">MAX(MAX($N$62:N710),OFFSET($C$61,MATCH(M711*1.07,$M$62:$M$2061,1),0)-C711)</f>
        <v>28800</v>
      </c>
    </row>
    <row r="712" spans="2:14">
      <c r="B712" s="67">
        <v>651</v>
      </c>
      <c r="C712" s="67">
        <f t="shared" si="67"/>
        <v>234360</v>
      </c>
      <c r="D712" s="67">
        <f t="shared" si="68"/>
        <v>5</v>
      </c>
      <c r="E712" s="67">
        <f ca="1" t="shared" si="69"/>
        <v>681</v>
      </c>
      <c r="F712" s="67">
        <f ca="1" t="shared" si="70"/>
        <v>0</v>
      </c>
      <c r="G712" s="67">
        <f ca="1" t="shared" si="71"/>
        <v>0</v>
      </c>
      <c r="H712" s="67" cm="1">
        <f ca="1" t="array" ref="H712">MIN(30-SUM(I712:L712),_xlfn.XLOOKUP($D712&amp;"_"&amp;H$61,$B$23:$B$45&amp;"_"&amp;$C$23:$C$45,$D$23:$D$45)*$E712,18)</f>
        <v>13.2545305651672</v>
      </c>
      <c r="I712" s="67" cm="1">
        <f ca="1" t="array" ref="I712">MIN(30-SUM(J712:L712),6-L712,_xlfn.XLOOKUP($D712&amp;"_"&amp;I$61,$B$23:$B$45&amp;"_"&amp;$C$23:$C$45,$D$23:$D$45)*$E712)</f>
        <v>1.88179584775086</v>
      </c>
      <c r="J712" s="67" cm="1">
        <f ca="1" t="array" ref="J712">MIN(8,_xlfn.XLOOKUP($D712&amp;"_"&amp;J$61,$B$23:$B$45&amp;"_"&amp;$C$23:$C$45,$D$23:$D$45)*$E712)</f>
        <v>8</v>
      </c>
      <c r="K712" s="67" cm="1">
        <f ca="1" t="array" ref="K712">MIN(18,_xlfn.XLOOKUP($D712&amp;"_"&amp;K$61,$B$23:$B$45&amp;"_"&amp;$C$23:$C$45,$D$23:$D$45)*$E712)</f>
        <v>2.74546943483276</v>
      </c>
      <c r="L712" s="67" cm="1">
        <f ca="1" t="array" ref="L712">MIN(6,_xlfn.XLOOKUP($D712&amp;"_"&amp;L$61,$B$23:$B$45&amp;"_"&amp;$C$23:$C$45,$D$23:$D$45)*$E712)</f>
        <v>4.11820415224914</v>
      </c>
      <c r="M712" s="67" cm="1">
        <f ca="1" t="array" ref="M712">(1+SUMPRODUCT(G712:H712,OFFSET($H$49:$I$49,D712,0)))*(1+OFFSET($J$49,D712,0))^I712*(1+OFFSET($K$49,D712,0))^J712*(1+OFFSET($L$49,D712,0))^K712*(1+OFFSET($M$49,D712,0))^L712</f>
        <v>265.029812584494</v>
      </c>
      <c r="N712" s="67">
        <f ca="1">MAX(MAX($N$62:N711),OFFSET($C$61,MATCH(M712*1.07,$M$62:$M$2061,1),0)-C712)</f>
        <v>28800</v>
      </c>
    </row>
    <row r="713" spans="2:14">
      <c r="B713" s="67">
        <v>652</v>
      </c>
      <c r="C713" s="67">
        <f t="shared" si="67"/>
        <v>234720</v>
      </c>
      <c r="D713" s="67">
        <f t="shared" si="68"/>
        <v>5</v>
      </c>
      <c r="E713" s="67">
        <f ca="1" t="shared" si="69"/>
        <v>682</v>
      </c>
      <c r="F713" s="67">
        <f ca="1" t="shared" si="70"/>
        <v>0</v>
      </c>
      <c r="G713" s="67">
        <f ca="1" t="shared" si="71"/>
        <v>0</v>
      </c>
      <c r="H713" s="67" cm="1">
        <f ca="1" t="array" ref="H713">MIN(30-SUM(I713:L713),_xlfn.XLOOKUP($D713&amp;"_"&amp;H$61,$B$23:$B$45&amp;"_"&amp;$C$23:$C$45,$D$23:$D$45)*$E713,18)</f>
        <v>13.2504990388312</v>
      </c>
      <c r="I713" s="67" cm="1">
        <f ca="1" t="array" ref="I713">MIN(30-SUM(J713:L713),6-L713,_xlfn.XLOOKUP($D713&amp;"_"&amp;I$61,$B$23:$B$45&amp;"_"&amp;$C$23:$C$45,$D$23:$D$45)*$E713)</f>
        <v>1.87574855824683</v>
      </c>
      <c r="J713" s="67" cm="1">
        <f ca="1" t="array" ref="J713">MIN(8,_xlfn.XLOOKUP($D713&amp;"_"&amp;J$61,$B$23:$B$45&amp;"_"&amp;$C$23:$C$45,$D$23:$D$45)*$E713)</f>
        <v>8</v>
      </c>
      <c r="K713" s="67" cm="1">
        <f ca="1" t="array" ref="K713">MIN(18,_xlfn.XLOOKUP($D713&amp;"_"&amp;K$61,$B$23:$B$45&amp;"_"&amp;$C$23:$C$45,$D$23:$D$45)*$E713)</f>
        <v>2.74950096116878</v>
      </c>
      <c r="L713" s="67" cm="1">
        <f ca="1" t="array" ref="L713">MIN(6,_xlfn.XLOOKUP($D713&amp;"_"&amp;L$61,$B$23:$B$45&amp;"_"&amp;$C$23:$C$45,$D$23:$D$45)*$E713)</f>
        <v>4.12425144175317</v>
      </c>
      <c r="M713" s="67" cm="1">
        <f ca="1" t="array" ref="M713">(1+SUMPRODUCT(G713:H713,OFFSET($H$49:$I$49,D713,0)))*(1+OFFSET($J$49,D713,0))^I713*(1+OFFSET($K$49,D713,0))^J713*(1+OFFSET($L$49,D713,0))^K713*(1+OFFSET($M$49,D713,0))^L713</f>
        <v>265.253503273927</v>
      </c>
      <c r="N713" s="67">
        <f ca="1">MAX(MAX($N$62:N712),OFFSET($C$61,MATCH(M713*1.07,$M$62:$M$2061,1),0)-C713)</f>
        <v>28800</v>
      </c>
    </row>
    <row r="714" spans="2:14">
      <c r="B714" s="67">
        <v>653</v>
      </c>
      <c r="C714" s="67">
        <f t="shared" si="67"/>
        <v>235080</v>
      </c>
      <c r="D714" s="67">
        <f t="shared" si="68"/>
        <v>5</v>
      </c>
      <c r="E714" s="67">
        <f ca="1" t="shared" si="69"/>
        <v>683</v>
      </c>
      <c r="F714" s="67">
        <f ca="1" t="shared" si="70"/>
        <v>0</v>
      </c>
      <c r="G714" s="67">
        <f ca="1" t="shared" si="71"/>
        <v>0</v>
      </c>
      <c r="H714" s="67" cm="1">
        <f ca="1" t="array" ref="H714">MIN(30-SUM(I714:L714),_xlfn.XLOOKUP($D714&amp;"_"&amp;H$61,$B$23:$B$45&amp;"_"&amp;$C$23:$C$45,$D$23:$D$45)*$E714,18)</f>
        <v>13.2464675124952</v>
      </c>
      <c r="I714" s="67" cm="1">
        <f ca="1" t="array" ref="I714">MIN(30-SUM(J714:L714),6-L714,_xlfn.XLOOKUP($D714&amp;"_"&amp;I$61,$B$23:$B$45&amp;"_"&amp;$C$23:$C$45,$D$23:$D$45)*$E714)</f>
        <v>1.86970126874279</v>
      </c>
      <c r="J714" s="67" cm="1">
        <f ca="1" t="array" ref="J714">MIN(8,_xlfn.XLOOKUP($D714&amp;"_"&amp;J$61,$B$23:$B$45&amp;"_"&amp;$C$23:$C$45,$D$23:$D$45)*$E714)</f>
        <v>8</v>
      </c>
      <c r="K714" s="67" cm="1">
        <f ca="1" t="array" ref="K714">MIN(18,_xlfn.XLOOKUP($D714&amp;"_"&amp;K$61,$B$23:$B$45&amp;"_"&amp;$C$23:$C$45,$D$23:$D$45)*$E714)</f>
        <v>2.75353248750481</v>
      </c>
      <c r="L714" s="67" cm="1">
        <f ca="1" t="array" ref="L714">MIN(6,_xlfn.XLOOKUP($D714&amp;"_"&amp;L$61,$B$23:$B$45&amp;"_"&amp;$C$23:$C$45,$D$23:$D$45)*$E714)</f>
        <v>4.13029873125721</v>
      </c>
      <c r="M714" s="67" cm="1">
        <f ca="1" t="array" ref="M714">(1+SUMPRODUCT(G714:H714,OFFSET($H$49:$I$49,D714,0)))*(1+OFFSET($J$49,D714,0))^I714*(1+OFFSET($K$49,D714,0))^J714*(1+OFFSET($L$49,D714,0))^K714*(1+OFFSET($M$49,D714,0))^L714</f>
        <v>265.477369808575</v>
      </c>
      <c r="N714" s="67">
        <f ca="1">MAX(MAX($N$62:N713),OFFSET($C$61,MATCH(M714*1.07,$M$62:$M$2061,1),0)-C714)</f>
        <v>28800</v>
      </c>
    </row>
    <row r="715" spans="2:14">
      <c r="B715" s="67">
        <v>654</v>
      </c>
      <c r="C715" s="67">
        <f t="shared" si="67"/>
        <v>235440</v>
      </c>
      <c r="D715" s="67">
        <f t="shared" si="68"/>
        <v>5</v>
      </c>
      <c r="E715" s="67">
        <f ca="1" t="shared" si="69"/>
        <v>684</v>
      </c>
      <c r="F715" s="67">
        <f ca="1" t="shared" si="70"/>
        <v>0</v>
      </c>
      <c r="G715" s="67">
        <f ca="1" t="shared" si="71"/>
        <v>0</v>
      </c>
      <c r="H715" s="67" cm="1">
        <f ca="1" t="array" ref="H715">MIN(30-SUM(I715:L715),_xlfn.XLOOKUP($D715&amp;"_"&amp;H$61,$B$23:$B$45&amp;"_"&amp;$C$23:$C$45,$D$23:$D$45)*$E715,18)</f>
        <v>13.2424359861592</v>
      </c>
      <c r="I715" s="67" cm="1">
        <f ca="1" t="array" ref="I715">MIN(30-SUM(J715:L715),6-L715,_xlfn.XLOOKUP($D715&amp;"_"&amp;I$61,$B$23:$B$45&amp;"_"&amp;$C$23:$C$45,$D$23:$D$45)*$E715)</f>
        <v>1.86365397923875</v>
      </c>
      <c r="J715" s="67" cm="1">
        <f ca="1" t="array" ref="J715">MIN(8,_xlfn.XLOOKUP($D715&amp;"_"&amp;J$61,$B$23:$B$45&amp;"_"&amp;$C$23:$C$45,$D$23:$D$45)*$E715)</f>
        <v>8</v>
      </c>
      <c r="K715" s="67" cm="1">
        <f ca="1" t="array" ref="K715">MIN(18,_xlfn.XLOOKUP($D715&amp;"_"&amp;K$61,$B$23:$B$45&amp;"_"&amp;$C$23:$C$45,$D$23:$D$45)*$E715)</f>
        <v>2.75756401384083</v>
      </c>
      <c r="L715" s="67" cm="1">
        <f ca="1" t="array" ref="L715">MIN(6,_xlfn.XLOOKUP($D715&amp;"_"&amp;L$61,$B$23:$B$45&amp;"_"&amp;$C$23:$C$45,$D$23:$D$45)*$E715)</f>
        <v>4.13634602076125</v>
      </c>
      <c r="M715" s="67" cm="1">
        <f ca="1" t="array" ref="M715">(1+SUMPRODUCT(G715:H715,OFFSET($H$49:$I$49,D715,0)))*(1+OFFSET($J$49,D715,0))^I715*(1+OFFSET($K$49,D715,0))^J715*(1+OFFSET($L$49,D715,0))^K715*(1+OFFSET($M$49,D715,0))^L715</f>
        <v>265.70141230926</v>
      </c>
      <c r="N715" s="67">
        <f ca="1">MAX(MAX($N$62:N714),OFFSET($C$61,MATCH(M715*1.07,$M$62:$M$2061,1),0)-C715)</f>
        <v>28800</v>
      </c>
    </row>
    <row r="716" spans="2:14">
      <c r="B716" s="67">
        <v>655</v>
      </c>
      <c r="C716" s="67">
        <f t="shared" si="67"/>
        <v>235800</v>
      </c>
      <c r="D716" s="67">
        <f t="shared" si="68"/>
        <v>5</v>
      </c>
      <c r="E716" s="67">
        <f ca="1" t="shared" si="69"/>
        <v>685</v>
      </c>
      <c r="F716" s="67">
        <f ca="1" t="shared" si="70"/>
        <v>0</v>
      </c>
      <c r="G716" s="67">
        <f ca="1" t="shared" si="71"/>
        <v>0</v>
      </c>
      <c r="H716" s="67" cm="1">
        <f ca="1" t="array" ref="H716">MIN(30-SUM(I716:L716),_xlfn.XLOOKUP($D716&amp;"_"&amp;H$61,$B$23:$B$45&amp;"_"&amp;$C$23:$C$45,$D$23:$D$45)*$E716,18)</f>
        <v>13.2384044598231</v>
      </c>
      <c r="I716" s="67" cm="1">
        <f ca="1" t="array" ref="I716">MIN(30-SUM(J716:L716),6-L716,_xlfn.XLOOKUP($D716&amp;"_"&amp;I$61,$B$23:$B$45&amp;"_"&amp;$C$23:$C$45,$D$23:$D$45)*$E716)</f>
        <v>1.85760668973472</v>
      </c>
      <c r="J716" s="67" cm="1">
        <f ca="1" t="array" ref="J716">MIN(8,_xlfn.XLOOKUP($D716&amp;"_"&amp;J$61,$B$23:$B$45&amp;"_"&amp;$C$23:$C$45,$D$23:$D$45)*$E716)</f>
        <v>8</v>
      </c>
      <c r="K716" s="67" cm="1">
        <f ca="1" t="array" ref="K716">MIN(18,_xlfn.XLOOKUP($D716&amp;"_"&amp;K$61,$B$23:$B$45&amp;"_"&amp;$C$23:$C$45,$D$23:$D$45)*$E716)</f>
        <v>2.76159554017686</v>
      </c>
      <c r="L716" s="67" cm="1">
        <f ca="1" t="array" ref="L716">MIN(6,_xlfn.XLOOKUP($D716&amp;"_"&amp;L$61,$B$23:$B$45&amp;"_"&amp;$C$23:$C$45,$D$23:$D$45)*$E716)</f>
        <v>4.14239331026528</v>
      </c>
      <c r="M716" s="67" cm="1">
        <f ca="1" t="array" ref="M716">(1+SUMPRODUCT(G716:H716,OFFSET($H$49:$I$49,D716,0)))*(1+OFFSET($J$49,D716,0))^I716*(1+OFFSET($K$49,D716,0))^J716*(1+OFFSET($L$49,D716,0))^K716*(1+OFFSET($M$49,D716,0))^L716</f>
        <v>265.925630896861</v>
      </c>
      <c r="N716" s="67">
        <f ca="1">MAX(MAX($N$62:N715),OFFSET($C$61,MATCH(M716*1.07,$M$62:$M$2061,1),0)-C716)</f>
        <v>28800</v>
      </c>
    </row>
    <row r="717" spans="2:14">
      <c r="B717" s="67">
        <v>656</v>
      </c>
      <c r="C717" s="67">
        <f t="shared" si="67"/>
        <v>236160</v>
      </c>
      <c r="D717" s="67">
        <f t="shared" si="68"/>
        <v>5</v>
      </c>
      <c r="E717" s="67">
        <f ca="1" t="shared" si="69"/>
        <v>686</v>
      </c>
      <c r="F717" s="67">
        <f ca="1" t="shared" si="70"/>
        <v>0</v>
      </c>
      <c r="G717" s="67">
        <f ca="1" t="shared" si="71"/>
        <v>0</v>
      </c>
      <c r="H717" s="67" cm="1">
        <f ca="1" t="array" ref="H717">MIN(30-SUM(I717:L717),_xlfn.XLOOKUP($D717&amp;"_"&amp;H$61,$B$23:$B$45&amp;"_"&amp;$C$23:$C$45,$D$23:$D$45)*$E717,18)</f>
        <v>13.2343729334871</v>
      </c>
      <c r="I717" s="67" cm="1">
        <f ca="1" t="array" ref="I717">MIN(30-SUM(J717:L717),6-L717,_xlfn.XLOOKUP($D717&amp;"_"&amp;I$61,$B$23:$B$45&amp;"_"&amp;$C$23:$C$45,$D$23:$D$45)*$E717)</f>
        <v>1.85155940023068</v>
      </c>
      <c r="J717" s="67" cm="1">
        <f ca="1" t="array" ref="J717">MIN(8,_xlfn.XLOOKUP($D717&amp;"_"&amp;J$61,$B$23:$B$45&amp;"_"&amp;$C$23:$C$45,$D$23:$D$45)*$E717)</f>
        <v>8</v>
      </c>
      <c r="K717" s="67" cm="1">
        <f ca="1" t="array" ref="K717">MIN(18,_xlfn.XLOOKUP($D717&amp;"_"&amp;K$61,$B$23:$B$45&amp;"_"&amp;$C$23:$C$45,$D$23:$D$45)*$E717)</f>
        <v>2.76562706651288</v>
      </c>
      <c r="L717" s="67" cm="1">
        <f ca="1" t="array" ref="L717">MIN(6,_xlfn.XLOOKUP($D717&amp;"_"&amp;L$61,$B$23:$B$45&amp;"_"&amp;$C$23:$C$45,$D$23:$D$45)*$E717)</f>
        <v>4.14844059976932</v>
      </c>
      <c r="M717" s="67" cm="1">
        <f ca="1" t="array" ref="M717">(1+SUMPRODUCT(G717:H717,OFFSET($H$49:$I$49,D717,0)))*(1+OFFSET($J$49,D717,0))^I717*(1+OFFSET($K$49,D717,0))^J717*(1+OFFSET($L$49,D717,0))^K717*(1+OFFSET($M$49,D717,0))^L717</f>
        <v>266.150025692315</v>
      </c>
      <c r="N717" s="67">
        <f ca="1">MAX(MAX($N$62:N716),OFFSET($C$61,MATCH(M717*1.07,$M$62:$M$2061,1),0)-C717)</f>
        <v>28800</v>
      </c>
    </row>
    <row r="718" spans="2:14">
      <c r="B718" s="67">
        <v>657</v>
      </c>
      <c r="C718" s="67">
        <f t="shared" si="67"/>
        <v>236520</v>
      </c>
      <c r="D718" s="67">
        <f t="shared" si="68"/>
        <v>5</v>
      </c>
      <c r="E718" s="67">
        <f ca="1" t="shared" si="69"/>
        <v>687</v>
      </c>
      <c r="F718" s="67">
        <f ca="1" t="shared" si="70"/>
        <v>0</v>
      </c>
      <c r="G718" s="67">
        <f ca="1" t="shared" si="71"/>
        <v>0</v>
      </c>
      <c r="H718" s="67" cm="1">
        <f ca="1" t="array" ref="H718">MIN(30-SUM(I718:L718),_xlfn.XLOOKUP($D718&amp;"_"&amp;H$61,$B$23:$B$45&amp;"_"&amp;$C$23:$C$45,$D$23:$D$45)*$E718,18)</f>
        <v>13.2303414071511</v>
      </c>
      <c r="I718" s="67" cm="1">
        <f ca="1" t="array" ref="I718">MIN(30-SUM(J718:L718),6-L718,_xlfn.XLOOKUP($D718&amp;"_"&amp;I$61,$B$23:$B$45&amp;"_"&amp;$C$23:$C$45,$D$23:$D$45)*$E718)</f>
        <v>1.84551211072664</v>
      </c>
      <c r="J718" s="67" cm="1">
        <f ca="1" t="array" ref="J718">MIN(8,_xlfn.XLOOKUP($D718&amp;"_"&amp;J$61,$B$23:$B$45&amp;"_"&amp;$C$23:$C$45,$D$23:$D$45)*$E718)</f>
        <v>8</v>
      </c>
      <c r="K718" s="67" cm="1">
        <f ca="1" t="array" ref="K718">MIN(18,_xlfn.XLOOKUP($D718&amp;"_"&amp;K$61,$B$23:$B$45&amp;"_"&amp;$C$23:$C$45,$D$23:$D$45)*$E718)</f>
        <v>2.76965859284891</v>
      </c>
      <c r="L718" s="67" cm="1">
        <f ca="1" t="array" ref="L718">MIN(6,_xlfn.XLOOKUP($D718&amp;"_"&amp;L$61,$B$23:$B$45&amp;"_"&amp;$C$23:$C$45,$D$23:$D$45)*$E718)</f>
        <v>4.15448788927336</v>
      </c>
      <c r="M718" s="67" cm="1">
        <f ca="1" t="array" ref="M718">(1+SUMPRODUCT(G718:H718,OFFSET($H$49:$I$49,D718,0)))*(1+OFFSET($J$49,D718,0))^I718*(1+OFFSET($K$49,D718,0))^J718*(1+OFFSET($L$49,D718,0))^K718*(1+OFFSET($M$49,D718,0))^L718</f>
        <v>266.374596816616</v>
      </c>
      <c r="N718" s="67">
        <f ca="1">MAX(MAX($N$62:N717),OFFSET($C$61,MATCH(M718*1.07,$M$62:$M$2061,1),0)-C718)</f>
        <v>28800</v>
      </c>
    </row>
    <row r="719" spans="2:14">
      <c r="B719" s="67">
        <v>658</v>
      </c>
      <c r="C719" s="67">
        <f t="shared" si="67"/>
        <v>236880</v>
      </c>
      <c r="D719" s="67">
        <f t="shared" si="68"/>
        <v>5</v>
      </c>
      <c r="E719" s="67">
        <f ca="1" t="shared" si="69"/>
        <v>688</v>
      </c>
      <c r="F719" s="67">
        <f ca="1" t="shared" si="70"/>
        <v>0</v>
      </c>
      <c r="G719" s="67">
        <f ca="1" t="shared" si="71"/>
        <v>0</v>
      </c>
      <c r="H719" s="67" cm="1">
        <f ca="1" t="array" ref="H719">MIN(30-SUM(I719:L719),_xlfn.XLOOKUP($D719&amp;"_"&amp;H$61,$B$23:$B$45&amp;"_"&amp;$C$23:$C$45,$D$23:$D$45)*$E719,18)</f>
        <v>13.2263098808151</v>
      </c>
      <c r="I719" s="67" cm="1">
        <f ca="1" t="array" ref="I719">MIN(30-SUM(J719:L719),6-L719,_xlfn.XLOOKUP($D719&amp;"_"&amp;I$61,$B$23:$B$45&amp;"_"&amp;$C$23:$C$45,$D$23:$D$45)*$E719)</f>
        <v>1.83946482122261</v>
      </c>
      <c r="J719" s="67" cm="1">
        <f ca="1" t="array" ref="J719">MIN(8,_xlfn.XLOOKUP($D719&amp;"_"&amp;J$61,$B$23:$B$45&amp;"_"&amp;$C$23:$C$45,$D$23:$D$45)*$E719)</f>
        <v>8</v>
      </c>
      <c r="K719" s="67" cm="1">
        <f ca="1" t="array" ref="K719">MIN(18,_xlfn.XLOOKUP($D719&amp;"_"&amp;K$61,$B$23:$B$45&amp;"_"&amp;$C$23:$C$45,$D$23:$D$45)*$E719)</f>
        <v>2.77369011918493</v>
      </c>
      <c r="L719" s="67" cm="1">
        <f ca="1" t="array" ref="L719">MIN(6,_xlfn.XLOOKUP($D719&amp;"_"&amp;L$61,$B$23:$B$45&amp;"_"&amp;$C$23:$C$45,$D$23:$D$45)*$E719)</f>
        <v>4.16053517877739</v>
      </c>
      <c r="M719" s="67" cm="1">
        <f ca="1" t="array" ref="M719">(1+SUMPRODUCT(G719:H719,OFFSET($H$49:$I$49,D719,0)))*(1+OFFSET($J$49,D719,0))^I719*(1+OFFSET($K$49,D719,0))^J719*(1+OFFSET($L$49,D719,0))^K719*(1+OFFSET($M$49,D719,0))^L719</f>
        <v>266.599344390819</v>
      </c>
      <c r="N719" s="67">
        <f ca="1">MAX(MAX($N$62:N718),OFFSET($C$61,MATCH(M719*1.07,$M$62:$M$2061,1),0)-C719)</f>
        <v>28800</v>
      </c>
    </row>
    <row r="720" spans="2:14">
      <c r="B720" s="67">
        <v>659</v>
      </c>
      <c r="C720" s="67">
        <f t="shared" si="67"/>
        <v>237240</v>
      </c>
      <c r="D720" s="67">
        <f t="shared" si="68"/>
        <v>5</v>
      </c>
      <c r="E720" s="67">
        <f ca="1" t="shared" si="69"/>
        <v>689</v>
      </c>
      <c r="F720" s="67">
        <f ca="1" t="shared" si="70"/>
        <v>0</v>
      </c>
      <c r="G720" s="67">
        <f ca="1" t="shared" si="71"/>
        <v>0</v>
      </c>
      <c r="H720" s="67" cm="1">
        <f ca="1" t="array" ref="H720">MIN(30-SUM(I720:L720),_xlfn.XLOOKUP($D720&amp;"_"&amp;H$61,$B$23:$B$45&amp;"_"&amp;$C$23:$C$45,$D$23:$D$45)*$E720,18)</f>
        <v>13.222278354479</v>
      </c>
      <c r="I720" s="67" cm="1">
        <f ca="1" t="array" ref="I720">MIN(30-SUM(J720:L720),6-L720,_xlfn.XLOOKUP($D720&amp;"_"&amp;I$61,$B$23:$B$45&amp;"_"&amp;$C$23:$C$45,$D$23:$D$45)*$E720)</f>
        <v>1.83341753171857</v>
      </c>
      <c r="J720" s="67" cm="1">
        <f ca="1" t="array" ref="J720">MIN(8,_xlfn.XLOOKUP($D720&amp;"_"&amp;J$61,$B$23:$B$45&amp;"_"&amp;$C$23:$C$45,$D$23:$D$45)*$E720)</f>
        <v>8</v>
      </c>
      <c r="K720" s="67" cm="1">
        <f ca="1" t="array" ref="K720">MIN(18,_xlfn.XLOOKUP($D720&amp;"_"&amp;K$61,$B$23:$B$45&amp;"_"&amp;$C$23:$C$45,$D$23:$D$45)*$E720)</f>
        <v>2.77772164552096</v>
      </c>
      <c r="L720" s="67" cm="1">
        <f ca="1" t="array" ref="L720">MIN(6,_xlfn.XLOOKUP($D720&amp;"_"&amp;L$61,$B$23:$B$45&amp;"_"&amp;$C$23:$C$45,$D$23:$D$45)*$E720)</f>
        <v>4.16658246828143</v>
      </c>
      <c r="M720" s="67" cm="1">
        <f ca="1" t="array" ref="M720">(1+SUMPRODUCT(G720:H720,OFFSET($H$49:$I$49,D720,0)))*(1+OFFSET($J$49,D720,0))^I720*(1+OFFSET($K$49,D720,0))^J720*(1+OFFSET($L$49,D720,0))^K720*(1+OFFSET($M$49,D720,0))^L720</f>
        <v>266.824268536033</v>
      </c>
      <c r="N720" s="67">
        <f ca="1">MAX(MAX($N$62:N719),OFFSET($C$61,MATCH(M720*1.07,$M$62:$M$2061,1),0)-C720)</f>
        <v>28800</v>
      </c>
    </row>
    <row r="721" spans="2:14">
      <c r="B721" s="67">
        <v>660</v>
      </c>
      <c r="C721" s="67">
        <f t="shared" si="67"/>
        <v>237600</v>
      </c>
      <c r="D721" s="67">
        <f t="shared" si="68"/>
        <v>5</v>
      </c>
      <c r="E721" s="67">
        <f ca="1" t="shared" si="69"/>
        <v>690</v>
      </c>
      <c r="F721" s="67">
        <f ca="1" t="shared" si="70"/>
        <v>0</v>
      </c>
      <c r="G721" s="67">
        <f ca="1" t="shared" si="71"/>
        <v>0</v>
      </c>
      <c r="H721" s="67" cm="1">
        <f ca="1" t="array" ref="H721">MIN(30-SUM(I721:L721),_xlfn.XLOOKUP($D721&amp;"_"&amp;H$61,$B$23:$B$45&amp;"_"&amp;$C$23:$C$45,$D$23:$D$45)*$E721,18)</f>
        <v>13.218246828143</v>
      </c>
      <c r="I721" s="67" cm="1">
        <f ca="1" t="array" ref="I721">MIN(30-SUM(J721:L721),6-L721,_xlfn.XLOOKUP($D721&amp;"_"&amp;I$61,$B$23:$B$45&amp;"_"&amp;$C$23:$C$45,$D$23:$D$45)*$E721)</f>
        <v>1.82737024221453</v>
      </c>
      <c r="J721" s="67" cm="1">
        <f ca="1" t="array" ref="J721">MIN(8,_xlfn.XLOOKUP($D721&amp;"_"&amp;J$61,$B$23:$B$45&amp;"_"&amp;$C$23:$C$45,$D$23:$D$45)*$E721)</f>
        <v>8</v>
      </c>
      <c r="K721" s="67" cm="1">
        <f ca="1" t="array" ref="K721">MIN(18,_xlfn.XLOOKUP($D721&amp;"_"&amp;K$61,$B$23:$B$45&amp;"_"&amp;$C$23:$C$45,$D$23:$D$45)*$E721)</f>
        <v>2.78175317185698</v>
      </c>
      <c r="L721" s="67" cm="1">
        <f ca="1" t="array" ref="L721">MIN(6,_xlfn.XLOOKUP($D721&amp;"_"&amp;L$61,$B$23:$B$45&amp;"_"&amp;$C$23:$C$45,$D$23:$D$45)*$E721)</f>
        <v>4.17262975778547</v>
      </c>
      <c r="M721" s="67" cm="1">
        <f ca="1" t="array" ref="M721">(1+SUMPRODUCT(G721:H721,OFFSET($H$49:$I$49,D721,0)))*(1+OFFSET($J$49,D721,0))^I721*(1+OFFSET($K$49,D721,0))^J721*(1+OFFSET($L$49,D721,0))^K721*(1+OFFSET($M$49,D721,0))^L721</f>
        <v>267.049369373427</v>
      </c>
      <c r="N721" s="67">
        <f ca="1">MAX(MAX($N$62:N720),OFFSET($C$61,MATCH(M721*1.07,$M$62:$M$2061,1),0)-C721)</f>
        <v>28800</v>
      </c>
    </row>
    <row r="722" spans="2:14">
      <c r="B722" s="67">
        <v>661</v>
      </c>
      <c r="C722" s="67">
        <f t="shared" si="67"/>
        <v>237960</v>
      </c>
      <c r="D722" s="67">
        <f t="shared" si="68"/>
        <v>5</v>
      </c>
      <c r="E722" s="67">
        <f ca="1" t="shared" si="69"/>
        <v>691</v>
      </c>
      <c r="F722" s="67">
        <f ca="1" t="shared" si="70"/>
        <v>0</v>
      </c>
      <c r="G722" s="67">
        <f ca="1" t="shared" si="71"/>
        <v>0</v>
      </c>
      <c r="H722" s="67" cm="1">
        <f ca="1" t="array" ref="H722">MIN(30-SUM(I722:L722),_xlfn.XLOOKUP($D722&amp;"_"&amp;H$61,$B$23:$B$45&amp;"_"&amp;$C$23:$C$45,$D$23:$D$45)*$E722,18)</f>
        <v>13.214215301807</v>
      </c>
      <c r="I722" s="67" cm="1">
        <f ca="1" t="array" ref="I722">MIN(30-SUM(J722:L722),6-L722,_xlfn.XLOOKUP($D722&amp;"_"&amp;I$61,$B$23:$B$45&amp;"_"&amp;$C$23:$C$45,$D$23:$D$45)*$E722)</f>
        <v>1.82132295271049</v>
      </c>
      <c r="J722" s="67" cm="1">
        <f ca="1" t="array" ref="J722">MIN(8,_xlfn.XLOOKUP($D722&amp;"_"&amp;J$61,$B$23:$B$45&amp;"_"&amp;$C$23:$C$45,$D$23:$D$45)*$E722)</f>
        <v>8</v>
      </c>
      <c r="K722" s="67" cm="1">
        <f ca="1" t="array" ref="K722">MIN(18,_xlfn.XLOOKUP($D722&amp;"_"&amp;K$61,$B$23:$B$45&amp;"_"&amp;$C$23:$C$45,$D$23:$D$45)*$E722)</f>
        <v>2.78578469819301</v>
      </c>
      <c r="L722" s="67" cm="1">
        <f ca="1" t="array" ref="L722">MIN(6,_xlfn.XLOOKUP($D722&amp;"_"&amp;L$61,$B$23:$B$45&amp;"_"&amp;$C$23:$C$45,$D$23:$D$45)*$E722)</f>
        <v>4.17867704728951</v>
      </c>
      <c r="M722" s="67" cm="1">
        <f ca="1" t="array" ref="M722">(1+SUMPRODUCT(G722:H722,OFFSET($H$49:$I$49,D722,0)))*(1+OFFSET($J$49,D722,0))^I722*(1+OFFSET($K$49,D722,0))^J722*(1+OFFSET($L$49,D722,0))^K722*(1+OFFSET($M$49,D722,0))^L722</f>
        <v>267.274647024228</v>
      </c>
      <c r="N722" s="67">
        <f ca="1">MAX(MAX($N$62:N721),OFFSET($C$61,MATCH(M722*1.07,$M$62:$M$2061,1),0)-C722)</f>
        <v>28800</v>
      </c>
    </row>
    <row r="723" spans="2:14">
      <c r="B723" s="67">
        <v>662</v>
      </c>
      <c r="C723" s="67">
        <f t="shared" si="67"/>
        <v>238320</v>
      </c>
      <c r="D723" s="67">
        <f t="shared" si="68"/>
        <v>5</v>
      </c>
      <c r="E723" s="67">
        <f ca="1" t="shared" si="69"/>
        <v>692</v>
      </c>
      <c r="F723" s="67">
        <f ca="1" t="shared" si="70"/>
        <v>0</v>
      </c>
      <c r="G723" s="67">
        <f ca="1" t="shared" si="71"/>
        <v>0</v>
      </c>
      <c r="H723" s="67" cm="1">
        <f ca="1" t="array" ref="H723">MIN(30-SUM(I723:L723),_xlfn.XLOOKUP($D723&amp;"_"&amp;H$61,$B$23:$B$45&amp;"_"&amp;$C$23:$C$45,$D$23:$D$45)*$E723,18)</f>
        <v>13.210183775471</v>
      </c>
      <c r="I723" s="67" cm="1">
        <f ca="1" t="array" ref="I723">MIN(30-SUM(J723:L723),6-L723,_xlfn.XLOOKUP($D723&amp;"_"&amp;I$61,$B$23:$B$45&amp;"_"&amp;$C$23:$C$45,$D$23:$D$45)*$E723)</f>
        <v>1.81527566320646</v>
      </c>
      <c r="J723" s="67" cm="1">
        <f ca="1" t="array" ref="J723">MIN(8,_xlfn.XLOOKUP($D723&amp;"_"&amp;J$61,$B$23:$B$45&amp;"_"&amp;$C$23:$C$45,$D$23:$D$45)*$E723)</f>
        <v>8</v>
      </c>
      <c r="K723" s="67" cm="1">
        <f ca="1" t="array" ref="K723">MIN(18,_xlfn.XLOOKUP($D723&amp;"_"&amp;K$61,$B$23:$B$45&amp;"_"&amp;$C$23:$C$45,$D$23:$D$45)*$E723)</f>
        <v>2.78981622452903</v>
      </c>
      <c r="L723" s="67" cm="1">
        <f ca="1" t="array" ref="L723">MIN(6,_xlfn.XLOOKUP($D723&amp;"_"&amp;L$61,$B$23:$B$45&amp;"_"&amp;$C$23:$C$45,$D$23:$D$45)*$E723)</f>
        <v>4.18472433679354</v>
      </c>
      <c r="M723" s="67" cm="1">
        <f ca="1" t="array" ref="M723">(1+SUMPRODUCT(G723:H723,OFFSET($H$49:$I$49,D723,0)))*(1+OFFSET($J$49,D723,0))^I723*(1+OFFSET($K$49,D723,0))^J723*(1+OFFSET($L$49,D723,0))^K723*(1+OFFSET($M$49,D723,0))^L723</f>
        <v>267.500101609719</v>
      </c>
      <c r="N723" s="67">
        <f ca="1">MAX(MAX($N$62:N722),OFFSET($C$61,MATCH(M723*1.07,$M$62:$M$2061,1),0)-C723)</f>
        <v>28800</v>
      </c>
    </row>
    <row r="724" spans="2:14">
      <c r="B724" s="67">
        <v>663</v>
      </c>
      <c r="C724" s="67">
        <f t="shared" si="67"/>
        <v>238680</v>
      </c>
      <c r="D724" s="67">
        <f t="shared" si="68"/>
        <v>5</v>
      </c>
      <c r="E724" s="67">
        <f ca="1" t="shared" si="69"/>
        <v>693</v>
      </c>
      <c r="F724" s="67">
        <f ca="1" t="shared" si="70"/>
        <v>0</v>
      </c>
      <c r="G724" s="67">
        <f ca="1" t="shared" si="71"/>
        <v>0</v>
      </c>
      <c r="H724" s="67" cm="1">
        <f ca="1" t="array" ref="H724">MIN(30-SUM(I724:L724),_xlfn.XLOOKUP($D724&amp;"_"&amp;H$61,$B$23:$B$45&amp;"_"&amp;$C$23:$C$45,$D$23:$D$45)*$E724,18)</f>
        <v>13.2061522491349</v>
      </c>
      <c r="I724" s="67" cm="1">
        <f ca="1" t="array" ref="I724">MIN(30-SUM(J724:L724),6-L724,_xlfn.XLOOKUP($D724&amp;"_"&amp;I$61,$B$23:$B$45&amp;"_"&amp;$C$23:$C$45,$D$23:$D$45)*$E724)</f>
        <v>1.80922837370242</v>
      </c>
      <c r="J724" s="67" cm="1">
        <f ca="1" t="array" ref="J724">MIN(8,_xlfn.XLOOKUP($D724&amp;"_"&amp;J$61,$B$23:$B$45&amp;"_"&amp;$C$23:$C$45,$D$23:$D$45)*$E724)</f>
        <v>8</v>
      </c>
      <c r="K724" s="67" cm="1">
        <f ca="1" t="array" ref="K724">MIN(18,_xlfn.XLOOKUP($D724&amp;"_"&amp;K$61,$B$23:$B$45&amp;"_"&amp;$C$23:$C$45,$D$23:$D$45)*$E724)</f>
        <v>2.79384775086505</v>
      </c>
      <c r="L724" s="67" cm="1">
        <f ca="1" t="array" ref="L724">MIN(6,_xlfn.XLOOKUP($D724&amp;"_"&amp;L$61,$B$23:$B$45&amp;"_"&amp;$C$23:$C$45,$D$23:$D$45)*$E724)</f>
        <v>4.19077162629758</v>
      </c>
      <c r="M724" s="67" cm="1">
        <f ca="1" t="array" ref="M724">(1+SUMPRODUCT(G724:H724,OFFSET($H$49:$I$49,D724,0)))*(1+OFFSET($J$49,D724,0))^I724*(1+OFFSET($K$49,D724,0))^J724*(1+OFFSET($L$49,D724,0))^K724*(1+OFFSET($M$49,D724,0))^L724</f>
        <v>267.725733251243</v>
      </c>
      <c r="N724" s="67">
        <f ca="1">MAX(MAX($N$62:N723),OFFSET($C$61,MATCH(M724*1.07,$M$62:$M$2061,1),0)-C724)</f>
        <v>28800</v>
      </c>
    </row>
    <row r="725" spans="2:14">
      <c r="B725" s="67">
        <v>664</v>
      </c>
      <c r="C725" s="67">
        <f t="shared" si="67"/>
        <v>239040</v>
      </c>
      <c r="D725" s="67">
        <f t="shared" si="68"/>
        <v>5</v>
      </c>
      <c r="E725" s="67">
        <f ca="1" t="shared" si="69"/>
        <v>694</v>
      </c>
      <c r="F725" s="67">
        <f ca="1" t="shared" si="70"/>
        <v>0</v>
      </c>
      <c r="G725" s="67">
        <f ca="1" t="shared" si="71"/>
        <v>0</v>
      </c>
      <c r="H725" s="67" cm="1">
        <f ca="1" t="array" ref="H725">MIN(30-SUM(I725:L725),_xlfn.XLOOKUP($D725&amp;"_"&amp;H$61,$B$23:$B$45&amp;"_"&amp;$C$23:$C$45,$D$23:$D$45)*$E725,18)</f>
        <v>13.2021207227989</v>
      </c>
      <c r="I725" s="67" cm="1">
        <f ca="1" t="array" ref="I725">MIN(30-SUM(J725:L725),6-L725,_xlfn.XLOOKUP($D725&amp;"_"&amp;I$61,$B$23:$B$45&amp;"_"&amp;$C$23:$C$45,$D$23:$D$45)*$E725)</f>
        <v>1.80318108419838</v>
      </c>
      <c r="J725" s="67" cm="1">
        <f ca="1" t="array" ref="J725">MIN(8,_xlfn.XLOOKUP($D725&amp;"_"&amp;J$61,$B$23:$B$45&amp;"_"&amp;$C$23:$C$45,$D$23:$D$45)*$E725)</f>
        <v>8</v>
      </c>
      <c r="K725" s="67" cm="1">
        <f ca="1" t="array" ref="K725">MIN(18,_xlfn.XLOOKUP($D725&amp;"_"&amp;K$61,$B$23:$B$45&amp;"_"&amp;$C$23:$C$45,$D$23:$D$45)*$E725)</f>
        <v>2.79787927720108</v>
      </c>
      <c r="L725" s="67" cm="1">
        <f ca="1" t="array" ref="L725">MIN(6,_xlfn.XLOOKUP($D725&amp;"_"&amp;L$61,$B$23:$B$45&amp;"_"&amp;$C$23:$C$45,$D$23:$D$45)*$E725)</f>
        <v>4.19681891580162</v>
      </c>
      <c r="M725" s="67" cm="1">
        <f ca="1" t="array" ref="M725">(1+SUMPRODUCT(G725:H725,OFFSET($H$49:$I$49,D725,0)))*(1+OFFSET($J$49,D725,0))^I725*(1+OFFSET($K$49,D725,0))^J725*(1+OFFSET($L$49,D725,0))^K725*(1+OFFSET($M$49,D725,0))^L725</f>
        <v>267.951542070198</v>
      </c>
      <c r="N725" s="67">
        <f ca="1">MAX(MAX($N$62:N724),OFFSET($C$61,MATCH(M725*1.07,$M$62:$M$2061,1),0)-C725)</f>
        <v>28800</v>
      </c>
    </row>
    <row r="726" spans="2:14">
      <c r="B726" s="67">
        <v>665</v>
      </c>
      <c r="C726" s="67">
        <f t="shared" si="67"/>
        <v>239400</v>
      </c>
      <c r="D726" s="67">
        <f t="shared" si="68"/>
        <v>5</v>
      </c>
      <c r="E726" s="67">
        <f ca="1" t="shared" si="69"/>
        <v>695</v>
      </c>
      <c r="F726" s="67">
        <f ca="1" t="shared" si="70"/>
        <v>0</v>
      </c>
      <c r="G726" s="67">
        <f ca="1" t="shared" si="71"/>
        <v>0</v>
      </c>
      <c r="H726" s="67" cm="1">
        <f ca="1" t="array" ref="H726">MIN(30-SUM(I726:L726),_xlfn.XLOOKUP($D726&amp;"_"&amp;H$61,$B$23:$B$45&amp;"_"&amp;$C$23:$C$45,$D$23:$D$45)*$E726,18)</f>
        <v>13.1980891964629</v>
      </c>
      <c r="I726" s="67" cm="1">
        <f ca="1" t="array" ref="I726">MIN(30-SUM(J726:L726),6-L726,_xlfn.XLOOKUP($D726&amp;"_"&amp;I$61,$B$23:$B$45&amp;"_"&amp;$C$23:$C$45,$D$23:$D$45)*$E726)</f>
        <v>1.79713379469435</v>
      </c>
      <c r="J726" s="67" cm="1">
        <f ca="1" t="array" ref="J726">MIN(8,_xlfn.XLOOKUP($D726&amp;"_"&amp;J$61,$B$23:$B$45&amp;"_"&amp;$C$23:$C$45,$D$23:$D$45)*$E726)</f>
        <v>8</v>
      </c>
      <c r="K726" s="67" cm="1">
        <f ca="1" t="array" ref="K726">MIN(18,_xlfn.XLOOKUP($D726&amp;"_"&amp;K$61,$B$23:$B$45&amp;"_"&amp;$C$23:$C$45,$D$23:$D$45)*$E726)</f>
        <v>2.8019108035371</v>
      </c>
      <c r="L726" s="67" cm="1">
        <f ca="1" t="array" ref="L726">MIN(6,_xlfn.XLOOKUP($D726&amp;"_"&amp;L$61,$B$23:$B$45&amp;"_"&amp;$C$23:$C$45,$D$23:$D$45)*$E726)</f>
        <v>4.20286620530565</v>
      </c>
      <c r="M726" s="67" cm="1">
        <f ca="1" t="array" ref="M726">(1+SUMPRODUCT(G726:H726,OFFSET($H$49:$I$49,D726,0)))*(1+OFFSET($J$49,D726,0))^I726*(1+OFFSET($K$49,D726,0))^J726*(1+OFFSET($L$49,D726,0))^K726*(1+OFFSET($M$49,D726,0))^L726</f>
        <v>268.177528188043</v>
      </c>
      <c r="N726" s="67">
        <f ca="1">MAX(MAX($N$62:N725),OFFSET($C$61,MATCH(M726*1.07,$M$62:$M$2061,1),0)-C726)</f>
        <v>28800</v>
      </c>
    </row>
    <row r="727" spans="2:14">
      <c r="B727" s="67">
        <v>666</v>
      </c>
      <c r="C727" s="67">
        <f t="shared" ref="C727:C758" si="72">C726+360</f>
        <v>239760</v>
      </c>
      <c r="D727" s="67">
        <f t="shared" si="68"/>
        <v>5</v>
      </c>
      <c r="E727" s="67">
        <f ca="1" t="shared" si="69"/>
        <v>696</v>
      </c>
      <c r="F727" s="67">
        <f ca="1" t="shared" si="70"/>
        <v>0</v>
      </c>
      <c r="G727" s="67">
        <f ca="1" t="shared" si="71"/>
        <v>0</v>
      </c>
      <c r="H727" s="67" cm="1">
        <f ca="1" t="array" ref="H727">MIN(30-SUM(I727:L727),_xlfn.XLOOKUP($D727&amp;"_"&amp;H$61,$B$23:$B$45&amp;"_"&amp;$C$23:$C$45,$D$23:$D$45)*$E727,18)</f>
        <v>13.1940576701269</v>
      </c>
      <c r="I727" s="67" cm="1">
        <f ca="1" t="array" ref="I727">MIN(30-SUM(J727:L727),6-L727,_xlfn.XLOOKUP($D727&amp;"_"&amp;I$61,$B$23:$B$45&amp;"_"&amp;$C$23:$C$45,$D$23:$D$45)*$E727)</f>
        <v>1.79108650519031</v>
      </c>
      <c r="J727" s="67" cm="1">
        <f ca="1" t="array" ref="J727">MIN(8,_xlfn.XLOOKUP($D727&amp;"_"&amp;J$61,$B$23:$B$45&amp;"_"&amp;$C$23:$C$45,$D$23:$D$45)*$E727)</f>
        <v>8</v>
      </c>
      <c r="K727" s="67" cm="1">
        <f ca="1" t="array" ref="K727">MIN(18,_xlfn.XLOOKUP($D727&amp;"_"&amp;K$61,$B$23:$B$45&amp;"_"&amp;$C$23:$C$45,$D$23:$D$45)*$E727)</f>
        <v>2.80594232987313</v>
      </c>
      <c r="L727" s="67" cm="1">
        <f ca="1" t="array" ref="L727">MIN(6,_xlfn.XLOOKUP($D727&amp;"_"&amp;L$61,$B$23:$B$45&amp;"_"&amp;$C$23:$C$45,$D$23:$D$45)*$E727)</f>
        <v>4.20891349480969</v>
      </c>
      <c r="M727" s="67" cm="1">
        <f ca="1" t="array" ref="M727">(1+SUMPRODUCT(G727:H727,OFFSET($H$49:$I$49,D727,0)))*(1+OFFSET($J$49,D727,0))^I727*(1+OFFSET($K$49,D727,0))^J727*(1+OFFSET($L$49,D727,0))^K727*(1+OFFSET($M$49,D727,0))^L727</f>
        <v>268.403691726293</v>
      </c>
      <c r="N727" s="67">
        <f ca="1">MAX(MAX($N$62:N726),OFFSET($C$61,MATCH(M727*1.07,$M$62:$M$2061,1),0)-C727)</f>
        <v>28800</v>
      </c>
    </row>
    <row r="728" spans="2:14">
      <c r="B728" s="67">
        <v>667</v>
      </c>
      <c r="C728" s="67">
        <f t="shared" si="72"/>
        <v>240120</v>
      </c>
      <c r="D728" s="67">
        <f t="shared" si="68"/>
        <v>5</v>
      </c>
      <c r="E728" s="67">
        <f ca="1" t="shared" si="69"/>
        <v>697</v>
      </c>
      <c r="F728" s="67">
        <f ca="1" t="shared" si="70"/>
        <v>0</v>
      </c>
      <c r="G728" s="67">
        <f ca="1" t="shared" si="71"/>
        <v>0</v>
      </c>
      <c r="H728" s="67" cm="1">
        <f ca="1" t="array" ref="H728">MIN(30-SUM(I728:L728),_xlfn.XLOOKUP($D728&amp;"_"&amp;H$61,$B$23:$B$45&amp;"_"&amp;$C$23:$C$45,$D$23:$D$45)*$E728,18)</f>
        <v>13.1900261437908</v>
      </c>
      <c r="I728" s="67" cm="1">
        <f ca="1" t="array" ref="I728">MIN(30-SUM(J728:L728),6-L728,_xlfn.XLOOKUP($D728&amp;"_"&amp;I$61,$B$23:$B$45&amp;"_"&amp;$C$23:$C$45,$D$23:$D$45)*$E728)</f>
        <v>1.78503921568627</v>
      </c>
      <c r="J728" s="67" cm="1">
        <f ca="1" t="array" ref="J728">MIN(8,_xlfn.XLOOKUP($D728&amp;"_"&amp;J$61,$B$23:$B$45&amp;"_"&amp;$C$23:$C$45,$D$23:$D$45)*$E728)</f>
        <v>8</v>
      </c>
      <c r="K728" s="67" cm="1">
        <f ca="1" t="array" ref="K728">MIN(18,_xlfn.XLOOKUP($D728&amp;"_"&amp;K$61,$B$23:$B$45&amp;"_"&amp;$C$23:$C$45,$D$23:$D$45)*$E728)</f>
        <v>2.80997385620915</v>
      </c>
      <c r="L728" s="67" cm="1">
        <f ca="1" t="array" ref="L728">MIN(6,_xlfn.XLOOKUP($D728&amp;"_"&amp;L$61,$B$23:$B$45&amp;"_"&amp;$C$23:$C$45,$D$23:$D$45)*$E728)</f>
        <v>4.21496078431373</v>
      </c>
      <c r="M728" s="67" cm="1">
        <f ca="1" t="array" ref="M728">(1+SUMPRODUCT(G728:H728,OFFSET($H$49:$I$49,D728,0)))*(1+OFFSET($J$49,D728,0))^I728*(1+OFFSET($K$49,D728,0))^J728*(1+OFFSET($L$49,D728,0))^K728*(1+OFFSET($M$49,D728,0))^L728</f>
        <v>268.63003280652</v>
      </c>
      <c r="N728" s="67">
        <f ca="1">MAX(MAX($N$62:N727),OFFSET($C$61,MATCH(M728*1.07,$M$62:$M$2061,1),0)-C728)</f>
        <v>28800</v>
      </c>
    </row>
    <row r="729" spans="2:14">
      <c r="B729" s="67">
        <v>668</v>
      </c>
      <c r="C729" s="67">
        <f t="shared" si="72"/>
        <v>240480</v>
      </c>
      <c r="D729" s="67">
        <f t="shared" si="68"/>
        <v>5</v>
      </c>
      <c r="E729" s="67">
        <f ca="1" t="shared" si="69"/>
        <v>698</v>
      </c>
      <c r="F729" s="67">
        <f ca="1" t="shared" si="70"/>
        <v>0</v>
      </c>
      <c r="G729" s="67">
        <f ca="1" t="shared" si="71"/>
        <v>0</v>
      </c>
      <c r="H729" s="67" cm="1">
        <f ca="1" t="array" ref="H729">MIN(30-SUM(I729:L729),_xlfn.XLOOKUP($D729&amp;"_"&amp;H$61,$B$23:$B$45&amp;"_"&amp;$C$23:$C$45,$D$23:$D$45)*$E729,18)</f>
        <v>13.1859946174548</v>
      </c>
      <c r="I729" s="67" cm="1">
        <f ca="1" t="array" ref="I729">MIN(30-SUM(J729:L729),6-L729,_xlfn.XLOOKUP($D729&amp;"_"&amp;I$61,$B$23:$B$45&amp;"_"&amp;$C$23:$C$45,$D$23:$D$45)*$E729)</f>
        <v>1.77899192618224</v>
      </c>
      <c r="J729" s="67" cm="1">
        <f ca="1" t="array" ref="J729">MIN(8,_xlfn.XLOOKUP($D729&amp;"_"&amp;J$61,$B$23:$B$45&amp;"_"&amp;$C$23:$C$45,$D$23:$D$45)*$E729)</f>
        <v>8</v>
      </c>
      <c r="K729" s="67" cm="1">
        <f ca="1" t="array" ref="K729">MIN(18,_xlfn.XLOOKUP($D729&amp;"_"&amp;K$61,$B$23:$B$45&amp;"_"&amp;$C$23:$C$45,$D$23:$D$45)*$E729)</f>
        <v>2.81400538254518</v>
      </c>
      <c r="L729" s="67" cm="1">
        <f ca="1" t="array" ref="L729">MIN(6,_xlfn.XLOOKUP($D729&amp;"_"&amp;L$61,$B$23:$B$45&amp;"_"&amp;$C$23:$C$45,$D$23:$D$45)*$E729)</f>
        <v>4.22100807381776</v>
      </c>
      <c r="M729" s="67" cm="1">
        <f ca="1" t="array" ref="M729">(1+SUMPRODUCT(G729:H729,OFFSET($H$49:$I$49,D729,0)))*(1+OFFSET($J$49,D729,0))^I729*(1+OFFSET($K$49,D729,0))^J729*(1+OFFSET($L$49,D729,0))^K729*(1+OFFSET($M$49,D729,0))^L729</f>
        <v>268.856551550355</v>
      </c>
      <c r="N729" s="67">
        <f ca="1">MAX(MAX($N$62:N728),OFFSET($C$61,MATCH(M729*1.07,$M$62:$M$2061,1),0)-C729)</f>
        <v>28800</v>
      </c>
    </row>
    <row r="730" spans="2:14">
      <c r="B730" s="67">
        <v>669</v>
      </c>
      <c r="C730" s="67">
        <f t="shared" si="72"/>
        <v>240840</v>
      </c>
      <c r="D730" s="67">
        <f t="shared" si="68"/>
        <v>5</v>
      </c>
      <c r="E730" s="67">
        <f ca="1" t="shared" si="69"/>
        <v>699</v>
      </c>
      <c r="F730" s="67">
        <f ca="1" t="shared" si="70"/>
        <v>0</v>
      </c>
      <c r="G730" s="67">
        <f ca="1" t="shared" si="71"/>
        <v>0</v>
      </c>
      <c r="H730" s="67" cm="1">
        <f ca="1" t="array" ref="H730">MIN(30-SUM(I730:L730),_xlfn.XLOOKUP($D730&amp;"_"&amp;H$61,$B$23:$B$45&amp;"_"&amp;$C$23:$C$45,$D$23:$D$45)*$E730,18)</f>
        <v>13.1819630911188</v>
      </c>
      <c r="I730" s="67" cm="1">
        <f ca="1" t="array" ref="I730">MIN(30-SUM(J730:L730),6-L730,_xlfn.XLOOKUP($D730&amp;"_"&amp;I$61,$B$23:$B$45&amp;"_"&amp;$C$23:$C$45,$D$23:$D$45)*$E730)</f>
        <v>1.7729446366782</v>
      </c>
      <c r="J730" s="67" cm="1">
        <f ca="1" t="array" ref="J730">MIN(8,_xlfn.XLOOKUP($D730&amp;"_"&amp;J$61,$B$23:$B$45&amp;"_"&amp;$C$23:$C$45,$D$23:$D$45)*$E730)</f>
        <v>8</v>
      </c>
      <c r="K730" s="67" cm="1">
        <f ca="1" t="array" ref="K730">MIN(18,_xlfn.XLOOKUP($D730&amp;"_"&amp;K$61,$B$23:$B$45&amp;"_"&amp;$C$23:$C$45,$D$23:$D$45)*$E730)</f>
        <v>2.8180369088812</v>
      </c>
      <c r="L730" s="67" cm="1">
        <f ca="1" t="array" ref="L730">MIN(6,_xlfn.XLOOKUP($D730&amp;"_"&amp;L$61,$B$23:$B$45&amp;"_"&amp;$C$23:$C$45,$D$23:$D$45)*$E730)</f>
        <v>4.2270553633218</v>
      </c>
      <c r="M730" s="67" cm="1">
        <f ca="1" t="array" ref="M730">(1+SUMPRODUCT(G730:H730,OFFSET($H$49:$I$49,D730,0)))*(1+OFFSET($J$49,D730,0))^I730*(1+OFFSET($K$49,D730,0))^J730*(1+OFFSET($L$49,D730,0))^K730*(1+OFFSET($M$49,D730,0))^L730</f>
        <v>269.083248079487</v>
      </c>
      <c r="N730" s="67">
        <f ca="1">MAX(MAX($N$62:N729),OFFSET($C$61,MATCH(M730*1.07,$M$62:$M$2061,1),0)-C730)</f>
        <v>28800</v>
      </c>
    </row>
    <row r="731" spans="2:14">
      <c r="B731" s="67">
        <v>670</v>
      </c>
      <c r="C731" s="67">
        <f t="shared" si="72"/>
        <v>241200</v>
      </c>
      <c r="D731" s="67">
        <f t="shared" si="68"/>
        <v>5</v>
      </c>
      <c r="E731" s="67">
        <f ca="1" t="shared" si="69"/>
        <v>700</v>
      </c>
      <c r="F731" s="67">
        <f ca="1" t="shared" si="70"/>
        <v>0</v>
      </c>
      <c r="G731" s="67">
        <f ca="1" t="shared" si="71"/>
        <v>0</v>
      </c>
      <c r="H731" s="67" cm="1">
        <f ca="1" t="array" ref="H731">MIN(30-SUM(I731:L731),_xlfn.XLOOKUP($D731&amp;"_"&amp;H$61,$B$23:$B$45&amp;"_"&amp;$C$23:$C$45,$D$23:$D$45)*$E731,18)</f>
        <v>13.1779315647828</v>
      </c>
      <c r="I731" s="67" cm="1">
        <f ca="1" t="array" ref="I731">MIN(30-SUM(J731:L731),6-L731,_xlfn.XLOOKUP($D731&amp;"_"&amp;I$61,$B$23:$B$45&amp;"_"&amp;$C$23:$C$45,$D$23:$D$45)*$E731)</f>
        <v>1.76689734717416</v>
      </c>
      <c r="J731" s="67" cm="1">
        <f ca="1" t="array" ref="J731">MIN(8,_xlfn.XLOOKUP($D731&amp;"_"&amp;J$61,$B$23:$B$45&amp;"_"&amp;$C$23:$C$45,$D$23:$D$45)*$E731)</f>
        <v>8</v>
      </c>
      <c r="K731" s="67" cm="1">
        <f ca="1" t="array" ref="K731">MIN(18,_xlfn.XLOOKUP($D731&amp;"_"&amp;K$61,$B$23:$B$45&amp;"_"&amp;$C$23:$C$45,$D$23:$D$45)*$E731)</f>
        <v>2.82206843521723</v>
      </c>
      <c r="L731" s="67" cm="1">
        <f ca="1" t="array" ref="L731">MIN(6,_xlfn.XLOOKUP($D731&amp;"_"&amp;L$61,$B$23:$B$45&amp;"_"&amp;$C$23:$C$45,$D$23:$D$45)*$E731)</f>
        <v>4.23310265282584</v>
      </c>
      <c r="M731" s="67" cm="1">
        <f ca="1" t="array" ref="M731">(1+SUMPRODUCT(G731:H731,OFFSET($H$49:$I$49,D731,0)))*(1+OFFSET($J$49,D731,0))^I731*(1+OFFSET($K$49,D731,0))^J731*(1+OFFSET($L$49,D731,0))^K731*(1+OFFSET($M$49,D731,0))^L731</f>
        <v>269.31012251566</v>
      </c>
      <c r="N731" s="67">
        <f ca="1">MAX(MAX($N$62:N730),OFFSET($C$61,MATCH(M731*1.07,$M$62:$M$2061,1),0)-C731)</f>
        <v>28800</v>
      </c>
    </row>
    <row r="732" spans="2:14">
      <c r="B732" s="67">
        <v>671</v>
      </c>
      <c r="C732" s="67">
        <f t="shared" si="72"/>
        <v>241560</v>
      </c>
      <c r="D732" s="67">
        <f t="shared" si="68"/>
        <v>5</v>
      </c>
      <c r="E732" s="67">
        <f ca="1" t="shared" si="69"/>
        <v>701</v>
      </c>
      <c r="F732" s="67">
        <f ca="1" t="shared" si="70"/>
        <v>0</v>
      </c>
      <c r="G732" s="67">
        <f ca="1" t="shared" si="71"/>
        <v>0</v>
      </c>
      <c r="H732" s="67" cm="1">
        <f ca="1" t="array" ref="H732">MIN(30-SUM(I732:L732),_xlfn.XLOOKUP($D732&amp;"_"&amp;H$61,$B$23:$B$45&amp;"_"&amp;$C$23:$C$45,$D$23:$D$45)*$E732,18)</f>
        <v>13.1739000384467</v>
      </c>
      <c r="I732" s="67" cm="1">
        <f ca="1" t="array" ref="I732">MIN(30-SUM(J732:L732),6-L732,_xlfn.XLOOKUP($D732&amp;"_"&amp;I$61,$B$23:$B$45&amp;"_"&amp;$C$23:$C$45,$D$23:$D$45)*$E732)</f>
        <v>1.76085005767013</v>
      </c>
      <c r="J732" s="67" cm="1">
        <f ca="1" t="array" ref="J732">MIN(8,_xlfn.XLOOKUP($D732&amp;"_"&amp;J$61,$B$23:$B$45&amp;"_"&amp;$C$23:$C$45,$D$23:$D$45)*$E732)</f>
        <v>8</v>
      </c>
      <c r="K732" s="67" cm="1">
        <f ca="1" t="array" ref="K732">MIN(18,_xlfn.XLOOKUP($D732&amp;"_"&amp;K$61,$B$23:$B$45&amp;"_"&amp;$C$23:$C$45,$D$23:$D$45)*$E732)</f>
        <v>2.82609996155325</v>
      </c>
      <c r="L732" s="67" cm="1">
        <f ca="1" t="array" ref="L732">MIN(6,_xlfn.XLOOKUP($D732&amp;"_"&amp;L$61,$B$23:$B$45&amp;"_"&amp;$C$23:$C$45,$D$23:$D$45)*$E732)</f>
        <v>4.23914994232987</v>
      </c>
      <c r="M732" s="67" cm="1">
        <f ca="1" t="array" ref="M732">(1+SUMPRODUCT(G732:H732,OFFSET($H$49:$I$49,D732,0)))*(1+OFFSET($J$49,D732,0))^I732*(1+OFFSET($K$49,D732,0))^J732*(1+OFFSET($L$49,D732,0))^K732*(1+OFFSET($M$49,D732,0))^L732</f>
        <v>269.537174980679</v>
      </c>
      <c r="N732" s="67">
        <f ca="1">MAX(MAX($N$62:N731),OFFSET($C$61,MATCH(M732*1.07,$M$62:$M$2061,1),0)-C732)</f>
        <v>28800</v>
      </c>
    </row>
    <row r="733" spans="2:14">
      <c r="B733" s="67">
        <v>672</v>
      </c>
      <c r="C733" s="67">
        <f t="shared" si="72"/>
        <v>241920</v>
      </c>
      <c r="D733" s="67">
        <f t="shared" si="68"/>
        <v>5</v>
      </c>
      <c r="E733" s="67">
        <f ca="1" t="shared" si="69"/>
        <v>702</v>
      </c>
      <c r="F733" s="67">
        <f ca="1" t="shared" si="70"/>
        <v>0</v>
      </c>
      <c r="G733" s="67">
        <f ca="1" t="shared" si="71"/>
        <v>0</v>
      </c>
      <c r="H733" s="67" cm="1">
        <f ca="1" t="array" ref="H733">MIN(30-SUM(I733:L733),_xlfn.XLOOKUP($D733&amp;"_"&amp;H$61,$B$23:$B$45&amp;"_"&amp;$C$23:$C$45,$D$23:$D$45)*$E733,18)</f>
        <v>13.1698685121107</v>
      </c>
      <c r="I733" s="67" cm="1">
        <f ca="1" t="array" ref="I733">MIN(30-SUM(J733:L733),6-L733,_xlfn.XLOOKUP($D733&amp;"_"&amp;I$61,$B$23:$B$45&amp;"_"&amp;$C$23:$C$45,$D$23:$D$45)*$E733)</f>
        <v>1.75480276816609</v>
      </c>
      <c r="J733" s="67" cm="1">
        <f ca="1" t="array" ref="J733">MIN(8,_xlfn.XLOOKUP($D733&amp;"_"&amp;J$61,$B$23:$B$45&amp;"_"&amp;$C$23:$C$45,$D$23:$D$45)*$E733)</f>
        <v>8</v>
      </c>
      <c r="K733" s="67" cm="1">
        <f ca="1" t="array" ref="K733">MIN(18,_xlfn.XLOOKUP($D733&amp;"_"&amp;K$61,$B$23:$B$45&amp;"_"&amp;$C$23:$C$45,$D$23:$D$45)*$E733)</f>
        <v>2.83013148788928</v>
      </c>
      <c r="L733" s="67" cm="1">
        <f ca="1" t="array" ref="L733">MIN(6,_xlfn.XLOOKUP($D733&amp;"_"&amp;L$61,$B$23:$B$45&amp;"_"&amp;$C$23:$C$45,$D$23:$D$45)*$E733)</f>
        <v>4.24519723183391</v>
      </c>
      <c r="M733" s="67" cm="1">
        <f ca="1" t="array" ref="M733">(1+SUMPRODUCT(G733:H733,OFFSET($H$49:$I$49,D733,0)))*(1+OFFSET($J$49,D733,0))^I733*(1+OFFSET($K$49,D733,0))^J733*(1+OFFSET($L$49,D733,0))^K733*(1+OFFSET($M$49,D733,0))^L733</f>
        <v>269.764405596405</v>
      </c>
      <c r="N733" s="67">
        <f ca="1">MAX(MAX($N$62:N732),OFFSET($C$61,MATCH(M733*1.07,$M$62:$M$2061,1),0)-C733)</f>
        <v>28800</v>
      </c>
    </row>
    <row r="734" spans="2:14">
      <c r="B734" s="67">
        <v>673</v>
      </c>
      <c r="C734" s="67">
        <f t="shared" si="72"/>
        <v>242280</v>
      </c>
      <c r="D734" s="67">
        <f t="shared" si="68"/>
        <v>5</v>
      </c>
      <c r="E734" s="67">
        <f ca="1" t="shared" si="69"/>
        <v>703</v>
      </c>
      <c r="F734" s="67">
        <f ca="1" t="shared" si="70"/>
        <v>0</v>
      </c>
      <c r="G734" s="67">
        <f ca="1" t="shared" si="71"/>
        <v>0</v>
      </c>
      <c r="H734" s="67" cm="1">
        <f ca="1" t="array" ref="H734">MIN(30-SUM(I734:L734),_xlfn.XLOOKUP($D734&amp;"_"&amp;H$61,$B$23:$B$45&amp;"_"&amp;$C$23:$C$45,$D$23:$D$45)*$E734,18)</f>
        <v>13.1658369857747</v>
      </c>
      <c r="I734" s="67" cm="1">
        <f ca="1" t="array" ref="I734">MIN(30-SUM(J734:L734),6-L734,_xlfn.XLOOKUP($D734&amp;"_"&amp;I$61,$B$23:$B$45&amp;"_"&amp;$C$23:$C$45,$D$23:$D$45)*$E734)</f>
        <v>1.74875547866205</v>
      </c>
      <c r="J734" s="67" cm="1">
        <f ca="1" t="array" ref="J734">MIN(8,_xlfn.XLOOKUP($D734&amp;"_"&amp;J$61,$B$23:$B$45&amp;"_"&amp;$C$23:$C$45,$D$23:$D$45)*$E734)</f>
        <v>8</v>
      </c>
      <c r="K734" s="67" cm="1">
        <f ca="1" t="array" ref="K734">MIN(18,_xlfn.XLOOKUP($D734&amp;"_"&amp;K$61,$B$23:$B$45&amp;"_"&amp;$C$23:$C$45,$D$23:$D$45)*$E734)</f>
        <v>2.8341630142253</v>
      </c>
      <c r="L734" s="67" cm="1">
        <f ca="1" t="array" ref="L734">MIN(6,_xlfn.XLOOKUP($D734&amp;"_"&amp;L$61,$B$23:$B$45&amp;"_"&amp;$C$23:$C$45,$D$23:$D$45)*$E734)</f>
        <v>4.25124452133795</v>
      </c>
      <c r="M734" s="67" cm="1">
        <f ca="1" t="array" ref="M734">(1+SUMPRODUCT(G734:H734,OFFSET($H$49:$I$49,D734,0)))*(1+OFFSET($J$49,D734,0))^I734*(1+OFFSET($K$49,D734,0))^J734*(1+OFFSET($L$49,D734,0))^K734*(1+OFFSET($M$49,D734,0))^L734</f>
        <v>269.991814484757</v>
      </c>
      <c r="N734" s="67">
        <f ca="1">MAX(MAX($N$62:N733),OFFSET($C$61,MATCH(M734*1.07,$M$62:$M$2061,1),0)-C734)</f>
        <v>28800</v>
      </c>
    </row>
    <row r="735" spans="2:14">
      <c r="B735" s="67">
        <v>674</v>
      </c>
      <c r="C735" s="67">
        <f t="shared" si="72"/>
        <v>242640</v>
      </c>
      <c r="D735" s="67">
        <f t="shared" si="68"/>
        <v>5</v>
      </c>
      <c r="E735" s="67">
        <f ca="1" t="shared" si="69"/>
        <v>704</v>
      </c>
      <c r="F735" s="67">
        <f ca="1" t="shared" si="70"/>
        <v>0</v>
      </c>
      <c r="G735" s="67">
        <f ca="1" t="shared" si="71"/>
        <v>0</v>
      </c>
      <c r="H735" s="67" cm="1">
        <f ca="1" t="array" ref="H735">MIN(30-SUM(I735:L735),_xlfn.XLOOKUP($D735&amp;"_"&amp;H$61,$B$23:$B$45&amp;"_"&amp;$C$23:$C$45,$D$23:$D$45)*$E735,18)</f>
        <v>13.1618054594387</v>
      </c>
      <c r="I735" s="67" cm="1">
        <f ca="1" t="array" ref="I735">MIN(30-SUM(J735:L735),6-L735,_xlfn.XLOOKUP($D735&amp;"_"&amp;I$61,$B$23:$B$45&amp;"_"&amp;$C$23:$C$45,$D$23:$D$45)*$E735)</f>
        <v>1.74270818915801</v>
      </c>
      <c r="J735" s="67" cm="1">
        <f ca="1" t="array" ref="J735">MIN(8,_xlfn.XLOOKUP($D735&amp;"_"&amp;J$61,$B$23:$B$45&amp;"_"&amp;$C$23:$C$45,$D$23:$D$45)*$E735)</f>
        <v>8</v>
      </c>
      <c r="K735" s="67" cm="1">
        <f ca="1" t="array" ref="K735">MIN(18,_xlfn.XLOOKUP($D735&amp;"_"&amp;K$61,$B$23:$B$45&amp;"_"&amp;$C$23:$C$45,$D$23:$D$45)*$E735)</f>
        <v>2.83819454056132</v>
      </c>
      <c r="L735" s="67" cm="1">
        <f ca="1" t="array" ref="L735">MIN(6,_xlfn.XLOOKUP($D735&amp;"_"&amp;L$61,$B$23:$B$45&amp;"_"&amp;$C$23:$C$45,$D$23:$D$45)*$E735)</f>
        <v>4.25729181084199</v>
      </c>
      <c r="M735" s="67" cm="1">
        <f ca="1" t="array" ref="M735">(1+SUMPRODUCT(G735:H735,OFFSET($H$49:$I$49,D735,0)))*(1+OFFSET($J$49,D735,0))^I735*(1+OFFSET($K$49,D735,0))^J735*(1+OFFSET($L$49,D735,0))^K735*(1+OFFSET($M$49,D735,0))^L735</f>
        <v>270.219401767711</v>
      </c>
      <c r="N735" s="67">
        <f ca="1">MAX(MAX($N$62:N734),OFFSET($C$61,MATCH(M735*1.07,$M$62:$M$2061,1),0)-C735)</f>
        <v>28800</v>
      </c>
    </row>
    <row r="736" spans="2:14">
      <c r="B736" s="67">
        <v>675</v>
      </c>
      <c r="C736" s="67">
        <f t="shared" si="72"/>
        <v>243000</v>
      </c>
      <c r="D736" s="67">
        <f t="shared" si="68"/>
        <v>5</v>
      </c>
      <c r="E736" s="67">
        <f ca="1" t="shared" si="69"/>
        <v>705</v>
      </c>
      <c r="F736" s="67">
        <f ca="1" t="shared" si="70"/>
        <v>0</v>
      </c>
      <c r="G736" s="67">
        <f ca="1" t="shared" si="71"/>
        <v>0</v>
      </c>
      <c r="H736" s="67" cm="1">
        <f ca="1" t="array" ref="H736">MIN(30-SUM(I736:L736),_xlfn.XLOOKUP($D736&amp;"_"&amp;H$61,$B$23:$B$45&amp;"_"&amp;$C$23:$C$45,$D$23:$D$45)*$E736,18)</f>
        <v>13.1577739331026</v>
      </c>
      <c r="I736" s="67" cm="1">
        <f ca="1" t="array" ref="I736">MIN(30-SUM(J736:L736),6-L736,_xlfn.XLOOKUP($D736&amp;"_"&amp;I$61,$B$23:$B$45&amp;"_"&amp;$C$23:$C$45,$D$23:$D$45)*$E736)</f>
        <v>1.73666089965398</v>
      </c>
      <c r="J736" s="67" cm="1">
        <f ca="1" t="array" ref="J736">MIN(8,_xlfn.XLOOKUP($D736&amp;"_"&amp;J$61,$B$23:$B$45&amp;"_"&amp;$C$23:$C$45,$D$23:$D$45)*$E736)</f>
        <v>8</v>
      </c>
      <c r="K736" s="67" cm="1">
        <f ca="1" t="array" ref="K736">MIN(18,_xlfn.XLOOKUP($D736&amp;"_"&amp;K$61,$B$23:$B$45&amp;"_"&amp;$C$23:$C$45,$D$23:$D$45)*$E736)</f>
        <v>2.84222606689735</v>
      </c>
      <c r="L736" s="67" cm="1">
        <f ca="1" t="array" ref="L736">MIN(6,_xlfn.XLOOKUP($D736&amp;"_"&amp;L$61,$B$23:$B$45&amp;"_"&amp;$C$23:$C$45,$D$23:$D$45)*$E736)</f>
        <v>4.26333910034602</v>
      </c>
      <c r="M736" s="67" cm="1">
        <f ca="1" t="array" ref="M736">(1+SUMPRODUCT(G736:H736,OFFSET($H$49:$I$49,D736,0)))*(1+OFFSET($J$49,D736,0))^I736*(1+OFFSET($K$49,D736,0))^J736*(1+OFFSET($L$49,D736,0))^K736*(1+OFFSET($M$49,D736,0))^L736</f>
        <v>270.447167567301</v>
      </c>
      <c r="N736" s="67">
        <f ca="1">MAX(MAX($N$62:N735),OFFSET($C$61,MATCH(M736*1.07,$M$62:$M$2061,1),0)-C736)</f>
        <v>28800</v>
      </c>
    </row>
    <row r="737" spans="2:14">
      <c r="B737" s="67">
        <v>676</v>
      </c>
      <c r="C737" s="67">
        <f t="shared" si="72"/>
        <v>243360</v>
      </c>
      <c r="D737" s="67">
        <f t="shared" si="68"/>
        <v>5</v>
      </c>
      <c r="E737" s="67">
        <f ca="1" t="shared" si="69"/>
        <v>706</v>
      </c>
      <c r="F737" s="67">
        <f ca="1" t="shared" si="70"/>
        <v>0</v>
      </c>
      <c r="G737" s="67">
        <f ca="1" t="shared" si="71"/>
        <v>0</v>
      </c>
      <c r="H737" s="67" cm="1">
        <f ca="1" t="array" ref="H737">MIN(30-SUM(I737:L737),_xlfn.XLOOKUP($D737&amp;"_"&amp;H$61,$B$23:$B$45&amp;"_"&amp;$C$23:$C$45,$D$23:$D$45)*$E737,18)</f>
        <v>13.1537424067666</v>
      </c>
      <c r="I737" s="67" cm="1">
        <f ca="1" t="array" ref="I737">MIN(30-SUM(J737:L737),6-L737,_xlfn.XLOOKUP($D737&amp;"_"&amp;I$61,$B$23:$B$45&amp;"_"&amp;$C$23:$C$45,$D$23:$D$45)*$E737)</f>
        <v>1.73061361014994</v>
      </c>
      <c r="J737" s="67" cm="1">
        <f ca="1" t="array" ref="J737">MIN(8,_xlfn.XLOOKUP($D737&amp;"_"&amp;J$61,$B$23:$B$45&amp;"_"&amp;$C$23:$C$45,$D$23:$D$45)*$E737)</f>
        <v>8</v>
      </c>
      <c r="K737" s="67" cm="1">
        <f ca="1" t="array" ref="K737">MIN(18,_xlfn.XLOOKUP($D737&amp;"_"&amp;K$61,$B$23:$B$45&amp;"_"&amp;$C$23:$C$45,$D$23:$D$45)*$E737)</f>
        <v>2.84625759323337</v>
      </c>
      <c r="L737" s="67" cm="1">
        <f ca="1" t="array" ref="L737">MIN(6,_xlfn.XLOOKUP($D737&amp;"_"&amp;L$61,$B$23:$B$45&amp;"_"&amp;$C$23:$C$45,$D$23:$D$45)*$E737)</f>
        <v>4.26938638985006</v>
      </c>
      <c r="M737" s="67" cm="1">
        <f ca="1" t="array" ref="M737">(1+SUMPRODUCT(G737:H737,OFFSET($H$49:$I$49,D737,0)))*(1+OFFSET($J$49,D737,0))^I737*(1+OFFSET($K$49,D737,0))^J737*(1+OFFSET($L$49,D737,0))^K737*(1+OFFSET($M$49,D737,0))^L737</f>
        <v>270.675112005618</v>
      </c>
      <c r="N737" s="67">
        <f ca="1">MAX(MAX($N$62:N736),OFFSET($C$61,MATCH(M737*1.07,$M$62:$M$2061,1),0)-C737)</f>
        <v>28800</v>
      </c>
    </row>
    <row r="738" spans="2:14">
      <c r="B738" s="67">
        <v>677</v>
      </c>
      <c r="C738" s="67">
        <f t="shared" si="72"/>
        <v>243720</v>
      </c>
      <c r="D738" s="67">
        <f t="shared" si="68"/>
        <v>5</v>
      </c>
      <c r="E738" s="67">
        <f ca="1" t="shared" si="69"/>
        <v>707</v>
      </c>
      <c r="F738" s="67">
        <f ca="1" t="shared" si="70"/>
        <v>0</v>
      </c>
      <c r="G738" s="67">
        <f ca="1" t="shared" si="71"/>
        <v>0</v>
      </c>
      <c r="H738" s="67" cm="1">
        <f ca="1" t="array" ref="H738">MIN(30-SUM(I738:L738),_xlfn.XLOOKUP($D738&amp;"_"&amp;H$61,$B$23:$B$45&amp;"_"&amp;$C$23:$C$45,$D$23:$D$45)*$E738,18)</f>
        <v>13.1497108804306</v>
      </c>
      <c r="I738" s="67" cm="1">
        <f ca="1" t="array" ref="I738">MIN(30-SUM(J738:L738),6-L738,_xlfn.XLOOKUP($D738&amp;"_"&amp;I$61,$B$23:$B$45&amp;"_"&amp;$C$23:$C$45,$D$23:$D$45)*$E738)</f>
        <v>1.7245663206459</v>
      </c>
      <c r="J738" s="67" cm="1">
        <f ca="1" t="array" ref="J738">MIN(8,_xlfn.XLOOKUP($D738&amp;"_"&amp;J$61,$B$23:$B$45&amp;"_"&amp;$C$23:$C$45,$D$23:$D$45)*$E738)</f>
        <v>8</v>
      </c>
      <c r="K738" s="67" cm="1">
        <f ca="1" t="array" ref="K738">MIN(18,_xlfn.XLOOKUP($D738&amp;"_"&amp;K$61,$B$23:$B$45&amp;"_"&amp;$C$23:$C$45,$D$23:$D$45)*$E738)</f>
        <v>2.8502891195694</v>
      </c>
      <c r="L738" s="67" cm="1">
        <f ca="1" t="array" ref="L738">MIN(6,_xlfn.XLOOKUP($D738&amp;"_"&amp;L$61,$B$23:$B$45&amp;"_"&amp;$C$23:$C$45,$D$23:$D$45)*$E738)</f>
        <v>4.2754336793541</v>
      </c>
      <c r="M738" s="67" cm="1">
        <f ca="1" t="array" ref="M738">(1+SUMPRODUCT(G738:H738,OFFSET($H$49:$I$49,D738,0)))*(1+OFFSET($J$49,D738,0))^I738*(1+OFFSET($K$49,D738,0))^J738*(1+OFFSET($L$49,D738,0))^K738*(1+OFFSET($M$49,D738,0))^L738</f>
        <v>270.903235204813</v>
      </c>
      <c r="N738" s="67">
        <f ca="1">MAX(MAX($N$62:N737),OFFSET($C$61,MATCH(M738*1.07,$M$62:$M$2061,1),0)-C738)</f>
        <v>28800</v>
      </c>
    </row>
    <row r="739" spans="2:14">
      <c r="B739" s="67">
        <v>678</v>
      </c>
      <c r="C739" s="67">
        <f t="shared" si="72"/>
        <v>244080</v>
      </c>
      <c r="D739" s="67">
        <f t="shared" si="68"/>
        <v>5</v>
      </c>
      <c r="E739" s="67">
        <f ca="1" t="shared" si="69"/>
        <v>708</v>
      </c>
      <c r="F739" s="67">
        <f ca="1" t="shared" si="70"/>
        <v>0</v>
      </c>
      <c r="G739" s="67">
        <f ca="1" t="shared" si="71"/>
        <v>0</v>
      </c>
      <c r="H739" s="67" cm="1">
        <f ca="1" t="array" ref="H739">MIN(30-SUM(I739:L739),_xlfn.XLOOKUP($D739&amp;"_"&amp;H$61,$B$23:$B$45&amp;"_"&amp;$C$23:$C$45,$D$23:$D$45)*$E739,18)</f>
        <v>13.1456793540946</v>
      </c>
      <c r="I739" s="67" cm="1">
        <f ca="1" t="array" ref="I739">MIN(30-SUM(J739:L739),6-L739,_xlfn.XLOOKUP($D739&amp;"_"&amp;I$61,$B$23:$B$45&amp;"_"&amp;$C$23:$C$45,$D$23:$D$45)*$E739)</f>
        <v>1.71851903114187</v>
      </c>
      <c r="J739" s="67" cm="1">
        <f ca="1" t="array" ref="J739">MIN(8,_xlfn.XLOOKUP($D739&amp;"_"&amp;J$61,$B$23:$B$45&amp;"_"&amp;$C$23:$C$45,$D$23:$D$45)*$E739)</f>
        <v>8</v>
      </c>
      <c r="K739" s="67" cm="1">
        <f ca="1" t="array" ref="K739">MIN(18,_xlfn.XLOOKUP($D739&amp;"_"&amp;K$61,$B$23:$B$45&amp;"_"&amp;$C$23:$C$45,$D$23:$D$45)*$E739)</f>
        <v>2.85432064590542</v>
      </c>
      <c r="L739" s="67" cm="1">
        <f ca="1" t="array" ref="L739">MIN(6,_xlfn.XLOOKUP($D739&amp;"_"&amp;L$61,$B$23:$B$45&amp;"_"&amp;$C$23:$C$45,$D$23:$D$45)*$E739)</f>
        <v>4.28148096885813</v>
      </c>
      <c r="M739" s="67" cm="1">
        <f ca="1" t="array" ref="M739">(1+SUMPRODUCT(G739:H739,OFFSET($H$49:$I$49,D739,0)))*(1+OFFSET($J$49,D739,0))^I739*(1+OFFSET($K$49,D739,0))^J739*(1+OFFSET($L$49,D739,0))^K739*(1+OFFSET($M$49,D739,0))^L739</f>
        <v>271.131537287091</v>
      </c>
      <c r="N739" s="67">
        <f ca="1">MAX(MAX($N$62:N738),OFFSET($C$61,MATCH(M739*1.07,$M$62:$M$2061,1),0)-C739)</f>
        <v>28800</v>
      </c>
    </row>
    <row r="740" spans="2:14">
      <c r="B740" s="67">
        <v>679</v>
      </c>
      <c r="C740" s="67">
        <f t="shared" si="72"/>
        <v>244440</v>
      </c>
      <c r="D740" s="67">
        <f t="shared" si="68"/>
        <v>5</v>
      </c>
      <c r="E740" s="67">
        <f ca="1" t="shared" si="69"/>
        <v>709</v>
      </c>
      <c r="F740" s="67">
        <f ca="1" t="shared" si="70"/>
        <v>0</v>
      </c>
      <c r="G740" s="67">
        <f ca="1" t="shared" si="71"/>
        <v>0</v>
      </c>
      <c r="H740" s="67" cm="1">
        <f ca="1" t="array" ref="H740">MIN(30-SUM(I740:L740),_xlfn.XLOOKUP($D740&amp;"_"&amp;H$61,$B$23:$B$45&amp;"_"&amp;$C$23:$C$45,$D$23:$D$45)*$E740,18)</f>
        <v>13.1416478277586</v>
      </c>
      <c r="I740" s="67" cm="1">
        <f ca="1" t="array" ref="I740">MIN(30-SUM(J740:L740),6-L740,_xlfn.XLOOKUP($D740&amp;"_"&amp;I$61,$B$23:$B$45&amp;"_"&amp;$C$23:$C$45,$D$23:$D$45)*$E740)</f>
        <v>1.71247174163783</v>
      </c>
      <c r="J740" s="67" cm="1">
        <f ca="1" t="array" ref="J740">MIN(8,_xlfn.XLOOKUP($D740&amp;"_"&amp;J$61,$B$23:$B$45&amp;"_"&amp;$C$23:$C$45,$D$23:$D$45)*$E740)</f>
        <v>8</v>
      </c>
      <c r="K740" s="67" cm="1">
        <f ca="1" t="array" ref="K740">MIN(18,_xlfn.XLOOKUP($D740&amp;"_"&amp;K$61,$B$23:$B$45&amp;"_"&amp;$C$23:$C$45,$D$23:$D$45)*$E740)</f>
        <v>2.85835217224145</v>
      </c>
      <c r="L740" s="67" cm="1">
        <f ca="1" t="array" ref="L740">MIN(6,_xlfn.XLOOKUP($D740&amp;"_"&amp;L$61,$B$23:$B$45&amp;"_"&amp;$C$23:$C$45,$D$23:$D$45)*$E740)</f>
        <v>4.28752825836217</v>
      </c>
      <c r="M740" s="67" cm="1">
        <f ca="1" t="array" ref="M740">(1+SUMPRODUCT(G740:H740,OFFSET($H$49:$I$49,D740,0)))*(1+OFFSET($J$49,D740,0))^I740*(1+OFFSET($K$49,D740,0))^J740*(1+OFFSET($L$49,D740,0))^K740*(1+OFFSET($M$49,D740,0))^L740</f>
        <v>271.360018374717</v>
      </c>
      <c r="N740" s="67">
        <f ca="1">MAX(MAX($N$62:N739),OFFSET($C$61,MATCH(M740*1.07,$M$62:$M$2061,1),0)-C740)</f>
        <v>28800</v>
      </c>
    </row>
    <row r="741" spans="2:14">
      <c r="B741" s="67">
        <v>680</v>
      </c>
      <c r="C741" s="67">
        <f t="shared" si="72"/>
        <v>244800</v>
      </c>
      <c r="D741" s="67">
        <f t="shared" si="68"/>
        <v>5</v>
      </c>
      <c r="E741" s="67">
        <f ca="1" t="shared" si="69"/>
        <v>710</v>
      </c>
      <c r="F741" s="67">
        <f ca="1" t="shared" si="70"/>
        <v>0</v>
      </c>
      <c r="G741" s="67">
        <f ca="1" t="shared" si="71"/>
        <v>0</v>
      </c>
      <c r="H741" s="67" cm="1">
        <f ca="1" t="array" ref="H741">MIN(30-SUM(I741:L741),_xlfn.XLOOKUP($D741&amp;"_"&amp;H$61,$B$23:$B$45&amp;"_"&amp;$C$23:$C$45,$D$23:$D$45)*$E741,18)</f>
        <v>13.1376163014225</v>
      </c>
      <c r="I741" s="67" cm="1">
        <f ca="1" t="array" ref="I741">MIN(30-SUM(J741:L741),6-L741,_xlfn.XLOOKUP($D741&amp;"_"&amp;I$61,$B$23:$B$45&amp;"_"&amp;$C$23:$C$45,$D$23:$D$45)*$E741)</f>
        <v>1.70642445213379</v>
      </c>
      <c r="J741" s="67" cm="1">
        <f ca="1" t="array" ref="J741">MIN(8,_xlfn.XLOOKUP($D741&amp;"_"&amp;J$61,$B$23:$B$45&amp;"_"&amp;$C$23:$C$45,$D$23:$D$45)*$E741)</f>
        <v>8</v>
      </c>
      <c r="K741" s="67" cm="1">
        <f ca="1" t="array" ref="K741">MIN(18,_xlfn.XLOOKUP($D741&amp;"_"&amp;K$61,$B$23:$B$45&amp;"_"&amp;$C$23:$C$45,$D$23:$D$45)*$E741)</f>
        <v>2.86238369857747</v>
      </c>
      <c r="L741" s="67" cm="1">
        <f ca="1" t="array" ref="L741">MIN(6,_xlfn.XLOOKUP($D741&amp;"_"&amp;L$61,$B$23:$B$45&amp;"_"&amp;$C$23:$C$45,$D$23:$D$45)*$E741)</f>
        <v>4.29357554786621</v>
      </c>
      <c r="M741" s="67" cm="1">
        <f ca="1" t="array" ref="M741">(1+SUMPRODUCT(G741:H741,OFFSET($H$49:$I$49,D741,0)))*(1+OFFSET($J$49,D741,0))^I741*(1+OFFSET($K$49,D741,0))^J741*(1+OFFSET($L$49,D741,0))^K741*(1+OFFSET($M$49,D741,0))^L741</f>
        <v>271.588678590013</v>
      </c>
      <c r="N741" s="67">
        <f ca="1">MAX(MAX($N$62:N740),OFFSET($C$61,MATCH(M741*1.07,$M$62:$M$2061,1),0)-C741)</f>
        <v>28800</v>
      </c>
    </row>
    <row r="742" spans="2:14">
      <c r="B742" s="67">
        <v>681</v>
      </c>
      <c r="C742" s="67">
        <f t="shared" si="72"/>
        <v>245160</v>
      </c>
      <c r="D742" s="67">
        <f t="shared" si="68"/>
        <v>5</v>
      </c>
      <c r="E742" s="67">
        <f ca="1" t="shared" si="69"/>
        <v>711</v>
      </c>
      <c r="F742" s="67">
        <f ca="1" t="shared" si="70"/>
        <v>0</v>
      </c>
      <c r="G742" s="67">
        <f ca="1" t="shared" si="71"/>
        <v>0</v>
      </c>
      <c r="H742" s="67" cm="1">
        <f ca="1" t="array" ref="H742">MIN(30-SUM(I742:L742),_xlfn.XLOOKUP($D742&amp;"_"&amp;H$61,$B$23:$B$45&amp;"_"&amp;$C$23:$C$45,$D$23:$D$45)*$E742,18)</f>
        <v>13.1335847750865</v>
      </c>
      <c r="I742" s="67" cm="1">
        <f ca="1" t="array" ref="I742">MIN(30-SUM(J742:L742),6-L742,_xlfn.XLOOKUP($D742&amp;"_"&amp;I$61,$B$23:$B$45&amp;"_"&amp;$C$23:$C$45,$D$23:$D$45)*$E742)</f>
        <v>1.70037716262976</v>
      </c>
      <c r="J742" s="67" cm="1">
        <f ca="1" t="array" ref="J742">MIN(8,_xlfn.XLOOKUP($D742&amp;"_"&amp;J$61,$B$23:$B$45&amp;"_"&amp;$C$23:$C$45,$D$23:$D$45)*$E742)</f>
        <v>8</v>
      </c>
      <c r="K742" s="67" cm="1">
        <f ca="1" t="array" ref="K742">MIN(18,_xlfn.XLOOKUP($D742&amp;"_"&amp;K$61,$B$23:$B$45&amp;"_"&amp;$C$23:$C$45,$D$23:$D$45)*$E742)</f>
        <v>2.8664152249135</v>
      </c>
      <c r="L742" s="67" cm="1">
        <f ca="1" t="array" ref="L742">MIN(6,_xlfn.XLOOKUP($D742&amp;"_"&amp;L$61,$B$23:$B$45&amp;"_"&amp;$C$23:$C$45,$D$23:$D$45)*$E742)</f>
        <v>4.29962283737024</v>
      </c>
      <c r="M742" s="67" cm="1">
        <f ca="1" t="array" ref="M742">(1+SUMPRODUCT(G742:H742,OFFSET($H$49:$I$49,D742,0)))*(1+OFFSET($J$49,D742,0))^I742*(1+OFFSET($K$49,D742,0))^J742*(1+OFFSET($L$49,D742,0))^K742*(1+OFFSET($M$49,D742,0))^L742</f>
        <v>271.817518055358</v>
      </c>
      <c r="N742" s="67">
        <f ca="1">MAX(MAX($N$62:N741),OFFSET($C$61,MATCH(M742*1.07,$M$62:$M$2061,1),0)-C742)</f>
        <v>28800</v>
      </c>
    </row>
    <row r="743" spans="2:14">
      <c r="B743" s="67">
        <v>682</v>
      </c>
      <c r="C743" s="67">
        <f t="shared" si="72"/>
        <v>245520</v>
      </c>
      <c r="D743" s="67">
        <f t="shared" si="68"/>
        <v>5</v>
      </c>
      <c r="E743" s="67">
        <f ca="1" t="shared" si="69"/>
        <v>712</v>
      </c>
      <c r="F743" s="67">
        <f ca="1" t="shared" si="70"/>
        <v>0</v>
      </c>
      <c r="G743" s="67">
        <f ca="1" t="shared" si="71"/>
        <v>0</v>
      </c>
      <c r="H743" s="67" cm="1">
        <f ca="1" t="array" ref="H743">MIN(30-SUM(I743:L743),_xlfn.XLOOKUP($D743&amp;"_"&amp;H$61,$B$23:$B$45&amp;"_"&amp;$C$23:$C$45,$D$23:$D$45)*$E743,18)</f>
        <v>13.1295532487505</v>
      </c>
      <c r="I743" s="67" cm="1">
        <f ca="1" t="array" ref="I743">MIN(30-SUM(J743:L743),6-L743,_xlfn.XLOOKUP($D743&amp;"_"&amp;I$61,$B$23:$B$45&amp;"_"&amp;$C$23:$C$45,$D$23:$D$45)*$E743)</f>
        <v>1.69432987312572</v>
      </c>
      <c r="J743" s="67" cm="1">
        <f ca="1" t="array" ref="J743">MIN(8,_xlfn.XLOOKUP($D743&amp;"_"&amp;J$61,$B$23:$B$45&amp;"_"&amp;$C$23:$C$45,$D$23:$D$45)*$E743)</f>
        <v>8</v>
      </c>
      <c r="K743" s="67" cm="1">
        <f ca="1" t="array" ref="K743">MIN(18,_xlfn.XLOOKUP($D743&amp;"_"&amp;K$61,$B$23:$B$45&amp;"_"&amp;$C$23:$C$45,$D$23:$D$45)*$E743)</f>
        <v>2.87044675124952</v>
      </c>
      <c r="L743" s="67" cm="1">
        <f ca="1" t="array" ref="L743">MIN(6,_xlfn.XLOOKUP($D743&amp;"_"&amp;L$61,$B$23:$B$45&amp;"_"&amp;$C$23:$C$45,$D$23:$D$45)*$E743)</f>
        <v>4.30567012687428</v>
      </c>
      <c r="M743" s="67" cm="1">
        <f ca="1" t="array" ref="M743">(1+SUMPRODUCT(G743:H743,OFFSET($H$49:$I$49,D743,0)))*(1+OFFSET($J$49,D743,0))^I743*(1+OFFSET($K$49,D743,0))^J743*(1+OFFSET($L$49,D743,0))^K743*(1+OFFSET($M$49,D743,0))^L743</f>
        <v>272.046536893188</v>
      </c>
      <c r="N743" s="67">
        <f ca="1">MAX(MAX($N$62:N742),OFFSET($C$61,MATCH(M743*1.07,$M$62:$M$2061,1),0)-C743)</f>
        <v>28800</v>
      </c>
    </row>
    <row r="744" spans="2:14">
      <c r="B744" s="67">
        <v>683</v>
      </c>
      <c r="C744" s="67">
        <f t="shared" si="72"/>
        <v>245880</v>
      </c>
      <c r="D744" s="67">
        <f t="shared" si="68"/>
        <v>5</v>
      </c>
      <c r="E744" s="67">
        <f ca="1" t="shared" si="69"/>
        <v>713</v>
      </c>
      <c r="F744" s="67">
        <f ca="1" t="shared" si="70"/>
        <v>0</v>
      </c>
      <c r="G744" s="67">
        <f ca="1" t="shared" si="71"/>
        <v>0</v>
      </c>
      <c r="H744" s="67" cm="1">
        <f ca="1" t="array" ref="H744">MIN(30-SUM(I744:L744),_xlfn.XLOOKUP($D744&amp;"_"&amp;H$61,$B$23:$B$45&amp;"_"&amp;$C$23:$C$45,$D$23:$D$45)*$E744,18)</f>
        <v>13.1255217224145</v>
      </c>
      <c r="I744" s="67" cm="1">
        <f ca="1" t="array" ref="I744">MIN(30-SUM(J744:L744),6-L744,_xlfn.XLOOKUP($D744&amp;"_"&amp;I$61,$B$23:$B$45&amp;"_"&amp;$C$23:$C$45,$D$23:$D$45)*$E744)</f>
        <v>1.68828258362168</v>
      </c>
      <c r="J744" s="67" cm="1">
        <f ca="1" t="array" ref="J744">MIN(8,_xlfn.XLOOKUP($D744&amp;"_"&amp;J$61,$B$23:$B$45&amp;"_"&amp;$C$23:$C$45,$D$23:$D$45)*$E744)</f>
        <v>8</v>
      </c>
      <c r="K744" s="67" cm="1">
        <f ca="1" t="array" ref="K744">MIN(18,_xlfn.XLOOKUP($D744&amp;"_"&amp;K$61,$B$23:$B$45&amp;"_"&amp;$C$23:$C$45,$D$23:$D$45)*$E744)</f>
        <v>2.87447827758555</v>
      </c>
      <c r="L744" s="67" cm="1">
        <f ca="1" t="array" ref="L744">MIN(6,_xlfn.XLOOKUP($D744&amp;"_"&amp;L$61,$B$23:$B$45&amp;"_"&amp;$C$23:$C$45,$D$23:$D$45)*$E744)</f>
        <v>4.31171741637832</v>
      </c>
      <c r="M744" s="67" cm="1">
        <f ca="1" t="array" ref="M744">(1+SUMPRODUCT(G744:H744,OFFSET($H$49:$I$49,D744,0)))*(1+OFFSET($J$49,D744,0))^I744*(1+OFFSET($K$49,D744,0))^J744*(1+OFFSET($L$49,D744,0))^K744*(1+OFFSET($M$49,D744,0))^L744</f>
        <v>272.275735225998</v>
      </c>
      <c r="N744" s="67">
        <f ca="1">MAX(MAX($N$62:N743),OFFSET($C$61,MATCH(M744*1.07,$M$62:$M$2061,1),0)-C744)</f>
        <v>28800</v>
      </c>
    </row>
    <row r="745" spans="2:14">
      <c r="B745" s="67">
        <v>684</v>
      </c>
      <c r="C745" s="67">
        <f t="shared" si="72"/>
        <v>246240</v>
      </c>
      <c r="D745" s="67">
        <f t="shared" si="68"/>
        <v>5</v>
      </c>
      <c r="E745" s="67">
        <f ca="1" t="shared" si="69"/>
        <v>714</v>
      </c>
      <c r="F745" s="67">
        <f ca="1" t="shared" si="70"/>
        <v>0</v>
      </c>
      <c r="G745" s="67">
        <f ca="1" t="shared" si="71"/>
        <v>0</v>
      </c>
      <c r="H745" s="67" cm="1">
        <f ca="1" t="array" ref="H745">MIN(30-SUM(I745:L745),_xlfn.XLOOKUP($D745&amp;"_"&amp;H$61,$B$23:$B$45&amp;"_"&amp;$C$23:$C$45,$D$23:$D$45)*$E745,18)</f>
        <v>13.1214901960784</v>
      </c>
      <c r="I745" s="67" cm="1">
        <f ca="1" t="array" ref="I745">MIN(30-SUM(J745:L745),6-L745,_xlfn.XLOOKUP($D745&amp;"_"&amp;I$61,$B$23:$B$45&amp;"_"&amp;$C$23:$C$45,$D$23:$D$45)*$E745)</f>
        <v>1.68223529411765</v>
      </c>
      <c r="J745" s="67" cm="1">
        <f ca="1" t="array" ref="J745">MIN(8,_xlfn.XLOOKUP($D745&amp;"_"&amp;J$61,$B$23:$B$45&amp;"_"&amp;$C$23:$C$45,$D$23:$D$45)*$E745)</f>
        <v>8</v>
      </c>
      <c r="K745" s="67" cm="1">
        <f ca="1" t="array" ref="K745">MIN(18,_xlfn.XLOOKUP($D745&amp;"_"&amp;K$61,$B$23:$B$45&amp;"_"&amp;$C$23:$C$45,$D$23:$D$45)*$E745)</f>
        <v>2.87850980392157</v>
      </c>
      <c r="L745" s="67" cm="1">
        <f ca="1" t="array" ref="L745">MIN(6,_xlfn.XLOOKUP($D745&amp;"_"&amp;L$61,$B$23:$B$45&amp;"_"&amp;$C$23:$C$45,$D$23:$D$45)*$E745)</f>
        <v>4.31776470588235</v>
      </c>
      <c r="M745" s="67" cm="1">
        <f ca="1" t="array" ref="M745">(1+SUMPRODUCT(G745:H745,OFFSET($H$49:$I$49,D745,0)))*(1+OFFSET($J$49,D745,0))^I745*(1+OFFSET($K$49,D745,0))^J745*(1+OFFSET($L$49,D745,0))^K745*(1+OFFSET($M$49,D745,0))^L745</f>
        <v>272.505113176339</v>
      </c>
      <c r="N745" s="67">
        <f ca="1">MAX(MAX($N$62:N744),OFFSET($C$61,MATCH(M745*1.07,$M$62:$M$2061,1),0)-C745)</f>
        <v>28800</v>
      </c>
    </row>
    <row r="746" spans="2:14">
      <c r="B746" s="67">
        <v>685</v>
      </c>
      <c r="C746" s="67">
        <f t="shared" si="72"/>
        <v>246600</v>
      </c>
      <c r="D746" s="67">
        <f t="shared" si="68"/>
        <v>5</v>
      </c>
      <c r="E746" s="67">
        <f ca="1" t="shared" si="69"/>
        <v>715</v>
      </c>
      <c r="F746" s="67">
        <f ca="1" t="shared" si="70"/>
        <v>0</v>
      </c>
      <c r="G746" s="67">
        <f ca="1" t="shared" si="71"/>
        <v>0</v>
      </c>
      <c r="H746" s="67" cm="1">
        <f ca="1" t="array" ref="H746">MIN(30-SUM(I746:L746),_xlfn.XLOOKUP($D746&amp;"_"&amp;H$61,$B$23:$B$45&amp;"_"&amp;$C$23:$C$45,$D$23:$D$45)*$E746,18)</f>
        <v>13.1174586697424</v>
      </c>
      <c r="I746" s="67" cm="1">
        <f ca="1" t="array" ref="I746">MIN(30-SUM(J746:L746),6-L746,_xlfn.XLOOKUP($D746&amp;"_"&amp;I$61,$B$23:$B$45&amp;"_"&amp;$C$23:$C$45,$D$23:$D$45)*$E746)</f>
        <v>1.67618800461361</v>
      </c>
      <c r="J746" s="67" cm="1">
        <f ca="1" t="array" ref="J746">MIN(8,_xlfn.XLOOKUP($D746&amp;"_"&amp;J$61,$B$23:$B$45&amp;"_"&amp;$C$23:$C$45,$D$23:$D$45)*$E746)</f>
        <v>8</v>
      </c>
      <c r="K746" s="67" cm="1">
        <f ca="1" t="array" ref="K746">MIN(18,_xlfn.XLOOKUP($D746&amp;"_"&amp;K$61,$B$23:$B$45&amp;"_"&amp;$C$23:$C$45,$D$23:$D$45)*$E746)</f>
        <v>2.8825413302576</v>
      </c>
      <c r="L746" s="67" cm="1">
        <f ca="1" t="array" ref="L746">MIN(6,_xlfn.XLOOKUP($D746&amp;"_"&amp;L$61,$B$23:$B$45&amp;"_"&amp;$C$23:$C$45,$D$23:$D$45)*$E746)</f>
        <v>4.32381199538639</v>
      </c>
      <c r="M746" s="67" cm="1">
        <f ca="1" t="array" ref="M746">(1+SUMPRODUCT(G746:H746,OFFSET($H$49:$I$49,D746,0)))*(1+OFFSET($J$49,D746,0))^I746*(1+OFFSET($K$49,D746,0))^J746*(1+OFFSET($L$49,D746,0))^K746*(1+OFFSET($M$49,D746,0))^L746</f>
        <v>272.734670866821</v>
      </c>
      <c r="N746" s="67">
        <f ca="1">MAX(MAX($N$62:N745),OFFSET($C$61,MATCH(M746*1.07,$M$62:$M$2061,1),0)-C746)</f>
        <v>28800</v>
      </c>
    </row>
    <row r="747" spans="2:14">
      <c r="B747" s="67">
        <v>686</v>
      </c>
      <c r="C747" s="67">
        <f t="shared" si="72"/>
        <v>246960</v>
      </c>
      <c r="D747" s="67">
        <f t="shared" si="68"/>
        <v>5</v>
      </c>
      <c r="E747" s="67">
        <f ca="1" t="shared" si="69"/>
        <v>716</v>
      </c>
      <c r="F747" s="67">
        <f ca="1" t="shared" si="70"/>
        <v>0</v>
      </c>
      <c r="G747" s="67">
        <f ca="1" t="shared" si="71"/>
        <v>0</v>
      </c>
      <c r="H747" s="67" cm="1">
        <f ca="1" t="array" ref="H747">MIN(30-SUM(I747:L747),_xlfn.XLOOKUP($D747&amp;"_"&amp;H$61,$B$23:$B$45&amp;"_"&amp;$C$23:$C$45,$D$23:$D$45)*$E747,18)</f>
        <v>13.1134271434064</v>
      </c>
      <c r="I747" s="67" cm="1">
        <f ca="1" t="array" ref="I747">MIN(30-SUM(J747:L747),6-L747,_xlfn.XLOOKUP($D747&amp;"_"&amp;I$61,$B$23:$B$45&amp;"_"&amp;$C$23:$C$45,$D$23:$D$45)*$E747)</f>
        <v>1.67014071510957</v>
      </c>
      <c r="J747" s="67" cm="1">
        <f ca="1" t="array" ref="J747">MIN(8,_xlfn.XLOOKUP($D747&amp;"_"&amp;J$61,$B$23:$B$45&amp;"_"&amp;$C$23:$C$45,$D$23:$D$45)*$E747)</f>
        <v>8</v>
      </c>
      <c r="K747" s="67" cm="1">
        <f ca="1" t="array" ref="K747">MIN(18,_xlfn.XLOOKUP($D747&amp;"_"&amp;K$61,$B$23:$B$45&amp;"_"&amp;$C$23:$C$45,$D$23:$D$45)*$E747)</f>
        <v>2.88657285659362</v>
      </c>
      <c r="L747" s="67" cm="1">
        <f ca="1" t="array" ref="L747">MIN(6,_xlfn.XLOOKUP($D747&amp;"_"&amp;L$61,$B$23:$B$45&amp;"_"&amp;$C$23:$C$45,$D$23:$D$45)*$E747)</f>
        <v>4.32985928489043</v>
      </c>
      <c r="M747" s="67" cm="1">
        <f ca="1" t="array" ref="M747">(1+SUMPRODUCT(G747:H747,OFFSET($H$49:$I$49,D747,0)))*(1+OFFSET($J$49,D747,0))^I747*(1+OFFSET($K$49,D747,0))^J747*(1+OFFSET($L$49,D747,0))^K747*(1+OFFSET($M$49,D747,0))^L747</f>
        <v>272.964408420111</v>
      </c>
      <c r="N747" s="67">
        <f ca="1">MAX(MAX($N$62:N746),OFFSET($C$61,MATCH(M747*1.07,$M$62:$M$2061,1),0)-C747)</f>
        <v>28800</v>
      </c>
    </row>
    <row r="748" spans="2:14">
      <c r="B748" s="67">
        <v>687</v>
      </c>
      <c r="C748" s="67">
        <f t="shared" si="72"/>
        <v>247320</v>
      </c>
      <c r="D748" s="67">
        <f t="shared" si="68"/>
        <v>5</v>
      </c>
      <c r="E748" s="67">
        <f ca="1" t="shared" si="69"/>
        <v>717</v>
      </c>
      <c r="F748" s="67">
        <f ca="1" t="shared" si="70"/>
        <v>0</v>
      </c>
      <c r="G748" s="67">
        <f ca="1" t="shared" si="71"/>
        <v>0</v>
      </c>
      <c r="H748" s="67" cm="1">
        <f ca="1" t="array" ref="H748">MIN(30-SUM(I748:L748),_xlfn.XLOOKUP($D748&amp;"_"&amp;H$61,$B$23:$B$45&amp;"_"&amp;$C$23:$C$45,$D$23:$D$45)*$E748,18)</f>
        <v>13.1093956170704</v>
      </c>
      <c r="I748" s="67" cm="1">
        <f ca="1" t="array" ref="I748">MIN(30-SUM(J748:L748),6-L748,_xlfn.XLOOKUP($D748&amp;"_"&amp;I$61,$B$23:$B$45&amp;"_"&amp;$C$23:$C$45,$D$23:$D$45)*$E748)</f>
        <v>1.66409342560554</v>
      </c>
      <c r="J748" s="67" cm="1">
        <f ca="1" t="array" ref="J748">MIN(8,_xlfn.XLOOKUP($D748&amp;"_"&amp;J$61,$B$23:$B$45&amp;"_"&amp;$C$23:$C$45,$D$23:$D$45)*$E748)</f>
        <v>8</v>
      </c>
      <c r="K748" s="67" cm="1">
        <f ca="1" t="array" ref="K748">MIN(18,_xlfn.XLOOKUP($D748&amp;"_"&amp;K$61,$B$23:$B$45&amp;"_"&amp;$C$23:$C$45,$D$23:$D$45)*$E748)</f>
        <v>2.89060438292964</v>
      </c>
      <c r="L748" s="67" cm="1">
        <f ca="1" t="array" ref="L748">MIN(6,_xlfn.XLOOKUP($D748&amp;"_"&amp;L$61,$B$23:$B$45&amp;"_"&amp;$C$23:$C$45,$D$23:$D$45)*$E748)</f>
        <v>4.33590657439446</v>
      </c>
      <c r="M748" s="67" cm="1">
        <f ca="1" t="array" ref="M748">(1+SUMPRODUCT(G748:H748,OFFSET($H$49:$I$49,D748,0)))*(1+OFFSET($J$49,D748,0))^I748*(1+OFFSET($K$49,D748,0))^J748*(1+OFFSET($L$49,D748,0))^K748*(1+OFFSET($M$49,D748,0))^L748</f>
        <v>273.194325958931</v>
      </c>
      <c r="N748" s="67">
        <f ca="1">MAX(MAX($N$62:N747),OFFSET($C$61,MATCH(M748*1.07,$M$62:$M$2061,1),0)-C748)</f>
        <v>28800</v>
      </c>
    </row>
    <row r="749" spans="2:14">
      <c r="B749" s="67">
        <v>688</v>
      </c>
      <c r="C749" s="67">
        <f t="shared" si="72"/>
        <v>247680</v>
      </c>
      <c r="D749" s="67">
        <f t="shared" si="68"/>
        <v>5</v>
      </c>
      <c r="E749" s="67">
        <f ca="1" t="shared" si="69"/>
        <v>718</v>
      </c>
      <c r="F749" s="67">
        <f ca="1" t="shared" si="70"/>
        <v>0</v>
      </c>
      <c r="G749" s="67">
        <f ca="1" t="shared" si="71"/>
        <v>0</v>
      </c>
      <c r="H749" s="67" cm="1">
        <f ca="1" t="array" ref="H749">MIN(30-SUM(I749:L749),_xlfn.XLOOKUP($D749&amp;"_"&amp;H$61,$B$23:$B$45&amp;"_"&amp;$C$23:$C$45,$D$23:$D$45)*$E749,18)</f>
        <v>13.1053640907343</v>
      </c>
      <c r="I749" s="67" cm="1">
        <f ca="1" t="array" ref="I749">MIN(30-SUM(J749:L749),6-L749,_xlfn.XLOOKUP($D749&amp;"_"&amp;I$61,$B$23:$B$45&amp;"_"&amp;$C$23:$C$45,$D$23:$D$45)*$E749)</f>
        <v>1.6580461361015</v>
      </c>
      <c r="J749" s="67" cm="1">
        <f ca="1" t="array" ref="J749">MIN(8,_xlfn.XLOOKUP($D749&amp;"_"&amp;J$61,$B$23:$B$45&amp;"_"&amp;$C$23:$C$45,$D$23:$D$45)*$E749)</f>
        <v>8</v>
      </c>
      <c r="K749" s="67" cm="1">
        <f ca="1" t="array" ref="K749">MIN(18,_xlfn.XLOOKUP($D749&amp;"_"&amp;K$61,$B$23:$B$45&amp;"_"&amp;$C$23:$C$45,$D$23:$D$45)*$E749)</f>
        <v>2.89463590926567</v>
      </c>
      <c r="L749" s="67" cm="1">
        <f ca="1" t="array" ref="L749">MIN(6,_xlfn.XLOOKUP($D749&amp;"_"&amp;L$61,$B$23:$B$45&amp;"_"&amp;$C$23:$C$45,$D$23:$D$45)*$E749)</f>
        <v>4.3419538638985</v>
      </c>
      <c r="M749" s="67" cm="1">
        <f ca="1" t="array" ref="M749">(1+SUMPRODUCT(G749:H749,OFFSET($H$49:$I$49,D749,0)))*(1+OFFSET($J$49,D749,0))^I749*(1+OFFSET($K$49,D749,0))^J749*(1+OFFSET($L$49,D749,0))^K749*(1+OFFSET($M$49,D749,0))^L749</f>
        <v>273.424423606063</v>
      </c>
      <c r="N749" s="67">
        <f ca="1">MAX(MAX($N$62:N748),OFFSET($C$61,MATCH(M749*1.07,$M$62:$M$2061,1),0)-C749)</f>
        <v>28800</v>
      </c>
    </row>
    <row r="750" spans="2:14">
      <c r="B750" s="67">
        <v>689</v>
      </c>
      <c r="C750" s="67">
        <f t="shared" si="72"/>
        <v>248040</v>
      </c>
      <c r="D750" s="67">
        <f t="shared" si="68"/>
        <v>5</v>
      </c>
      <c r="E750" s="67">
        <f ca="1" t="shared" si="69"/>
        <v>719</v>
      </c>
      <c r="F750" s="67">
        <f ca="1" t="shared" si="70"/>
        <v>0</v>
      </c>
      <c r="G750" s="67">
        <f ca="1" t="shared" si="71"/>
        <v>0</v>
      </c>
      <c r="H750" s="67" cm="1">
        <f ca="1" t="array" ref="H750">MIN(30-SUM(I750:L750),_xlfn.XLOOKUP($D750&amp;"_"&amp;H$61,$B$23:$B$45&amp;"_"&amp;$C$23:$C$45,$D$23:$D$45)*$E750,18)</f>
        <v>13.1013325643983</v>
      </c>
      <c r="I750" s="67" cm="1">
        <f ca="1" t="array" ref="I750">MIN(30-SUM(J750:L750),6-L750,_xlfn.XLOOKUP($D750&amp;"_"&amp;I$61,$B$23:$B$45&amp;"_"&amp;$C$23:$C$45,$D$23:$D$45)*$E750)</f>
        <v>1.65199884659746</v>
      </c>
      <c r="J750" s="67" cm="1">
        <f ca="1" t="array" ref="J750">MIN(8,_xlfn.XLOOKUP($D750&amp;"_"&amp;J$61,$B$23:$B$45&amp;"_"&amp;$C$23:$C$45,$D$23:$D$45)*$E750)</f>
        <v>8</v>
      </c>
      <c r="K750" s="67" cm="1">
        <f ca="1" t="array" ref="K750">MIN(18,_xlfn.XLOOKUP($D750&amp;"_"&amp;K$61,$B$23:$B$45&amp;"_"&amp;$C$23:$C$45,$D$23:$D$45)*$E750)</f>
        <v>2.89866743560169</v>
      </c>
      <c r="L750" s="67" cm="1">
        <f ca="1" t="array" ref="L750">MIN(6,_xlfn.XLOOKUP($D750&amp;"_"&amp;L$61,$B$23:$B$45&amp;"_"&amp;$C$23:$C$45,$D$23:$D$45)*$E750)</f>
        <v>4.34800115340254</v>
      </c>
      <c r="M750" s="67" cm="1">
        <f ca="1" t="array" ref="M750">(1+SUMPRODUCT(G750:H750,OFFSET($H$49:$I$49,D750,0)))*(1+OFFSET($J$49,D750,0))^I750*(1+OFFSET($K$49,D750,0))^J750*(1+OFFSET($L$49,D750,0))^K750*(1+OFFSET($M$49,D750,0))^L750</f>
        <v>273.654701484346</v>
      </c>
      <c r="N750" s="67">
        <f ca="1">MAX(MAX($N$62:N749),OFFSET($C$61,MATCH(M750*1.07,$M$62:$M$2061,1),0)-C750)</f>
        <v>28800</v>
      </c>
    </row>
    <row r="751" spans="2:14">
      <c r="B751" s="67">
        <v>690</v>
      </c>
      <c r="C751" s="67">
        <f t="shared" si="72"/>
        <v>248400</v>
      </c>
      <c r="D751" s="67">
        <f t="shared" si="68"/>
        <v>5</v>
      </c>
      <c r="E751" s="67">
        <f ca="1" t="shared" si="69"/>
        <v>720</v>
      </c>
      <c r="F751" s="67">
        <f ca="1" t="shared" si="70"/>
        <v>0</v>
      </c>
      <c r="G751" s="67">
        <f ca="1" t="shared" si="71"/>
        <v>0</v>
      </c>
      <c r="H751" s="67" cm="1">
        <f ca="1" t="array" ref="H751">MIN(30-SUM(I751:L751),_xlfn.XLOOKUP($D751&amp;"_"&amp;H$61,$B$23:$B$45&amp;"_"&amp;$C$23:$C$45,$D$23:$D$45)*$E751,18)</f>
        <v>13.0973010380623</v>
      </c>
      <c r="I751" s="67" cm="1">
        <f ca="1" t="array" ref="I751">MIN(30-SUM(J751:L751),6-L751,_xlfn.XLOOKUP($D751&amp;"_"&amp;I$61,$B$23:$B$45&amp;"_"&amp;$C$23:$C$45,$D$23:$D$45)*$E751)</f>
        <v>1.64595155709342</v>
      </c>
      <c r="J751" s="67" cm="1">
        <f ca="1" t="array" ref="J751">MIN(8,_xlfn.XLOOKUP($D751&amp;"_"&amp;J$61,$B$23:$B$45&amp;"_"&amp;$C$23:$C$45,$D$23:$D$45)*$E751)</f>
        <v>8</v>
      </c>
      <c r="K751" s="67" cm="1">
        <f ca="1" t="array" ref="K751">MIN(18,_xlfn.XLOOKUP($D751&amp;"_"&amp;K$61,$B$23:$B$45&amp;"_"&amp;$C$23:$C$45,$D$23:$D$45)*$E751)</f>
        <v>2.90269896193772</v>
      </c>
      <c r="L751" s="67" cm="1">
        <f ca="1" t="array" ref="L751">MIN(6,_xlfn.XLOOKUP($D751&amp;"_"&amp;L$61,$B$23:$B$45&amp;"_"&amp;$C$23:$C$45,$D$23:$D$45)*$E751)</f>
        <v>4.35404844290658</v>
      </c>
      <c r="M751" s="67" cm="1">
        <f ca="1" t="array" ref="M751">(1+SUMPRODUCT(G751:H751,OFFSET($H$49:$I$49,D751,0)))*(1+OFFSET($J$49,D751,0))^I751*(1+OFFSET($K$49,D751,0))^J751*(1+OFFSET($L$49,D751,0))^K751*(1+OFFSET($M$49,D751,0))^L751</f>
        <v>273.885159716676</v>
      </c>
      <c r="N751" s="67">
        <f ca="1">MAX(MAX($N$62:N750),OFFSET($C$61,MATCH(M751*1.07,$M$62:$M$2061,1),0)-C751)</f>
        <v>28800</v>
      </c>
    </row>
    <row r="752" spans="2:14">
      <c r="B752" s="67">
        <v>691</v>
      </c>
      <c r="C752" s="67">
        <f t="shared" si="72"/>
        <v>248760</v>
      </c>
      <c r="D752" s="67">
        <f t="shared" si="68"/>
        <v>5</v>
      </c>
      <c r="E752" s="67">
        <f ca="1" t="shared" si="69"/>
        <v>721</v>
      </c>
      <c r="F752" s="67">
        <f ca="1" t="shared" si="70"/>
        <v>0</v>
      </c>
      <c r="G752" s="67">
        <f ca="1" t="shared" si="71"/>
        <v>0</v>
      </c>
      <c r="H752" s="67" cm="1">
        <f ca="1" t="array" ref="H752">MIN(30-SUM(I752:L752),_xlfn.XLOOKUP($D752&amp;"_"&amp;H$61,$B$23:$B$45&amp;"_"&amp;$C$23:$C$45,$D$23:$D$45)*$E752,18)</f>
        <v>13.0932695117263</v>
      </c>
      <c r="I752" s="67" cm="1">
        <f ca="1" t="array" ref="I752">MIN(30-SUM(J752:L752),6-L752,_xlfn.XLOOKUP($D752&amp;"_"&amp;I$61,$B$23:$B$45&amp;"_"&amp;$C$23:$C$45,$D$23:$D$45)*$E752)</f>
        <v>1.63990426758939</v>
      </c>
      <c r="J752" s="67" cm="1">
        <f ca="1" t="array" ref="J752">MIN(8,_xlfn.XLOOKUP($D752&amp;"_"&amp;J$61,$B$23:$B$45&amp;"_"&amp;$C$23:$C$45,$D$23:$D$45)*$E752)</f>
        <v>8</v>
      </c>
      <c r="K752" s="67" cm="1">
        <f ca="1" t="array" ref="K752">MIN(18,_xlfn.XLOOKUP($D752&amp;"_"&amp;K$61,$B$23:$B$45&amp;"_"&amp;$C$23:$C$45,$D$23:$D$45)*$E752)</f>
        <v>2.90673048827374</v>
      </c>
      <c r="L752" s="67" cm="1">
        <f ca="1" t="array" ref="L752">MIN(6,_xlfn.XLOOKUP($D752&amp;"_"&amp;L$61,$B$23:$B$45&amp;"_"&amp;$C$23:$C$45,$D$23:$D$45)*$E752)</f>
        <v>4.36009573241061</v>
      </c>
      <c r="M752" s="67" cm="1">
        <f ca="1" t="array" ref="M752">(1+SUMPRODUCT(G752:H752,OFFSET($H$49:$I$49,D752,0)))*(1+OFFSET($J$49,D752,0))^I752*(1+OFFSET($K$49,D752,0))^J752*(1+OFFSET($L$49,D752,0))^K752*(1+OFFSET($M$49,D752,0))^L752</f>
        <v>274.115798426007</v>
      </c>
      <c r="N752" s="67">
        <f ca="1">MAX(MAX($N$62:N751),OFFSET($C$61,MATCH(M752*1.07,$M$62:$M$2061,1),0)-C752)</f>
        <v>28800</v>
      </c>
    </row>
    <row r="753" spans="2:14">
      <c r="B753" s="67">
        <v>692</v>
      </c>
      <c r="C753" s="67">
        <f t="shared" si="72"/>
        <v>249120</v>
      </c>
      <c r="D753" s="67">
        <f t="shared" si="68"/>
        <v>5</v>
      </c>
      <c r="E753" s="67">
        <f ca="1" t="shared" si="69"/>
        <v>722</v>
      </c>
      <c r="F753" s="67">
        <f ca="1" t="shared" si="70"/>
        <v>0</v>
      </c>
      <c r="G753" s="67">
        <f ca="1" t="shared" si="71"/>
        <v>0</v>
      </c>
      <c r="H753" s="67" cm="1">
        <f ca="1" t="array" ref="H753">MIN(30-SUM(I753:L753),_xlfn.XLOOKUP($D753&amp;"_"&amp;H$61,$B$23:$B$45&amp;"_"&amp;$C$23:$C$45,$D$23:$D$45)*$E753,18)</f>
        <v>13.0892379853902</v>
      </c>
      <c r="I753" s="67" cm="1">
        <f ca="1" t="array" ref="I753">MIN(30-SUM(J753:L753),6-L753,_xlfn.XLOOKUP($D753&amp;"_"&amp;I$61,$B$23:$B$45&amp;"_"&amp;$C$23:$C$45,$D$23:$D$45)*$E753)</f>
        <v>1.63385697808535</v>
      </c>
      <c r="J753" s="67" cm="1">
        <f ca="1" t="array" ref="J753">MIN(8,_xlfn.XLOOKUP($D753&amp;"_"&amp;J$61,$B$23:$B$45&amp;"_"&amp;$C$23:$C$45,$D$23:$D$45)*$E753)</f>
        <v>8</v>
      </c>
      <c r="K753" s="67" cm="1">
        <f ca="1" t="array" ref="K753">MIN(18,_xlfn.XLOOKUP($D753&amp;"_"&amp;K$61,$B$23:$B$45&amp;"_"&amp;$C$23:$C$45,$D$23:$D$45)*$E753)</f>
        <v>2.91076201460977</v>
      </c>
      <c r="L753" s="67" cm="1">
        <f ca="1" t="array" ref="L753">MIN(6,_xlfn.XLOOKUP($D753&amp;"_"&amp;L$61,$B$23:$B$45&amp;"_"&amp;$C$23:$C$45,$D$23:$D$45)*$E753)</f>
        <v>4.36614302191465</v>
      </c>
      <c r="M753" s="67" cm="1">
        <f ca="1" t="array" ref="M753">(1+SUMPRODUCT(G753:H753,OFFSET($H$49:$I$49,D753,0)))*(1+OFFSET($J$49,D753,0))^I753*(1+OFFSET($K$49,D753,0))^J753*(1+OFFSET($L$49,D753,0))^K753*(1+OFFSET($M$49,D753,0))^L753</f>
        <v>274.346617735348</v>
      </c>
      <c r="N753" s="67">
        <f ca="1">MAX(MAX($N$62:N752),OFFSET($C$61,MATCH(M753*1.07,$M$62:$M$2061,1),0)-C753)</f>
        <v>28800</v>
      </c>
    </row>
    <row r="754" spans="2:14">
      <c r="B754" s="67">
        <v>693</v>
      </c>
      <c r="C754" s="67">
        <f t="shared" si="72"/>
        <v>249480</v>
      </c>
      <c r="D754" s="67">
        <f t="shared" si="68"/>
        <v>5</v>
      </c>
      <c r="E754" s="67">
        <f ca="1" t="shared" si="69"/>
        <v>723</v>
      </c>
      <c r="F754" s="67">
        <f ca="1" t="shared" si="70"/>
        <v>0</v>
      </c>
      <c r="G754" s="67">
        <f ca="1" t="shared" si="71"/>
        <v>0</v>
      </c>
      <c r="H754" s="67" cm="1">
        <f ca="1" t="array" ref="H754">MIN(30-SUM(I754:L754),_xlfn.XLOOKUP($D754&amp;"_"&amp;H$61,$B$23:$B$45&amp;"_"&amp;$C$23:$C$45,$D$23:$D$45)*$E754,18)</f>
        <v>13.0852064590542</v>
      </c>
      <c r="I754" s="67" cm="1">
        <f ca="1" t="array" ref="I754">MIN(30-SUM(J754:L754),6-L754,_xlfn.XLOOKUP($D754&amp;"_"&amp;I$61,$B$23:$B$45&amp;"_"&amp;$C$23:$C$45,$D$23:$D$45)*$E754)</f>
        <v>1.62780968858131</v>
      </c>
      <c r="J754" s="67" cm="1">
        <f ca="1" t="array" ref="J754">MIN(8,_xlfn.XLOOKUP($D754&amp;"_"&amp;J$61,$B$23:$B$45&amp;"_"&amp;$C$23:$C$45,$D$23:$D$45)*$E754)</f>
        <v>8</v>
      </c>
      <c r="K754" s="67" cm="1">
        <f ca="1" t="array" ref="K754">MIN(18,_xlfn.XLOOKUP($D754&amp;"_"&amp;K$61,$B$23:$B$45&amp;"_"&amp;$C$23:$C$45,$D$23:$D$45)*$E754)</f>
        <v>2.91479354094579</v>
      </c>
      <c r="L754" s="67" cm="1">
        <f ca="1" t="array" ref="L754">MIN(6,_xlfn.XLOOKUP($D754&amp;"_"&amp;L$61,$B$23:$B$45&amp;"_"&amp;$C$23:$C$45,$D$23:$D$45)*$E754)</f>
        <v>4.37219031141869</v>
      </c>
      <c r="M754" s="67" cm="1">
        <f ca="1" t="array" ref="M754">(1+SUMPRODUCT(G754:H754,OFFSET($H$49:$I$49,D754,0)))*(1+OFFSET($J$49,D754,0))^I754*(1+OFFSET($K$49,D754,0))^J754*(1+OFFSET($L$49,D754,0))^K754*(1+OFFSET($M$49,D754,0))^L754</f>
        <v>274.577617767768</v>
      </c>
      <c r="N754" s="67">
        <f ca="1">MAX(MAX($N$62:N753),OFFSET($C$61,MATCH(M754*1.07,$M$62:$M$2061,1),0)-C754)</f>
        <v>28800</v>
      </c>
    </row>
    <row r="755" spans="2:14">
      <c r="B755" s="67">
        <v>694</v>
      </c>
      <c r="C755" s="67">
        <f t="shared" si="72"/>
        <v>249840</v>
      </c>
      <c r="D755" s="67">
        <f t="shared" si="68"/>
        <v>5</v>
      </c>
      <c r="E755" s="67">
        <f ca="1" t="shared" si="69"/>
        <v>724</v>
      </c>
      <c r="F755" s="67">
        <f ca="1" t="shared" si="70"/>
        <v>0</v>
      </c>
      <c r="G755" s="67">
        <f ca="1" t="shared" si="71"/>
        <v>0</v>
      </c>
      <c r="H755" s="67" cm="1">
        <f ca="1" t="array" ref="H755">MIN(30-SUM(I755:L755),_xlfn.XLOOKUP($D755&amp;"_"&amp;H$61,$B$23:$B$45&amp;"_"&amp;$C$23:$C$45,$D$23:$D$45)*$E755,18)</f>
        <v>13.0811749327182</v>
      </c>
      <c r="I755" s="67" cm="1">
        <f ca="1" t="array" ref="I755">MIN(30-SUM(J755:L755),6-L755,_xlfn.XLOOKUP($D755&amp;"_"&amp;I$61,$B$23:$B$45&amp;"_"&amp;$C$23:$C$45,$D$23:$D$45)*$E755)</f>
        <v>1.62176239907728</v>
      </c>
      <c r="J755" s="67" cm="1">
        <f ca="1" t="array" ref="J755">MIN(8,_xlfn.XLOOKUP($D755&amp;"_"&amp;J$61,$B$23:$B$45&amp;"_"&amp;$C$23:$C$45,$D$23:$D$45)*$E755)</f>
        <v>8</v>
      </c>
      <c r="K755" s="67" cm="1">
        <f ca="1" t="array" ref="K755">MIN(18,_xlfn.XLOOKUP($D755&amp;"_"&amp;K$61,$B$23:$B$45&amp;"_"&amp;$C$23:$C$45,$D$23:$D$45)*$E755)</f>
        <v>2.91882506728182</v>
      </c>
      <c r="L755" s="67" cm="1">
        <f ca="1" t="array" ref="L755">MIN(6,_xlfn.XLOOKUP($D755&amp;"_"&amp;L$61,$B$23:$B$45&amp;"_"&amp;$C$23:$C$45,$D$23:$D$45)*$E755)</f>
        <v>4.37823760092272</v>
      </c>
      <c r="M755" s="67" cm="1">
        <f ca="1" t="array" ref="M755">(1+SUMPRODUCT(G755:H755,OFFSET($H$49:$I$49,D755,0)))*(1+OFFSET($J$49,D755,0))^I755*(1+OFFSET($K$49,D755,0))^J755*(1+OFFSET($L$49,D755,0))^K755*(1+OFFSET($M$49,D755,0))^L755</f>
        <v>274.808798646392</v>
      </c>
      <c r="N755" s="67">
        <f ca="1">MAX(MAX($N$62:N754),OFFSET($C$61,MATCH(M755*1.07,$M$62:$M$2061,1),0)-C755)</f>
        <v>28800</v>
      </c>
    </row>
    <row r="756" spans="2:14">
      <c r="B756" s="67">
        <v>695</v>
      </c>
      <c r="C756" s="67">
        <f t="shared" si="72"/>
        <v>250200</v>
      </c>
      <c r="D756" s="67">
        <f t="shared" si="68"/>
        <v>5</v>
      </c>
      <c r="E756" s="67">
        <f ca="1" t="shared" si="69"/>
        <v>725</v>
      </c>
      <c r="F756" s="67">
        <f ca="1" t="shared" si="70"/>
        <v>0</v>
      </c>
      <c r="G756" s="67">
        <f ca="1" t="shared" si="71"/>
        <v>0</v>
      </c>
      <c r="H756" s="67" cm="1">
        <f ca="1" t="array" ref="H756">MIN(30-SUM(I756:L756),_xlfn.XLOOKUP($D756&amp;"_"&amp;H$61,$B$23:$B$45&amp;"_"&amp;$C$23:$C$45,$D$23:$D$45)*$E756,18)</f>
        <v>13.0771434063822</v>
      </c>
      <c r="I756" s="67" cm="1">
        <f ca="1" t="array" ref="I756">MIN(30-SUM(J756:L756),6-L756,_xlfn.XLOOKUP($D756&amp;"_"&amp;I$61,$B$23:$B$45&amp;"_"&amp;$C$23:$C$45,$D$23:$D$45)*$E756)</f>
        <v>1.61571510957324</v>
      </c>
      <c r="J756" s="67" cm="1">
        <f ca="1" t="array" ref="J756">MIN(8,_xlfn.XLOOKUP($D756&amp;"_"&amp;J$61,$B$23:$B$45&amp;"_"&amp;$C$23:$C$45,$D$23:$D$45)*$E756)</f>
        <v>8</v>
      </c>
      <c r="K756" s="67" cm="1">
        <f ca="1" t="array" ref="K756">MIN(18,_xlfn.XLOOKUP($D756&amp;"_"&amp;K$61,$B$23:$B$45&amp;"_"&amp;$C$23:$C$45,$D$23:$D$45)*$E756)</f>
        <v>2.92285659361784</v>
      </c>
      <c r="L756" s="67" cm="1">
        <f ca="1" t="array" ref="L756">MIN(6,_xlfn.XLOOKUP($D756&amp;"_"&amp;L$61,$B$23:$B$45&amp;"_"&amp;$C$23:$C$45,$D$23:$D$45)*$E756)</f>
        <v>4.38428489042676</v>
      </c>
      <c r="M756" s="67" cm="1">
        <f ca="1" t="array" ref="M756">(1+SUMPRODUCT(G756:H756,OFFSET($H$49:$I$49,D756,0)))*(1+OFFSET($J$49,D756,0))^I756*(1+OFFSET($K$49,D756,0))^J756*(1+OFFSET($L$49,D756,0))^K756*(1+OFFSET($M$49,D756,0))^L756</f>
        <v>275.040160494403</v>
      </c>
      <c r="N756" s="67">
        <f ca="1">MAX(MAX($N$62:N755),OFFSET($C$61,MATCH(M756*1.07,$M$62:$M$2061,1),0)-C756)</f>
        <v>28800</v>
      </c>
    </row>
    <row r="757" spans="2:14">
      <c r="B757" s="67">
        <v>696</v>
      </c>
      <c r="C757" s="67">
        <f t="shared" si="72"/>
        <v>250560</v>
      </c>
      <c r="D757" s="67">
        <f t="shared" si="68"/>
        <v>5</v>
      </c>
      <c r="E757" s="67">
        <f ca="1" t="shared" si="69"/>
        <v>726</v>
      </c>
      <c r="F757" s="67">
        <f ca="1" t="shared" si="70"/>
        <v>0</v>
      </c>
      <c r="G757" s="67">
        <f ca="1" t="shared" si="71"/>
        <v>0</v>
      </c>
      <c r="H757" s="67" cm="1">
        <f ca="1" t="array" ref="H757">MIN(30-SUM(I757:L757),_xlfn.XLOOKUP($D757&amp;"_"&amp;H$61,$B$23:$B$45&amp;"_"&amp;$C$23:$C$45,$D$23:$D$45)*$E757,18)</f>
        <v>13.0731118800461</v>
      </c>
      <c r="I757" s="67" cm="1">
        <f ca="1" t="array" ref="I757">MIN(30-SUM(J757:L757),6-L757,_xlfn.XLOOKUP($D757&amp;"_"&amp;I$61,$B$23:$B$45&amp;"_"&amp;$C$23:$C$45,$D$23:$D$45)*$E757)</f>
        <v>1.6096678200692</v>
      </c>
      <c r="J757" s="67" cm="1">
        <f ca="1" t="array" ref="J757">MIN(8,_xlfn.XLOOKUP($D757&amp;"_"&amp;J$61,$B$23:$B$45&amp;"_"&amp;$C$23:$C$45,$D$23:$D$45)*$E757)</f>
        <v>8</v>
      </c>
      <c r="K757" s="67" cm="1">
        <f ca="1" t="array" ref="K757">MIN(18,_xlfn.XLOOKUP($D757&amp;"_"&amp;K$61,$B$23:$B$45&amp;"_"&amp;$C$23:$C$45,$D$23:$D$45)*$E757)</f>
        <v>2.92688811995387</v>
      </c>
      <c r="L757" s="67" cm="1">
        <f ca="1" t="array" ref="L757">MIN(6,_xlfn.XLOOKUP($D757&amp;"_"&amp;L$61,$B$23:$B$45&amp;"_"&amp;$C$23:$C$45,$D$23:$D$45)*$E757)</f>
        <v>4.3903321799308</v>
      </c>
      <c r="M757" s="67" cm="1">
        <f ca="1" t="array" ref="M757">(1+SUMPRODUCT(G757:H757,OFFSET($H$49:$I$49,D757,0)))*(1+OFFSET($J$49,D757,0))^I757*(1+OFFSET($K$49,D757,0))^J757*(1+OFFSET($L$49,D757,0))^K757*(1+OFFSET($M$49,D757,0))^L757</f>
        <v>275.271703435039</v>
      </c>
      <c r="N757" s="67">
        <f ca="1">MAX(MAX($N$62:N756),OFFSET($C$61,MATCH(M757*1.07,$M$62:$M$2061,1),0)-C757)</f>
        <v>28800</v>
      </c>
    </row>
    <row r="758" spans="2:14">
      <c r="B758" s="67">
        <v>697</v>
      </c>
      <c r="C758" s="67">
        <f t="shared" si="72"/>
        <v>250920</v>
      </c>
      <c r="D758" s="67">
        <f t="shared" si="68"/>
        <v>5</v>
      </c>
      <c r="E758" s="67">
        <f ca="1" t="shared" si="69"/>
        <v>727</v>
      </c>
      <c r="F758" s="67">
        <f ca="1" t="shared" si="70"/>
        <v>0</v>
      </c>
      <c r="G758" s="67">
        <f ca="1" t="shared" si="71"/>
        <v>0</v>
      </c>
      <c r="H758" s="67" cm="1">
        <f ca="1" t="array" ref="H758">MIN(30-SUM(I758:L758),_xlfn.XLOOKUP($D758&amp;"_"&amp;H$61,$B$23:$B$45&amp;"_"&amp;$C$23:$C$45,$D$23:$D$45)*$E758,18)</f>
        <v>13.0690803537101</v>
      </c>
      <c r="I758" s="67" cm="1">
        <f ca="1" t="array" ref="I758">MIN(30-SUM(J758:L758),6-L758,_xlfn.XLOOKUP($D758&amp;"_"&amp;I$61,$B$23:$B$45&amp;"_"&amp;$C$23:$C$45,$D$23:$D$45)*$E758)</f>
        <v>1.60362053056517</v>
      </c>
      <c r="J758" s="67" cm="1">
        <f ca="1" t="array" ref="J758">MIN(8,_xlfn.XLOOKUP($D758&amp;"_"&amp;J$61,$B$23:$B$45&amp;"_"&amp;$C$23:$C$45,$D$23:$D$45)*$E758)</f>
        <v>8</v>
      </c>
      <c r="K758" s="67" cm="1">
        <f ca="1" t="array" ref="K758">MIN(18,_xlfn.XLOOKUP($D758&amp;"_"&amp;K$61,$B$23:$B$45&amp;"_"&amp;$C$23:$C$45,$D$23:$D$45)*$E758)</f>
        <v>2.93091964628989</v>
      </c>
      <c r="L758" s="67" cm="1">
        <f ca="1" t="array" ref="L758">MIN(6,_xlfn.XLOOKUP($D758&amp;"_"&amp;L$61,$B$23:$B$45&amp;"_"&amp;$C$23:$C$45,$D$23:$D$45)*$E758)</f>
        <v>4.39637946943483</v>
      </c>
      <c r="M758" s="67" cm="1">
        <f ca="1" t="array" ref="M758">(1+SUMPRODUCT(G758:H758,OFFSET($H$49:$I$49,D758,0)))*(1+OFFSET($J$49,D758,0))^I758*(1+OFFSET($K$49,D758,0))^J758*(1+OFFSET($L$49,D758,0))^K758*(1+OFFSET($M$49,D758,0))^L758</f>
        <v>275.503427591599</v>
      </c>
      <c r="N758" s="67">
        <f ca="1">MAX(MAX($N$62:N757),OFFSET($C$61,MATCH(M758*1.07,$M$62:$M$2061,1),0)-C758)</f>
        <v>28800</v>
      </c>
    </row>
    <row r="759" spans="2:14">
      <c r="B759" s="67">
        <v>698</v>
      </c>
      <c r="C759" s="67">
        <f t="shared" ref="C759:C784" si="73">C758+360</f>
        <v>251280</v>
      </c>
      <c r="D759" s="67">
        <f t="shared" si="68"/>
        <v>5</v>
      </c>
      <c r="E759" s="67">
        <f ca="1" t="shared" si="69"/>
        <v>728</v>
      </c>
      <c r="F759" s="67">
        <f ca="1" t="shared" si="70"/>
        <v>0</v>
      </c>
      <c r="G759" s="67">
        <f ca="1" t="shared" si="71"/>
        <v>0</v>
      </c>
      <c r="H759" s="67" cm="1">
        <f ca="1" t="array" ref="H759">MIN(30-SUM(I759:L759),_xlfn.XLOOKUP($D759&amp;"_"&amp;H$61,$B$23:$B$45&amp;"_"&amp;$C$23:$C$45,$D$23:$D$45)*$E759,18)</f>
        <v>13.0650488273741</v>
      </c>
      <c r="I759" s="67" cm="1">
        <f ca="1" t="array" ref="I759">MIN(30-SUM(J759:L759),6-L759,_xlfn.XLOOKUP($D759&amp;"_"&amp;I$61,$B$23:$B$45&amp;"_"&amp;$C$23:$C$45,$D$23:$D$45)*$E759)</f>
        <v>1.59757324106113</v>
      </c>
      <c r="J759" s="67" cm="1">
        <f ca="1" t="array" ref="J759">MIN(8,_xlfn.XLOOKUP($D759&amp;"_"&amp;J$61,$B$23:$B$45&amp;"_"&amp;$C$23:$C$45,$D$23:$D$45)*$E759)</f>
        <v>8</v>
      </c>
      <c r="K759" s="67" cm="1">
        <f ca="1" t="array" ref="K759">MIN(18,_xlfn.XLOOKUP($D759&amp;"_"&amp;K$61,$B$23:$B$45&amp;"_"&amp;$C$23:$C$45,$D$23:$D$45)*$E759)</f>
        <v>2.93495117262592</v>
      </c>
      <c r="L759" s="67" cm="1">
        <f ca="1" t="array" ref="L759">MIN(6,_xlfn.XLOOKUP($D759&amp;"_"&amp;L$61,$B$23:$B$45&amp;"_"&amp;$C$23:$C$45,$D$23:$D$45)*$E759)</f>
        <v>4.40242675893887</v>
      </c>
      <c r="M759" s="67" cm="1">
        <f ca="1" t="array" ref="M759">(1+SUMPRODUCT(G759:H759,OFFSET($H$49:$I$49,D759,0)))*(1+OFFSET($J$49,D759,0))^I759*(1+OFFSET($K$49,D759,0))^J759*(1+OFFSET($L$49,D759,0))^K759*(1+OFFSET($M$49,D759,0))^L759</f>
        <v>275.735333087437</v>
      </c>
      <c r="N759" s="67">
        <f ca="1">MAX(MAX($N$62:N758),OFFSET($C$61,MATCH(M759*1.07,$M$62:$M$2061,1),0)-C759)</f>
        <v>28800</v>
      </c>
    </row>
    <row r="760" spans="2:14">
      <c r="B760" s="67">
        <v>699</v>
      </c>
      <c r="C760" s="67">
        <f t="shared" si="73"/>
        <v>251640</v>
      </c>
      <c r="D760" s="67">
        <f t="shared" si="68"/>
        <v>5</v>
      </c>
      <c r="E760" s="67">
        <f ca="1" t="shared" si="69"/>
        <v>729</v>
      </c>
      <c r="F760" s="67">
        <f ca="1" t="shared" si="70"/>
        <v>0</v>
      </c>
      <c r="G760" s="67">
        <f ca="1" t="shared" si="71"/>
        <v>0</v>
      </c>
      <c r="H760" s="67" cm="1">
        <f ca="1" t="array" ref="H760">MIN(30-SUM(I760:L760),_xlfn.XLOOKUP($D760&amp;"_"&amp;H$61,$B$23:$B$45&amp;"_"&amp;$C$23:$C$45,$D$23:$D$45)*$E760,18)</f>
        <v>13.0610173010381</v>
      </c>
      <c r="I760" s="67" cm="1">
        <f ca="1" t="array" ref="I760">MIN(30-SUM(J760:L760),6-L760,_xlfn.XLOOKUP($D760&amp;"_"&amp;I$61,$B$23:$B$45&amp;"_"&amp;$C$23:$C$45,$D$23:$D$45)*$E760)</f>
        <v>1.59152595155709</v>
      </c>
      <c r="J760" s="67" cm="1">
        <f ca="1" t="array" ref="J760">MIN(8,_xlfn.XLOOKUP($D760&amp;"_"&amp;J$61,$B$23:$B$45&amp;"_"&amp;$C$23:$C$45,$D$23:$D$45)*$E760)</f>
        <v>8</v>
      </c>
      <c r="K760" s="67" cm="1">
        <f ca="1" t="array" ref="K760">MIN(18,_xlfn.XLOOKUP($D760&amp;"_"&amp;K$61,$B$23:$B$45&amp;"_"&amp;$C$23:$C$45,$D$23:$D$45)*$E760)</f>
        <v>2.93898269896194</v>
      </c>
      <c r="L760" s="67" cm="1">
        <f ca="1" t="array" ref="L760">MIN(6,_xlfn.XLOOKUP($D760&amp;"_"&amp;L$61,$B$23:$B$45&amp;"_"&amp;$C$23:$C$45,$D$23:$D$45)*$E760)</f>
        <v>4.40847404844291</v>
      </c>
      <c r="M760" s="67" cm="1">
        <f ca="1" t="array" ref="M760">(1+SUMPRODUCT(G760:H760,OFFSET($H$49:$I$49,D760,0)))*(1+OFFSET($J$49,D760,0))^I760*(1+OFFSET($K$49,D760,0))^J760*(1+OFFSET($L$49,D760,0))^K760*(1+OFFSET($M$49,D760,0))^L760</f>
        <v>275.967420045963</v>
      </c>
      <c r="N760" s="67">
        <f ca="1">MAX(MAX($N$62:N759),OFFSET($C$61,MATCH(M760*1.07,$M$62:$M$2061,1),0)-C760)</f>
        <v>28800</v>
      </c>
    </row>
    <row r="761" spans="2:14">
      <c r="B761" s="67">
        <v>700</v>
      </c>
      <c r="C761" s="67">
        <f t="shared" si="73"/>
        <v>252000</v>
      </c>
      <c r="D761" s="67">
        <f t="shared" si="68"/>
        <v>5</v>
      </c>
      <c r="E761" s="67">
        <f ca="1" t="shared" si="69"/>
        <v>730</v>
      </c>
      <c r="F761" s="67">
        <f ca="1" t="shared" si="70"/>
        <v>0</v>
      </c>
      <c r="G761" s="67">
        <f ca="1" t="shared" si="71"/>
        <v>0</v>
      </c>
      <c r="H761" s="67" cm="1">
        <f ca="1" t="array" ref="H761">MIN(30-SUM(I761:L761),_xlfn.XLOOKUP($D761&amp;"_"&amp;H$61,$B$23:$B$45&amp;"_"&amp;$C$23:$C$45,$D$23:$D$45)*$E761,18)</f>
        <v>13.056985774702</v>
      </c>
      <c r="I761" s="67" cm="1">
        <f ca="1" t="array" ref="I761">MIN(30-SUM(J761:L761),6-L761,_xlfn.XLOOKUP($D761&amp;"_"&amp;I$61,$B$23:$B$45&amp;"_"&amp;$C$23:$C$45,$D$23:$D$45)*$E761)</f>
        <v>1.58547866205306</v>
      </c>
      <c r="J761" s="67" cm="1">
        <f ca="1" t="array" ref="J761">MIN(8,_xlfn.XLOOKUP($D761&amp;"_"&amp;J$61,$B$23:$B$45&amp;"_"&amp;$C$23:$C$45,$D$23:$D$45)*$E761)</f>
        <v>8</v>
      </c>
      <c r="K761" s="67" cm="1">
        <f ca="1" t="array" ref="K761">MIN(18,_xlfn.XLOOKUP($D761&amp;"_"&amp;K$61,$B$23:$B$45&amp;"_"&amp;$C$23:$C$45,$D$23:$D$45)*$E761)</f>
        <v>2.94301422529796</v>
      </c>
      <c r="L761" s="67" cm="1">
        <f ca="1" t="array" ref="L761">MIN(6,_xlfn.XLOOKUP($D761&amp;"_"&amp;L$61,$B$23:$B$45&amp;"_"&amp;$C$23:$C$45,$D$23:$D$45)*$E761)</f>
        <v>4.41452133794694</v>
      </c>
      <c r="M761" s="67" cm="1">
        <f ca="1" t="array" ref="M761">(1+SUMPRODUCT(G761:H761,OFFSET($H$49:$I$49,D761,0)))*(1+OFFSET($J$49,D761,0))^I761*(1+OFFSET($K$49,D761,0))^J761*(1+OFFSET($L$49,D761,0))^K761*(1+OFFSET($M$49,D761,0))^L761</f>
        <v>276.199688590646</v>
      </c>
      <c r="N761" s="67">
        <f ca="1">MAX(MAX($N$62:N760),OFFSET($C$61,MATCH(M761*1.07,$M$62:$M$2061,1),0)-C761)</f>
        <v>28800</v>
      </c>
    </row>
    <row r="762" spans="2:14">
      <c r="B762" s="67">
        <v>701</v>
      </c>
      <c r="C762" s="67">
        <f t="shared" si="73"/>
        <v>252360</v>
      </c>
      <c r="D762" s="67">
        <f t="shared" si="68"/>
        <v>5</v>
      </c>
      <c r="E762" s="67">
        <f ca="1" t="shared" si="69"/>
        <v>731</v>
      </c>
      <c r="F762" s="67">
        <f ca="1" t="shared" si="70"/>
        <v>0</v>
      </c>
      <c r="G762" s="67">
        <f ca="1" t="shared" si="71"/>
        <v>0</v>
      </c>
      <c r="H762" s="67" cm="1">
        <f ca="1" t="array" ref="H762">MIN(30-SUM(I762:L762),_xlfn.XLOOKUP($D762&amp;"_"&amp;H$61,$B$23:$B$45&amp;"_"&amp;$C$23:$C$45,$D$23:$D$45)*$E762,18)</f>
        <v>13.052954248366</v>
      </c>
      <c r="I762" s="67" cm="1">
        <f ca="1" t="array" ref="I762">MIN(30-SUM(J762:L762),6-L762,_xlfn.XLOOKUP($D762&amp;"_"&amp;I$61,$B$23:$B$45&amp;"_"&amp;$C$23:$C$45,$D$23:$D$45)*$E762)</f>
        <v>1.57943137254902</v>
      </c>
      <c r="J762" s="67" cm="1">
        <f ca="1" t="array" ref="J762">MIN(8,_xlfn.XLOOKUP($D762&amp;"_"&amp;J$61,$B$23:$B$45&amp;"_"&amp;$C$23:$C$45,$D$23:$D$45)*$E762)</f>
        <v>8</v>
      </c>
      <c r="K762" s="67" cm="1">
        <f ca="1" t="array" ref="K762">MIN(18,_xlfn.XLOOKUP($D762&amp;"_"&amp;K$61,$B$23:$B$45&amp;"_"&amp;$C$23:$C$45,$D$23:$D$45)*$E762)</f>
        <v>2.94704575163399</v>
      </c>
      <c r="L762" s="67" cm="1">
        <f ca="1" t="array" ref="L762">MIN(6,_xlfn.XLOOKUP($D762&amp;"_"&amp;L$61,$B$23:$B$45&amp;"_"&amp;$C$23:$C$45,$D$23:$D$45)*$E762)</f>
        <v>4.42056862745098</v>
      </c>
      <c r="M762" s="67" cm="1">
        <f ca="1" t="array" ref="M762">(1+SUMPRODUCT(G762:H762,OFFSET($H$49:$I$49,D762,0)))*(1+OFFSET($J$49,D762,0))^I762*(1+OFFSET($K$49,D762,0))^J762*(1+OFFSET($L$49,D762,0))^K762*(1+OFFSET($M$49,D762,0))^L762</f>
        <v>276.432138845012</v>
      </c>
      <c r="N762" s="67">
        <f ca="1">MAX(MAX($N$62:N761),OFFSET($C$61,MATCH(M762*1.07,$M$62:$M$2061,1),0)-C762)</f>
        <v>28800</v>
      </c>
    </row>
    <row r="763" spans="2:14">
      <c r="B763" s="67">
        <v>702</v>
      </c>
      <c r="C763" s="67">
        <f t="shared" si="73"/>
        <v>252720</v>
      </c>
      <c r="D763" s="67">
        <f t="shared" si="68"/>
        <v>5</v>
      </c>
      <c r="E763" s="67">
        <f ca="1" t="shared" si="69"/>
        <v>732</v>
      </c>
      <c r="F763" s="67">
        <f ca="1" t="shared" si="70"/>
        <v>0</v>
      </c>
      <c r="G763" s="67">
        <f ca="1" t="shared" si="71"/>
        <v>0</v>
      </c>
      <c r="H763" s="67" cm="1">
        <f ca="1" t="array" ref="H763">MIN(30-SUM(I763:L763),_xlfn.XLOOKUP($D763&amp;"_"&amp;H$61,$B$23:$B$45&amp;"_"&amp;$C$23:$C$45,$D$23:$D$45)*$E763,18)</f>
        <v>13.04892272203</v>
      </c>
      <c r="I763" s="67" cm="1">
        <f ca="1" t="array" ref="I763">MIN(30-SUM(J763:L763),6-L763,_xlfn.XLOOKUP($D763&amp;"_"&amp;I$61,$B$23:$B$45&amp;"_"&amp;$C$23:$C$45,$D$23:$D$45)*$E763)</f>
        <v>1.57338408304498</v>
      </c>
      <c r="J763" s="67" cm="1">
        <f ca="1" t="array" ref="J763">MIN(8,_xlfn.XLOOKUP($D763&amp;"_"&amp;J$61,$B$23:$B$45&amp;"_"&amp;$C$23:$C$45,$D$23:$D$45)*$E763)</f>
        <v>8</v>
      </c>
      <c r="K763" s="67" cm="1">
        <f ca="1" t="array" ref="K763">MIN(18,_xlfn.XLOOKUP($D763&amp;"_"&amp;K$61,$B$23:$B$45&amp;"_"&amp;$C$23:$C$45,$D$23:$D$45)*$E763)</f>
        <v>2.95107727797001</v>
      </c>
      <c r="L763" s="67" cm="1">
        <f ca="1" t="array" ref="L763">MIN(6,_xlfn.XLOOKUP($D763&amp;"_"&amp;L$61,$B$23:$B$45&amp;"_"&amp;$C$23:$C$45,$D$23:$D$45)*$E763)</f>
        <v>4.42661591695502</v>
      </c>
      <c r="M763" s="67" cm="1">
        <f ca="1" t="array" ref="M763">(1+SUMPRODUCT(G763:H763,OFFSET($H$49:$I$49,D763,0)))*(1+OFFSET($J$49,D763,0))^I763*(1+OFFSET($K$49,D763,0))^J763*(1+OFFSET($L$49,D763,0))^K763*(1+OFFSET($M$49,D763,0))^L763</f>
        <v>276.664770932643</v>
      </c>
      <c r="N763" s="67">
        <f ca="1">MAX(MAX($N$62:N762),OFFSET($C$61,MATCH(M763*1.07,$M$62:$M$2061,1),0)-C763)</f>
        <v>28800</v>
      </c>
    </row>
    <row r="764" spans="2:14">
      <c r="B764" s="67">
        <v>703</v>
      </c>
      <c r="C764" s="67">
        <f t="shared" si="73"/>
        <v>253080</v>
      </c>
      <c r="D764" s="67">
        <f t="shared" si="68"/>
        <v>5</v>
      </c>
      <c r="E764" s="67">
        <f ca="1" t="shared" si="69"/>
        <v>733</v>
      </c>
      <c r="F764" s="67">
        <f ca="1" t="shared" si="70"/>
        <v>0</v>
      </c>
      <c r="G764" s="67">
        <f ca="1" t="shared" si="71"/>
        <v>0</v>
      </c>
      <c r="H764" s="67" cm="1">
        <f ca="1" t="array" ref="H764">MIN(30-SUM(I764:L764),_xlfn.XLOOKUP($D764&amp;"_"&amp;H$61,$B$23:$B$45&amp;"_"&amp;$C$23:$C$45,$D$23:$D$45)*$E764,18)</f>
        <v>13.044891195694</v>
      </c>
      <c r="I764" s="67" cm="1">
        <f ca="1" t="array" ref="I764">MIN(30-SUM(J764:L764),6-L764,_xlfn.XLOOKUP($D764&amp;"_"&amp;I$61,$B$23:$B$45&amp;"_"&amp;$C$23:$C$45,$D$23:$D$45)*$E764)</f>
        <v>1.56733679354095</v>
      </c>
      <c r="J764" s="67" cm="1">
        <f ca="1" t="array" ref="J764">MIN(8,_xlfn.XLOOKUP($D764&amp;"_"&amp;J$61,$B$23:$B$45&amp;"_"&amp;$C$23:$C$45,$D$23:$D$45)*$E764)</f>
        <v>8</v>
      </c>
      <c r="K764" s="67" cm="1">
        <f ca="1" t="array" ref="K764">MIN(18,_xlfn.XLOOKUP($D764&amp;"_"&amp;K$61,$B$23:$B$45&amp;"_"&amp;$C$23:$C$45,$D$23:$D$45)*$E764)</f>
        <v>2.95510880430604</v>
      </c>
      <c r="L764" s="67" cm="1">
        <f ca="1" t="array" ref="L764">MIN(6,_xlfn.XLOOKUP($D764&amp;"_"&amp;L$61,$B$23:$B$45&amp;"_"&amp;$C$23:$C$45,$D$23:$D$45)*$E764)</f>
        <v>4.43266320645905</v>
      </c>
      <c r="M764" s="67" cm="1">
        <f ca="1" t="array" ref="M764">(1+SUMPRODUCT(G764:H764,OFFSET($H$49:$I$49,D764,0)))*(1+OFFSET($J$49,D764,0))^I764*(1+OFFSET($K$49,D764,0))^J764*(1+OFFSET($L$49,D764,0))^K764*(1+OFFSET($M$49,D764,0))^L764</f>
        <v>276.897584977181</v>
      </c>
      <c r="N764" s="67">
        <f ca="1">MAX(MAX($N$62:N763),OFFSET($C$61,MATCH(M764*1.07,$M$62:$M$2061,1),0)-C764)</f>
        <v>28800</v>
      </c>
    </row>
    <row r="765" spans="2:14">
      <c r="B765" s="67">
        <v>704</v>
      </c>
      <c r="C765" s="67">
        <f t="shared" si="73"/>
        <v>253440</v>
      </c>
      <c r="D765" s="67">
        <f t="shared" si="68"/>
        <v>5</v>
      </c>
      <c r="E765" s="67">
        <f ca="1" t="shared" si="69"/>
        <v>734</v>
      </c>
      <c r="F765" s="67">
        <f ca="1" t="shared" si="70"/>
        <v>0</v>
      </c>
      <c r="G765" s="67">
        <f ca="1" t="shared" si="71"/>
        <v>0</v>
      </c>
      <c r="H765" s="67" cm="1">
        <f ca="1" t="array" ref="H765">MIN(30-SUM(I765:L765),_xlfn.XLOOKUP($D765&amp;"_"&amp;H$61,$B$23:$B$45&amp;"_"&amp;$C$23:$C$45,$D$23:$D$45)*$E765,18)</f>
        <v>13.0408596693579</v>
      </c>
      <c r="I765" s="67" cm="1">
        <f ca="1" t="array" ref="I765">MIN(30-SUM(J765:L765),6-L765,_xlfn.XLOOKUP($D765&amp;"_"&amp;I$61,$B$23:$B$45&amp;"_"&amp;$C$23:$C$45,$D$23:$D$45)*$E765)</f>
        <v>1.56128950403691</v>
      </c>
      <c r="J765" s="67" cm="1">
        <f ca="1" t="array" ref="J765">MIN(8,_xlfn.XLOOKUP($D765&amp;"_"&amp;J$61,$B$23:$B$45&amp;"_"&amp;$C$23:$C$45,$D$23:$D$45)*$E765)</f>
        <v>8</v>
      </c>
      <c r="K765" s="67" cm="1">
        <f ca="1" t="array" ref="K765">MIN(18,_xlfn.XLOOKUP($D765&amp;"_"&amp;K$61,$B$23:$B$45&amp;"_"&amp;$C$23:$C$45,$D$23:$D$45)*$E765)</f>
        <v>2.95914033064206</v>
      </c>
      <c r="L765" s="67" cm="1">
        <f ca="1" t="array" ref="L765">MIN(6,_xlfn.XLOOKUP($D765&amp;"_"&amp;L$61,$B$23:$B$45&amp;"_"&amp;$C$23:$C$45,$D$23:$D$45)*$E765)</f>
        <v>4.43871049596309</v>
      </c>
      <c r="M765" s="67" cm="1">
        <f ca="1" t="array" ref="M765">(1+SUMPRODUCT(G765:H765,OFFSET($H$49:$I$49,D765,0)))*(1+OFFSET($J$49,D765,0))^I765*(1+OFFSET($K$49,D765,0))^J765*(1+OFFSET($L$49,D765,0))^K765*(1+OFFSET($M$49,D765,0))^L765</f>
        <v>277.13058110232</v>
      </c>
      <c r="N765" s="67">
        <f ca="1">MAX(MAX($N$62:N764),OFFSET($C$61,MATCH(M765*1.07,$M$62:$M$2061,1),0)-C765)</f>
        <v>28800</v>
      </c>
    </row>
    <row r="766" spans="2:14">
      <c r="B766" s="67">
        <v>705</v>
      </c>
      <c r="C766" s="67">
        <f t="shared" si="73"/>
        <v>253800</v>
      </c>
      <c r="D766" s="67">
        <f t="shared" si="68"/>
        <v>5</v>
      </c>
      <c r="E766" s="67">
        <f ca="1" t="shared" si="69"/>
        <v>735</v>
      </c>
      <c r="F766" s="67">
        <f ca="1" t="shared" si="70"/>
        <v>0</v>
      </c>
      <c r="G766" s="67">
        <f ca="1" t="shared" si="71"/>
        <v>0</v>
      </c>
      <c r="H766" s="67" cm="1">
        <f ca="1" t="array" ref="H766">MIN(30-SUM(I766:L766),_xlfn.XLOOKUP($D766&amp;"_"&amp;H$61,$B$23:$B$45&amp;"_"&amp;$C$23:$C$45,$D$23:$D$45)*$E766,18)</f>
        <v>13.0368281430219</v>
      </c>
      <c r="I766" s="67" cm="1">
        <f ca="1" t="array" ref="I766">MIN(30-SUM(J766:L766),6-L766,_xlfn.XLOOKUP($D766&amp;"_"&amp;I$61,$B$23:$B$45&amp;"_"&amp;$C$23:$C$45,$D$23:$D$45)*$E766)</f>
        <v>1.55524221453287</v>
      </c>
      <c r="J766" s="67" cm="1">
        <f ca="1" t="array" ref="J766">MIN(8,_xlfn.XLOOKUP($D766&amp;"_"&amp;J$61,$B$23:$B$45&amp;"_"&amp;$C$23:$C$45,$D$23:$D$45)*$E766)</f>
        <v>8</v>
      </c>
      <c r="K766" s="67" cm="1">
        <f ca="1" t="array" ref="K766">MIN(18,_xlfn.XLOOKUP($D766&amp;"_"&amp;K$61,$B$23:$B$45&amp;"_"&amp;$C$23:$C$45,$D$23:$D$45)*$E766)</f>
        <v>2.96317185697809</v>
      </c>
      <c r="L766" s="67" cm="1">
        <f ca="1" t="array" ref="L766">MIN(6,_xlfn.XLOOKUP($D766&amp;"_"&amp;L$61,$B$23:$B$45&amp;"_"&amp;$C$23:$C$45,$D$23:$D$45)*$E766)</f>
        <v>4.44475778546713</v>
      </c>
      <c r="M766" s="67" cm="1">
        <f ca="1" t="array" ref="M766">(1+SUMPRODUCT(G766:H766,OFFSET($H$49:$I$49,D766,0)))*(1+OFFSET($J$49,D766,0))^I766*(1+OFFSET($K$49,D766,0))^J766*(1+OFFSET($L$49,D766,0))^K766*(1+OFFSET($M$49,D766,0))^L766</f>
        <v>277.363759431817</v>
      </c>
      <c r="N766" s="67">
        <f ca="1">MAX(MAX($N$62:N765),OFFSET($C$61,MATCH(M766*1.07,$M$62:$M$2061,1),0)-C766)</f>
        <v>28800</v>
      </c>
    </row>
    <row r="767" spans="2:14">
      <c r="B767" s="67">
        <v>706</v>
      </c>
      <c r="C767" s="67">
        <f t="shared" si="73"/>
        <v>254160</v>
      </c>
      <c r="D767" s="67">
        <f t="shared" ref="D767:D830" si="74">_xlfn.XLOOKUP("非R",$B$49:$B$54,$C$49:$C$54)</f>
        <v>5</v>
      </c>
      <c r="E767" s="67">
        <f ca="1" t="shared" ref="E767:E830" si="75">INT(C767/_xlfn.XLOOKUP(D767,$R$14:$R$21,$S$14:$S$21))+OFFSET($R$49,D767,0)</f>
        <v>736</v>
      </c>
      <c r="F767" s="67">
        <f ca="1" t="shared" si="70"/>
        <v>0</v>
      </c>
      <c r="G767" s="67">
        <f ca="1" t="shared" si="71"/>
        <v>0</v>
      </c>
      <c r="H767" s="67" cm="1">
        <f ca="1" t="array" ref="H767">MIN(30-SUM(I767:L767),_xlfn.XLOOKUP($D767&amp;"_"&amp;H$61,$B$23:$B$45&amp;"_"&amp;$C$23:$C$45,$D$23:$D$45)*$E767,18)</f>
        <v>13.0327966166859</v>
      </c>
      <c r="I767" s="67" cm="1">
        <f ca="1" t="array" ref="I767">MIN(30-SUM(J767:L767),6-L767,_xlfn.XLOOKUP($D767&amp;"_"&amp;I$61,$B$23:$B$45&amp;"_"&amp;$C$23:$C$45,$D$23:$D$45)*$E767)</f>
        <v>1.54919492502883</v>
      </c>
      <c r="J767" s="67" cm="1">
        <f ca="1" t="array" ref="J767">MIN(8,_xlfn.XLOOKUP($D767&amp;"_"&amp;J$61,$B$23:$B$45&amp;"_"&amp;$C$23:$C$45,$D$23:$D$45)*$E767)</f>
        <v>8</v>
      </c>
      <c r="K767" s="67" cm="1">
        <f ca="1" t="array" ref="K767">MIN(18,_xlfn.XLOOKUP($D767&amp;"_"&amp;K$61,$B$23:$B$45&amp;"_"&amp;$C$23:$C$45,$D$23:$D$45)*$E767)</f>
        <v>2.96720338331411</v>
      </c>
      <c r="L767" s="67" cm="1">
        <f ca="1" t="array" ref="L767">MIN(6,_xlfn.XLOOKUP($D767&amp;"_"&amp;L$61,$B$23:$B$45&amp;"_"&amp;$C$23:$C$45,$D$23:$D$45)*$E767)</f>
        <v>4.45080507497117</v>
      </c>
      <c r="M767" s="67" cm="1">
        <f ca="1" t="array" ref="M767">(1+SUMPRODUCT(G767:H767,OFFSET($H$49:$I$49,D767,0)))*(1+OFFSET($J$49,D767,0))^I767*(1+OFFSET($K$49,D767,0))^J767*(1+OFFSET($L$49,D767,0))^K767*(1+OFFSET($M$49,D767,0))^L767</f>
        <v>277.597120089481</v>
      </c>
      <c r="N767" s="67">
        <f ca="1">MAX(MAX($N$62:N766),OFFSET($C$61,MATCH(M767*1.07,$M$62:$M$2061,1),0)-C767)</f>
        <v>28800</v>
      </c>
    </row>
    <row r="768" spans="2:14">
      <c r="B768" s="67">
        <v>707</v>
      </c>
      <c r="C768" s="67">
        <f t="shared" si="73"/>
        <v>254520</v>
      </c>
      <c r="D768" s="67">
        <f t="shared" si="74"/>
        <v>5</v>
      </c>
      <c r="E768" s="67">
        <f ca="1" t="shared" si="75"/>
        <v>737</v>
      </c>
      <c r="F768" s="67">
        <f ca="1" t="shared" ref="F768:F831" si="76">30-SUM(G768:L768)</f>
        <v>0</v>
      </c>
      <c r="G768" s="67">
        <f ca="1" t="shared" ref="G768:G831" si="77">30-SUM(H768:L768)</f>
        <v>0</v>
      </c>
      <c r="H768" s="67" cm="1">
        <f ca="1" t="array" ref="H768">MIN(30-SUM(I768:L768),_xlfn.XLOOKUP($D768&amp;"_"&amp;H$61,$B$23:$B$45&amp;"_"&amp;$C$23:$C$45,$D$23:$D$45)*$E768,18)</f>
        <v>13.0287650903499</v>
      </c>
      <c r="I768" s="67" cm="1">
        <f ca="1" t="array" ref="I768">MIN(30-SUM(J768:L768),6-L768,_xlfn.XLOOKUP($D768&amp;"_"&amp;I$61,$B$23:$B$45&amp;"_"&amp;$C$23:$C$45,$D$23:$D$45)*$E768)</f>
        <v>1.5431476355248</v>
      </c>
      <c r="J768" s="67" cm="1">
        <f ca="1" t="array" ref="J768">MIN(8,_xlfn.XLOOKUP($D768&amp;"_"&amp;J$61,$B$23:$B$45&amp;"_"&amp;$C$23:$C$45,$D$23:$D$45)*$E768)</f>
        <v>8</v>
      </c>
      <c r="K768" s="67" cm="1">
        <f ca="1" t="array" ref="K768">MIN(18,_xlfn.XLOOKUP($D768&amp;"_"&amp;K$61,$B$23:$B$45&amp;"_"&amp;$C$23:$C$45,$D$23:$D$45)*$E768)</f>
        <v>2.97123490965014</v>
      </c>
      <c r="L768" s="67" cm="1">
        <f ca="1" t="array" ref="L768">MIN(6,_xlfn.XLOOKUP($D768&amp;"_"&amp;L$61,$B$23:$B$45&amp;"_"&amp;$C$23:$C$45,$D$23:$D$45)*$E768)</f>
        <v>4.4568523644752</v>
      </c>
      <c r="M768" s="67" cm="1">
        <f ca="1" t="array" ref="M768">(1+SUMPRODUCT(G768:H768,OFFSET($H$49:$I$49,D768,0)))*(1+OFFSET($J$49,D768,0))^I768*(1+OFFSET($K$49,D768,0))^J768*(1+OFFSET($L$49,D768,0))^K768*(1+OFFSET($M$49,D768,0))^L768</f>
        <v>277.830663199182</v>
      </c>
      <c r="N768" s="67">
        <f ca="1">MAX(MAX($N$62:N767),OFFSET($C$61,MATCH(M768*1.07,$M$62:$M$2061,1),0)-C768)</f>
        <v>28800</v>
      </c>
    </row>
    <row r="769" spans="2:14">
      <c r="B769" s="67">
        <v>708</v>
      </c>
      <c r="C769" s="67">
        <f t="shared" si="73"/>
        <v>254880</v>
      </c>
      <c r="D769" s="67">
        <f t="shared" si="74"/>
        <v>5</v>
      </c>
      <c r="E769" s="67">
        <f ca="1" t="shared" si="75"/>
        <v>738</v>
      </c>
      <c r="F769" s="67">
        <f ca="1" t="shared" si="76"/>
        <v>0</v>
      </c>
      <c r="G769" s="67">
        <f ca="1" t="shared" si="77"/>
        <v>0</v>
      </c>
      <c r="H769" s="67" cm="1">
        <f ca="1" t="array" ref="H769">MIN(30-SUM(I769:L769),_xlfn.XLOOKUP($D769&amp;"_"&amp;H$61,$B$23:$B$45&amp;"_"&amp;$C$23:$C$45,$D$23:$D$45)*$E769,18)</f>
        <v>13.0247335640138</v>
      </c>
      <c r="I769" s="67" cm="1">
        <f ca="1" t="array" ref="I769">MIN(30-SUM(J769:L769),6-L769,_xlfn.XLOOKUP($D769&amp;"_"&amp;I$61,$B$23:$B$45&amp;"_"&amp;$C$23:$C$45,$D$23:$D$45)*$E769)</f>
        <v>1.53710034602076</v>
      </c>
      <c r="J769" s="67" cm="1">
        <f ca="1" t="array" ref="J769">MIN(8,_xlfn.XLOOKUP($D769&amp;"_"&amp;J$61,$B$23:$B$45&amp;"_"&amp;$C$23:$C$45,$D$23:$D$45)*$E769)</f>
        <v>8</v>
      </c>
      <c r="K769" s="67" cm="1">
        <f ca="1" t="array" ref="K769">MIN(18,_xlfn.XLOOKUP($D769&amp;"_"&amp;K$61,$B$23:$B$45&amp;"_"&amp;$C$23:$C$45,$D$23:$D$45)*$E769)</f>
        <v>2.97526643598616</v>
      </c>
      <c r="L769" s="67" cm="1">
        <f ca="1" t="array" ref="L769">MIN(6,_xlfn.XLOOKUP($D769&amp;"_"&amp;L$61,$B$23:$B$45&amp;"_"&amp;$C$23:$C$45,$D$23:$D$45)*$E769)</f>
        <v>4.46289965397924</v>
      </c>
      <c r="M769" s="67" cm="1">
        <f ca="1" t="array" ref="M769">(1+SUMPRODUCT(G769:H769,OFFSET($H$49:$I$49,D769,0)))*(1+OFFSET($J$49,D769,0))^I769*(1+OFFSET($K$49,D769,0))^J769*(1+OFFSET($L$49,D769,0))^K769*(1+OFFSET($M$49,D769,0))^L769</f>
        <v>278.064388884844</v>
      </c>
      <c r="N769" s="67">
        <f ca="1">MAX(MAX($N$62:N768),OFFSET($C$61,MATCH(M769*1.07,$M$62:$M$2061,1),0)-C769)</f>
        <v>28800</v>
      </c>
    </row>
    <row r="770" spans="2:14">
      <c r="B770" s="67">
        <v>709</v>
      </c>
      <c r="C770" s="67">
        <f t="shared" si="73"/>
        <v>255240</v>
      </c>
      <c r="D770" s="67">
        <f t="shared" si="74"/>
        <v>5</v>
      </c>
      <c r="E770" s="67">
        <f ca="1" t="shared" si="75"/>
        <v>739</v>
      </c>
      <c r="F770" s="67">
        <f ca="1" t="shared" si="76"/>
        <v>0</v>
      </c>
      <c r="G770" s="67">
        <f ca="1" t="shared" si="77"/>
        <v>0</v>
      </c>
      <c r="H770" s="67" cm="1">
        <f ca="1" t="array" ref="H770">MIN(30-SUM(I770:L770),_xlfn.XLOOKUP($D770&amp;"_"&amp;H$61,$B$23:$B$45&amp;"_"&amp;$C$23:$C$45,$D$23:$D$45)*$E770,18)</f>
        <v>13.0207020376778</v>
      </c>
      <c r="I770" s="67" cm="1">
        <f ca="1" t="array" ref="I770">MIN(30-SUM(J770:L770),6-L770,_xlfn.XLOOKUP($D770&amp;"_"&amp;I$61,$B$23:$B$45&amp;"_"&amp;$C$23:$C$45,$D$23:$D$45)*$E770)</f>
        <v>1.53105305651672</v>
      </c>
      <c r="J770" s="67" cm="1">
        <f ca="1" t="array" ref="J770">MIN(8,_xlfn.XLOOKUP($D770&amp;"_"&amp;J$61,$B$23:$B$45&amp;"_"&amp;$C$23:$C$45,$D$23:$D$45)*$E770)</f>
        <v>8</v>
      </c>
      <c r="K770" s="67" cm="1">
        <f ca="1" t="array" ref="K770">MIN(18,_xlfn.XLOOKUP($D770&amp;"_"&amp;K$61,$B$23:$B$45&amp;"_"&amp;$C$23:$C$45,$D$23:$D$45)*$E770)</f>
        <v>2.97929796232219</v>
      </c>
      <c r="L770" s="67" cm="1">
        <f ca="1" t="array" ref="L770">MIN(6,_xlfn.XLOOKUP($D770&amp;"_"&amp;L$61,$B$23:$B$45&amp;"_"&amp;$C$23:$C$45,$D$23:$D$45)*$E770)</f>
        <v>4.46894694348328</v>
      </c>
      <c r="M770" s="67" cm="1">
        <f ca="1" t="array" ref="M770">(1+SUMPRODUCT(G770:H770,OFFSET($H$49:$I$49,D770,0)))*(1+OFFSET($J$49,D770,0))^I770*(1+OFFSET($K$49,D770,0))^J770*(1+OFFSET($L$49,D770,0))^K770*(1+OFFSET($M$49,D770,0))^L770</f>
        <v>278.298297270449</v>
      </c>
      <c r="N770" s="67">
        <f ca="1">MAX(MAX($N$62:N769),OFFSET($C$61,MATCH(M770*1.07,$M$62:$M$2061,1),0)-C770)</f>
        <v>28800</v>
      </c>
    </row>
    <row r="771" spans="2:14">
      <c r="B771" s="67">
        <v>710</v>
      </c>
      <c r="C771" s="67">
        <f t="shared" si="73"/>
        <v>255600</v>
      </c>
      <c r="D771" s="67">
        <f t="shared" si="74"/>
        <v>5</v>
      </c>
      <c r="E771" s="67">
        <f ca="1" t="shared" si="75"/>
        <v>740</v>
      </c>
      <c r="F771" s="67">
        <f ca="1" t="shared" si="76"/>
        <v>0</v>
      </c>
      <c r="G771" s="67">
        <f ca="1" t="shared" si="77"/>
        <v>0</v>
      </c>
      <c r="H771" s="67" cm="1">
        <f ca="1" t="array" ref="H771">MIN(30-SUM(I771:L771),_xlfn.XLOOKUP($D771&amp;"_"&amp;H$61,$B$23:$B$45&amp;"_"&amp;$C$23:$C$45,$D$23:$D$45)*$E771,18)</f>
        <v>13.0166705113418</v>
      </c>
      <c r="I771" s="67" cm="1">
        <f ca="1" t="array" ref="I771">MIN(30-SUM(J771:L771),6-L771,_xlfn.XLOOKUP($D771&amp;"_"&amp;I$61,$B$23:$B$45&amp;"_"&amp;$C$23:$C$45,$D$23:$D$45)*$E771)</f>
        <v>1.52500576701269</v>
      </c>
      <c r="J771" s="67" cm="1">
        <f ca="1" t="array" ref="J771">MIN(8,_xlfn.XLOOKUP($D771&amp;"_"&amp;J$61,$B$23:$B$45&amp;"_"&amp;$C$23:$C$45,$D$23:$D$45)*$E771)</f>
        <v>8</v>
      </c>
      <c r="K771" s="67" cm="1">
        <f ca="1" t="array" ref="K771">MIN(18,_xlfn.XLOOKUP($D771&amp;"_"&amp;K$61,$B$23:$B$45&amp;"_"&amp;$C$23:$C$45,$D$23:$D$45)*$E771)</f>
        <v>2.98332948865821</v>
      </c>
      <c r="L771" s="67" cm="1">
        <f ca="1" t="array" ref="L771">MIN(6,_xlfn.XLOOKUP($D771&amp;"_"&amp;L$61,$B$23:$B$45&amp;"_"&amp;$C$23:$C$45,$D$23:$D$45)*$E771)</f>
        <v>4.47499423298731</v>
      </c>
      <c r="M771" s="67" cm="1">
        <f ca="1" t="array" ref="M771">(1+SUMPRODUCT(G771:H771,OFFSET($H$49:$I$49,D771,0)))*(1+OFFSET($J$49,D771,0))^I771*(1+OFFSET($K$49,D771,0))^J771*(1+OFFSET($L$49,D771,0))^K771*(1+OFFSET($M$49,D771,0))^L771</f>
        <v>278.532388480037</v>
      </c>
      <c r="N771" s="67">
        <f ca="1">MAX(MAX($N$62:N770),OFFSET($C$61,MATCH(M771*1.07,$M$62:$M$2061,1),0)-C771)</f>
        <v>28800</v>
      </c>
    </row>
    <row r="772" spans="2:14">
      <c r="B772" s="67">
        <v>711</v>
      </c>
      <c r="C772" s="67">
        <f t="shared" si="73"/>
        <v>255960</v>
      </c>
      <c r="D772" s="67">
        <f t="shared" si="74"/>
        <v>5</v>
      </c>
      <c r="E772" s="67">
        <f ca="1" t="shared" si="75"/>
        <v>741</v>
      </c>
      <c r="F772" s="67">
        <f ca="1" t="shared" si="76"/>
        <v>0</v>
      </c>
      <c r="G772" s="67">
        <f ca="1" t="shared" si="77"/>
        <v>0</v>
      </c>
      <c r="H772" s="67" cm="1">
        <f ca="1" t="array" ref="H772">MIN(30-SUM(I772:L772),_xlfn.XLOOKUP($D772&amp;"_"&amp;H$61,$B$23:$B$45&amp;"_"&amp;$C$23:$C$45,$D$23:$D$45)*$E772,18)</f>
        <v>13.0126389850058</v>
      </c>
      <c r="I772" s="67" cm="1">
        <f ca="1" t="array" ref="I772">MIN(30-SUM(J772:L772),6-L772,_xlfn.XLOOKUP($D772&amp;"_"&amp;I$61,$B$23:$B$45&amp;"_"&amp;$C$23:$C$45,$D$23:$D$45)*$E772)</f>
        <v>1.51895847750865</v>
      </c>
      <c r="J772" s="67" cm="1">
        <f ca="1" t="array" ref="J772">MIN(8,_xlfn.XLOOKUP($D772&amp;"_"&amp;J$61,$B$23:$B$45&amp;"_"&amp;$C$23:$C$45,$D$23:$D$45)*$E772)</f>
        <v>8</v>
      </c>
      <c r="K772" s="67" cm="1">
        <f ca="1" t="array" ref="K772">MIN(18,_xlfn.XLOOKUP($D772&amp;"_"&amp;K$61,$B$23:$B$45&amp;"_"&amp;$C$23:$C$45,$D$23:$D$45)*$E772)</f>
        <v>2.98736101499424</v>
      </c>
      <c r="L772" s="67" cm="1">
        <f ca="1" t="array" ref="L772">MIN(6,_xlfn.XLOOKUP($D772&amp;"_"&amp;L$61,$B$23:$B$45&amp;"_"&amp;$C$23:$C$45,$D$23:$D$45)*$E772)</f>
        <v>4.48104152249135</v>
      </c>
      <c r="M772" s="67" cm="1">
        <f ca="1" t="array" ref="M772">(1+SUMPRODUCT(G772:H772,OFFSET($H$49:$I$49,D772,0)))*(1+OFFSET($J$49,D772,0))^I772*(1+OFFSET($K$49,D772,0))^J772*(1+OFFSET($L$49,D772,0))^K772*(1+OFFSET($M$49,D772,0))^L772</f>
        <v>278.766662637704</v>
      </c>
      <c r="N772" s="67">
        <f ca="1">MAX(MAX($N$62:N771),OFFSET($C$61,MATCH(M772*1.07,$M$62:$M$2061,1),0)-C772)</f>
        <v>28800</v>
      </c>
    </row>
    <row r="773" spans="2:14">
      <c r="B773" s="67">
        <v>712</v>
      </c>
      <c r="C773" s="67">
        <f t="shared" si="73"/>
        <v>256320</v>
      </c>
      <c r="D773" s="67">
        <f t="shared" si="74"/>
        <v>5</v>
      </c>
      <c r="E773" s="67">
        <f ca="1" t="shared" si="75"/>
        <v>742</v>
      </c>
      <c r="F773" s="67">
        <f ca="1" t="shared" si="76"/>
        <v>0</v>
      </c>
      <c r="G773" s="67">
        <f ca="1" t="shared" si="77"/>
        <v>0</v>
      </c>
      <c r="H773" s="67" cm="1">
        <f ca="1" t="array" ref="H773">MIN(30-SUM(I773:L773),_xlfn.XLOOKUP($D773&amp;"_"&amp;H$61,$B$23:$B$45&amp;"_"&amp;$C$23:$C$45,$D$23:$D$45)*$E773,18)</f>
        <v>13.0086074586697</v>
      </c>
      <c r="I773" s="67" cm="1">
        <f ca="1" t="array" ref="I773">MIN(30-SUM(J773:L773),6-L773,_xlfn.XLOOKUP($D773&amp;"_"&amp;I$61,$B$23:$B$45&amp;"_"&amp;$C$23:$C$45,$D$23:$D$45)*$E773)</f>
        <v>1.51291118800461</v>
      </c>
      <c r="J773" s="67" cm="1">
        <f ca="1" t="array" ref="J773">MIN(8,_xlfn.XLOOKUP($D773&amp;"_"&amp;J$61,$B$23:$B$45&amp;"_"&amp;$C$23:$C$45,$D$23:$D$45)*$E773)</f>
        <v>8</v>
      </c>
      <c r="K773" s="67" cm="1">
        <f ca="1" t="array" ref="K773">MIN(18,_xlfn.XLOOKUP($D773&amp;"_"&amp;K$61,$B$23:$B$45&amp;"_"&amp;$C$23:$C$45,$D$23:$D$45)*$E773)</f>
        <v>2.99139254133026</v>
      </c>
      <c r="L773" s="67" cm="1">
        <f ca="1" t="array" ref="L773">MIN(6,_xlfn.XLOOKUP($D773&amp;"_"&amp;L$61,$B$23:$B$45&amp;"_"&amp;$C$23:$C$45,$D$23:$D$45)*$E773)</f>
        <v>4.48708881199539</v>
      </c>
      <c r="M773" s="67" cm="1">
        <f ca="1" t="array" ref="M773">(1+SUMPRODUCT(G773:H773,OFFSET($H$49:$I$49,D773,0)))*(1+OFFSET($J$49,D773,0))^I773*(1+OFFSET($K$49,D773,0))^J773*(1+OFFSET($L$49,D773,0))^K773*(1+OFFSET($M$49,D773,0))^L773</f>
        <v>279.001119867603</v>
      </c>
      <c r="N773" s="67">
        <f ca="1">MAX(MAX($N$62:N772),OFFSET($C$61,MATCH(M773*1.07,$M$62:$M$2061,1),0)-C773)</f>
        <v>28800</v>
      </c>
    </row>
    <row r="774" spans="2:14">
      <c r="B774" s="67">
        <v>713</v>
      </c>
      <c r="C774" s="67">
        <f t="shared" si="73"/>
        <v>256680</v>
      </c>
      <c r="D774" s="67">
        <f t="shared" si="74"/>
        <v>5</v>
      </c>
      <c r="E774" s="67">
        <f ca="1" t="shared" si="75"/>
        <v>743</v>
      </c>
      <c r="F774" s="67">
        <f ca="1" t="shared" si="76"/>
        <v>0</v>
      </c>
      <c r="G774" s="67">
        <f ca="1" t="shared" si="77"/>
        <v>0</v>
      </c>
      <c r="H774" s="67" cm="1">
        <f ca="1" t="array" ref="H774">MIN(30-SUM(I774:L774),_xlfn.XLOOKUP($D774&amp;"_"&amp;H$61,$B$23:$B$45&amp;"_"&amp;$C$23:$C$45,$D$23:$D$45)*$E774,18)</f>
        <v>13.0045759323337</v>
      </c>
      <c r="I774" s="67" cm="1">
        <f ca="1" t="array" ref="I774">MIN(30-SUM(J774:L774),6-L774,_xlfn.XLOOKUP($D774&amp;"_"&amp;I$61,$B$23:$B$45&amp;"_"&amp;$C$23:$C$45,$D$23:$D$45)*$E774)</f>
        <v>1.50686389850058</v>
      </c>
      <c r="J774" s="67" cm="1">
        <f ca="1" t="array" ref="J774">MIN(8,_xlfn.XLOOKUP($D774&amp;"_"&amp;J$61,$B$23:$B$45&amp;"_"&amp;$C$23:$C$45,$D$23:$D$45)*$E774)</f>
        <v>8</v>
      </c>
      <c r="K774" s="67" cm="1">
        <f ca="1" t="array" ref="K774">MIN(18,_xlfn.XLOOKUP($D774&amp;"_"&amp;K$61,$B$23:$B$45&amp;"_"&amp;$C$23:$C$45,$D$23:$D$45)*$E774)</f>
        <v>2.99542406766628</v>
      </c>
      <c r="L774" s="67" cm="1">
        <f ca="1" t="array" ref="L774">MIN(6,_xlfn.XLOOKUP($D774&amp;"_"&amp;L$61,$B$23:$B$45&amp;"_"&amp;$C$23:$C$45,$D$23:$D$45)*$E774)</f>
        <v>4.49313610149942</v>
      </c>
      <c r="M774" s="67" cm="1">
        <f ca="1" t="array" ref="M774">(1+SUMPRODUCT(G774:H774,OFFSET($H$49:$I$49,D774,0)))*(1+OFFSET($J$49,D774,0))^I774*(1+OFFSET($K$49,D774,0))^J774*(1+OFFSET($L$49,D774,0))^K774*(1+OFFSET($M$49,D774,0))^L774</f>
        <v>279.235760293944</v>
      </c>
      <c r="N774" s="67">
        <f ca="1">MAX(MAX($N$62:N773),OFFSET($C$61,MATCH(M774*1.07,$M$62:$M$2061,1),0)-C774)</f>
        <v>28800</v>
      </c>
    </row>
    <row r="775" spans="2:14">
      <c r="B775" s="67">
        <v>714</v>
      </c>
      <c r="C775" s="67">
        <f t="shared" si="73"/>
        <v>257040</v>
      </c>
      <c r="D775" s="67">
        <f t="shared" si="74"/>
        <v>5</v>
      </c>
      <c r="E775" s="67">
        <f ca="1" t="shared" si="75"/>
        <v>744</v>
      </c>
      <c r="F775" s="67">
        <f ca="1" t="shared" si="76"/>
        <v>0</v>
      </c>
      <c r="G775" s="67">
        <f ca="1" t="shared" si="77"/>
        <v>0</v>
      </c>
      <c r="H775" s="67" cm="1">
        <f ca="1" t="array" ref="H775">MIN(30-SUM(I775:L775),_xlfn.XLOOKUP($D775&amp;"_"&amp;H$61,$B$23:$B$45&amp;"_"&amp;$C$23:$C$45,$D$23:$D$45)*$E775,18)</f>
        <v>13.0005444059977</v>
      </c>
      <c r="I775" s="67" cm="1">
        <f ca="1" t="array" ref="I775">MIN(30-SUM(J775:L775),6-L775,_xlfn.XLOOKUP($D775&amp;"_"&amp;I$61,$B$23:$B$45&amp;"_"&amp;$C$23:$C$45,$D$23:$D$45)*$E775)</f>
        <v>1.50081660899654</v>
      </c>
      <c r="J775" s="67" cm="1">
        <f ca="1" t="array" ref="J775">MIN(8,_xlfn.XLOOKUP($D775&amp;"_"&amp;J$61,$B$23:$B$45&amp;"_"&amp;$C$23:$C$45,$D$23:$D$45)*$E775)</f>
        <v>8</v>
      </c>
      <c r="K775" s="67" cm="1">
        <f ca="1" t="array" ref="K775">MIN(18,_xlfn.XLOOKUP($D775&amp;"_"&amp;K$61,$B$23:$B$45&amp;"_"&amp;$C$23:$C$45,$D$23:$D$45)*$E775)</f>
        <v>2.99945559400231</v>
      </c>
      <c r="L775" s="67" cm="1">
        <f ca="1" t="array" ref="L775">MIN(6,_xlfn.XLOOKUP($D775&amp;"_"&amp;L$61,$B$23:$B$45&amp;"_"&amp;$C$23:$C$45,$D$23:$D$45)*$E775)</f>
        <v>4.49918339100346</v>
      </c>
      <c r="M775" s="67" cm="1">
        <f ca="1" t="array" ref="M775">(1+SUMPRODUCT(G775:H775,OFFSET($H$49:$I$49,D775,0)))*(1+OFFSET($J$49,D775,0))^I775*(1+OFFSET($K$49,D775,0))^J775*(1+OFFSET($L$49,D775,0))^K775*(1+OFFSET($M$49,D775,0))^L775</f>
        <v>279.470584040995</v>
      </c>
      <c r="N775" s="67">
        <f ca="1">MAX(MAX($N$62:N774),OFFSET($C$61,MATCH(M775*1.07,$M$62:$M$2061,1),0)-C775)</f>
        <v>28800</v>
      </c>
    </row>
    <row r="776" spans="2:14">
      <c r="B776" s="67">
        <v>715</v>
      </c>
      <c r="C776" s="67">
        <f t="shared" si="73"/>
        <v>257400</v>
      </c>
      <c r="D776" s="67">
        <f t="shared" si="74"/>
        <v>5</v>
      </c>
      <c r="E776" s="67">
        <f ca="1" t="shared" si="75"/>
        <v>745</v>
      </c>
      <c r="F776" s="67">
        <f ca="1" t="shared" si="76"/>
        <v>0</v>
      </c>
      <c r="G776" s="67">
        <f ca="1" t="shared" si="77"/>
        <v>0</v>
      </c>
      <c r="H776" s="67" cm="1">
        <f ca="1" t="array" ref="H776">MIN(30-SUM(I776:L776),_xlfn.XLOOKUP($D776&amp;"_"&amp;H$61,$B$23:$B$45&amp;"_"&amp;$C$23:$C$45,$D$23:$D$45)*$E776,18)</f>
        <v>12.9965128796617</v>
      </c>
      <c r="I776" s="67" cm="1">
        <f ca="1" t="array" ref="I776">MIN(30-SUM(J776:L776),6-L776,_xlfn.XLOOKUP($D776&amp;"_"&amp;I$61,$B$23:$B$45&amp;"_"&amp;$C$23:$C$45,$D$23:$D$45)*$E776)</f>
        <v>1.4947693194925</v>
      </c>
      <c r="J776" s="67" cm="1">
        <f ca="1" t="array" ref="J776">MIN(8,_xlfn.XLOOKUP($D776&amp;"_"&amp;J$61,$B$23:$B$45&amp;"_"&amp;$C$23:$C$45,$D$23:$D$45)*$E776)</f>
        <v>8</v>
      </c>
      <c r="K776" s="67" cm="1">
        <f ca="1" t="array" ref="K776">MIN(18,_xlfn.XLOOKUP($D776&amp;"_"&amp;K$61,$B$23:$B$45&amp;"_"&amp;$C$23:$C$45,$D$23:$D$45)*$E776)</f>
        <v>3.00348712033833</v>
      </c>
      <c r="L776" s="67" cm="1">
        <f ca="1" t="array" ref="L776">MIN(6,_xlfn.XLOOKUP($D776&amp;"_"&amp;L$61,$B$23:$B$45&amp;"_"&amp;$C$23:$C$45,$D$23:$D$45)*$E776)</f>
        <v>4.5052306805075</v>
      </c>
      <c r="M776" s="67" cm="1">
        <f ca="1" t="array" ref="M776">(1+SUMPRODUCT(G776:H776,OFFSET($H$49:$I$49,D776,0)))*(1+OFFSET($J$49,D776,0))^I776*(1+OFFSET($K$49,D776,0))^J776*(1+OFFSET($L$49,D776,0))^K776*(1+OFFSET($M$49,D776,0))^L776</f>
        <v>279.705591233078</v>
      </c>
      <c r="N776" s="67">
        <f ca="1">MAX(MAX($N$62:N775),OFFSET($C$61,MATCH(M776*1.07,$M$62:$M$2061,1),0)-C776)</f>
        <v>28800</v>
      </c>
    </row>
    <row r="777" spans="2:14">
      <c r="B777" s="67">
        <v>716</v>
      </c>
      <c r="C777" s="67">
        <f t="shared" si="73"/>
        <v>257760</v>
      </c>
      <c r="D777" s="67">
        <f t="shared" si="74"/>
        <v>5</v>
      </c>
      <c r="E777" s="67">
        <f ca="1" t="shared" si="75"/>
        <v>746</v>
      </c>
      <c r="F777" s="67">
        <f ca="1" t="shared" si="76"/>
        <v>0</v>
      </c>
      <c r="G777" s="67">
        <f ca="1" t="shared" si="77"/>
        <v>0</v>
      </c>
      <c r="H777" s="67" cm="1">
        <f ca="1" t="array" ref="H777">MIN(30-SUM(I777:L777),_xlfn.XLOOKUP($D777&amp;"_"&amp;H$61,$B$23:$B$45&amp;"_"&amp;$C$23:$C$45,$D$23:$D$45)*$E777,18)</f>
        <v>12.9924813533256</v>
      </c>
      <c r="I777" s="67" cm="1">
        <f ca="1" t="array" ref="I777">MIN(30-SUM(J777:L777),6-L777,_xlfn.XLOOKUP($D777&amp;"_"&amp;I$61,$B$23:$B$45&amp;"_"&amp;$C$23:$C$45,$D$23:$D$45)*$E777)</f>
        <v>1.48872202998847</v>
      </c>
      <c r="J777" s="67" cm="1">
        <f ca="1" t="array" ref="J777">MIN(8,_xlfn.XLOOKUP($D777&amp;"_"&amp;J$61,$B$23:$B$45&amp;"_"&amp;$C$23:$C$45,$D$23:$D$45)*$E777)</f>
        <v>8</v>
      </c>
      <c r="K777" s="67" cm="1">
        <f ca="1" t="array" ref="K777">MIN(18,_xlfn.XLOOKUP($D777&amp;"_"&amp;K$61,$B$23:$B$45&amp;"_"&amp;$C$23:$C$45,$D$23:$D$45)*$E777)</f>
        <v>3.00751864667436</v>
      </c>
      <c r="L777" s="67" cm="1">
        <f ca="1" t="array" ref="L777">MIN(6,_xlfn.XLOOKUP($D777&amp;"_"&amp;L$61,$B$23:$B$45&amp;"_"&amp;$C$23:$C$45,$D$23:$D$45)*$E777)</f>
        <v>4.51127797001153</v>
      </c>
      <c r="M777" s="67" cm="1">
        <f ca="1" t="array" ref="M777">(1+SUMPRODUCT(G777:H777,OFFSET($H$49:$I$49,D777,0)))*(1+OFFSET($J$49,D777,0))^I777*(1+OFFSET($K$49,D777,0))^J777*(1+OFFSET($L$49,D777,0))^K777*(1+OFFSET($M$49,D777,0))^L777</f>
        <v>279.940781994574</v>
      </c>
      <c r="N777" s="67">
        <f ca="1">MAX(MAX($N$62:N776),OFFSET($C$61,MATCH(M777*1.07,$M$62:$M$2061,1),0)-C777)</f>
        <v>28800</v>
      </c>
    </row>
    <row r="778" spans="2:14">
      <c r="B778" s="67">
        <v>717</v>
      </c>
      <c r="C778" s="67">
        <f t="shared" si="73"/>
        <v>258120</v>
      </c>
      <c r="D778" s="67">
        <f t="shared" si="74"/>
        <v>5</v>
      </c>
      <c r="E778" s="67">
        <f ca="1" t="shared" si="75"/>
        <v>747</v>
      </c>
      <c r="F778" s="67">
        <f ca="1" t="shared" si="76"/>
        <v>0</v>
      </c>
      <c r="G778" s="67">
        <f ca="1" t="shared" si="77"/>
        <v>0</v>
      </c>
      <c r="H778" s="67" cm="1">
        <f ca="1" t="array" ref="H778">MIN(30-SUM(I778:L778),_xlfn.XLOOKUP($D778&amp;"_"&amp;H$61,$B$23:$B$45&amp;"_"&amp;$C$23:$C$45,$D$23:$D$45)*$E778,18)</f>
        <v>12.9884498269896</v>
      </c>
      <c r="I778" s="67" cm="1">
        <f ca="1" t="array" ref="I778">MIN(30-SUM(J778:L778),6-L778,_xlfn.XLOOKUP($D778&amp;"_"&amp;I$61,$B$23:$B$45&amp;"_"&amp;$C$23:$C$45,$D$23:$D$45)*$E778)</f>
        <v>1.48267474048443</v>
      </c>
      <c r="J778" s="67" cm="1">
        <f ca="1" t="array" ref="J778">MIN(8,_xlfn.XLOOKUP($D778&amp;"_"&amp;J$61,$B$23:$B$45&amp;"_"&amp;$C$23:$C$45,$D$23:$D$45)*$E778)</f>
        <v>8</v>
      </c>
      <c r="K778" s="67" cm="1">
        <f ca="1" t="array" ref="K778">MIN(18,_xlfn.XLOOKUP($D778&amp;"_"&amp;K$61,$B$23:$B$45&amp;"_"&amp;$C$23:$C$45,$D$23:$D$45)*$E778)</f>
        <v>3.01155017301038</v>
      </c>
      <c r="L778" s="67" cm="1">
        <f ca="1" t="array" ref="L778">MIN(6,_xlfn.XLOOKUP($D778&amp;"_"&amp;L$61,$B$23:$B$45&amp;"_"&amp;$C$23:$C$45,$D$23:$D$45)*$E778)</f>
        <v>4.51732525951557</v>
      </c>
      <c r="M778" s="67" cm="1">
        <f ca="1" t="array" ref="M778">(1+SUMPRODUCT(G778:H778,OFFSET($H$49:$I$49,D778,0)))*(1+OFFSET($J$49,D778,0))^I778*(1+OFFSET($K$49,D778,0))^J778*(1+OFFSET($L$49,D778,0))^K778*(1+OFFSET($M$49,D778,0))^L778</f>
        <v>280.176156449923</v>
      </c>
      <c r="N778" s="67">
        <f ca="1">MAX(MAX($N$62:N777),OFFSET($C$61,MATCH(M778*1.07,$M$62:$M$2061,1),0)-C778)</f>
        <v>28800</v>
      </c>
    </row>
    <row r="779" spans="2:14">
      <c r="B779" s="67">
        <v>718</v>
      </c>
      <c r="C779" s="67">
        <f t="shared" si="73"/>
        <v>258480</v>
      </c>
      <c r="D779" s="67">
        <f t="shared" si="74"/>
        <v>5</v>
      </c>
      <c r="E779" s="67">
        <f ca="1" t="shared" si="75"/>
        <v>748</v>
      </c>
      <c r="F779" s="67">
        <f ca="1" t="shared" si="76"/>
        <v>0</v>
      </c>
      <c r="G779" s="67">
        <f ca="1" t="shared" si="77"/>
        <v>0</v>
      </c>
      <c r="H779" s="67" cm="1">
        <f ca="1" t="array" ref="H779">MIN(30-SUM(I779:L779),_xlfn.XLOOKUP($D779&amp;"_"&amp;H$61,$B$23:$B$45&amp;"_"&amp;$C$23:$C$45,$D$23:$D$45)*$E779,18)</f>
        <v>12.9844183006536</v>
      </c>
      <c r="I779" s="67" cm="1">
        <f ca="1" t="array" ref="I779">MIN(30-SUM(J779:L779),6-L779,_xlfn.XLOOKUP($D779&amp;"_"&amp;I$61,$B$23:$B$45&amp;"_"&amp;$C$23:$C$45,$D$23:$D$45)*$E779)</f>
        <v>1.47662745098039</v>
      </c>
      <c r="J779" s="67" cm="1">
        <f ca="1" t="array" ref="J779">MIN(8,_xlfn.XLOOKUP($D779&amp;"_"&amp;J$61,$B$23:$B$45&amp;"_"&amp;$C$23:$C$45,$D$23:$D$45)*$E779)</f>
        <v>8</v>
      </c>
      <c r="K779" s="67" cm="1">
        <f ca="1" t="array" ref="K779">MIN(18,_xlfn.XLOOKUP($D779&amp;"_"&amp;K$61,$B$23:$B$45&amp;"_"&amp;$C$23:$C$45,$D$23:$D$45)*$E779)</f>
        <v>3.01558169934641</v>
      </c>
      <c r="L779" s="67" cm="1">
        <f ca="1" t="array" ref="L779">MIN(6,_xlfn.XLOOKUP($D779&amp;"_"&amp;L$61,$B$23:$B$45&amp;"_"&amp;$C$23:$C$45,$D$23:$D$45)*$E779)</f>
        <v>4.52337254901961</v>
      </c>
      <c r="M779" s="67" cm="1">
        <f ca="1" t="array" ref="M779">(1+SUMPRODUCT(G779:H779,OFFSET($H$49:$I$49,D779,0)))*(1+OFFSET($J$49,D779,0))^I779*(1+OFFSET($K$49,D779,0))^J779*(1+OFFSET($L$49,D779,0))^K779*(1+OFFSET($M$49,D779,0))^L779</f>
        <v>280.411714723616</v>
      </c>
      <c r="N779" s="67">
        <f ca="1">MAX(MAX($N$62:N778),OFFSET($C$61,MATCH(M779*1.07,$M$62:$M$2061,1),0)-C779)</f>
        <v>28800</v>
      </c>
    </row>
    <row r="780" spans="2:14">
      <c r="B780" s="67">
        <v>719</v>
      </c>
      <c r="C780" s="67">
        <f t="shared" si="73"/>
        <v>258840</v>
      </c>
      <c r="D780" s="67">
        <f t="shared" si="74"/>
        <v>5</v>
      </c>
      <c r="E780" s="67">
        <f ca="1" t="shared" si="75"/>
        <v>749</v>
      </c>
      <c r="F780" s="67">
        <f ca="1" t="shared" si="76"/>
        <v>0</v>
      </c>
      <c r="G780" s="67">
        <f ca="1" t="shared" si="77"/>
        <v>0</v>
      </c>
      <c r="H780" s="67" cm="1">
        <f ca="1" t="array" ref="H780">MIN(30-SUM(I780:L780),_xlfn.XLOOKUP($D780&amp;"_"&amp;H$61,$B$23:$B$45&amp;"_"&amp;$C$23:$C$45,$D$23:$D$45)*$E780,18)</f>
        <v>12.9803867743176</v>
      </c>
      <c r="I780" s="67" cm="1">
        <f ca="1" t="array" ref="I780">MIN(30-SUM(J780:L780),6-L780,_xlfn.XLOOKUP($D780&amp;"_"&amp;I$61,$B$23:$B$45&amp;"_"&amp;$C$23:$C$45,$D$23:$D$45)*$E780)</f>
        <v>1.47058016147635</v>
      </c>
      <c r="J780" s="67" cm="1">
        <f ca="1" t="array" ref="J780">MIN(8,_xlfn.XLOOKUP($D780&amp;"_"&amp;J$61,$B$23:$B$45&amp;"_"&amp;$C$23:$C$45,$D$23:$D$45)*$E780)</f>
        <v>8</v>
      </c>
      <c r="K780" s="67" cm="1">
        <f ca="1" t="array" ref="K780">MIN(18,_xlfn.XLOOKUP($D780&amp;"_"&amp;K$61,$B$23:$B$45&amp;"_"&amp;$C$23:$C$45,$D$23:$D$45)*$E780)</f>
        <v>3.01961322568243</v>
      </c>
      <c r="L780" s="67" cm="1">
        <f ca="1" t="array" ref="L780">MIN(6,_xlfn.XLOOKUP($D780&amp;"_"&amp;L$61,$B$23:$B$45&amp;"_"&amp;$C$23:$C$45,$D$23:$D$45)*$E780)</f>
        <v>4.52941983852365</v>
      </c>
      <c r="M780" s="67" cm="1">
        <f ca="1" t="array" ref="M780">(1+SUMPRODUCT(G780:H780,OFFSET($H$49:$I$49,D780,0)))*(1+OFFSET($J$49,D780,0))^I780*(1+OFFSET($K$49,D780,0))^J780*(1+OFFSET($L$49,D780,0))^K780*(1+OFFSET($M$49,D780,0))^L780</f>
        <v>280.647456940206</v>
      </c>
      <c r="N780" s="67">
        <f ca="1">MAX(MAX($N$62:N779),OFFSET($C$61,MATCH(M780*1.07,$M$62:$M$2061,1),0)-C780)</f>
        <v>28800</v>
      </c>
    </row>
    <row r="781" spans="2:14">
      <c r="B781" s="67">
        <v>720</v>
      </c>
      <c r="C781" s="67">
        <f t="shared" si="73"/>
        <v>259200</v>
      </c>
      <c r="D781" s="67">
        <f t="shared" si="74"/>
        <v>5</v>
      </c>
      <c r="E781" s="67">
        <f ca="1" t="shared" si="75"/>
        <v>750</v>
      </c>
      <c r="F781" s="67">
        <f ca="1" t="shared" si="76"/>
        <v>0</v>
      </c>
      <c r="G781" s="67">
        <f ca="1" t="shared" si="77"/>
        <v>0</v>
      </c>
      <c r="H781" s="67" cm="1">
        <f ca="1" t="array" ref="H781">MIN(30-SUM(I781:L781),_xlfn.XLOOKUP($D781&amp;"_"&amp;H$61,$B$23:$B$45&amp;"_"&amp;$C$23:$C$45,$D$23:$D$45)*$E781,18)</f>
        <v>12.9763552479815</v>
      </c>
      <c r="I781" s="67" cm="1">
        <f ca="1" t="array" ref="I781">MIN(30-SUM(J781:L781),6-L781,_xlfn.XLOOKUP($D781&amp;"_"&amp;I$61,$B$23:$B$45&amp;"_"&amp;$C$23:$C$45,$D$23:$D$45)*$E781)</f>
        <v>1.46453287197232</v>
      </c>
      <c r="J781" s="67" cm="1">
        <f ca="1" t="array" ref="J781">MIN(8,_xlfn.XLOOKUP($D781&amp;"_"&amp;J$61,$B$23:$B$45&amp;"_"&amp;$C$23:$C$45,$D$23:$D$45)*$E781)</f>
        <v>8</v>
      </c>
      <c r="K781" s="67" cm="1">
        <f ca="1" t="array" ref="K781">MIN(18,_xlfn.XLOOKUP($D781&amp;"_"&amp;K$61,$B$23:$B$45&amp;"_"&amp;$C$23:$C$45,$D$23:$D$45)*$E781)</f>
        <v>3.02364475201846</v>
      </c>
      <c r="L781" s="67" cm="1">
        <f ca="1" t="array" ref="L781">MIN(6,_xlfn.XLOOKUP($D781&amp;"_"&amp;L$61,$B$23:$B$45&amp;"_"&amp;$C$23:$C$45,$D$23:$D$45)*$E781)</f>
        <v>4.53546712802768</v>
      </c>
      <c r="M781" s="67" cm="1">
        <f ca="1" t="array" ref="M781">(1+SUMPRODUCT(G781:H781,OFFSET($H$49:$I$49,D781,0)))*(1+OFFSET($J$49,D781,0))^I781*(1+OFFSET($K$49,D781,0))^J781*(1+OFFSET($L$49,D781,0))^K781*(1+OFFSET($M$49,D781,0))^L781</f>
        <v>280.883383224302</v>
      </c>
      <c r="N781" s="67">
        <f ca="1">MAX(MAX($N$62:N780),OFFSET($C$61,MATCH(M781*1.07,$M$62:$M$2061,1),0)-C781)</f>
        <v>28800</v>
      </c>
    </row>
    <row r="782" spans="2:14">
      <c r="B782" s="67">
        <v>721</v>
      </c>
      <c r="C782" s="67">
        <f t="shared" si="73"/>
        <v>259560</v>
      </c>
      <c r="D782" s="67">
        <f t="shared" si="74"/>
        <v>5</v>
      </c>
      <c r="E782" s="67">
        <f ca="1" t="shared" si="75"/>
        <v>751</v>
      </c>
      <c r="F782" s="67">
        <f ca="1" t="shared" si="76"/>
        <v>0</v>
      </c>
      <c r="G782" s="67">
        <f ca="1" t="shared" si="77"/>
        <v>0</v>
      </c>
      <c r="H782" s="67" cm="1">
        <f ca="1" t="array" ref="H782">MIN(30-SUM(I782:L782),_xlfn.XLOOKUP($D782&amp;"_"&amp;H$61,$B$23:$B$45&amp;"_"&amp;$C$23:$C$45,$D$23:$D$45)*$E782,18)</f>
        <v>12.9723237216455</v>
      </c>
      <c r="I782" s="67" cm="1">
        <f ca="1" t="array" ref="I782">MIN(30-SUM(J782:L782),6-L782,_xlfn.XLOOKUP($D782&amp;"_"&amp;I$61,$B$23:$B$45&amp;"_"&amp;$C$23:$C$45,$D$23:$D$45)*$E782)</f>
        <v>1.45848558246828</v>
      </c>
      <c r="J782" s="67" cm="1">
        <f ca="1" t="array" ref="J782">MIN(8,_xlfn.XLOOKUP($D782&amp;"_"&amp;J$61,$B$23:$B$45&amp;"_"&amp;$C$23:$C$45,$D$23:$D$45)*$E782)</f>
        <v>8</v>
      </c>
      <c r="K782" s="67" cm="1">
        <f ca="1" t="array" ref="K782">MIN(18,_xlfn.XLOOKUP($D782&amp;"_"&amp;K$61,$B$23:$B$45&amp;"_"&amp;$C$23:$C$45,$D$23:$D$45)*$E782)</f>
        <v>3.02767627835448</v>
      </c>
      <c r="L782" s="67" cm="1">
        <f ca="1" t="array" ref="L782">MIN(6,_xlfn.XLOOKUP($D782&amp;"_"&amp;L$61,$B$23:$B$45&amp;"_"&amp;$C$23:$C$45,$D$23:$D$45)*$E782)</f>
        <v>4.54151441753172</v>
      </c>
      <c r="M782" s="67" cm="1">
        <f ca="1" t="array" ref="M782">(1+SUMPRODUCT(G782:H782,OFFSET($H$49:$I$49,D782,0)))*(1+OFFSET($J$49,D782,0))^I782*(1+OFFSET($K$49,D782,0))^J782*(1+OFFSET($L$49,D782,0))^K782*(1+OFFSET($M$49,D782,0))^L782</f>
        <v>281.119493700566</v>
      </c>
      <c r="N782" s="67">
        <f ca="1">MAX(MAX($N$62:N781),OFFSET($C$61,MATCH(M782*1.07,$M$62:$M$2061,1),0)-C782)</f>
        <v>28800</v>
      </c>
    </row>
    <row r="783" spans="2:14">
      <c r="B783" s="67">
        <v>722</v>
      </c>
      <c r="C783" s="67">
        <f t="shared" si="73"/>
        <v>259920</v>
      </c>
      <c r="D783" s="67">
        <f t="shared" si="74"/>
        <v>5</v>
      </c>
      <c r="E783" s="67">
        <f ca="1" t="shared" si="75"/>
        <v>752</v>
      </c>
      <c r="F783" s="67">
        <f ca="1" t="shared" si="76"/>
        <v>0</v>
      </c>
      <c r="G783" s="67">
        <f ca="1" t="shared" si="77"/>
        <v>0</v>
      </c>
      <c r="H783" s="67" cm="1">
        <f ca="1" t="array" ref="H783">MIN(30-SUM(I783:L783),_xlfn.XLOOKUP($D783&amp;"_"&amp;H$61,$B$23:$B$45&amp;"_"&amp;$C$23:$C$45,$D$23:$D$45)*$E783,18)</f>
        <v>12.9682921953095</v>
      </c>
      <c r="I783" s="67" cm="1">
        <f ca="1" t="array" ref="I783">MIN(30-SUM(J783:L783),6-L783,_xlfn.XLOOKUP($D783&amp;"_"&amp;I$61,$B$23:$B$45&amp;"_"&amp;$C$23:$C$45,$D$23:$D$45)*$E783)</f>
        <v>1.45243829296424</v>
      </c>
      <c r="J783" s="67" cm="1">
        <f ca="1" t="array" ref="J783">MIN(8,_xlfn.XLOOKUP($D783&amp;"_"&amp;J$61,$B$23:$B$45&amp;"_"&amp;$C$23:$C$45,$D$23:$D$45)*$E783)</f>
        <v>8</v>
      </c>
      <c r="K783" s="67" cm="1">
        <f ca="1" t="array" ref="K783">MIN(18,_xlfn.XLOOKUP($D783&amp;"_"&amp;K$61,$B$23:$B$45&amp;"_"&amp;$C$23:$C$45,$D$23:$D$45)*$E783)</f>
        <v>3.03170780469051</v>
      </c>
      <c r="L783" s="67" cm="1">
        <f ca="1" t="array" ref="L783">MIN(6,_xlfn.XLOOKUP($D783&amp;"_"&amp;L$61,$B$23:$B$45&amp;"_"&amp;$C$23:$C$45,$D$23:$D$45)*$E783)</f>
        <v>4.54756170703576</v>
      </c>
      <c r="M783" s="67" cm="1">
        <f ca="1" t="array" ref="M783">(1+SUMPRODUCT(G783:H783,OFFSET($H$49:$I$49,D783,0)))*(1+OFFSET($J$49,D783,0))^I783*(1+OFFSET($K$49,D783,0))^J783*(1+OFFSET($L$49,D783,0))^K783*(1+OFFSET($M$49,D783,0))^L783</f>
        <v>281.355788493722</v>
      </c>
      <c r="N783" s="67">
        <f ca="1">MAX(MAX($N$62:N782),OFFSET($C$61,MATCH(M783*1.07,$M$62:$M$2061,1),0)-C783)</f>
        <v>28800</v>
      </c>
    </row>
    <row r="784" spans="2:14">
      <c r="B784" s="67">
        <v>723</v>
      </c>
      <c r="C784" s="67">
        <f t="shared" si="73"/>
        <v>260280</v>
      </c>
      <c r="D784" s="67">
        <f t="shared" si="74"/>
        <v>5</v>
      </c>
      <c r="E784" s="67">
        <f ca="1" t="shared" si="75"/>
        <v>753</v>
      </c>
      <c r="F784" s="67">
        <f ca="1" t="shared" si="76"/>
        <v>0</v>
      </c>
      <c r="G784" s="67">
        <f ca="1" t="shared" si="77"/>
        <v>0</v>
      </c>
      <c r="H784" s="67" cm="1">
        <f ca="1" t="array" ref="H784">MIN(30-SUM(I784:L784),_xlfn.XLOOKUP($D784&amp;"_"&amp;H$61,$B$23:$B$45&amp;"_"&amp;$C$23:$C$45,$D$23:$D$45)*$E784,18)</f>
        <v>12.9642606689735</v>
      </c>
      <c r="I784" s="67" cm="1">
        <f ca="1" t="array" ref="I784">MIN(30-SUM(J784:L784),6-L784,_xlfn.XLOOKUP($D784&amp;"_"&amp;I$61,$B$23:$B$45&amp;"_"&amp;$C$23:$C$45,$D$23:$D$45)*$E784)</f>
        <v>1.44639100346021</v>
      </c>
      <c r="J784" s="67" cm="1">
        <f ca="1" t="array" ref="J784">MIN(8,_xlfn.XLOOKUP($D784&amp;"_"&amp;J$61,$B$23:$B$45&amp;"_"&amp;$C$23:$C$45,$D$23:$D$45)*$E784)</f>
        <v>8</v>
      </c>
      <c r="K784" s="67" cm="1">
        <f ca="1" t="array" ref="K784">MIN(18,_xlfn.XLOOKUP($D784&amp;"_"&amp;K$61,$B$23:$B$45&amp;"_"&amp;$C$23:$C$45,$D$23:$D$45)*$E784)</f>
        <v>3.03573933102653</v>
      </c>
      <c r="L784" s="67" cm="1">
        <f ca="1" t="array" ref="L784">MIN(6,_xlfn.XLOOKUP($D784&amp;"_"&amp;L$61,$B$23:$B$45&amp;"_"&amp;$C$23:$C$45,$D$23:$D$45)*$E784)</f>
        <v>4.55360899653979</v>
      </c>
      <c r="M784" s="67" cm="1">
        <f ca="1" t="array" ref="M784">(1+SUMPRODUCT(G784:H784,OFFSET($H$49:$I$49,D784,0)))*(1+OFFSET($J$49,D784,0))^I784*(1+OFFSET($K$49,D784,0))^J784*(1+OFFSET($L$49,D784,0))^K784*(1+OFFSET($M$49,D784,0))^L784</f>
        <v>281.592267728547</v>
      </c>
      <c r="N784" s="67">
        <f ca="1">MAX(MAX($N$62:N783),OFFSET($C$61,MATCH(M784*1.07,$M$62:$M$2061,1),0)-C784)</f>
        <v>28800</v>
      </c>
    </row>
    <row r="785" spans="2:14">
      <c r="B785" s="67">
        <v>724</v>
      </c>
      <c r="C785" s="67">
        <f t="shared" ref="C785:C848" si="78">C784+360</f>
        <v>260640</v>
      </c>
      <c r="D785" s="67">
        <f t="shared" si="74"/>
        <v>5</v>
      </c>
      <c r="E785" s="67">
        <f ca="1" t="shared" si="75"/>
        <v>754</v>
      </c>
      <c r="F785" s="67">
        <f ca="1" t="shared" si="76"/>
        <v>0</v>
      </c>
      <c r="G785" s="67">
        <f ca="1" t="shared" si="77"/>
        <v>0</v>
      </c>
      <c r="H785" s="67" cm="1">
        <f ca="1" t="array" ref="H785">MIN(30-SUM(I785:L785),_xlfn.XLOOKUP($D785&amp;"_"&amp;H$61,$B$23:$B$45&amp;"_"&amp;$C$23:$C$45,$D$23:$D$45)*$E785,18)</f>
        <v>12.9602291426374</v>
      </c>
      <c r="I785" s="67" cm="1">
        <f ca="1" t="array" ref="I785">MIN(30-SUM(J785:L785),6-L785,_xlfn.XLOOKUP($D785&amp;"_"&amp;I$61,$B$23:$B$45&amp;"_"&amp;$C$23:$C$45,$D$23:$D$45)*$E785)</f>
        <v>1.44034371395617</v>
      </c>
      <c r="J785" s="67" cm="1">
        <f ca="1" t="array" ref="J785">MIN(8,_xlfn.XLOOKUP($D785&amp;"_"&amp;J$61,$B$23:$B$45&amp;"_"&amp;$C$23:$C$45,$D$23:$D$45)*$E785)</f>
        <v>8</v>
      </c>
      <c r="K785" s="67" cm="1">
        <f ca="1" t="array" ref="K785">MIN(18,_xlfn.XLOOKUP($D785&amp;"_"&amp;K$61,$B$23:$B$45&amp;"_"&amp;$C$23:$C$45,$D$23:$D$45)*$E785)</f>
        <v>3.03977085736256</v>
      </c>
      <c r="L785" s="67" cm="1">
        <f ca="1" t="array" ref="L785">MIN(6,_xlfn.XLOOKUP($D785&amp;"_"&amp;L$61,$B$23:$B$45&amp;"_"&amp;$C$23:$C$45,$D$23:$D$45)*$E785)</f>
        <v>4.55965628604383</v>
      </c>
      <c r="M785" s="67" cm="1">
        <f ca="1" t="array" ref="M785">(1+SUMPRODUCT(G785:H785,OFFSET($H$49:$I$49,D785,0)))*(1+OFFSET($J$49,D785,0))^I785*(1+OFFSET($K$49,D785,0))^J785*(1+OFFSET($L$49,D785,0))^K785*(1+OFFSET($M$49,D785,0))^L785</f>
        <v>281.828931529876</v>
      </c>
      <c r="N785" s="67">
        <f ca="1">MAX(MAX($N$62:N784),OFFSET($C$61,MATCH(M785*1.07,$M$62:$M$2061,1),0)-C785)</f>
        <v>28800</v>
      </c>
    </row>
    <row r="786" spans="2:14">
      <c r="B786" s="67">
        <v>725</v>
      </c>
      <c r="C786" s="67">
        <f t="shared" si="78"/>
        <v>261000</v>
      </c>
      <c r="D786" s="67">
        <f t="shared" si="74"/>
        <v>5</v>
      </c>
      <c r="E786" s="67">
        <f ca="1" t="shared" si="75"/>
        <v>755</v>
      </c>
      <c r="F786" s="67">
        <f ca="1" t="shared" si="76"/>
        <v>0</v>
      </c>
      <c r="G786" s="67">
        <f ca="1" t="shared" si="77"/>
        <v>0</v>
      </c>
      <c r="H786" s="67" cm="1">
        <f ca="1" t="array" ref="H786">MIN(30-SUM(I786:L786),_xlfn.XLOOKUP($D786&amp;"_"&amp;H$61,$B$23:$B$45&amp;"_"&amp;$C$23:$C$45,$D$23:$D$45)*$E786,18)</f>
        <v>12.9561976163014</v>
      </c>
      <c r="I786" s="67" cm="1">
        <f ca="1" t="array" ref="I786">MIN(30-SUM(J786:L786),6-L786,_xlfn.XLOOKUP($D786&amp;"_"&amp;I$61,$B$23:$B$45&amp;"_"&amp;$C$23:$C$45,$D$23:$D$45)*$E786)</f>
        <v>1.43429642445213</v>
      </c>
      <c r="J786" s="67" cm="1">
        <f ca="1" t="array" ref="J786">MIN(8,_xlfn.XLOOKUP($D786&amp;"_"&amp;J$61,$B$23:$B$45&amp;"_"&amp;$C$23:$C$45,$D$23:$D$45)*$E786)</f>
        <v>8</v>
      </c>
      <c r="K786" s="67" cm="1">
        <f ca="1" t="array" ref="K786">MIN(18,_xlfn.XLOOKUP($D786&amp;"_"&amp;K$61,$B$23:$B$45&amp;"_"&amp;$C$23:$C$45,$D$23:$D$45)*$E786)</f>
        <v>3.04380238369858</v>
      </c>
      <c r="L786" s="67" cm="1">
        <f ca="1" t="array" ref="L786">MIN(6,_xlfn.XLOOKUP($D786&amp;"_"&amp;L$61,$B$23:$B$45&amp;"_"&amp;$C$23:$C$45,$D$23:$D$45)*$E786)</f>
        <v>4.56570357554787</v>
      </c>
      <c r="M786" s="67" cm="1">
        <f ca="1" t="array" ref="M786">(1+SUMPRODUCT(G786:H786,OFFSET($H$49:$I$49,D786,0)))*(1+OFFSET($J$49,D786,0))^I786*(1+OFFSET($K$49,D786,0))^J786*(1+OFFSET($L$49,D786,0))^K786*(1+OFFSET($M$49,D786,0))^L786</f>
        <v>282.065780022601</v>
      </c>
      <c r="N786" s="67">
        <f ca="1">MAX(MAX($N$62:N785),OFFSET($C$61,MATCH(M786*1.07,$M$62:$M$2061,1),0)-C786)</f>
        <v>28800</v>
      </c>
    </row>
    <row r="787" spans="2:14">
      <c r="B787" s="67">
        <v>726</v>
      </c>
      <c r="C787" s="67">
        <f t="shared" si="78"/>
        <v>261360</v>
      </c>
      <c r="D787" s="67">
        <f t="shared" si="74"/>
        <v>5</v>
      </c>
      <c r="E787" s="67">
        <f ca="1" t="shared" si="75"/>
        <v>756</v>
      </c>
      <c r="F787" s="67">
        <f ca="1" t="shared" si="76"/>
        <v>0</v>
      </c>
      <c r="G787" s="67">
        <f ca="1" t="shared" si="77"/>
        <v>0</v>
      </c>
      <c r="H787" s="67" cm="1">
        <f ca="1" t="array" ref="H787">MIN(30-SUM(I787:L787),_xlfn.XLOOKUP($D787&amp;"_"&amp;H$61,$B$23:$B$45&amp;"_"&amp;$C$23:$C$45,$D$23:$D$45)*$E787,18)</f>
        <v>12.9521660899654</v>
      </c>
      <c r="I787" s="67" cm="1">
        <f ca="1" t="array" ref="I787">MIN(30-SUM(J787:L787),6-L787,_xlfn.XLOOKUP($D787&amp;"_"&amp;I$61,$B$23:$B$45&amp;"_"&amp;$C$23:$C$45,$D$23:$D$45)*$E787)</f>
        <v>1.4282491349481</v>
      </c>
      <c r="J787" s="67" cm="1">
        <f ca="1" t="array" ref="J787">MIN(8,_xlfn.XLOOKUP($D787&amp;"_"&amp;J$61,$B$23:$B$45&amp;"_"&amp;$C$23:$C$45,$D$23:$D$45)*$E787)</f>
        <v>8</v>
      </c>
      <c r="K787" s="67" cm="1">
        <f ca="1" t="array" ref="K787">MIN(18,_xlfn.XLOOKUP($D787&amp;"_"&amp;K$61,$B$23:$B$45&amp;"_"&amp;$C$23:$C$45,$D$23:$D$45)*$E787)</f>
        <v>3.0478339100346</v>
      </c>
      <c r="L787" s="67" cm="1">
        <f ca="1" t="array" ref="L787">MIN(6,_xlfn.XLOOKUP($D787&amp;"_"&amp;L$61,$B$23:$B$45&amp;"_"&amp;$C$23:$C$45,$D$23:$D$45)*$E787)</f>
        <v>4.5717508650519</v>
      </c>
      <c r="M787" s="67" cm="1">
        <f ca="1" t="array" ref="M787">(1+SUMPRODUCT(G787:H787,OFFSET($H$49:$I$49,D787,0)))*(1+OFFSET($J$49,D787,0))^I787*(1+OFFSET($K$49,D787,0))^J787*(1+OFFSET($L$49,D787,0))^K787*(1+OFFSET($M$49,D787,0))^L787</f>
        <v>282.30281333167</v>
      </c>
      <c r="N787" s="67">
        <f ca="1">MAX(MAX($N$62:N786),OFFSET($C$61,MATCH(M787*1.07,$M$62:$M$2061,1),0)-C787)</f>
        <v>28800</v>
      </c>
    </row>
    <row r="788" spans="2:14">
      <c r="B788" s="67">
        <v>727</v>
      </c>
      <c r="C788" s="67">
        <f t="shared" si="78"/>
        <v>261720</v>
      </c>
      <c r="D788" s="67">
        <f t="shared" si="74"/>
        <v>5</v>
      </c>
      <c r="E788" s="67">
        <f ca="1" t="shared" si="75"/>
        <v>757</v>
      </c>
      <c r="F788" s="67">
        <f ca="1" t="shared" si="76"/>
        <v>0</v>
      </c>
      <c r="G788" s="67">
        <f ca="1" t="shared" si="77"/>
        <v>0</v>
      </c>
      <c r="H788" s="67" cm="1">
        <f ca="1" t="array" ref="H788">MIN(30-SUM(I788:L788),_xlfn.XLOOKUP($D788&amp;"_"&amp;H$61,$B$23:$B$45&amp;"_"&amp;$C$23:$C$45,$D$23:$D$45)*$E788,18)</f>
        <v>12.9481345636294</v>
      </c>
      <c r="I788" s="67" cm="1">
        <f ca="1" t="array" ref="I788">MIN(30-SUM(J788:L788),6-L788,_xlfn.XLOOKUP($D788&amp;"_"&amp;I$61,$B$23:$B$45&amp;"_"&amp;$C$23:$C$45,$D$23:$D$45)*$E788)</f>
        <v>1.42220184544406</v>
      </c>
      <c r="J788" s="67" cm="1">
        <f ca="1" t="array" ref="J788">MIN(8,_xlfn.XLOOKUP($D788&amp;"_"&amp;J$61,$B$23:$B$45&amp;"_"&amp;$C$23:$C$45,$D$23:$D$45)*$E788)</f>
        <v>8</v>
      </c>
      <c r="K788" s="67" cm="1">
        <f ca="1" t="array" ref="K788">MIN(18,_xlfn.XLOOKUP($D788&amp;"_"&amp;K$61,$B$23:$B$45&amp;"_"&amp;$C$23:$C$45,$D$23:$D$45)*$E788)</f>
        <v>3.05186543637063</v>
      </c>
      <c r="L788" s="67" cm="1">
        <f ca="1" t="array" ref="L788">MIN(6,_xlfn.XLOOKUP($D788&amp;"_"&amp;L$61,$B$23:$B$45&amp;"_"&amp;$C$23:$C$45,$D$23:$D$45)*$E788)</f>
        <v>4.57779815455594</v>
      </c>
      <c r="M788" s="67" cm="1">
        <f ca="1" t="array" ref="M788">(1+SUMPRODUCT(G788:H788,OFFSET($H$49:$I$49,D788,0)))*(1+OFFSET($J$49,D788,0))^I788*(1+OFFSET($K$49,D788,0))^J788*(1+OFFSET($L$49,D788,0))^K788*(1+OFFSET($M$49,D788,0))^L788</f>
        <v>282.540031582088</v>
      </c>
      <c r="N788" s="67">
        <f ca="1">MAX(MAX($N$62:N787),OFFSET($C$61,MATCH(M788*1.07,$M$62:$M$2061,1),0)-C788)</f>
        <v>28800</v>
      </c>
    </row>
    <row r="789" spans="2:14">
      <c r="B789" s="67">
        <v>728</v>
      </c>
      <c r="C789" s="67">
        <f t="shared" si="78"/>
        <v>262080</v>
      </c>
      <c r="D789" s="67">
        <f t="shared" si="74"/>
        <v>5</v>
      </c>
      <c r="E789" s="67">
        <f ca="1" t="shared" si="75"/>
        <v>758</v>
      </c>
      <c r="F789" s="67">
        <f ca="1" t="shared" si="76"/>
        <v>0</v>
      </c>
      <c r="G789" s="67">
        <f ca="1" t="shared" si="77"/>
        <v>0</v>
      </c>
      <c r="H789" s="67" cm="1">
        <f ca="1" t="array" ref="H789">MIN(30-SUM(I789:L789),_xlfn.XLOOKUP($D789&amp;"_"&amp;H$61,$B$23:$B$45&amp;"_"&amp;$C$23:$C$45,$D$23:$D$45)*$E789,18)</f>
        <v>12.9441030372933</v>
      </c>
      <c r="I789" s="67" cm="1">
        <f ca="1" t="array" ref="I789">MIN(30-SUM(J789:L789),6-L789,_xlfn.XLOOKUP($D789&amp;"_"&amp;I$61,$B$23:$B$45&amp;"_"&amp;$C$23:$C$45,$D$23:$D$45)*$E789)</f>
        <v>1.41615455594002</v>
      </c>
      <c r="J789" s="67" cm="1">
        <f ca="1" t="array" ref="J789">MIN(8,_xlfn.XLOOKUP($D789&amp;"_"&amp;J$61,$B$23:$B$45&amp;"_"&amp;$C$23:$C$45,$D$23:$D$45)*$E789)</f>
        <v>8</v>
      </c>
      <c r="K789" s="67" cm="1">
        <f ca="1" t="array" ref="K789">MIN(18,_xlfn.XLOOKUP($D789&amp;"_"&amp;K$61,$B$23:$B$45&amp;"_"&amp;$C$23:$C$45,$D$23:$D$45)*$E789)</f>
        <v>3.05589696270665</v>
      </c>
      <c r="L789" s="67" cm="1">
        <f ca="1" t="array" ref="L789">MIN(6,_xlfn.XLOOKUP($D789&amp;"_"&amp;L$61,$B$23:$B$45&amp;"_"&amp;$C$23:$C$45,$D$23:$D$45)*$E789)</f>
        <v>4.58384544405998</v>
      </c>
      <c r="M789" s="67" cm="1">
        <f ca="1" t="array" ref="M789">(1+SUMPRODUCT(G789:H789,OFFSET($H$49:$I$49,D789,0)))*(1+OFFSET($J$49,D789,0))^I789*(1+OFFSET($K$49,D789,0))^J789*(1+OFFSET($L$49,D789,0))^K789*(1+OFFSET($M$49,D789,0))^L789</f>
        <v>282.777434898917</v>
      </c>
      <c r="N789" s="67">
        <f ca="1">MAX(MAX($N$62:N788),OFFSET($C$61,MATCH(M789*1.07,$M$62:$M$2061,1),0)-C789)</f>
        <v>28800</v>
      </c>
    </row>
    <row r="790" spans="2:14">
      <c r="B790" s="67">
        <v>729</v>
      </c>
      <c r="C790" s="67">
        <f t="shared" si="78"/>
        <v>262440</v>
      </c>
      <c r="D790" s="67">
        <f t="shared" si="74"/>
        <v>5</v>
      </c>
      <c r="E790" s="67">
        <f ca="1" t="shared" si="75"/>
        <v>759</v>
      </c>
      <c r="F790" s="67">
        <f ca="1" t="shared" si="76"/>
        <v>0</v>
      </c>
      <c r="G790" s="67">
        <f ca="1" t="shared" si="77"/>
        <v>0</v>
      </c>
      <c r="H790" s="67" cm="1">
        <f ca="1" t="array" ref="H790">MIN(30-SUM(I790:L790),_xlfn.XLOOKUP($D790&amp;"_"&amp;H$61,$B$23:$B$45&amp;"_"&amp;$C$23:$C$45,$D$23:$D$45)*$E790,18)</f>
        <v>12.9400715109573</v>
      </c>
      <c r="I790" s="67" cm="1">
        <f ca="1" t="array" ref="I790">MIN(30-SUM(J790:L790),6-L790,_xlfn.XLOOKUP($D790&amp;"_"&amp;I$61,$B$23:$B$45&amp;"_"&amp;$C$23:$C$45,$D$23:$D$45)*$E790)</f>
        <v>1.41010726643599</v>
      </c>
      <c r="J790" s="67" cm="1">
        <f ca="1" t="array" ref="J790">MIN(8,_xlfn.XLOOKUP($D790&amp;"_"&amp;J$61,$B$23:$B$45&amp;"_"&amp;$C$23:$C$45,$D$23:$D$45)*$E790)</f>
        <v>8</v>
      </c>
      <c r="K790" s="67" cm="1">
        <f ca="1" t="array" ref="K790">MIN(18,_xlfn.XLOOKUP($D790&amp;"_"&amp;K$61,$B$23:$B$45&amp;"_"&amp;$C$23:$C$45,$D$23:$D$45)*$E790)</f>
        <v>3.05992848904268</v>
      </c>
      <c r="L790" s="67" cm="1">
        <f ca="1" t="array" ref="L790">MIN(6,_xlfn.XLOOKUP($D790&amp;"_"&amp;L$61,$B$23:$B$45&amp;"_"&amp;$C$23:$C$45,$D$23:$D$45)*$E790)</f>
        <v>4.58989273356401</v>
      </c>
      <c r="M790" s="67" cm="1">
        <f ca="1" t="array" ref="M790">(1+SUMPRODUCT(G790:H790,OFFSET($H$49:$I$49,D790,0)))*(1+OFFSET($J$49,D790,0))^I790*(1+OFFSET($K$49,D790,0))^J790*(1+OFFSET($L$49,D790,0))^K790*(1+OFFSET($M$49,D790,0))^L790</f>
        <v>283.015023407274</v>
      </c>
      <c r="N790" s="67">
        <f ca="1">MAX(MAX($N$62:N789),OFFSET($C$61,MATCH(M790*1.07,$M$62:$M$2061,1),0)-C790)</f>
        <v>28800</v>
      </c>
    </row>
    <row r="791" spans="2:14">
      <c r="B791" s="67">
        <v>730</v>
      </c>
      <c r="C791" s="67">
        <f t="shared" si="78"/>
        <v>262800</v>
      </c>
      <c r="D791" s="67">
        <f t="shared" si="74"/>
        <v>5</v>
      </c>
      <c r="E791" s="67">
        <f ca="1" t="shared" si="75"/>
        <v>760</v>
      </c>
      <c r="F791" s="67">
        <f ca="1" t="shared" si="76"/>
        <v>0</v>
      </c>
      <c r="G791" s="67">
        <f ca="1" t="shared" si="77"/>
        <v>0</v>
      </c>
      <c r="H791" s="67" cm="1">
        <f ca="1" t="array" ref="H791">MIN(30-SUM(I791:L791),_xlfn.XLOOKUP($D791&amp;"_"&amp;H$61,$B$23:$B$45&amp;"_"&amp;$C$23:$C$45,$D$23:$D$45)*$E791,18)</f>
        <v>12.9360399846213</v>
      </c>
      <c r="I791" s="67" cm="1">
        <f ca="1" t="array" ref="I791">MIN(30-SUM(J791:L791),6-L791,_xlfn.XLOOKUP($D791&amp;"_"&amp;I$61,$B$23:$B$45&amp;"_"&amp;$C$23:$C$45,$D$23:$D$45)*$E791)</f>
        <v>1.40405997693195</v>
      </c>
      <c r="J791" s="67" cm="1">
        <f ca="1" t="array" ref="J791">MIN(8,_xlfn.XLOOKUP($D791&amp;"_"&amp;J$61,$B$23:$B$45&amp;"_"&amp;$C$23:$C$45,$D$23:$D$45)*$E791)</f>
        <v>8</v>
      </c>
      <c r="K791" s="67" cm="1">
        <f ca="1" t="array" ref="K791">MIN(18,_xlfn.XLOOKUP($D791&amp;"_"&amp;K$61,$B$23:$B$45&amp;"_"&amp;$C$23:$C$45,$D$23:$D$45)*$E791)</f>
        <v>3.0639600153787</v>
      </c>
      <c r="L791" s="67" cm="1">
        <f ca="1" t="array" ref="L791">MIN(6,_xlfn.XLOOKUP($D791&amp;"_"&amp;L$61,$B$23:$B$45&amp;"_"&amp;$C$23:$C$45,$D$23:$D$45)*$E791)</f>
        <v>4.59594002306805</v>
      </c>
      <c r="M791" s="67" cm="1">
        <f ca="1" t="array" ref="M791">(1+SUMPRODUCT(G791:H791,OFFSET($H$49:$I$49,D791,0)))*(1+OFFSET($J$49,D791,0))^I791*(1+OFFSET($K$49,D791,0))^J791*(1+OFFSET($L$49,D791,0))^K791*(1+OFFSET($M$49,D791,0))^L791</f>
        <v>283.252797232335</v>
      </c>
      <c r="N791" s="67">
        <f ca="1">MAX(MAX($N$62:N790),OFFSET($C$61,MATCH(M791*1.07,$M$62:$M$2061,1),0)-C791)</f>
        <v>28800</v>
      </c>
    </row>
    <row r="792" spans="2:14">
      <c r="B792" s="67">
        <v>731</v>
      </c>
      <c r="C792" s="67">
        <f t="shared" si="78"/>
        <v>263160</v>
      </c>
      <c r="D792" s="67">
        <f t="shared" si="74"/>
        <v>5</v>
      </c>
      <c r="E792" s="67">
        <f ca="1" t="shared" si="75"/>
        <v>761</v>
      </c>
      <c r="F792" s="67">
        <f ca="1" t="shared" si="76"/>
        <v>0</v>
      </c>
      <c r="G792" s="67">
        <f ca="1" t="shared" si="77"/>
        <v>0</v>
      </c>
      <c r="H792" s="67" cm="1">
        <f ca="1" t="array" ref="H792">MIN(30-SUM(I792:L792),_xlfn.XLOOKUP($D792&amp;"_"&amp;H$61,$B$23:$B$45&amp;"_"&amp;$C$23:$C$45,$D$23:$D$45)*$E792,18)</f>
        <v>12.9320084582853</v>
      </c>
      <c r="I792" s="67" cm="1">
        <f ca="1" t="array" ref="I792">MIN(30-SUM(J792:L792),6-L792,_xlfn.XLOOKUP($D792&amp;"_"&amp;I$61,$B$23:$B$45&amp;"_"&amp;$C$23:$C$45,$D$23:$D$45)*$E792)</f>
        <v>1.39801268742791</v>
      </c>
      <c r="J792" s="67" cm="1">
        <f ca="1" t="array" ref="J792">MIN(8,_xlfn.XLOOKUP($D792&amp;"_"&amp;J$61,$B$23:$B$45&amp;"_"&amp;$C$23:$C$45,$D$23:$D$45)*$E792)</f>
        <v>8</v>
      </c>
      <c r="K792" s="67" cm="1">
        <f ca="1" t="array" ref="K792">MIN(18,_xlfn.XLOOKUP($D792&amp;"_"&amp;K$61,$B$23:$B$45&amp;"_"&amp;$C$23:$C$45,$D$23:$D$45)*$E792)</f>
        <v>3.06799154171473</v>
      </c>
      <c r="L792" s="67" cm="1">
        <f ca="1" t="array" ref="L792">MIN(6,_xlfn.XLOOKUP($D792&amp;"_"&amp;L$61,$B$23:$B$45&amp;"_"&amp;$C$23:$C$45,$D$23:$D$45)*$E792)</f>
        <v>4.60198731257209</v>
      </c>
      <c r="M792" s="67" cm="1">
        <f ca="1" t="array" ref="M792">(1+SUMPRODUCT(G792:H792,OFFSET($H$49:$I$49,D792,0)))*(1+OFFSET($J$49,D792,0))^I792*(1+OFFSET($K$49,D792,0))^J792*(1+OFFSET($L$49,D792,0))^K792*(1+OFFSET($M$49,D792,0))^L792</f>
        <v>283.490756499331</v>
      </c>
      <c r="N792" s="67">
        <f ca="1">MAX(MAX($N$62:N791),OFFSET($C$61,MATCH(M792*1.07,$M$62:$M$2061,1),0)-C792)</f>
        <v>28800</v>
      </c>
    </row>
    <row r="793" spans="2:14">
      <c r="B793" s="67">
        <v>732</v>
      </c>
      <c r="C793" s="67">
        <f t="shared" si="78"/>
        <v>263520</v>
      </c>
      <c r="D793" s="67">
        <f t="shared" si="74"/>
        <v>5</v>
      </c>
      <c r="E793" s="67">
        <f ca="1" t="shared" si="75"/>
        <v>762</v>
      </c>
      <c r="F793" s="67">
        <f ca="1" t="shared" si="76"/>
        <v>0</v>
      </c>
      <c r="G793" s="67">
        <f ca="1" t="shared" si="77"/>
        <v>0</v>
      </c>
      <c r="H793" s="67" cm="1">
        <f ca="1" t="array" ref="H793">MIN(30-SUM(I793:L793),_xlfn.XLOOKUP($D793&amp;"_"&amp;H$61,$B$23:$B$45&amp;"_"&amp;$C$23:$C$45,$D$23:$D$45)*$E793,18)</f>
        <v>12.9279769319492</v>
      </c>
      <c r="I793" s="67" cm="1">
        <f ca="1" t="array" ref="I793">MIN(30-SUM(J793:L793),6-L793,_xlfn.XLOOKUP($D793&amp;"_"&amp;I$61,$B$23:$B$45&amp;"_"&amp;$C$23:$C$45,$D$23:$D$45)*$E793)</f>
        <v>1.39196539792387</v>
      </c>
      <c r="J793" s="67" cm="1">
        <f ca="1" t="array" ref="J793">MIN(8,_xlfn.XLOOKUP($D793&amp;"_"&amp;J$61,$B$23:$B$45&amp;"_"&amp;$C$23:$C$45,$D$23:$D$45)*$E793)</f>
        <v>8</v>
      </c>
      <c r="K793" s="67" cm="1">
        <f ca="1" t="array" ref="K793">MIN(18,_xlfn.XLOOKUP($D793&amp;"_"&amp;K$61,$B$23:$B$45&amp;"_"&amp;$C$23:$C$45,$D$23:$D$45)*$E793)</f>
        <v>3.07202306805075</v>
      </c>
      <c r="L793" s="67" cm="1">
        <f ca="1" t="array" ref="L793">MIN(6,_xlfn.XLOOKUP($D793&amp;"_"&amp;L$61,$B$23:$B$45&amp;"_"&amp;$C$23:$C$45,$D$23:$D$45)*$E793)</f>
        <v>4.60803460207613</v>
      </c>
      <c r="M793" s="67" cm="1">
        <f ca="1" t="array" ref="M793">(1+SUMPRODUCT(G793:H793,OFFSET($H$49:$I$49,D793,0)))*(1+OFFSET($J$49,D793,0))^I793*(1+OFFSET($K$49,D793,0))^J793*(1+OFFSET($L$49,D793,0))^K793*(1+OFFSET($M$49,D793,0))^L793</f>
        <v>283.728901333549</v>
      </c>
      <c r="N793" s="67">
        <f ca="1">MAX(MAX($N$62:N792),OFFSET($C$61,MATCH(M793*1.07,$M$62:$M$2061,1),0)-C793)</f>
        <v>28800</v>
      </c>
    </row>
    <row r="794" spans="2:14">
      <c r="B794" s="67">
        <v>733</v>
      </c>
      <c r="C794" s="67">
        <f t="shared" si="78"/>
        <v>263880</v>
      </c>
      <c r="D794" s="67">
        <f t="shared" si="74"/>
        <v>5</v>
      </c>
      <c r="E794" s="67">
        <f ca="1" t="shared" si="75"/>
        <v>763</v>
      </c>
      <c r="F794" s="67">
        <f ca="1" t="shared" si="76"/>
        <v>0</v>
      </c>
      <c r="G794" s="67">
        <f ca="1" t="shared" si="77"/>
        <v>0</v>
      </c>
      <c r="H794" s="67" cm="1">
        <f ca="1" t="array" ref="H794">MIN(30-SUM(I794:L794),_xlfn.XLOOKUP($D794&amp;"_"&amp;H$61,$B$23:$B$45&amp;"_"&amp;$C$23:$C$45,$D$23:$D$45)*$E794,18)</f>
        <v>12.9239454056132</v>
      </c>
      <c r="I794" s="67" cm="1">
        <f ca="1" t="array" ref="I794">MIN(30-SUM(J794:L794),6-L794,_xlfn.XLOOKUP($D794&amp;"_"&amp;I$61,$B$23:$B$45&amp;"_"&amp;$C$23:$C$45,$D$23:$D$45)*$E794)</f>
        <v>1.38591810841984</v>
      </c>
      <c r="J794" s="67" cm="1">
        <f ca="1" t="array" ref="J794">MIN(8,_xlfn.XLOOKUP($D794&amp;"_"&amp;J$61,$B$23:$B$45&amp;"_"&amp;$C$23:$C$45,$D$23:$D$45)*$E794)</f>
        <v>8</v>
      </c>
      <c r="K794" s="67" cm="1">
        <f ca="1" t="array" ref="K794">MIN(18,_xlfn.XLOOKUP($D794&amp;"_"&amp;K$61,$B$23:$B$45&amp;"_"&amp;$C$23:$C$45,$D$23:$D$45)*$E794)</f>
        <v>3.07605459438678</v>
      </c>
      <c r="L794" s="67" cm="1">
        <f ca="1" t="array" ref="L794">MIN(6,_xlfn.XLOOKUP($D794&amp;"_"&amp;L$61,$B$23:$B$45&amp;"_"&amp;$C$23:$C$45,$D$23:$D$45)*$E794)</f>
        <v>4.61408189158016</v>
      </c>
      <c r="M794" s="67" cm="1">
        <f ca="1" t="array" ref="M794">(1+SUMPRODUCT(G794:H794,OFFSET($H$49:$I$49,D794,0)))*(1+OFFSET($J$49,D794,0))^I794*(1+OFFSET($K$49,D794,0))^J794*(1+OFFSET($L$49,D794,0))^K794*(1+OFFSET($M$49,D794,0))^L794</f>
        <v>283.967231860334</v>
      </c>
      <c r="N794" s="67">
        <f ca="1">MAX(MAX($N$62:N793),OFFSET($C$61,MATCH(M794*1.07,$M$62:$M$2061,1),0)-C794)</f>
        <v>28800</v>
      </c>
    </row>
    <row r="795" spans="2:14">
      <c r="B795" s="67">
        <v>734</v>
      </c>
      <c r="C795" s="67">
        <f t="shared" si="78"/>
        <v>264240</v>
      </c>
      <c r="D795" s="67">
        <f t="shared" si="74"/>
        <v>5</v>
      </c>
      <c r="E795" s="67">
        <f ca="1" t="shared" si="75"/>
        <v>764</v>
      </c>
      <c r="F795" s="67">
        <f ca="1" t="shared" si="76"/>
        <v>0</v>
      </c>
      <c r="G795" s="67">
        <f ca="1" t="shared" si="77"/>
        <v>0</v>
      </c>
      <c r="H795" s="67" cm="1">
        <f ca="1" t="array" ref="H795">MIN(30-SUM(I795:L795),_xlfn.XLOOKUP($D795&amp;"_"&amp;H$61,$B$23:$B$45&amp;"_"&amp;$C$23:$C$45,$D$23:$D$45)*$E795,18)</f>
        <v>12.9199138792772</v>
      </c>
      <c r="I795" s="67" cm="1">
        <f ca="1" t="array" ref="I795">MIN(30-SUM(J795:L795),6-L795,_xlfn.XLOOKUP($D795&amp;"_"&amp;I$61,$B$23:$B$45&amp;"_"&amp;$C$23:$C$45,$D$23:$D$45)*$E795)</f>
        <v>1.3798708189158</v>
      </c>
      <c r="J795" s="67" cm="1">
        <f ca="1" t="array" ref="J795">MIN(8,_xlfn.XLOOKUP($D795&amp;"_"&amp;J$61,$B$23:$B$45&amp;"_"&amp;$C$23:$C$45,$D$23:$D$45)*$E795)</f>
        <v>8</v>
      </c>
      <c r="K795" s="67" cm="1">
        <f ca="1" t="array" ref="K795">MIN(18,_xlfn.XLOOKUP($D795&amp;"_"&amp;K$61,$B$23:$B$45&amp;"_"&amp;$C$23:$C$45,$D$23:$D$45)*$E795)</f>
        <v>3.0800861207228</v>
      </c>
      <c r="L795" s="67" cm="1">
        <f ca="1" t="array" ref="L795">MIN(6,_xlfn.XLOOKUP($D795&amp;"_"&amp;L$61,$B$23:$B$45&amp;"_"&amp;$C$23:$C$45,$D$23:$D$45)*$E795)</f>
        <v>4.6201291810842</v>
      </c>
      <c r="M795" s="67" cm="1">
        <f ca="1" t="array" ref="M795">(1+SUMPRODUCT(G795:H795,OFFSET($H$49:$I$49,D795,0)))*(1+OFFSET($J$49,D795,0))^I795*(1+OFFSET($K$49,D795,0))^J795*(1+OFFSET($L$49,D795,0))^K795*(1+OFFSET($M$49,D795,0))^L795</f>
        <v>284.205748205086</v>
      </c>
      <c r="N795" s="67">
        <f ca="1">MAX(MAX($N$62:N794),OFFSET($C$61,MATCH(M795*1.07,$M$62:$M$2061,1),0)-C795)</f>
        <v>28800</v>
      </c>
    </row>
    <row r="796" spans="2:14">
      <c r="B796" s="67">
        <v>735</v>
      </c>
      <c r="C796" s="67">
        <f t="shared" si="78"/>
        <v>264600</v>
      </c>
      <c r="D796" s="67">
        <f t="shared" si="74"/>
        <v>5</v>
      </c>
      <c r="E796" s="67">
        <f ca="1" t="shared" si="75"/>
        <v>765</v>
      </c>
      <c r="F796" s="67">
        <f ca="1" t="shared" si="76"/>
        <v>0</v>
      </c>
      <c r="G796" s="67">
        <f ca="1" t="shared" si="77"/>
        <v>0</v>
      </c>
      <c r="H796" s="67" cm="1">
        <f ca="1" t="array" ref="H796">MIN(30-SUM(I796:L796),_xlfn.XLOOKUP($D796&amp;"_"&amp;H$61,$B$23:$B$45&amp;"_"&amp;$C$23:$C$45,$D$23:$D$45)*$E796,18)</f>
        <v>12.9158823529412</v>
      </c>
      <c r="I796" s="67" cm="1">
        <f ca="1" t="array" ref="I796">MIN(30-SUM(J796:L796),6-L796,_xlfn.XLOOKUP($D796&amp;"_"&amp;I$61,$B$23:$B$45&amp;"_"&amp;$C$23:$C$45,$D$23:$D$45)*$E796)</f>
        <v>1.37382352941176</v>
      </c>
      <c r="J796" s="67" cm="1">
        <f ca="1" t="array" ref="J796">MIN(8,_xlfn.XLOOKUP($D796&amp;"_"&amp;J$61,$B$23:$B$45&amp;"_"&amp;$C$23:$C$45,$D$23:$D$45)*$E796)</f>
        <v>8</v>
      </c>
      <c r="K796" s="67" cm="1">
        <f ca="1" t="array" ref="K796">MIN(18,_xlfn.XLOOKUP($D796&amp;"_"&amp;K$61,$B$23:$B$45&amp;"_"&amp;$C$23:$C$45,$D$23:$D$45)*$E796)</f>
        <v>3.08411764705883</v>
      </c>
      <c r="L796" s="67" cm="1">
        <f ca="1" t="array" ref="L796">MIN(6,_xlfn.XLOOKUP($D796&amp;"_"&amp;L$61,$B$23:$B$45&amp;"_"&amp;$C$23:$C$45,$D$23:$D$45)*$E796)</f>
        <v>4.62617647058824</v>
      </c>
      <c r="M796" s="67" cm="1">
        <f ca="1" t="array" ref="M796">(1+SUMPRODUCT(G796:H796,OFFSET($H$49:$I$49,D796,0)))*(1+OFFSET($J$49,D796,0))^I796*(1+OFFSET($K$49,D796,0))^J796*(1+OFFSET($L$49,D796,0))^K796*(1+OFFSET($M$49,D796,0))^L796</f>
        <v>284.444450493264</v>
      </c>
      <c r="N796" s="67">
        <f ca="1">MAX(MAX($N$62:N795),OFFSET($C$61,MATCH(M796*1.07,$M$62:$M$2061,1),0)-C796)</f>
        <v>28800</v>
      </c>
    </row>
    <row r="797" spans="2:14">
      <c r="B797" s="67">
        <v>736</v>
      </c>
      <c r="C797" s="67">
        <f t="shared" si="78"/>
        <v>264960</v>
      </c>
      <c r="D797" s="67">
        <f t="shared" si="74"/>
        <v>5</v>
      </c>
      <c r="E797" s="67">
        <f ca="1" t="shared" si="75"/>
        <v>766</v>
      </c>
      <c r="F797" s="67">
        <f ca="1" t="shared" si="76"/>
        <v>0</v>
      </c>
      <c r="G797" s="67">
        <f ca="1" t="shared" si="77"/>
        <v>0</v>
      </c>
      <c r="H797" s="67" cm="1">
        <f ca="1" t="array" ref="H797">MIN(30-SUM(I797:L797),_xlfn.XLOOKUP($D797&amp;"_"&amp;H$61,$B$23:$B$45&amp;"_"&amp;$C$23:$C$45,$D$23:$D$45)*$E797,18)</f>
        <v>12.9118508266051</v>
      </c>
      <c r="I797" s="67" cm="1">
        <f ca="1" t="array" ref="I797">MIN(30-SUM(J797:L797),6-L797,_xlfn.XLOOKUP($D797&amp;"_"&amp;I$61,$B$23:$B$45&amp;"_"&amp;$C$23:$C$45,$D$23:$D$45)*$E797)</f>
        <v>1.36777623990773</v>
      </c>
      <c r="J797" s="67" cm="1">
        <f ca="1" t="array" ref="J797">MIN(8,_xlfn.XLOOKUP($D797&amp;"_"&amp;J$61,$B$23:$B$45&amp;"_"&amp;$C$23:$C$45,$D$23:$D$45)*$E797)</f>
        <v>8</v>
      </c>
      <c r="K797" s="67" cm="1">
        <f ca="1" t="array" ref="K797">MIN(18,_xlfn.XLOOKUP($D797&amp;"_"&amp;K$61,$B$23:$B$45&amp;"_"&amp;$C$23:$C$45,$D$23:$D$45)*$E797)</f>
        <v>3.08814917339485</v>
      </c>
      <c r="L797" s="67" cm="1">
        <f ca="1" t="array" ref="L797">MIN(6,_xlfn.XLOOKUP($D797&amp;"_"&amp;L$61,$B$23:$B$45&amp;"_"&amp;$C$23:$C$45,$D$23:$D$45)*$E797)</f>
        <v>4.63222376009227</v>
      </c>
      <c r="M797" s="67" cm="1">
        <f ca="1" t="array" ref="M797">(1+SUMPRODUCT(G797:H797,OFFSET($H$49:$I$49,D797,0)))*(1+OFFSET($J$49,D797,0))^I797*(1+OFFSET($K$49,D797,0))^J797*(1+OFFSET($L$49,D797,0))^K797*(1+OFFSET($M$49,D797,0))^L797</f>
        <v>284.68333885038</v>
      </c>
      <c r="N797" s="67">
        <f ca="1">MAX(MAX($N$62:N796),OFFSET($C$61,MATCH(M797*1.07,$M$62:$M$2061,1),0)-C797)</f>
        <v>28800</v>
      </c>
    </row>
    <row r="798" spans="2:14">
      <c r="B798" s="67">
        <v>737</v>
      </c>
      <c r="C798" s="67">
        <f t="shared" si="78"/>
        <v>265320</v>
      </c>
      <c r="D798" s="67">
        <f t="shared" si="74"/>
        <v>5</v>
      </c>
      <c r="E798" s="67">
        <f ca="1" t="shared" si="75"/>
        <v>767</v>
      </c>
      <c r="F798" s="67">
        <f ca="1" t="shared" si="76"/>
        <v>0</v>
      </c>
      <c r="G798" s="67">
        <f ca="1" t="shared" si="77"/>
        <v>0</v>
      </c>
      <c r="H798" s="67" cm="1">
        <f ca="1" t="array" ref="H798">MIN(30-SUM(I798:L798),_xlfn.XLOOKUP($D798&amp;"_"&amp;H$61,$B$23:$B$45&amp;"_"&amp;$C$23:$C$45,$D$23:$D$45)*$E798,18)</f>
        <v>12.9078193002691</v>
      </c>
      <c r="I798" s="67" cm="1">
        <f ca="1" t="array" ref="I798">MIN(30-SUM(J798:L798),6-L798,_xlfn.XLOOKUP($D798&amp;"_"&amp;I$61,$B$23:$B$45&amp;"_"&amp;$C$23:$C$45,$D$23:$D$45)*$E798)</f>
        <v>1.36172895040369</v>
      </c>
      <c r="J798" s="67" cm="1">
        <f ca="1" t="array" ref="J798">MIN(8,_xlfn.XLOOKUP($D798&amp;"_"&amp;J$61,$B$23:$B$45&amp;"_"&amp;$C$23:$C$45,$D$23:$D$45)*$E798)</f>
        <v>8</v>
      </c>
      <c r="K798" s="67" cm="1">
        <f ca="1" t="array" ref="K798">MIN(18,_xlfn.XLOOKUP($D798&amp;"_"&amp;K$61,$B$23:$B$45&amp;"_"&amp;$C$23:$C$45,$D$23:$D$45)*$E798)</f>
        <v>3.09218069973088</v>
      </c>
      <c r="L798" s="67" cm="1">
        <f ca="1" t="array" ref="L798">MIN(6,_xlfn.XLOOKUP($D798&amp;"_"&amp;L$61,$B$23:$B$45&amp;"_"&amp;$C$23:$C$45,$D$23:$D$45)*$E798)</f>
        <v>4.63827104959631</v>
      </c>
      <c r="M798" s="67" cm="1">
        <f ca="1" t="array" ref="M798">(1+SUMPRODUCT(G798:H798,OFFSET($H$49:$I$49,D798,0)))*(1+OFFSET($J$49,D798,0))^I798*(1+OFFSET($K$49,D798,0))^J798*(1+OFFSET($L$49,D798,0))^K798*(1+OFFSET($M$49,D798,0))^L798</f>
        <v>284.922413402006</v>
      </c>
      <c r="N798" s="67">
        <f ca="1">MAX(MAX($N$62:N797),OFFSET($C$61,MATCH(M798*1.07,$M$62:$M$2061,1),0)-C798)</f>
        <v>28800</v>
      </c>
    </row>
    <row r="799" spans="2:14">
      <c r="B799" s="67">
        <v>738</v>
      </c>
      <c r="C799" s="67">
        <f t="shared" si="78"/>
        <v>265680</v>
      </c>
      <c r="D799" s="67">
        <f t="shared" si="74"/>
        <v>5</v>
      </c>
      <c r="E799" s="67">
        <f ca="1" t="shared" si="75"/>
        <v>768</v>
      </c>
      <c r="F799" s="67">
        <f ca="1" t="shared" si="76"/>
        <v>0</v>
      </c>
      <c r="G799" s="67">
        <f ca="1" t="shared" si="77"/>
        <v>0</v>
      </c>
      <c r="H799" s="67" cm="1">
        <f ca="1" t="array" ref="H799">MIN(30-SUM(I799:L799),_xlfn.XLOOKUP($D799&amp;"_"&amp;H$61,$B$23:$B$45&amp;"_"&amp;$C$23:$C$45,$D$23:$D$45)*$E799,18)</f>
        <v>12.9037877739331</v>
      </c>
      <c r="I799" s="67" cm="1">
        <f ca="1" t="array" ref="I799">MIN(30-SUM(J799:L799),6-L799,_xlfn.XLOOKUP($D799&amp;"_"&amp;I$61,$B$23:$B$45&amp;"_"&amp;$C$23:$C$45,$D$23:$D$45)*$E799)</f>
        <v>1.35568166089965</v>
      </c>
      <c r="J799" s="67" cm="1">
        <f ca="1" t="array" ref="J799">MIN(8,_xlfn.XLOOKUP($D799&amp;"_"&amp;J$61,$B$23:$B$45&amp;"_"&amp;$C$23:$C$45,$D$23:$D$45)*$E799)</f>
        <v>8</v>
      </c>
      <c r="K799" s="67" cm="1">
        <f ca="1" t="array" ref="K799">MIN(18,_xlfn.XLOOKUP($D799&amp;"_"&amp;K$61,$B$23:$B$45&amp;"_"&amp;$C$23:$C$45,$D$23:$D$45)*$E799)</f>
        <v>3.0962122260669</v>
      </c>
      <c r="L799" s="67" cm="1">
        <f ca="1" t="array" ref="L799">MIN(6,_xlfn.XLOOKUP($D799&amp;"_"&amp;L$61,$B$23:$B$45&amp;"_"&amp;$C$23:$C$45,$D$23:$D$45)*$E799)</f>
        <v>4.64431833910035</v>
      </c>
      <c r="M799" s="67" cm="1">
        <f ca="1" t="array" ref="M799">(1+SUMPRODUCT(G799:H799,OFFSET($H$49:$I$49,D799,0)))*(1+OFFSET($J$49,D799,0))^I799*(1+OFFSET($K$49,D799,0))^J799*(1+OFFSET($L$49,D799,0))^K799*(1+OFFSET($M$49,D799,0))^L799</f>
        <v>285.161674273766</v>
      </c>
      <c r="N799" s="67">
        <f ca="1">MAX(MAX($N$62:N798),OFFSET($C$61,MATCH(M799*1.07,$M$62:$M$2061,1),0)-C799)</f>
        <v>28800</v>
      </c>
    </row>
    <row r="800" spans="2:14">
      <c r="B800" s="67">
        <v>739</v>
      </c>
      <c r="C800" s="67">
        <f t="shared" si="78"/>
        <v>266040</v>
      </c>
      <c r="D800" s="67">
        <f t="shared" si="74"/>
        <v>5</v>
      </c>
      <c r="E800" s="67">
        <f ca="1" t="shared" si="75"/>
        <v>769</v>
      </c>
      <c r="F800" s="67">
        <f ca="1" t="shared" si="76"/>
        <v>0</v>
      </c>
      <c r="G800" s="67">
        <f ca="1" t="shared" si="77"/>
        <v>0</v>
      </c>
      <c r="H800" s="67" cm="1">
        <f ca="1" t="array" ref="H800">MIN(30-SUM(I800:L800),_xlfn.XLOOKUP($D800&amp;"_"&amp;H$61,$B$23:$B$45&amp;"_"&amp;$C$23:$C$45,$D$23:$D$45)*$E800,18)</f>
        <v>12.8997562475971</v>
      </c>
      <c r="I800" s="67" cm="1">
        <f ca="1" t="array" ref="I800">MIN(30-SUM(J800:L800),6-L800,_xlfn.XLOOKUP($D800&amp;"_"&amp;I$61,$B$23:$B$45&amp;"_"&amp;$C$23:$C$45,$D$23:$D$45)*$E800)</f>
        <v>1.34963437139562</v>
      </c>
      <c r="J800" s="67" cm="1">
        <f ca="1" t="array" ref="J800">MIN(8,_xlfn.XLOOKUP($D800&amp;"_"&amp;J$61,$B$23:$B$45&amp;"_"&amp;$C$23:$C$45,$D$23:$D$45)*$E800)</f>
        <v>8</v>
      </c>
      <c r="K800" s="67" cm="1">
        <f ca="1" t="array" ref="K800">MIN(18,_xlfn.XLOOKUP($D800&amp;"_"&amp;K$61,$B$23:$B$45&amp;"_"&amp;$C$23:$C$45,$D$23:$D$45)*$E800)</f>
        <v>3.10024375240292</v>
      </c>
      <c r="L800" s="67" cm="1">
        <f ca="1" t="array" ref="L800">MIN(6,_xlfn.XLOOKUP($D800&amp;"_"&amp;L$61,$B$23:$B$45&amp;"_"&amp;$C$23:$C$45,$D$23:$D$45)*$E800)</f>
        <v>4.65036562860438</v>
      </c>
      <c r="M800" s="67" cm="1">
        <f ca="1" t="array" ref="M800">(1+SUMPRODUCT(G800:H800,OFFSET($H$49:$I$49,D800,0)))*(1+OFFSET($J$49,D800,0))^I800*(1+OFFSET($K$49,D800,0))^J800*(1+OFFSET($L$49,D800,0))^K800*(1+OFFSET($M$49,D800,0))^L800</f>
        <v>285.401121591346</v>
      </c>
      <c r="N800" s="67">
        <f ca="1">MAX(MAX($N$62:N799),OFFSET($C$61,MATCH(M800*1.07,$M$62:$M$2061,1),0)-C800)</f>
        <v>28800</v>
      </c>
    </row>
    <row r="801" spans="2:14">
      <c r="B801" s="67">
        <v>740</v>
      </c>
      <c r="C801" s="67">
        <f t="shared" si="78"/>
        <v>266400</v>
      </c>
      <c r="D801" s="67">
        <f t="shared" si="74"/>
        <v>5</v>
      </c>
      <c r="E801" s="67">
        <f ca="1" t="shared" si="75"/>
        <v>770</v>
      </c>
      <c r="F801" s="67">
        <f ca="1" t="shared" si="76"/>
        <v>0</v>
      </c>
      <c r="G801" s="67">
        <f ca="1" t="shared" si="77"/>
        <v>0</v>
      </c>
      <c r="H801" s="67" cm="1">
        <f ca="1" t="array" ref="H801">MIN(30-SUM(I801:L801),_xlfn.XLOOKUP($D801&amp;"_"&amp;H$61,$B$23:$B$45&amp;"_"&amp;$C$23:$C$45,$D$23:$D$45)*$E801,18)</f>
        <v>12.8957247212611</v>
      </c>
      <c r="I801" s="67" cm="1">
        <f ca="1" t="array" ref="I801">MIN(30-SUM(J801:L801),6-L801,_xlfn.XLOOKUP($D801&amp;"_"&amp;I$61,$B$23:$B$45&amp;"_"&amp;$C$23:$C$45,$D$23:$D$45)*$E801)</f>
        <v>1.34358708189158</v>
      </c>
      <c r="J801" s="67" cm="1">
        <f ca="1" t="array" ref="J801">MIN(8,_xlfn.XLOOKUP($D801&amp;"_"&amp;J$61,$B$23:$B$45&amp;"_"&amp;$C$23:$C$45,$D$23:$D$45)*$E801)</f>
        <v>8</v>
      </c>
      <c r="K801" s="67" cm="1">
        <f ca="1" t="array" ref="K801">MIN(18,_xlfn.XLOOKUP($D801&amp;"_"&amp;K$61,$B$23:$B$45&amp;"_"&amp;$C$23:$C$45,$D$23:$D$45)*$E801)</f>
        <v>3.10427527873895</v>
      </c>
      <c r="L801" s="67" cm="1">
        <f ca="1" t="array" ref="L801">MIN(6,_xlfn.XLOOKUP($D801&amp;"_"&amp;L$61,$B$23:$B$45&amp;"_"&amp;$C$23:$C$45,$D$23:$D$45)*$E801)</f>
        <v>4.65641291810842</v>
      </c>
      <c r="M801" s="67" cm="1">
        <f ca="1" t="array" ref="M801">(1+SUMPRODUCT(G801:H801,OFFSET($H$49:$I$49,D801,0)))*(1+OFFSET($J$49,D801,0))^I801*(1+OFFSET($K$49,D801,0))^J801*(1+OFFSET($L$49,D801,0))^K801*(1+OFFSET($M$49,D801,0))^L801</f>
        <v>285.640755480483</v>
      </c>
      <c r="N801" s="67">
        <f ca="1">MAX(MAX($N$62:N800),OFFSET($C$61,MATCH(M801*1.07,$M$62:$M$2061,1),0)-C801)</f>
        <v>28800</v>
      </c>
    </row>
    <row r="802" spans="2:14">
      <c r="B802" s="67">
        <v>741</v>
      </c>
      <c r="C802" s="67">
        <f t="shared" si="78"/>
        <v>266760</v>
      </c>
      <c r="D802" s="67">
        <f t="shared" si="74"/>
        <v>5</v>
      </c>
      <c r="E802" s="67">
        <f ca="1" t="shared" si="75"/>
        <v>771</v>
      </c>
      <c r="F802" s="67">
        <f ca="1" t="shared" si="76"/>
        <v>0</v>
      </c>
      <c r="G802" s="67">
        <f ca="1" t="shared" si="77"/>
        <v>0</v>
      </c>
      <c r="H802" s="67" cm="1">
        <f ca="1" t="array" ref="H802">MIN(30-SUM(I802:L802),_xlfn.XLOOKUP($D802&amp;"_"&amp;H$61,$B$23:$B$45&amp;"_"&amp;$C$23:$C$45,$D$23:$D$45)*$E802,18)</f>
        <v>12.891693194925</v>
      </c>
      <c r="I802" s="67" cm="1">
        <f ca="1" t="array" ref="I802">MIN(30-SUM(J802:L802),6-L802,_xlfn.XLOOKUP($D802&amp;"_"&amp;I$61,$B$23:$B$45&amp;"_"&amp;$C$23:$C$45,$D$23:$D$45)*$E802)</f>
        <v>1.33753979238754</v>
      </c>
      <c r="J802" s="67" cm="1">
        <f ca="1" t="array" ref="J802">MIN(8,_xlfn.XLOOKUP($D802&amp;"_"&amp;J$61,$B$23:$B$45&amp;"_"&amp;$C$23:$C$45,$D$23:$D$45)*$E802)</f>
        <v>8</v>
      </c>
      <c r="K802" s="67" cm="1">
        <f ca="1" t="array" ref="K802">MIN(18,_xlfn.XLOOKUP($D802&amp;"_"&amp;K$61,$B$23:$B$45&amp;"_"&amp;$C$23:$C$45,$D$23:$D$45)*$E802)</f>
        <v>3.10830680507497</v>
      </c>
      <c r="L802" s="67" cm="1">
        <f ca="1" t="array" ref="L802">MIN(6,_xlfn.XLOOKUP($D802&amp;"_"&amp;L$61,$B$23:$B$45&amp;"_"&amp;$C$23:$C$45,$D$23:$D$45)*$E802)</f>
        <v>4.66246020761246</v>
      </c>
      <c r="M802" s="67" cm="1">
        <f ca="1" t="array" ref="M802">(1+SUMPRODUCT(G802:H802,OFFSET($H$49:$I$49,D802,0)))*(1+OFFSET($J$49,D802,0))^I802*(1+OFFSET($K$49,D802,0))^J802*(1+OFFSET($L$49,D802,0))^K802*(1+OFFSET($M$49,D802,0))^L802</f>
        <v>285.880576066973</v>
      </c>
      <c r="N802" s="67">
        <f ca="1">MAX(MAX($N$62:N801),OFFSET($C$61,MATCH(M802*1.07,$M$62:$M$2061,1),0)-C802)</f>
        <v>28800</v>
      </c>
    </row>
    <row r="803" spans="2:14">
      <c r="B803" s="67">
        <v>742</v>
      </c>
      <c r="C803" s="67">
        <f t="shared" si="78"/>
        <v>267120</v>
      </c>
      <c r="D803" s="67">
        <f t="shared" si="74"/>
        <v>5</v>
      </c>
      <c r="E803" s="67">
        <f ca="1" t="shared" si="75"/>
        <v>772</v>
      </c>
      <c r="F803" s="67">
        <f ca="1" t="shared" si="76"/>
        <v>0</v>
      </c>
      <c r="G803" s="67">
        <f ca="1" t="shared" si="77"/>
        <v>0</v>
      </c>
      <c r="H803" s="67" cm="1">
        <f ca="1" t="array" ref="H803">MIN(30-SUM(I803:L803),_xlfn.XLOOKUP($D803&amp;"_"&amp;H$61,$B$23:$B$45&amp;"_"&amp;$C$23:$C$45,$D$23:$D$45)*$E803,18)</f>
        <v>12.887661668589</v>
      </c>
      <c r="I803" s="67" cm="1">
        <f ca="1" t="array" ref="I803">MIN(30-SUM(J803:L803),6-L803,_xlfn.XLOOKUP($D803&amp;"_"&amp;I$61,$B$23:$B$45&amp;"_"&amp;$C$23:$C$45,$D$23:$D$45)*$E803)</f>
        <v>1.33149250288351</v>
      </c>
      <c r="J803" s="67" cm="1">
        <f ca="1" t="array" ref="J803">MIN(8,_xlfn.XLOOKUP($D803&amp;"_"&amp;J$61,$B$23:$B$45&amp;"_"&amp;$C$23:$C$45,$D$23:$D$45)*$E803)</f>
        <v>8</v>
      </c>
      <c r="K803" s="67" cm="1">
        <f ca="1" t="array" ref="K803">MIN(18,_xlfn.XLOOKUP($D803&amp;"_"&amp;K$61,$B$23:$B$45&amp;"_"&amp;$C$23:$C$45,$D$23:$D$45)*$E803)</f>
        <v>3.112338331411</v>
      </c>
      <c r="L803" s="67" cm="1">
        <f ca="1" t="array" ref="L803">MIN(6,_xlfn.XLOOKUP($D803&amp;"_"&amp;L$61,$B$23:$B$45&amp;"_"&amp;$C$23:$C$45,$D$23:$D$45)*$E803)</f>
        <v>4.66850749711649</v>
      </c>
      <c r="M803" s="67" cm="1">
        <f ca="1" t="array" ref="M803">(1+SUMPRODUCT(G803:H803,OFFSET($H$49:$I$49,D803,0)))*(1+OFFSET($J$49,D803,0))^I803*(1+OFFSET($K$49,D803,0))^J803*(1+OFFSET($L$49,D803,0))^K803*(1+OFFSET($M$49,D803,0))^L803</f>
        <v>286.120583476669</v>
      </c>
      <c r="N803" s="67">
        <f ca="1">MAX(MAX($N$62:N802),OFFSET($C$61,MATCH(M803*1.07,$M$62:$M$2061,1),0)-C803)</f>
        <v>28800</v>
      </c>
    </row>
    <row r="804" spans="2:14">
      <c r="B804" s="67">
        <v>743</v>
      </c>
      <c r="C804" s="67">
        <f t="shared" si="78"/>
        <v>267480</v>
      </c>
      <c r="D804" s="67">
        <f t="shared" si="74"/>
        <v>5</v>
      </c>
      <c r="E804" s="67">
        <f ca="1" t="shared" si="75"/>
        <v>773</v>
      </c>
      <c r="F804" s="67">
        <f ca="1" t="shared" si="76"/>
        <v>0</v>
      </c>
      <c r="G804" s="67">
        <f ca="1" t="shared" si="77"/>
        <v>0</v>
      </c>
      <c r="H804" s="67" cm="1">
        <f ca="1" t="array" ref="H804">MIN(30-SUM(I804:L804),_xlfn.XLOOKUP($D804&amp;"_"&amp;H$61,$B$23:$B$45&amp;"_"&amp;$C$23:$C$45,$D$23:$D$45)*$E804,18)</f>
        <v>12.883630142253</v>
      </c>
      <c r="I804" s="67" cm="1">
        <f ca="1" t="array" ref="I804">MIN(30-SUM(J804:L804),6-L804,_xlfn.XLOOKUP($D804&amp;"_"&amp;I$61,$B$23:$B$45&amp;"_"&amp;$C$23:$C$45,$D$23:$D$45)*$E804)</f>
        <v>1.32544521337947</v>
      </c>
      <c r="J804" s="67" cm="1">
        <f ca="1" t="array" ref="J804">MIN(8,_xlfn.XLOOKUP($D804&amp;"_"&amp;J$61,$B$23:$B$45&amp;"_"&amp;$C$23:$C$45,$D$23:$D$45)*$E804)</f>
        <v>8</v>
      </c>
      <c r="K804" s="67" cm="1">
        <f ca="1" t="array" ref="K804">MIN(18,_xlfn.XLOOKUP($D804&amp;"_"&amp;K$61,$B$23:$B$45&amp;"_"&amp;$C$23:$C$45,$D$23:$D$45)*$E804)</f>
        <v>3.11636985774702</v>
      </c>
      <c r="L804" s="67" cm="1">
        <f ca="1" t="array" ref="L804">MIN(6,_xlfn.XLOOKUP($D804&amp;"_"&amp;L$61,$B$23:$B$45&amp;"_"&amp;$C$23:$C$45,$D$23:$D$45)*$E804)</f>
        <v>4.67455478662053</v>
      </c>
      <c r="M804" s="67" cm="1">
        <f ca="1" t="array" ref="M804">(1+SUMPRODUCT(G804:H804,OFFSET($H$49:$I$49,D804,0)))*(1+OFFSET($J$49,D804,0))^I804*(1+OFFSET($K$49,D804,0))^J804*(1+OFFSET($L$49,D804,0))^K804*(1+OFFSET($M$49,D804,0))^L804</f>
        <v>286.360777835479</v>
      </c>
      <c r="N804" s="67">
        <f ca="1">MAX(MAX($N$62:N803),OFFSET($C$61,MATCH(M804*1.07,$M$62:$M$2061,1),0)-C804)</f>
        <v>28800</v>
      </c>
    </row>
    <row r="805" spans="2:14">
      <c r="B805" s="67">
        <v>744</v>
      </c>
      <c r="C805" s="67">
        <f t="shared" si="78"/>
        <v>267840</v>
      </c>
      <c r="D805" s="67">
        <f t="shared" si="74"/>
        <v>5</v>
      </c>
      <c r="E805" s="67">
        <f ca="1" t="shared" si="75"/>
        <v>774</v>
      </c>
      <c r="F805" s="67">
        <f ca="1" t="shared" si="76"/>
        <v>0</v>
      </c>
      <c r="G805" s="67">
        <f ca="1" t="shared" si="77"/>
        <v>0</v>
      </c>
      <c r="H805" s="67" cm="1">
        <f ca="1" t="array" ref="H805">MIN(30-SUM(I805:L805),_xlfn.XLOOKUP($D805&amp;"_"&amp;H$61,$B$23:$B$45&amp;"_"&amp;$C$23:$C$45,$D$23:$D$45)*$E805,18)</f>
        <v>12.879598615917</v>
      </c>
      <c r="I805" s="67" cm="1">
        <f ca="1" t="array" ref="I805">MIN(30-SUM(J805:L805),6-L805,_xlfn.XLOOKUP($D805&amp;"_"&amp;I$61,$B$23:$B$45&amp;"_"&amp;$C$23:$C$45,$D$23:$D$45)*$E805)</f>
        <v>1.31939792387543</v>
      </c>
      <c r="J805" s="67" cm="1">
        <f ca="1" t="array" ref="J805">MIN(8,_xlfn.XLOOKUP($D805&amp;"_"&amp;J$61,$B$23:$B$45&amp;"_"&amp;$C$23:$C$45,$D$23:$D$45)*$E805)</f>
        <v>8</v>
      </c>
      <c r="K805" s="67" cm="1">
        <f ca="1" t="array" ref="K805">MIN(18,_xlfn.XLOOKUP($D805&amp;"_"&amp;K$61,$B$23:$B$45&amp;"_"&amp;$C$23:$C$45,$D$23:$D$45)*$E805)</f>
        <v>3.12040138408305</v>
      </c>
      <c r="L805" s="67" cm="1">
        <f ca="1" t="array" ref="L805">MIN(6,_xlfn.XLOOKUP($D805&amp;"_"&amp;L$61,$B$23:$B$45&amp;"_"&amp;$C$23:$C$45,$D$23:$D$45)*$E805)</f>
        <v>4.68060207612457</v>
      </c>
      <c r="M805" s="67" cm="1">
        <f ca="1" t="array" ref="M805">(1+SUMPRODUCT(G805:H805,OFFSET($H$49:$I$49,D805,0)))*(1+OFFSET($J$49,D805,0))^I805*(1+OFFSET($K$49,D805,0))^J805*(1+OFFSET($L$49,D805,0))^K805*(1+OFFSET($M$49,D805,0))^L805</f>
        <v>286.601159269367</v>
      </c>
      <c r="N805" s="67">
        <f ca="1">MAX(MAX($N$62:N804),OFFSET($C$61,MATCH(M805*1.07,$M$62:$M$2061,1),0)-C805)</f>
        <v>28800</v>
      </c>
    </row>
    <row r="806" spans="2:14">
      <c r="B806" s="67">
        <v>745</v>
      </c>
      <c r="C806" s="67">
        <f t="shared" si="78"/>
        <v>268200</v>
      </c>
      <c r="D806" s="67">
        <f t="shared" si="74"/>
        <v>5</v>
      </c>
      <c r="E806" s="67">
        <f ca="1" t="shared" si="75"/>
        <v>775</v>
      </c>
      <c r="F806" s="67">
        <f ca="1" t="shared" si="76"/>
        <v>0</v>
      </c>
      <c r="G806" s="67">
        <f ca="1" t="shared" si="77"/>
        <v>0</v>
      </c>
      <c r="H806" s="67" cm="1">
        <f ca="1" t="array" ref="H806">MIN(30-SUM(I806:L806),_xlfn.XLOOKUP($D806&amp;"_"&amp;H$61,$B$23:$B$45&amp;"_"&amp;$C$23:$C$45,$D$23:$D$45)*$E806,18)</f>
        <v>12.8755670895809</v>
      </c>
      <c r="I806" s="67" cm="1">
        <f ca="1" t="array" ref="I806">MIN(30-SUM(J806:L806),6-L806,_xlfn.XLOOKUP($D806&amp;"_"&amp;I$61,$B$23:$B$45&amp;"_"&amp;$C$23:$C$45,$D$23:$D$45)*$E806)</f>
        <v>1.31335063437139</v>
      </c>
      <c r="J806" s="67" cm="1">
        <f ca="1" t="array" ref="J806">MIN(8,_xlfn.XLOOKUP($D806&amp;"_"&amp;J$61,$B$23:$B$45&amp;"_"&amp;$C$23:$C$45,$D$23:$D$45)*$E806)</f>
        <v>8</v>
      </c>
      <c r="K806" s="67" cm="1">
        <f ca="1" t="array" ref="K806">MIN(18,_xlfn.XLOOKUP($D806&amp;"_"&amp;K$61,$B$23:$B$45&amp;"_"&amp;$C$23:$C$45,$D$23:$D$45)*$E806)</f>
        <v>3.12443291041907</v>
      </c>
      <c r="L806" s="67" cm="1">
        <f ca="1" t="array" ref="L806">MIN(6,_xlfn.XLOOKUP($D806&amp;"_"&amp;L$61,$B$23:$B$45&amp;"_"&amp;$C$23:$C$45,$D$23:$D$45)*$E806)</f>
        <v>4.68664936562861</v>
      </c>
      <c r="M806" s="67" cm="1">
        <f ca="1" t="array" ref="M806">(1+SUMPRODUCT(G806:H806,OFFSET($H$49:$I$49,D806,0)))*(1+OFFSET($J$49,D806,0))^I806*(1+OFFSET($K$49,D806,0))^J806*(1+OFFSET($L$49,D806,0))^K806*(1+OFFSET($M$49,D806,0))^L806</f>
        <v>286.841727904354</v>
      </c>
      <c r="N806" s="67">
        <f ca="1">MAX(MAX($N$62:N805),OFFSET($C$61,MATCH(M806*1.07,$M$62:$M$2061,1),0)-C806)</f>
        <v>28800</v>
      </c>
    </row>
    <row r="807" spans="2:14">
      <c r="B807" s="67">
        <v>746</v>
      </c>
      <c r="C807" s="67">
        <f t="shared" si="78"/>
        <v>268560</v>
      </c>
      <c r="D807" s="67">
        <f t="shared" si="74"/>
        <v>5</v>
      </c>
      <c r="E807" s="67">
        <f ca="1" t="shared" si="75"/>
        <v>776</v>
      </c>
      <c r="F807" s="67">
        <f ca="1" t="shared" si="76"/>
        <v>0</v>
      </c>
      <c r="G807" s="67">
        <f ca="1" t="shared" si="77"/>
        <v>0</v>
      </c>
      <c r="H807" s="67" cm="1">
        <f ca="1" t="array" ref="H807">MIN(30-SUM(I807:L807),_xlfn.XLOOKUP($D807&amp;"_"&amp;H$61,$B$23:$B$45&amp;"_"&amp;$C$23:$C$45,$D$23:$D$45)*$E807,18)</f>
        <v>12.8715355632449</v>
      </c>
      <c r="I807" s="67" cm="1">
        <f ca="1" t="array" ref="I807">MIN(30-SUM(J807:L807),6-L807,_xlfn.XLOOKUP($D807&amp;"_"&amp;I$61,$B$23:$B$45&amp;"_"&amp;$C$23:$C$45,$D$23:$D$45)*$E807)</f>
        <v>1.30730334486736</v>
      </c>
      <c r="J807" s="67" cm="1">
        <f ca="1" t="array" ref="J807">MIN(8,_xlfn.XLOOKUP($D807&amp;"_"&amp;J$61,$B$23:$B$45&amp;"_"&amp;$C$23:$C$45,$D$23:$D$45)*$E807)</f>
        <v>8</v>
      </c>
      <c r="K807" s="67" cm="1">
        <f ca="1" t="array" ref="K807">MIN(18,_xlfn.XLOOKUP($D807&amp;"_"&amp;K$61,$B$23:$B$45&amp;"_"&amp;$C$23:$C$45,$D$23:$D$45)*$E807)</f>
        <v>3.1284644367551</v>
      </c>
      <c r="L807" s="67" cm="1">
        <f ca="1" t="array" ref="L807">MIN(6,_xlfn.XLOOKUP($D807&amp;"_"&amp;L$61,$B$23:$B$45&amp;"_"&amp;$C$23:$C$45,$D$23:$D$45)*$E807)</f>
        <v>4.69269665513264</v>
      </c>
      <c r="M807" s="67" cm="1">
        <f ca="1" t="array" ref="M807">(1+SUMPRODUCT(G807:H807,OFFSET($H$49:$I$49,D807,0)))*(1+OFFSET($J$49,D807,0))^I807*(1+OFFSET($K$49,D807,0))^J807*(1+OFFSET($L$49,D807,0))^K807*(1+OFFSET($M$49,D807,0))^L807</f>
        <v>287.082483866517</v>
      </c>
      <c r="N807" s="67">
        <f ca="1">MAX(MAX($N$62:N806),OFFSET($C$61,MATCH(M807*1.07,$M$62:$M$2061,1),0)-C807)</f>
        <v>28800</v>
      </c>
    </row>
    <row r="808" spans="2:14">
      <c r="B808" s="67">
        <v>747</v>
      </c>
      <c r="C808" s="67">
        <f t="shared" si="78"/>
        <v>268920</v>
      </c>
      <c r="D808" s="67">
        <f t="shared" si="74"/>
        <v>5</v>
      </c>
      <c r="E808" s="67">
        <f ca="1" t="shared" si="75"/>
        <v>777</v>
      </c>
      <c r="F808" s="67">
        <f ca="1" t="shared" si="76"/>
        <v>0</v>
      </c>
      <c r="G808" s="67">
        <f ca="1" t="shared" si="77"/>
        <v>0</v>
      </c>
      <c r="H808" s="67" cm="1">
        <f ca="1" t="array" ref="H808">MIN(30-SUM(I808:L808),_xlfn.XLOOKUP($D808&amp;"_"&amp;H$61,$B$23:$B$45&amp;"_"&amp;$C$23:$C$45,$D$23:$D$45)*$E808,18)</f>
        <v>12.8675040369089</v>
      </c>
      <c r="I808" s="67" cm="1">
        <f ca="1" t="array" ref="I808">MIN(30-SUM(J808:L808),6-L808,_xlfn.XLOOKUP($D808&amp;"_"&amp;I$61,$B$23:$B$45&amp;"_"&amp;$C$23:$C$45,$D$23:$D$45)*$E808)</f>
        <v>1.30125605536332</v>
      </c>
      <c r="J808" s="67" cm="1">
        <f ca="1" t="array" ref="J808">MIN(8,_xlfn.XLOOKUP($D808&amp;"_"&amp;J$61,$B$23:$B$45&amp;"_"&amp;$C$23:$C$45,$D$23:$D$45)*$E808)</f>
        <v>8</v>
      </c>
      <c r="K808" s="67" cm="1">
        <f ca="1" t="array" ref="K808">MIN(18,_xlfn.XLOOKUP($D808&amp;"_"&amp;K$61,$B$23:$B$45&amp;"_"&amp;$C$23:$C$45,$D$23:$D$45)*$E808)</f>
        <v>3.13249596309112</v>
      </c>
      <c r="L808" s="67" cm="1">
        <f ca="1" t="array" ref="L808">MIN(6,_xlfn.XLOOKUP($D808&amp;"_"&amp;L$61,$B$23:$B$45&amp;"_"&amp;$C$23:$C$45,$D$23:$D$45)*$E808)</f>
        <v>4.69874394463668</v>
      </c>
      <c r="M808" s="67" cm="1">
        <f ca="1" t="array" ref="M808">(1+SUMPRODUCT(G808:H808,OFFSET($H$49:$I$49,D808,0)))*(1+OFFSET($J$49,D808,0))^I808*(1+OFFSET($K$49,D808,0))^J808*(1+OFFSET($L$49,D808,0))^K808*(1+OFFSET($M$49,D808,0))^L808</f>
        <v>287.323427281989</v>
      </c>
      <c r="N808" s="67">
        <f ca="1">MAX(MAX($N$62:N807),OFFSET($C$61,MATCH(M808*1.07,$M$62:$M$2061,1),0)-C808)</f>
        <v>28800</v>
      </c>
    </row>
    <row r="809" spans="2:14">
      <c r="B809" s="67">
        <v>748</v>
      </c>
      <c r="C809" s="67">
        <f t="shared" si="78"/>
        <v>269280</v>
      </c>
      <c r="D809" s="67">
        <f t="shared" si="74"/>
        <v>5</v>
      </c>
      <c r="E809" s="67">
        <f ca="1" t="shared" si="75"/>
        <v>778</v>
      </c>
      <c r="F809" s="67">
        <f ca="1" t="shared" si="76"/>
        <v>0</v>
      </c>
      <c r="G809" s="67">
        <f ca="1" t="shared" si="77"/>
        <v>0</v>
      </c>
      <c r="H809" s="67" cm="1">
        <f ca="1" t="array" ref="H809">MIN(30-SUM(I809:L809),_xlfn.XLOOKUP($D809&amp;"_"&amp;H$61,$B$23:$B$45&amp;"_"&amp;$C$23:$C$45,$D$23:$D$45)*$E809,18)</f>
        <v>12.8634725105729</v>
      </c>
      <c r="I809" s="67" cm="1">
        <f ca="1" t="array" ref="I809">MIN(30-SUM(J809:L809),6-L809,_xlfn.XLOOKUP($D809&amp;"_"&amp;I$61,$B$23:$B$45&amp;"_"&amp;$C$23:$C$45,$D$23:$D$45)*$E809)</f>
        <v>1.29520876585928</v>
      </c>
      <c r="J809" s="67" cm="1">
        <f ca="1" t="array" ref="J809">MIN(8,_xlfn.XLOOKUP($D809&amp;"_"&amp;J$61,$B$23:$B$45&amp;"_"&amp;$C$23:$C$45,$D$23:$D$45)*$E809)</f>
        <v>8</v>
      </c>
      <c r="K809" s="67" cm="1">
        <f ca="1" t="array" ref="K809">MIN(18,_xlfn.XLOOKUP($D809&amp;"_"&amp;K$61,$B$23:$B$45&amp;"_"&amp;$C$23:$C$45,$D$23:$D$45)*$E809)</f>
        <v>3.13652748942715</v>
      </c>
      <c r="L809" s="67" cm="1">
        <f ca="1" t="array" ref="L809">MIN(6,_xlfn.XLOOKUP($D809&amp;"_"&amp;L$61,$B$23:$B$45&amp;"_"&amp;$C$23:$C$45,$D$23:$D$45)*$E809)</f>
        <v>4.70479123414072</v>
      </c>
      <c r="M809" s="67" cm="1">
        <f ca="1" t="array" ref="M809">(1+SUMPRODUCT(G809:H809,OFFSET($H$49:$I$49,D809,0)))*(1+OFFSET($J$49,D809,0))^I809*(1+OFFSET($K$49,D809,0))^J809*(1+OFFSET($L$49,D809,0))^K809*(1+OFFSET($M$49,D809,0))^L809</f>
        <v>287.56455827696</v>
      </c>
      <c r="N809" s="67">
        <f ca="1">MAX(MAX($N$62:N808),OFFSET($C$61,MATCH(M809*1.07,$M$62:$M$2061,1),0)-C809)</f>
        <v>28800</v>
      </c>
    </row>
    <row r="810" spans="2:14">
      <c r="B810" s="67">
        <v>749</v>
      </c>
      <c r="C810" s="67">
        <f t="shared" si="78"/>
        <v>269640</v>
      </c>
      <c r="D810" s="67">
        <f t="shared" si="74"/>
        <v>5</v>
      </c>
      <c r="E810" s="67">
        <f ca="1" t="shared" si="75"/>
        <v>779</v>
      </c>
      <c r="F810" s="67">
        <f ca="1" t="shared" si="76"/>
        <v>0</v>
      </c>
      <c r="G810" s="67">
        <f ca="1" t="shared" si="77"/>
        <v>0</v>
      </c>
      <c r="H810" s="67" cm="1">
        <f ca="1" t="array" ref="H810">MIN(30-SUM(I810:L810),_xlfn.XLOOKUP($D810&amp;"_"&amp;H$61,$B$23:$B$45&amp;"_"&amp;$C$23:$C$45,$D$23:$D$45)*$E810,18)</f>
        <v>12.8594409842368</v>
      </c>
      <c r="I810" s="67" cm="1">
        <f ca="1" t="array" ref="I810">MIN(30-SUM(J810:L810),6-L810,_xlfn.XLOOKUP($D810&amp;"_"&amp;I$61,$B$23:$B$45&amp;"_"&amp;$C$23:$C$45,$D$23:$D$45)*$E810)</f>
        <v>1.28916147635525</v>
      </c>
      <c r="J810" s="67" cm="1">
        <f ca="1" t="array" ref="J810">MIN(8,_xlfn.XLOOKUP($D810&amp;"_"&amp;J$61,$B$23:$B$45&amp;"_"&amp;$C$23:$C$45,$D$23:$D$45)*$E810)</f>
        <v>8</v>
      </c>
      <c r="K810" s="67" cm="1">
        <f ca="1" t="array" ref="K810">MIN(18,_xlfn.XLOOKUP($D810&amp;"_"&amp;K$61,$B$23:$B$45&amp;"_"&amp;$C$23:$C$45,$D$23:$D$45)*$E810)</f>
        <v>3.14055901576317</v>
      </c>
      <c r="L810" s="67" cm="1">
        <f ca="1" t="array" ref="L810">MIN(6,_xlfn.XLOOKUP($D810&amp;"_"&amp;L$61,$B$23:$B$45&amp;"_"&amp;$C$23:$C$45,$D$23:$D$45)*$E810)</f>
        <v>4.71083852364475</v>
      </c>
      <c r="M810" s="67" cm="1">
        <f ca="1" t="array" ref="M810">(1+SUMPRODUCT(G810:H810,OFFSET($H$49:$I$49,D810,0)))*(1+OFFSET($J$49,D810,0))^I810*(1+OFFSET($K$49,D810,0))^J810*(1+OFFSET($L$49,D810,0))^K810*(1+OFFSET($M$49,D810,0))^L810</f>
        <v>287.805876977675</v>
      </c>
      <c r="N810" s="67">
        <f ca="1">MAX(MAX($N$62:N809),OFFSET($C$61,MATCH(M810*1.07,$M$62:$M$2061,1),0)-C810)</f>
        <v>28800</v>
      </c>
    </row>
    <row r="811" spans="2:14">
      <c r="B811" s="67">
        <v>750</v>
      </c>
      <c r="C811" s="67">
        <f t="shared" si="78"/>
        <v>270000</v>
      </c>
      <c r="D811" s="67">
        <f t="shared" si="74"/>
        <v>5</v>
      </c>
      <c r="E811" s="67">
        <f ca="1" t="shared" si="75"/>
        <v>780</v>
      </c>
      <c r="F811" s="67">
        <f ca="1" t="shared" si="76"/>
        <v>0</v>
      </c>
      <c r="G811" s="67">
        <f ca="1" t="shared" si="77"/>
        <v>0</v>
      </c>
      <c r="H811" s="67" cm="1">
        <f ca="1" t="array" ref="H811">MIN(30-SUM(I811:L811),_xlfn.XLOOKUP($D811&amp;"_"&amp;H$61,$B$23:$B$45&amp;"_"&amp;$C$23:$C$45,$D$23:$D$45)*$E811,18)</f>
        <v>12.8554094579008</v>
      </c>
      <c r="I811" s="67" cm="1">
        <f ca="1" t="array" ref="I811">MIN(30-SUM(J811:L811),6-L811,_xlfn.XLOOKUP($D811&amp;"_"&amp;I$61,$B$23:$B$45&amp;"_"&amp;$C$23:$C$45,$D$23:$D$45)*$E811)</f>
        <v>1.28311418685121</v>
      </c>
      <c r="J811" s="67" cm="1">
        <f ca="1" t="array" ref="J811">MIN(8,_xlfn.XLOOKUP($D811&amp;"_"&amp;J$61,$B$23:$B$45&amp;"_"&amp;$C$23:$C$45,$D$23:$D$45)*$E811)</f>
        <v>8</v>
      </c>
      <c r="K811" s="67" cm="1">
        <f ca="1" t="array" ref="K811">MIN(18,_xlfn.XLOOKUP($D811&amp;"_"&amp;K$61,$B$23:$B$45&amp;"_"&amp;$C$23:$C$45,$D$23:$D$45)*$E811)</f>
        <v>3.1445905420992</v>
      </c>
      <c r="L811" s="67" cm="1">
        <f ca="1" t="array" ref="L811">MIN(6,_xlfn.XLOOKUP($D811&amp;"_"&amp;L$61,$B$23:$B$45&amp;"_"&amp;$C$23:$C$45,$D$23:$D$45)*$E811)</f>
        <v>4.71688581314879</v>
      </c>
      <c r="M811" s="67" cm="1">
        <f ca="1" t="array" ref="M811">(1+SUMPRODUCT(G811:H811,OFFSET($H$49:$I$49,D811,0)))*(1+OFFSET($J$49,D811,0))^I811*(1+OFFSET($K$49,D811,0))^J811*(1+OFFSET($L$49,D811,0))^K811*(1+OFFSET($M$49,D811,0))^L811</f>
        <v>288.047383510436</v>
      </c>
      <c r="N811" s="67">
        <f ca="1">MAX(MAX($N$62:N810),OFFSET($C$61,MATCH(M811*1.07,$M$62:$M$2061,1),0)-C811)</f>
        <v>28800</v>
      </c>
    </row>
    <row r="812" spans="2:14">
      <c r="B812" s="67">
        <v>751</v>
      </c>
      <c r="C812" s="67">
        <f t="shared" si="78"/>
        <v>270360</v>
      </c>
      <c r="D812" s="67">
        <f t="shared" si="74"/>
        <v>5</v>
      </c>
      <c r="E812" s="67">
        <f ca="1" t="shared" si="75"/>
        <v>781</v>
      </c>
      <c r="F812" s="67">
        <f ca="1" t="shared" si="76"/>
        <v>0</v>
      </c>
      <c r="G812" s="67">
        <f ca="1" t="shared" si="77"/>
        <v>0</v>
      </c>
      <c r="H812" s="67" cm="1">
        <f ca="1" t="array" ref="H812">MIN(30-SUM(I812:L812),_xlfn.XLOOKUP($D812&amp;"_"&amp;H$61,$B$23:$B$45&amp;"_"&amp;$C$23:$C$45,$D$23:$D$45)*$E812,18)</f>
        <v>12.8513779315648</v>
      </c>
      <c r="I812" s="67" cm="1">
        <f ca="1" t="array" ref="I812">MIN(30-SUM(J812:L812),6-L812,_xlfn.XLOOKUP($D812&amp;"_"&amp;I$61,$B$23:$B$45&amp;"_"&amp;$C$23:$C$45,$D$23:$D$45)*$E812)</f>
        <v>1.27706689734717</v>
      </c>
      <c r="J812" s="67" cm="1">
        <f ca="1" t="array" ref="J812">MIN(8,_xlfn.XLOOKUP($D812&amp;"_"&amp;J$61,$B$23:$B$45&amp;"_"&amp;$C$23:$C$45,$D$23:$D$45)*$E812)</f>
        <v>8</v>
      </c>
      <c r="K812" s="67" cm="1">
        <f ca="1" t="array" ref="K812">MIN(18,_xlfn.XLOOKUP($D812&amp;"_"&amp;K$61,$B$23:$B$45&amp;"_"&amp;$C$23:$C$45,$D$23:$D$45)*$E812)</f>
        <v>3.14862206843522</v>
      </c>
      <c r="L812" s="67" cm="1">
        <f ca="1" t="array" ref="L812">MIN(6,_xlfn.XLOOKUP($D812&amp;"_"&amp;L$61,$B$23:$B$45&amp;"_"&amp;$C$23:$C$45,$D$23:$D$45)*$E812)</f>
        <v>4.72293310265283</v>
      </c>
      <c r="M812" s="67" cm="1">
        <f ca="1" t="array" ref="M812">(1+SUMPRODUCT(G812:H812,OFFSET($H$49:$I$49,D812,0)))*(1+OFFSET($J$49,D812,0))^I812*(1+OFFSET($K$49,D812,0))^J812*(1+OFFSET($L$49,D812,0))^K812*(1+OFFSET($M$49,D812,0))^L812</f>
        <v>288.2890780016</v>
      </c>
      <c r="N812" s="67">
        <f ca="1">MAX(MAX($N$62:N811),OFFSET($C$61,MATCH(M812*1.07,$M$62:$M$2061,1),0)-C812)</f>
        <v>28800</v>
      </c>
    </row>
    <row r="813" spans="2:14">
      <c r="B813" s="67">
        <v>752</v>
      </c>
      <c r="C813" s="67">
        <f t="shared" si="78"/>
        <v>270720</v>
      </c>
      <c r="D813" s="67">
        <f t="shared" si="74"/>
        <v>5</v>
      </c>
      <c r="E813" s="67">
        <f ca="1" t="shared" si="75"/>
        <v>782</v>
      </c>
      <c r="F813" s="67">
        <f ca="1" t="shared" si="76"/>
        <v>0</v>
      </c>
      <c r="G813" s="67">
        <f ca="1" t="shared" si="77"/>
        <v>0</v>
      </c>
      <c r="H813" s="67" cm="1">
        <f ca="1" t="array" ref="H813">MIN(30-SUM(I813:L813),_xlfn.XLOOKUP($D813&amp;"_"&amp;H$61,$B$23:$B$45&amp;"_"&amp;$C$23:$C$45,$D$23:$D$45)*$E813,18)</f>
        <v>12.8473464052288</v>
      </c>
      <c r="I813" s="67" cm="1">
        <f ca="1" t="array" ref="I813">MIN(30-SUM(J813:L813),6-L813,_xlfn.XLOOKUP($D813&amp;"_"&amp;I$61,$B$23:$B$45&amp;"_"&amp;$C$23:$C$45,$D$23:$D$45)*$E813)</f>
        <v>1.27101960784314</v>
      </c>
      <c r="J813" s="67" cm="1">
        <f ca="1" t="array" ref="J813">MIN(8,_xlfn.XLOOKUP($D813&amp;"_"&amp;J$61,$B$23:$B$45&amp;"_"&amp;$C$23:$C$45,$D$23:$D$45)*$E813)</f>
        <v>8</v>
      </c>
      <c r="K813" s="67" cm="1">
        <f ca="1" t="array" ref="K813">MIN(18,_xlfn.XLOOKUP($D813&amp;"_"&amp;K$61,$B$23:$B$45&amp;"_"&amp;$C$23:$C$45,$D$23:$D$45)*$E813)</f>
        <v>3.15265359477124</v>
      </c>
      <c r="L813" s="67" cm="1">
        <f ca="1" t="array" ref="L813">MIN(6,_xlfn.XLOOKUP($D813&amp;"_"&amp;L$61,$B$23:$B$45&amp;"_"&amp;$C$23:$C$45,$D$23:$D$45)*$E813)</f>
        <v>4.72898039215686</v>
      </c>
      <c r="M813" s="67" cm="1">
        <f ca="1" t="array" ref="M813">(1+SUMPRODUCT(G813:H813,OFFSET($H$49:$I$49,D813,0)))*(1+OFFSET($J$49,D813,0))^I813*(1+OFFSET($K$49,D813,0))^J813*(1+OFFSET($L$49,D813,0))^K813*(1+OFFSET($M$49,D813,0))^L813</f>
        <v>288.530960577582</v>
      </c>
      <c r="N813" s="67">
        <f ca="1">MAX(MAX($N$62:N812),OFFSET($C$61,MATCH(M813*1.07,$M$62:$M$2061,1),0)-C813)</f>
        <v>28800</v>
      </c>
    </row>
    <row r="814" spans="2:14">
      <c r="B814" s="67">
        <v>753</v>
      </c>
      <c r="C814" s="67">
        <f t="shared" si="78"/>
        <v>271080</v>
      </c>
      <c r="D814" s="67">
        <f t="shared" si="74"/>
        <v>5</v>
      </c>
      <c r="E814" s="67">
        <f ca="1" t="shared" si="75"/>
        <v>783</v>
      </c>
      <c r="F814" s="67">
        <f ca="1" t="shared" si="76"/>
        <v>0</v>
      </c>
      <c r="G814" s="67">
        <f ca="1" t="shared" si="77"/>
        <v>0</v>
      </c>
      <c r="H814" s="67" cm="1">
        <f ca="1" t="array" ref="H814">MIN(30-SUM(I814:L814),_xlfn.XLOOKUP($D814&amp;"_"&amp;H$61,$B$23:$B$45&amp;"_"&amp;$C$23:$C$45,$D$23:$D$45)*$E814,18)</f>
        <v>12.8433148788927</v>
      </c>
      <c r="I814" s="67" cm="1">
        <f ca="1" t="array" ref="I814">MIN(30-SUM(J814:L814),6-L814,_xlfn.XLOOKUP($D814&amp;"_"&amp;I$61,$B$23:$B$45&amp;"_"&amp;$C$23:$C$45,$D$23:$D$45)*$E814)</f>
        <v>1.2649723183391</v>
      </c>
      <c r="J814" s="67" cm="1">
        <f ca="1" t="array" ref="J814">MIN(8,_xlfn.XLOOKUP($D814&amp;"_"&amp;J$61,$B$23:$B$45&amp;"_"&amp;$C$23:$C$45,$D$23:$D$45)*$E814)</f>
        <v>8</v>
      </c>
      <c r="K814" s="67" cm="1">
        <f ca="1" t="array" ref="K814">MIN(18,_xlfn.XLOOKUP($D814&amp;"_"&amp;K$61,$B$23:$B$45&amp;"_"&amp;$C$23:$C$45,$D$23:$D$45)*$E814)</f>
        <v>3.15668512110727</v>
      </c>
      <c r="L814" s="67" cm="1">
        <f ca="1" t="array" ref="L814">MIN(6,_xlfn.XLOOKUP($D814&amp;"_"&amp;L$61,$B$23:$B$45&amp;"_"&amp;$C$23:$C$45,$D$23:$D$45)*$E814)</f>
        <v>4.7350276816609</v>
      </c>
      <c r="M814" s="67" cm="1">
        <f ca="1" t="array" ref="M814">(1+SUMPRODUCT(G814:H814,OFFSET($H$49:$I$49,D814,0)))*(1+OFFSET($J$49,D814,0))^I814*(1+OFFSET($K$49,D814,0))^J814*(1+OFFSET($L$49,D814,0))^K814*(1+OFFSET($M$49,D814,0))^L814</f>
        <v>288.773031364852</v>
      </c>
      <c r="N814" s="67">
        <f ca="1">MAX(MAX($N$62:N813),OFFSET($C$61,MATCH(M814*1.07,$M$62:$M$2061,1),0)-C814)</f>
        <v>28800</v>
      </c>
    </row>
    <row r="815" spans="2:14">
      <c r="B815" s="67">
        <v>754</v>
      </c>
      <c r="C815" s="67">
        <f t="shared" si="78"/>
        <v>271440</v>
      </c>
      <c r="D815" s="67">
        <f t="shared" si="74"/>
        <v>5</v>
      </c>
      <c r="E815" s="67">
        <f ca="1" t="shared" si="75"/>
        <v>784</v>
      </c>
      <c r="F815" s="67">
        <f ca="1" t="shared" si="76"/>
        <v>0</v>
      </c>
      <c r="G815" s="67">
        <f ca="1" t="shared" si="77"/>
        <v>0</v>
      </c>
      <c r="H815" s="67" cm="1">
        <f ca="1" t="array" ref="H815">MIN(30-SUM(I815:L815),_xlfn.XLOOKUP($D815&amp;"_"&amp;H$61,$B$23:$B$45&amp;"_"&amp;$C$23:$C$45,$D$23:$D$45)*$E815,18)</f>
        <v>12.8392833525567</v>
      </c>
      <c r="I815" s="67" cm="1">
        <f ca="1" t="array" ref="I815">MIN(30-SUM(J815:L815),6-L815,_xlfn.XLOOKUP($D815&amp;"_"&amp;I$61,$B$23:$B$45&amp;"_"&amp;$C$23:$C$45,$D$23:$D$45)*$E815)</f>
        <v>1.25892502883506</v>
      </c>
      <c r="J815" s="67" cm="1">
        <f ca="1" t="array" ref="J815">MIN(8,_xlfn.XLOOKUP($D815&amp;"_"&amp;J$61,$B$23:$B$45&amp;"_"&amp;$C$23:$C$45,$D$23:$D$45)*$E815)</f>
        <v>8</v>
      </c>
      <c r="K815" s="67" cm="1">
        <f ca="1" t="array" ref="K815">MIN(18,_xlfn.XLOOKUP($D815&amp;"_"&amp;K$61,$B$23:$B$45&amp;"_"&amp;$C$23:$C$45,$D$23:$D$45)*$E815)</f>
        <v>3.16071664744329</v>
      </c>
      <c r="L815" s="67" cm="1">
        <f ca="1" t="array" ref="L815">MIN(6,_xlfn.XLOOKUP($D815&amp;"_"&amp;L$61,$B$23:$B$45&amp;"_"&amp;$C$23:$C$45,$D$23:$D$45)*$E815)</f>
        <v>4.74107497116494</v>
      </c>
      <c r="M815" s="67" cm="1">
        <f ca="1" t="array" ref="M815">(1+SUMPRODUCT(G815:H815,OFFSET($H$49:$I$49,D815,0)))*(1+OFFSET($J$49,D815,0))^I815*(1+OFFSET($K$49,D815,0))^J815*(1+OFFSET($L$49,D815,0))^K815*(1+OFFSET($M$49,D815,0))^L815</f>
        <v>289.015290489934</v>
      </c>
      <c r="N815" s="67">
        <f ca="1">MAX(MAX($N$62:N814),OFFSET($C$61,MATCH(M815*1.07,$M$62:$M$2061,1),0)-C815)</f>
        <v>28800</v>
      </c>
    </row>
    <row r="816" spans="2:14">
      <c r="B816" s="67">
        <v>755</v>
      </c>
      <c r="C816" s="67">
        <f t="shared" si="78"/>
        <v>271800</v>
      </c>
      <c r="D816" s="67">
        <f t="shared" si="74"/>
        <v>5</v>
      </c>
      <c r="E816" s="67">
        <f ca="1" t="shared" si="75"/>
        <v>785</v>
      </c>
      <c r="F816" s="67">
        <f ca="1" t="shared" si="76"/>
        <v>0</v>
      </c>
      <c r="G816" s="67">
        <f ca="1" t="shared" si="77"/>
        <v>0</v>
      </c>
      <c r="H816" s="67" cm="1">
        <f ca="1" t="array" ref="H816">MIN(30-SUM(I816:L816),_xlfn.XLOOKUP($D816&amp;"_"&amp;H$61,$B$23:$B$45&amp;"_"&amp;$C$23:$C$45,$D$23:$D$45)*$E816,18)</f>
        <v>12.8352518262207</v>
      </c>
      <c r="I816" s="67" cm="1">
        <f ca="1" t="array" ref="I816">MIN(30-SUM(J816:L816),6-L816,_xlfn.XLOOKUP($D816&amp;"_"&amp;I$61,$B$23:$B$45&amp;"_"&amp;$C$23:$C$45,$D$23:$D$45)*$E816)</f>
        <v>1.25287773933103</v>
      </c>
      <c r="J816" s="67" cm="1">
        <f ca="1" t="array" ref="J816">MIN(8,_xlfn.XLOOKUP($D816&amp;"_"&amp;J$61,$B$23:$B$45&amp;"_"&amp;$C$23:$C$45,$D$23:$D$45)*$E816)</f>
        <v>8</v>
      </c>
      <c r="K816" s="67" cm="1">
        <f ca="1" t="array" ref="K816">MIN(18,_xlfn.XLOOKUP($D816&amp;"_"&amp;K$61,$B$23:$B$45&amp;"_"&amp;$C$23:$C$45,$D$23:$D$45)*$E816)</f>
        <v>3.16474817377932</v>
      </c>
      <c r="L816" s="67" cm="1">
        <f ca="1" t="array" ref="L816">MIN(6,_xlfn.XLOOKUP($D816&amp;"_"&amp;L$61,$B$23:$B$45&amp;"_"&amp;$C$23:$C$45,$D$23:$D$45)*$E816)</f>
        <v>4.74712226066897</v>
      </c>
      <c r="M816" s="67" cm="1">
        <f ca="1" t="array" ref="M816">(1+SUMPRODUCT(G816:H816,OFFSET($H$49:$I$49,D816,0)))*(1+OFFSET($J$49,D816,0))^I816*(1+OFFSET($K$49,D816,0))^J816*(1+OFFSET($L$49,D816,0))^K816*(1+OFFSET($M$49,D816,0))^L816</f>
        <v>289.257738079412</v>
      </c>
      <c r="N816" s="67">
        <f ca="1">MAX(MAX($N$62:N815),OFFSET($C$61,MATCH(M816*1.07,$M$62:$M$2061,1),0)-C816)</f>
        <v>28800</v>
      </c>
    </row>
    <row r="817" spans="2:14">
      <c r="B817" s="67">
        <v>756</v>
      </c>
      <c r="C817" s="67">
        <f t="shared" si="78"/>
        <v>272160</v>
      </c>
      <c r="D817" s="67">
        <f t="shared" si="74"/>
        <v>5</v>
      </c>
      <c r="E817" s="67">
        <f ca="1" t="shared" si="75"/>
        <v>786</v>
      </c>
      <c r="F817" s="67">
        <f ca="1" t="shared" si="76"/>
        <v>0</v>
      </c>
      <c r="G817" s="67">
        <f ca="1" t="shared" si="77"/>
        <v>0</v>
      </c>
      <c r="H817" s="67" cm="1">
        <f ca="1" t="array" ref="H817">MIN(30-SUM(I817:L817),_xlfn.XLOOKUP($D817&amp;"_"&amp;H$61,$B$23:$B$45&amp;"_"&amp;$C$23:$C$45,$D$23:$D$45)*$E817,18)</f>
        <v>12.8312202998847</v>
      </c>
      <c r="I817" s="67" cm="1">
        <f ca="1" t="array" ref="I817">MIN(30-SUM(J817:L817),6-L817,_xlfn.XLOOKUP($D817&amp;"_"&amp;I$61,$B$23:$B$45&amp;"_"&amp;$C$23:$C$45,$D$23:$D$45)*$E817)</f>
        <v>1.24683044982699</v>
      </c>
      <c r="J817" s="67" cm="1">
        <f ca="1" t="array" ref="J817">MIN(8,_xlfn.XLOOKUP($D817&amp;"_"&amp;J$61,$B$23:$B$45&amp;"_"&amp;$C$23:$C$45,$D$23:$D$45)*$E817)</f>
        <v>8</v>
      </c>
      <c r="K817" s="67" cm="1">
        <f ca="1" t="array" ref="K817">MIN(18,_xlfn.XLOOKUP($D817&amp;"_"&amp;K$61,$B$23:$B$45&amp;"_"&amp;$C$23:$C$45,$D$23:$D$45)*$E817)</f>
        <v>3.16877970011534</v>
      </c>
      <c r="L817" s="67" cm="1">
        <f ca="1" t="array" ref="L817">MIN(6,_xlfn.XLOOKUP($D817&amp;"_"&amp;L$61,$B$23:$B$45&amp;"_"&amp;$C$23:$C$45,$D$23:$D$45)*$E817)</f>
        <v>4.75316955017301</v>
      </c>
      <c r="M817" s="67" cm="1">
        <f ca="1" t="array" ref="M817">(1+SUMPRODUCT(G817:H817,OFFSET($H$49:$I$49,D817,0)))*(1+OFFSET($J$49,D817,0))^I817*(1+OFFSET($K$49,D817,0))^J817*(1+OFFSET($L$49,D817,0))^K817*(1+OFFSET($M$49,D817,0))^L817</f>
        <v>289.500374259923</v>
      </c>
      <c r="N817" s="67">
        <f ca="1">MAX(MAX($N$62:N816),OFFSET($C$61,MATCH(M817*1.07,$M$62:$M$2061,1),0)-C817)</f>
        <v>28800</v>
      </c>
    </row>
    <row r="818" spans="2:14">
      <c r="B818" s="67">
        <v>757</v>
      </c>
      <c r="C818" s="67">
        <f t="shared" si="78"/>
        <v>272520</v>
      </c>
      <c r="D818" s="67">
        <f t="shared" si="74"/>
        <v>5</v>
      </c>
      <c r="E818" s="67">
        <f ca="1" t="shared" si="75"/>
        <v>787</v>
      </c>
      <c r="F818" s="67">
        <f ca="1" t="shared" si="76"/>
        <v>0</v>
      </c>
      <c r="G818" s="67">
        <f ca="1" t="shared" si="77"/>
        <v>0</v>
      </c>
      <c r="H818" s="67" cm="1">
        <f ca="1" t="array" ref="H818">MIN(30-SUM(I818:L818),_xlfn.XLOOKUP($D818&amp;"_"&amp;H$61,$B$23:$B$45&amp;"_"&amp;$C$23:$C$45,$D$23:$D$45)*$E818,18)</f>
        <v>12.8271887735486</v>
      </c>
      <c r="I818" s="67" cm="1">
        <f ca="1" t="array" ref="I818">MIN(30-SUM(J818:L818),6-L818,_xlfn.XLOOKUP($D818&amp;"_"&amp;I$61,$B$23:$B$45&amp;"_"&amp;$C$23:$C$45,$D$23:$D$45)*$E818)</f>
        <v>1.24078316032295</v>
      </c>
      <c r="J818" s="67" cm="1">
        <f ca="1" t="array" ref="J818">MIN(8,_xlfn.XLOOKUP($D818&amp;"_"&amp;J$61,$B$23:$B$45&amp;"_"&amp;$C$23:$C$45,$D$23:$D$45)*$E818)</f>
        <v>8</v>
      </c>
      <c r="K818" s="67" cm="1">
        <f ca="1" t="array" ref="K818">MIN(18,_xlfn.XLOOKUP($D818&amp;"_"&amp;K$61,$B$23:$B$45&amp;"_"&amp;$C$23:$C$45,$D$23:$D$45)*$E818)</f>
        <v>3.17281122645137</v>
      </c>
      <c r="L818" s="67" cm="1">
        <f ca="1" t="array" ref="L818">MIN(6,_xlfn.XLOOKUP($D818&amp;"_"&amp;L$61,$B$23:$B$45&amp;"_"&amp;$C$23:$C$45,$D$23:$D$45)*$E818)</f>
        <v>4.75921683967705</v>
      </c>
      <c r="M818" s="67" cm="1">
        <f ca="1" t="array" ref="M818">(1+SUMPRODUCT(G818:H818,OFFSET($H$49:$I$49,D818,0)))*(1+OFFSET($J$49,D818,0))^I818*(1+OFFSET($K$49,D818,0))^J818*(1+OFFSET($L$49,D818,0))^K818*(1+OFFSET($M$49,D818,0))^L818</f>
        <v>289.743199158162</v>
      </c>
      <c r="N818" s="67">
        <f ca="1">MAX(MAX($N$62:N817),OFFSET($C$61,MATCH(M818*1.07,$M$62:$M$2061,1),0)-C818)</f>
        <v>28800</v>
      </c>
    </row>
    <row r="819" spans="2:14">
      <c r="B819" s="67">
        <v>758</v>
      </c>
      <c r="C819" s="67">
        <f t="shared" si="78"/>
        <v>272880</v>
      </c>
      <c r="D819" s="67">
        <f t="shared" si="74"/>
        <v>5</v>
      </c>
      <c r="E819" s="67">
        <f ca="1" t="shared" si="75"/>
        <v>788</v>
      </c>
      <c r="F819" s="67">
        <f ca="1" t="shared" si="76"/>
        <v>0</v>
      </c>
      <c r="G819" s="67">
        <f ca="1" t="shared" si="77"/>
        <v>0</v>
      </c>
      <c r="H819" s="67" cm="1">
        <f ca="1" t="array" ref="H819">MIN(30-SUM(I819:L819),_xlfn.XLOOKUP($D819&amp;"_"&amp;H$61,$B$23:$B$45&amp;"_"&amp;$C$23:$C$45,$D$23:$D$45)*$E819,18)</f>
        <v>12.8231572472126</v>
      </c>
      <c r="I819" s="67" cm="1">
        <f ca="1" t="array" ref="I819">MIN(30-SUM(J819:L819),6-L819,_xlfn.XLOOKUP($D819&amp;"_"&amp;I$61,$B$23:$B$45&amp;"_"&amp;$C$23:$C$45,$D$23:$D$45)*$E819)</f>
        <v>1.23473587081891</v>
      </c>
      <c r="J819" s="67" cm="1">
        <f ca="1" t="array" ref="J819">MIN(8,_xlfn.XLOOKUP($D819&amp;"_"&amp;J$61,$B$23:$B$45&amp;"_"&amp;$C$23:$C$45,$D$23:$D$45)*$E819)</f>
        <v>8</v>
      </c>
      <c r="K819" s="67" cm="1">
        <f ca="1" t="array" ref="K819">MIN(18,_xlfn.XLOOKUP($D819&amp;"_"&amp;K$61,$B$23:$B$45&amp;"_"&amp;$C$23:$C$45,$D$23:$D$45)*$E819)</f>
        <v>3.17684275278739</v>
      </c>
      <c r="L819" s="67" cm="1">
        <f ca="1" t="array" ref="L819">MIN(6,_xlfn.XLOOKUP($D819&amp;"_"&amp;L$61,$B$23:$B$45&amp;"_"&amp;$C$23:$C$45,$D$23:$D$45)*$E819)</f>
        <v>4.76526412918109</v>
      </c>
      <c r="M819" s="67" cm="1">
        <f ca="1" t="array" ref="M819">(1+SUMPRODUCT(G819:H819,OFFSET($H$49:$I$49,D819,0)))*(1+OFFSET($J$49,D819,0))^I819*(1+OFFSET($K$49,D819,0))^J819*(1+OFFSET($L$49,D819,0))^K819*(1+OFFSET($M$49,D819,0))^L819</f>
        <v>289.986212900877</v>
      </c>
      <c r="N819" s="67">
        <f ca="1">MAX(MAX($N$62:N818),OFFSET($C$61,MATCH(M819*1.07,$M$62:$M$2061,1),0)-C819)</f>
        <v>28800</v>
      </c>
    </row>
    <row r="820" spans="2:14">
      <c r="B820" s="67">
        <v>759</v>
      </c>
      <c r="C820" s="67">
        <f t="shared" si="78"/>
        <v>273240</v>
      </c>
      <c r="D820" s="67">
        <f t="shared" si="74"/>
        <v>5</v>
      </c>
      <c r="E820" s="67">
        <f ca="1" t="shared" si="75"/>
        <v>789</v>
      </c>
      <c r="F820" s="67">
        <f ca="1" t="shared" si="76"/>
        <v>0</v>
      </c>
      <c r="G820" s="67">
        <f ca="1" t="shared" si="77"/>
        <v>0</v>
      </c>
      <c r="H820" s="67" cm="1">
        <f ca="1" t="array" ref="H820">MIN(30-SUM(I820:L820),_xlfn.XLOOKUP($D820&amp;"_"&amp;H$61,$B$23:$B$45&amp;"_"&amp;$C$23:$C$45,$D$23:$D$45)*$E820,18)</f>
        <v>12.8191257208766</v>
      </c>
      <c r="I820" s="67" cm="1">
        <f ca="1" t="array" ref="I820">MIN(30-SUM(J820:L820),6-L820,_xlfn.XLOOKUP($D820&amp;"_"&amp;I$61,$B$23:$B$45&amp;"_"&amp;$C$23:$C$45,$D$23:$D$45)*$E820)</f>
        <v>1.22868858131488</v>
      </c>
      <c r="J820" s="67" cm="1">
        <f ca="1" t="array" ref="J820">MIN(8,_xlfn.XLOOKUP($D820&amp;"_"&amp;J$61,$B$23:$B$45&amp;"_"&amp;$C$23:$C$45,$D$23:$D$45)*$E820)</f>
        <v>8</v>
      </c>
      <c r="K820" s="67" cm="1">
        <f ca="1" t="array" ref="K820">MIN(18,_xlfn.XLOOKUP($D820&amp;"_"&amp;K$61,$B$23:$B$45&amp;"_"&amp;$C$23:$C$45,$D$23:$D$45)*$E820)</f>
        <v>3.18087427912342</v>
      </c>
      <c r="L820" s="67" cm="1">
        <f ca="1" t="array" ref="L820">MIN(6,_xlfn.XLOOKUP($D820&amp;"_"&amp;L$61,$B$23:$B$45&amp;"_"&amp;$C$23:$C$45,$D$23:$D$45)*$E820)</f>
        <v>4.77131141868512</v>
      </c>
      <c r="M820" s="67" cm="1">
        <f ca="1" t="array" ref="M820">(1+SUMPRODUCT(G820:H820,OFFSET($H$49:$I$49,D820,0)))*(1+OFFSET($J$49,D820,0))^I820*(1+OFFSET($K$49,D820,0))^J820*(1+OFFSET($L$49,D820,0))^K820*(1+OFFSET($M$49,D820,0))^L820</f>
        <v>290.229415614875</v>
      </c>
      <c r="N820" s="67">
        <f ca="1">MAX(MAX($N$62:N819),OFFSET($C$61,MATCH(M820*1.07,$M$62:$M$2061,1),0)-C820)</f>
        <v>28800</v>
      </c>
    </row>
    <row r="821" spans="2:14">
      <c r="B821" s="67">
        <v>760</v>
      </c>
      <c r="C821" s="67">
        <f t="shared" si="78"/>
        <v>273600</v>
      </c>
      <c r="D821" s="67">
        <f t="shared" si="74"/>
        <v>5</v>
      </c>
      <c r="E821" s="67">
        <f ca="1" t="shared" si="75"/>
        <v>790</v>
      </c>
      <c r="F821" s="67">
        <f ca="1" t="shared" si="76"/>
        <v>0</v>
      </c>
      <c r="G821" s="67">
        <f ca="1" t="shared" si="77"/>
        <v>0</v>
      </c>
      <c r="H821" s="67" cm="1">
        <f ca="1" t="array" ref="H821">MIN(30-SUM(I821:L821),_xlfn.XLOOKUP($D821&amp;"_"&amp;H$61,$B$23:$B$45&amp;"_"&amp;$C$23:$C$45,$D$23:$D$45)*$E821,18)</f>
        <v>12.8150941945406</v>
      </c>
      <c r="I821" s="67" cm="1">
        <f ca="1" t="array" ref="I821">MIN(30-SUM(J821:L821),6-L821,_xlfn.XLOOKUP($D821&amp;"_"&amp;I$61,$B$23:$B$45&amp;"_"&amp;$C$23:$C$45,$D$23:$D$45)*$E821)</f>
        <v>1.22264129181084</v>
      </c>
      <c r="J821" s="67" cm="1">
        <f ca="1" t="array" ref="J821">MIN(8,_xlfn.XLOOKUP($D821&amp;"_"&amp;J$61,$B$23:$B$45&amp;"_"&amp;$C$23:$C$45,$D$23:$D$45)*$E821)</f>
        <v>8</v>
      </c>
      <c r="K821" s="67" cm="1">
        <f ca="1" t="array" ref="K821">MIN(18,_xlfn.XLOOKUP($D821&amp;"_"&amp;K$61,$B$23:$B$45&amp;"_"&amp;$C$23:$C$45,$D$23:$D$45)*$E821)</f>
        <v>3.18490580545944</v>
      </c>
      <c r="L821" s="67" cm="1">
        <f ca="1" t="array" ref="L821">MIN(6,_xlfn.XLOOKUP($D821&amp;"_"&amp;L$61,$B$23:$B$45&amp;"_"&amp;$C$23:$C$45,$D$23:$D$45)*$E821)</f>
        <v>4.77735870818916</v>
      </c>
      <c r="M821" s="67" cm="1">
        <f ca="1" t="array" ref="M821">(1+SUMPRODUCT(G821:H821,OFFSET($H$49:$I$49,D821,0)))*(1+OFFSET($J$49,D821,0))^I821*(1+OFFSET($K$49,D821,0))^J821*(1+OFFSET($L$49,D821,0))^K821*(1+OFFSET($M$49,D821,0))^L821</f>
        <v>290.472807427017</v>
      </c>
      <c r="N821" s="67">
        <f ca="1">MAX(MAX($N$62:N820),OFFSET($C$61,MATCH(M821*1.07,$M$62:$M$2061,1),0)-C821)</f>
        <v>28800</v>
      </c>
    </row>
    <row r="822" spans="2:14">
      <c r="B822" s="67">
        <v>761</v>
      </c>
      <c r="C822" s="67">
        <f t="shared" si="78"/>
        <v>273960</v>
      </c>
      <c r="D822" s="67">
        <f t="shared" si="74"/>
        <v>5</v>
      </c>
      <c r="E822" s="67">
        <f ca="1" t="shared" si="75"/>
        <v>791</v>
      </c>
      <c r="F822" s="67">
        <f ca="1" t="shared" si="76"/>
        <v>0</v>
      </c>
      <c r="G822" s="67">
        <f ca="1" t="shared" si="77"/>
        <v>0</v>
      </c>
      <c r="H822" s="67" cm="1">
        <f ca="1" t="array" ref="H822">MIN(30-SUM(I822:L822),_xlfn.XLOOKUP($D822&amp;"_"&amp;H$61,$B$23:$B$45&amp;"_"&amp;$C$23:$C$45,$D$23:$D$45)*$E822,18)</f>
        <v>12.8110626682045</v>
      </c>
      <c r="I822" s="67" cm="1">
        <f ca="1" t="array" ref="I822">MIN(30-SUM(J822:L822),6-L822,_xlfn.XLOOKUP($D822&amp;"_"&amp;I$61,$B$23:$B$45&amp;"_"&amp;$C$23:$C$45,$D$23:$D$45)*$E822)</f>
        <v>1.2165940023068</v>
      </c>
      <c r="J822" s="67" cm="1">
        <f ca="1" t="array" ref="J822">MIN(8,_xlfn.XLOOKUP($D822&amp;"_"&amp;J$61,$B$23:$B$45&amp;"_"&amp;$C$23:$C$45,$D$23:$D$45)*$E822)</f>
        <v>8</v>
      </c>
      <c r="K822" s="67" cm="1">
        <f ca="1" t="array" ref="K822">MIN(18,_xlfn.XLOOKUP($D822&amp;"_"&amp;K$61,$B$23:$B$45&amp;"_"&amp;$C$23:$C$45,$D$23:$D$45)*$E822)</f>
        <v>3.18893733179547</v>
      </c>
      <c r="L822" s="67" cm="1">
        <f ca="1" t="array" ref="L822">MIN(6,_xlfn.XLOOKUP($D822&amp;"_"&amp;L$61,$B$23:$B$45&amp;"_"&amp;$C$23:$C$45,$D$23:$D$45)*$E822)</f>
        <v>4.7834059976932</v>
      </c>
      <c r="M822" s="67" cm="1">
        <f ca="1" t="array" ref="M822">(1+SUMPRODUCT(G822:H822,OFFSET($H$49:$I$49,D822,0)))*(1+OFFSET($J$49,D822,0))^I822*(1+OFFSET($K$49,D822,0))^J822*(1+OFFSET($L$49,D822,0))^K822*(1+OFFSET($M$49,D822,0))^L822</f>
        <v>290.716388464222</v>
      </c>
      <c r="N822" s="67">
        <f ca="1">MAX(MAX($N$62:N821),OFFSET($C$61,MATCH(M822*1.07,$M$62:$M$2061,1),0)-C822)</f>
        <v>28800</v>
      </c>
    </row>
    <row r="823" spans="2:14">
      <c r="B823" s="67">
        <v>762</v>
      </c>
      <c r="C823" s="67">
        <f t="shared" si="78"/>
        <v>274320</v>
      </c>
      <c r="D823" s="67">
        <f t="shared" si="74"/>
        <v>5</v>
      </c>
      <c r="E823" s="67">
        <f ca="1" t="shared" si="75"/>
        <v>792</v>
      </c>
      <c r="F823" s="67">
        <f ca="1" t="shared" si="76"/>
        <v>0</v>
      </c>
      <c r="G823" s="67">
        <f ca="1" t="shared" si="77"/>
        <v>0</v>
      </c>
      <c r="H823" s="67" cm="1">
        <f ca="1" t="array" ref="H823">MIN(30-SUM(I823:L823),_xlfn.XLOOKUP($D823&amp;"_"&amp;H$61,$B$23:$B$45&amp;"_"&amp;$C$23:$C$45,$D$23:$D$45)*$E823,18)</f>
        <v>12.8070311418685</v>
      </c>
      <c r="I823" s="67" cm="1">
        <f ca="1" t="array" ref="I823">MIN(30-SUM(J823:L823),6-L823,_xlfn.XLOOKUP($D823&amp;"_"&amp;I$61,$B$23:$B$45&amp;"_"&amp;$C$23:$C$45,$D$23:$D$45)*$E823)</f>
        <v>1.21054671280277</v>
      </c>
      <c r="J823" s="67" cm="1">
        <f ca="1" t="array" ref="J823">MIN(8,_xlfn.XLOOKUP($D823&amp;"_"&amp;J$61,$B$23:$B$45&amp;"_"&amp;$C$23:$C$45,$D$23:$D$45)*$E823)</f>
        <v>8</v>
      </c>
      <c r="K823" s="67" cm="1">
        <f ca="1" t="array" ref="K823">MIN(18,_xlfn.XLOOKUP($D823&amp;"_"&amp;K$61,$B$23:$B$45&amp;"_"&amp;$C$23:$C$45,$D$23:$D$45)*$E823)</f>
        <v>3.19296885813149</v>
      </c>
      <c r="L823" s="67" cm="1">
        <f ca="1" t="array" ref="L823">MIN(6,_xlfn.XLOOKUP($D823&amp;"_"&amp;L$61,$B$23:$B$45&amp;"_"&amp;$C$23:$C$45,$D$23:$D$45)*$E823)</f>
        <v>4.78945328719723</v>
      </c>
      <c r="M823" s="67" cm="1">
        <f ca="1" t="array" ref="M823">(1+SUMPRODUCT(G823:H823,OFFSET($H$49:$I$49,D823,0)))*(1+OFFSET($J$49,D823,0))^I823*(1+OFFSET($K$49,D823,0))^J823*(1+OFFSET($L$49,D823,0))^K823*(1+OFFSET($M$49,D823,0))^L823</f>
        <v>290.960158853461</v>
      </c>
      <c r="N823" s="67">
        <f ca="1">MAX(MAX($N$62:N822),OFFSET($C$61,MATCH(M823*1.07,$M$62:$M$2061,1),0)-C823)</f>
        <v>28800</v>
      </c>
    </row>
    <row r="824" spans="2:14">
      <c r="B824" s="67">
        <v>763</v>
      </c>
      <c r="C824" s="67">
        <f t="shared" si="78"/>
        <v>274680</v>
      </c>
      <c r="D824" s="67">
        <f t="shared" si="74"/>
        <v>5</v>
      </c>
      <c r="E824" s="67">
        <f ca="1" t="shared" si="75"/>
        <v>793</v>
      </c>
      <c r="F824" s="67">
        <f ca="1" t="shared" si="76"/>
        <v>0</v>
      </c>
      <c r="G824" s="67">
        <f ca="1" t="shared" si="77"/>
        <v>0</v>
      </c>
      <c r="H824" s="67" cm="1">
        <f ca="1" t="array" ref="H824">MIN(30-SUM(I824:L824),_xlfn.XLOOKUP($D824&amp;"_"&amp;H$61,$B$23:$B$45&amp;"_"&amp;$C$23:$C$45,$D$23:$D$45)*$E824,18)</f>
        <v>12.8029996155325</v>
      </c>
      <c r="I824" s="67" cm="1">
        <f ca="1" t="array" ref="I824">MIN(30-SUM(J824:L824),6-L824,_xlfn.XLOOKUP($D824&amp;"_"&amp;I$61,$B$23:$B$45&amp;"_"&amp;$C$23:$C$45,$D$23:$D$45)*$E824)</f>
        <v>1.20449942329873</v>
      </c>
      <c r="J824" s="67" cm="1">
        <f ca="1" t="array" ref="J824">MIN(8,_xlfn.XLOOKUP($D824&amp;"_"&amp;J$61,$B$23:$B$45&amp;"_"&amp;$C$23:$C$45,$D$23:$D$45)*$E824)</f>
        <v>8</v>
      </c>
      <c r="K824" s="67" cm="1">
        <f ca="1" t="array" ref="K824">MIN(18,_xlfn.XLOOKUP($D824&amp;"_"&amp;K$61,$B$23:$B$45&amp;"_"&amp;$C$23:$C$45,$D$23:$D$45)*$E824)</f>
        <v>3.19700038446752</v>
      </c>
      <c r="L824" s="67" cm="1">
        <f ca="1" t="array" ref="L824">MIN(6,_xlfn.XLOOKUP($D824&amp;"_"&amp;L$61,$B$23:$B$45&amp;"_"&amp;$C$23:$C$45,$D$23:$D$45)*$E824)</f>
        <v>4.79550057670127</v>
      </c>
      <c r="M824" s="67" cm="1">
        <f ca="1" t="array" ref="M824">(1+SUMPRODUCT(G824:H824,OFFSET($H$49:$I$49,D824,0)))*(1+OFFSET($J$49,D824,0))^I824*(1+OFFSET($K$49,D824,0))^J824*(1+OFFSET($L$49,D824,0))^K824*(1+OFFSET($M$49,D824,0))^L824</f>
        <v>291.204118721765</v>
      </c>
      <c r="N824" s="67">
        <f ca="1">MAX(MAX($N$62:N823),OFFSET($C$61,MATCH(M824*1.07,$M$62:$M$2061,1),0)-C824)</f>
        <v>28800</v>
      </c>
    </row>
    <row r="825" spans="2:14">
      <c r="B825" s="67">
        <v>764</v>
      </c>
      <c r="C825" s="67">
        <f t="shared" si="78"/>
        <v>275040</v>
      </c>
      <c r="D825" s="67">
        <f t="shared" si="74"/>
        <v>5</v>
      </c>
      <c r="E825" s="67">
        <f ca="1" t="shared" si="75"/>
        <v>794</v>
      </c>
      <c r="F825" s="67">
        <f ca="1" t="shared" si="76"/>
        <v>0</v>
      </c>
      <c r="G825" s="67">
        <f ca="1" t="shared" si="77"/>
        <v>0</v>
      </c>
      <c r="H825" s="67" cm="1">
        <f ca="1" t="array" ref="H825">MIN(30-SUM(I825:L825),_xlfn.XLOOKUP($D825&amp;"_"&amp;H$61,$B$23:$B$45&amp;"_"&amp;$C$23:$C$45,$D$23:$D$45)*$E825,18)</f>
        <v>12.7989680891965</v>
      </c>
      <c r="I825" s="67" cm="1">
        <f ca="1" t="array" ref="I825">MIN(30-SUM(J825:L825),6-L825,_xlfn.XLOOKUP($D825&amp;"_"&amp;I$61,$B$23:$B$45&amp;"_"&amp;$C$23:$C$45,$D$23:$D$45)*$E825)</f>
        <v>1.19845213379469</v>
      </c>
      <c r="J825" s="67" cm="1">
        <f ca="1" t="array" ref="J825">MIN(8,_xlfn.XLOOKUP($D825&amp;"_"&amp;J$61,$B$23:$B$45&amp;"_"&amp;$C$23:$C$45,$D$23:$D$45)*$E825)</f>
        <v>8</v>
      </c>
      <c r="K825" s="67" cm="1">
        <f ca="1" t="array" ref="K825">MIN(18,_xlfn.XLOOKUP($D825&amp;"_"&amp;K$61,$B$23:$B$45&amp;"_"&amp;$C$23:$C$45,$D$23:$D$45)*$E825)</f>
        <v>3.20103191080354</v>
      </c>
      <c r="L825" s="67" cm="1">
        <f ca="1" t="array" ref="L825">MIN(6,_xlfn.XLOOKUP($D825&amp;"_"&amp;L$61,$B$23:$B$45&amp;"_"&amp;$C$23:$C$45,$D$23:$D$45)*$E825)</f>
        <v>4.80154786620531</v>
      </c>
      <c r="M825" s="67" cm="1">
        <f ca="1" t="array" ref="M825">(1+SUMPRODUCT(G825:H825,OFFSET($H$49:$I$49,D825,0)))*(1+OFFSET($J$49,D825,0))^I825*(1+OFFSET($K$49,D825,0))^J825*(1+OFFSET($L$49,D825,0))^K825*(1+OFFSET($M$49,D825,0))^L825</f>
        <v>291.448268196219</v>
      </c>
      <c r="N825" s="67">
        <f ca="1">MAX(MAX($N$62:N824),OFFSET($C$61,MATCH(M825*1.07,$M$62:$M$2061,1),0)-C825)</f>
        <v>28800</v>
      </c>
    </row>
    <row r="826" spans="2:14">
      <c r="B826" s="67">
        <v>765</v>
      </c>
      <c r="C826" s="67">
        <f t="shared" si="78"/>
        <v>275400</v>
      </c>
      <c r="D826" s="67">
        <f t="shared" si="74"/>
        <v>5</v>
      </c>
      <c r="E826" s="67">
        <f ca="1" t="shared" si="75"/>
        <v>795</v>
      </c>
      <c r="F826" s="67">
        <f ca="1" t="shared" si="76"/>
        <v>0</v>
      </c>
      <c r="G826" s="67">
        <f ca="1" t="shared" si="77"/>
        <v>0</v>
      </c>
      <c r="H826" s="67" cm="1">
        <f ca="1" t="array" ref="H826">MIN(30-SUM(I826:L826),_xlfn.XLOOKUP($D826&amp;"_"&amp;H$61,$B$23:$B$45&amp;"_"&amp;$C$23:$C$45,$D$23:$D$45)*$E826,18)</f>
        <v>12.7949365628604</v>
      </c>
      <c r="I826" s="67" cm="1">
        <f ca="1" t="array" ref="I826">MIN(30-SUM(J826:L826),6-L826,_xlfn.XLOOKUP($D826&amp;"_"&amp;I$61,$B$23:$B$45&amp;"_"&amp;$C$23:$C$45,$D$23:$D$45)*$E826)</f>
        <v>1.19240484429066</v>
      </c>
      <c r="J826" s="67" cm="1">
        <f ca="1" t="array" ref="J826">MIN(8,_xlfn.XLOOKUP($D826&amp;"_"&amp;J$61,$B$23:$B$45&amp;"_"&amp;$C$23:$C$45,$D$23:$D$45)*$E826)</f>
        <v>8</v>
      </c>
      <c r="K826" s="67" cm="1">
        <f ca="1" t="array" ref="K826">MIN(18,_xlfn.XLOOKUP($D826&amp;"_"&amp;K$61,$B$23:$B$45&amp;"_"&amp;$C$23:$C$45,$D$23:$D$45)*$E826)</f>
        <v>3.20506343713956</v>
      </c>
      <c r="L826" s="67" cm="1">
        <f ca="1" t="array" ref="L826">MIN(6,_xlfn.XLOOKUP($D826&amp;"_"&amp;L$61,$B$23:$B$45&amp;"_"&amp;$C$23:$C$45,$D$23:$D$45)*$E826)</f>
        <v>4.80759515570934</v>
      </c>
      <c r="M826" s="67" cm="1">
        <f ca="1" t="array" ref="M826">(1+SUMPRODUCT(G826:H826,OFFSET($H$49:$I$49,D826,0)))*(1+OFFSET($J$49,D826,0))^I826*(1+OFFSET($K$49,D826,0))^J826*(1+OFFSET($L$49,D826,0))^K826*(1+OFFSET($M$49,D826,0))^L826</f>
        <v>291.692607403962</v>
      </c>
      <c r="N826" s="67">
        <f ca="1">MAX(MAX($N$62:N825),OFFSET($C$61,MATCH(M826*1.07,$M$62:$M$2061,1),0)-C826)</f>
        <v>28800</v>
      </c>
    </row>
    <row r="827" spans="2:14">
      <c r="B827" s="67">
        <v>766</v>
      </c>
      <c r="C827" s="67">
        <f t="shared" si="78"/>
        <v>275760</v>
      </c>
      <c r="D827" s="67">
        <f t="shared" si="74"/>
        <v>5</v>
      </c>
      <c r="E827" s="67">
        <f ca="1" t="shared" si="75"/>
        <v>796</v>
      </c>
      <c r="F827" s="67">
        <f ca="1" t="shared" si="76"/>
        <v>0</v>
      </c>
      <c r="G827" s="67">
        <f ca="1" t="shared" si="77"/>
        <v>0</v>
      </c>
      <c r="H827" s="67" cm="1">
        <f ca="1" t="array" ref="H827">MIN(30-SUM(I827:L827),_xlfn.XLOOKUP($D827&amp;"_"&amp;H$61,$B$23:$B$45&amp;"_"&amp;$C$23:$C$45,$D$23:$D$45)*$E827,18)</f>
        <v>12.7909050365244</v>
      </c>
      <c r="I827" s="67" cm="1">
        <f ca="1" t="array" ref="I827">MIN(30-SUM(J827:L827),6-L827,_xlfn.XLOOKUP($D827&amp;"_"&amp;I$61,$B$23:$B$45&amp;"_"&amp;$C$23:$C$45,$D$23:$D$45)*$E827)</f>
        <v>1.18635755478662</v>
      </c>
      <c r="J827" s="67" cm="1">
        <f ca="1" t="array" ref="J827">MIN(8,_xlfn.XLOOKUP($D827&amp;"_"&amp;J$61,$B$23:$B$45&amp;"_"&amp;$C$23:$C$45,$D$23:$D$45)*$E827)</f>
        <v>8</v>
      </c>
      <c r="K827" s="67" cm="1">
        <f ca="1" t="array" ref="K827">MIN(18,_xlfn.XLOOKUP($D827&amp;"_"&amp;K$61,$B$23:$B$45&amp;"_"&amp;$C$23:$C$45,$D$23:$D$45)*$E827)</f>
        <v>3.20909496347559</v>
      </c>
      <c r="L827" s="67" cm="1">
        <f ca="1" t="array" ref="L827">MIN(6,_xlfn.XLOOKUP($D827&amp;"_"&amp;L$61,$B$23:$B$45&amp;"_"&amp;$C$23:$C$45,$D$23:$D$45)*$E827)</f>
        <v>4.81364244521338</v>
      </c>
      <c r="M827" s="67" cm="1">
        <f ca="1" t="array" ref="M827">(1+SUMPRODUCT(G827:H827,OFFSET($H$49:$I$49,D827,0)))*(1+OFFSET($J$49,D827,0))^I827*(1+OFFSET($K$49,D827,0))^J827*(1+OFFSET($L$49,D827,0))^K827*(1+OFFSET($M$49,D827,0))^L827</f>
        <v>291.937136472192</v>
      </c>
      <c r="N827" s="67">
        <f ca="1">MAX(MAX($N$62:N826),OFFSET($C$61,MATCH(M827*1.07,$M$62:$M$2061,1),0)-C827)</f>
        <v>28800</v>
      </c>
    </row>
    <row r="828" spans="2:14">
      <c r="B828" s="67">
        <v>767</v>
      </c>
      <c r="C828" s="67">
        <f t="shared" si="78"/>
        <v>276120</v>
      </c>
      <c r="D828" s="67">
        <f t="shared" si="74"/>
        <v>5</v>
      </c>
      <c r="E828" s="67">
        <f ca="1" t="shared" si="75"/>
        <v>797</v>
      </c>
      <c r="F828" s="67">
        <f ca="1" t="shared" si="76"/>
        <v>0</v>
      </c>
      <c r="G828" s="67">
        <f ca="1" t="shared" si="77"/>
        <v>0</v>
      </c>
      <c r="H828" s="67" cm="1">
        <f ca="1" t="array" ref="H828">MIN(30-SUM(I828:L828),_xlfn.XLOOKUP($D828&amp;"_"&amp;H$61,$B$23:$B$45&amp;"_"&amp;$C$23:$C$45,$D$23:$D$45)*$E828,18)</f>
        <v>12.7868735101884</v>
      </c>
      <c r="I828" s="67" cm="1">
        <f ca="1" t="array" ref="I828">MIN(30-SUM(J828:L828),6-L828,_xlfn.XLOOKUP($D828&amp;"_"&amp;I$61,$B$23:$B$45&amp;"_"&amp;$C$23:$C$45,$D$23:$D$45)*$E828)</f>
        <v>1.18031026528258</v>
      </c>
      <c r="J828" s="67" cm="1">
        <f ca="1" t="array" ref="J828">MIN(8,_xlfn.XLOOKUP($D828&amp;"_"&amp;J$61,$B$23:$B$45&amp;"_"&amp;$C$23:$C$45,$D$23:$D$45)*$E828)</f>
        <v>8</v>
      </c>
      <c r="K828" s="67" cm="1">
        <f ca="1" t="array" ref="K828">MIN(18,_xlfn.XLOOKUP($D828&amp;"_"&amp;K$61,$B$23:$B$45&amp;"_"&amp;$C$23:$C$45,$D$23:$D$45)*$E828)</f>
        <v>3.21312648981161</v>
      </c>
      <c r="L828" s="67" cm="1">
        <f ca="1" t="array" ref="L828">MIN(6,_xlfn.XLOOKUP($D828&amp;"_"&amp;L$61,$B$23:$B$45&amp;"_"&amp;$C$23:$C$45,$D$23:$D$45)*$E828)</f>
        <v>4.81968973471742</v>
      </c>
      <c r="M828" s="67" cm="1">
        <f ca="1" t="array" ref="M828">(1+SUMPRODUCT(G828:H828,OFFSET($H$49:$I$49,D828,0)))*(1+OFFSET($J$49,D828,0))^I828*(1+OFFSET($K$49,D828,0))^J828*(1+OFFSET($L$49,D828,0))^K828*(1+OFFSET($M$49,D828,0))^L828</f>
        <v>292.181855528161</v>
      </c>
      <c r="N828" s="67">
        <f ca="1">MAX(MAX($N$62:N827),OFFSET($C$61,MATCH(M828*1.07,$M$62:$M$2061,1),0)-C828)</f>
        <v>28800</v>
      </c>
    </row>
    <row r="829" spans="2:14">
      <c r="B829" s="67">
        <v>768</v>
      </c>
      <c r="C829" s="67">
        <f t="shared" si="78"/>
        <v>276480</v>
      </c>
      <c r="D829" s="67">
        <f t="shared" si="74"/>
        <v>5</v>
      </c>
      <c r="E829" s="67">
        <f ca="1" t="shared" si="75"/>
        <v>798</v>
      </c>
      <c r="F829" s="67">
        <f ca="1" t="shared" si="76"/>
        <v>0</v>
      </c>
      <c r="G829" s="67">
        <f ca="1" t="shared" si="77"/>
        <v>0</v>
      </c>
      <c r="H829" s="67" cm="1">
        <f ca="1" t="array" ref="H829">MIN(30-SUM(I829:L829),_xlfn.XLOOKUP($D829&amp;"_"&amp;H$61,$B$23:$B$45&amp;"_"&amp;$C$23:$C$45,$D$23:$D$45)*$E829,18)</f>
        <v>12.7828419838524</v>
      </c>
      <c r="I829" s="67" cm="1">
        <f ca="1" t="array" ref="I829">MIN(30-SUM(J829:L829),6-L829,_xlfn.XLOOKUP($D829&amp;"_"&amp;I$61,$B$23:$B$45&amp;"_"&amp;$C$23:$C$45,$D$23:$D$45)*$E829)</f>
        <v>1.17426297577855</v>
      </c>
      <c r="J829" s="67" cm="1">
        <f ca="1" t="array" ref="J829">MIN(8,_xlfn.XLOOKUP($D829&amp;"_"&amp;J$61,$B$23:$B$45&amp;"_"&amp;$C$23:$C$45,$D$23:$D$45)*$E829)</f>
        <v>8</v>
      </c>
      <c r="K829" s="67" cm="1">
        <f ca="1" t="array" ref="K829">MIN(18,_xlfn.XLOOKUP($D829&amp;"_"&amp;K$61,$B$23:$B$45&amp;"_"&amp;$C$23:$C$45,$D$23:$D$45)*$E829)</f>
        <v>3.21715801614764</v>
      </c>
      <c r="L829" s="67" cm="1">
        <f ca="1" t="array" ref="L829">MIN(6,_xlfn.XLOOKUP($D829&amp;"_"&amp;L$61,$B$23:$B$45&amp;"_"&amp;$C$23:$C$45,$D$23:$D$45)*$E829)</f>
        <v>4.82573702422145</v>
      </c>
      <c r="M829" s="67" cm="1">
        <f ca="1" t="array" ref="M829">(1+SUMPRODUCT(G829:H829,OFFSET($H$49:$I$49,D829,0)))*(1+OFFSET($J$49,D829,0))^I829*(1+OFFSET($K$49,D829,0))^J829*(1+OFFSET($L$49,D829,0))^K829*(1+OFFSET($M$49,D829,0))^L829</f>
        <v>292.426764699176</v>
      </c>
      <c r="N829" s="67">
        <f ca="1">MAX(MAX($N$62:N828),OFFSET($C$61,MATCH(M829*1.07,$M$62:$M$2061,1),0)-C829)</f>
        <v>28800</v>
      </c>
    </row>
    <row r="830" spans="2:14">
      <c r="B830" s="67">
        <v>769</v>
      </c>
      <c r="C830" s="67">
        <f t="shared" si="78"/>
        <v>276840</v>
      </c>
      <c r="D830" s="67">
        <f t="shared" si="74"/>
        <v>5</v>
      </c>
      <c r="E830" s="67">
        <f ca="1" t="shared" si="75"/>
        <v>799</v>
      </c>
      <c r="F830" s="67">
        <f ca="1" t="shared" si="76"/>
        <v>0</v>
      </c>
      <c r="G830" s="67">
        <f ca="1" t="shared" si="77"/>
        <v>0</v>
      </c>
      <c r="H830" s="67" cm="1">
        <f ca="1" t="array" ref="H830">MIN(30-SUM(I830:L830),_xlfn.XLOOKUP($D830&amp;"_"&amp;H$61,$B$23:$B$45&amp;"_"&amp;$C$23:$C$45,$D$23:$D$45)*$E830,18)</f>
        <v>12.7788104575163</v>
      </c>
      <c r="I830" s="67" cm="1">
        <f ca="1" t="array" ref="I830">MIN(30-SUM(J830:L830),6-L830,_xlfn.XLOOKUP($D830&amp;"_"&amp;I$61,$B$23:$B$45&amp;"_"&amp;$C$23:$C$45,$D$23:$D$45)*$E830)</f>
        <v>1.16821568627451</v>
      </c>
      <c r="J830" s="67" cm="1">
        <f ca="1" t="array" ref="J830">MIN(8,_xlfn.XLOOKUP($D830&amp;"_"&amp;J$61,$B$23:$B$45&amp;"_"&amp;$C$23:$C$45,$D$23:$D$45)*$E830)</f>
        <v>8</v>
      </c>
      <c r="K830" s="67" cm="1">
        <f ca="1" t="array" ref="K830">MIN(18,_xlfn.XLOOKUP($D830&amp;"_"&amp;K$61,$B$23:$B$45&amp;"_"&amp;$C$23:$C$45,$D$23:$D$45)*$E830)</f>
        <v>3.22118954248366</v>
      </c>
      <c r="L830" s="67" cm="1">
        <f ca="1" t="array" ref="L830">MIN(6,_xlfn.XLOOKUP($D830&amp;"_"&amp;L$61,$B$23:$B$45&amp;"_"&amp;$C$23:$C$45,$D$23:$D$45)*$E830)</f>
        <v>4.83178431372549</v>
      </c>
      <c r="M830" s="67" cm="1">
        <f ca="1" t="array" ref="M830">(1+SUMPRODUCT(G830:H830,OFFSET($H$49:$I$49,D830,0)))*(1+OFFSET($J$49,D830,0))^I830*(1+OFFSET($K$49,D830,0))^J830*(1+OFFSET($L$49,D830,0))^K830*(1+OFFSET($M$49,D830,0))^L830</f>
        <v>292.671864112602</v>
      </c>
      <c r="N830" s="67">
        <f ca="1">MAX(MAX($N$62:N829),OFFSET($C$61,MATCH(M830*1.07,$M$62:$M$2061,1),0)-C830)</f>
        <v>28800</v>
      </c>
    </row>
    <row r="831" spans="2:14">
      <c r="B831" s="67">
        <v>770</v>
      </c>
      <c r="C831" s="67">
        <f t="shared" si="78"/>
        <v>277200</v>
      </c>
      <c r="D831" s="67">
        <f t="shared" ref="D831:D894" si="79">_xlfn.XLOOKUP("非R",$B$49:$B$54,$C$49:$C$54)</f>
        <v>5</v>
      </c>
      <c r="E831" s="67">
        <f ca="1" t="shared" ref="E831:E894" si="80">INT(C831/_xlfn.XLOOKUP(D831,$R$14:$R$21,$S$14:$S$21))+OFFSET($R$49,D831,0)</f>
        <v>800</v>
      </c>
      <c r="F831" s="67">
        <f ca="1" t="shared" si="76"/>
        <v>0</v>
      </c>
      <c r="G831" s="67">
        <f ca="1" t="shared" si="77"/>
        <v>0</v>
      </c>
      <c r="H831" s="67" cm="1">
        <f ca="1" t="array" ref="H831">MIN(30-SUM(I831:L831),_xlfn.XLOOKUP($D831&amp;"_"&amp;H$61,$B$23:$B$45&amp;"_"&amp;$C$23:$C$45,$D$23:$D$45)*$E831,18)</f>
        <v>12.7747789311803</v>
      </c>
      <c r="I831" s="67" cm="1">
        <f ca="1" t="array" ref="I831">MIN(30-SUM(J831:L831),6-L831,_xlfn.XLOOKUP($D831&amp;"_"&amp;I$61,$B$23:$B$45&amp;"_"&amp;$C$23:$C$45,$D$23:$D$45)*$E831)</f>
        <v>1.16216839677047</v>
      </c>
      <c r="J831" s="67" cm="1">
        <f ca="1" t="array" ref="J831">MIN(8,_xlfn.XLOOKUP($D831&amp;"_"&amp;J$61,$B$23:$B$45&amp;"_"&amp;$C$23:$C$45,$D$23:$D$45)*$E831)</f>
        <v>8</v>
      </c>
      <c r="K831" s="67" cm="1">
        <f ca="1" t="array" ref="K831">MIN(18,_xlfn.XLOOKUP($D831&amp;"_"&amp;K$61,$B$23:$B$45&amp;"_"&amp;$C$23:$C$45,$D$23:$D$45)*$E831)</f>
        <v>3.22522106881969</v>
      </c>
      <c r="L831" s="67" cm="1">
        <f ca="1" t="array" ref="L831">MIN(6,_xlfn.XLOOKUP($D831&amp;"_"&amp;L$61,$B$23:$B$45&amp;"_"&amp;$C$23:$C$45,$D$23:$D$45)*$E831)</f>
        <v>4.83783160322953</v>
      </c>
      <c r="M831" s="67" cm="1">
        <f ca="1" t="array" ref="M831">(1+SUMPRODUCT(G831:H831,OFFSET($H$49:$I$49,D831,0)))*(1+OFFSET($J$49,D831,0))^I831*(1+OFFSET($K$49,D831,0))^J831*(1+OFFSET($L$49,D831,0))^K831*(1+OFFSET($M$49,D831,0))^L831</f>
        <v>292.917153895856</v>
      </c>
      <c r="N831" s="67">
        <f ca="1">MAX(MAX($N$62:N830),OFFSET($C$61,MATCH(M831*1.07,$M$62:$M$2061,1),0)-C831)</f>
        <v>28800</v>
      </c>
    </row>
    <row r="832" spans="2:14">
      <c r="B832" s="67">
        <v>771</v>
      </c>
      <c r="C832" s="67">
        <f t="shared" si="78"/>
        <v>277560</v>
      </c>
      <c r="D832" s="67">
        <f t="shared" si="79"/>
        <v>5</v>
      </c>
      <c r="E832" s="67">
        <f ca="1" t="shared" si="80"/>
        <v>801</v>
      </c>
      <c r="F832" s="67">
        <f ca="1" t="shared" ref="F832:F895" si="81">30-SUM(G832:L832)</f>
        <v>0</v>
      </c>
      <c r="G832" s="67">
        <f ca="1" t="shared" ref="G832:G895" si="82">30-SUM(H832:L832)</f>
        <v>0</v>
      </c>
      <c r="H832" s="67" cm="1">
        <f ca="1" t="array" ref="H832">MIN(30-SUM(I832:L832),_xlfn.XLOOKUP($D832&amp;"_"&amp;H$61,$B$23:$B$45&amp;"_"&amp;$C$23:$C$45,$D$23:$D$45)*$E832,18)</f>
        <v>12.7707474048443</v>
      </c>
      <c r="I832" s="67" cm="1">
        <f ca="1" t="array" ref="I832">MIN(30-SUM(J832:L832),6-L832,_xlfn.XLOOKUP($D832&amp;"_"&amp;I$61,$B$23:$B$45&amp;"_"&amp;$C$23:$C$45,$D$23:$D$45)*$E832)</f>
        <v>1.15612110726643</v>
      </c>
      <c r="J832" s="67" cm="1">
        <f ca="1" t="array" ref="J832">MIN(8,_xlfn.XLOOKUP($D832&amp;"_"&amp;J$61,$B$23:$B$45&amp;"_"&amp;$C$23:$C$45,$D$23:$D$45)*$E832)</f>
        <v>8</v>
      </c>
      <c r="K832" s="67" cm="1">
        <f ca="1" t="array" ref="K832">MIN(18,_xlfn.XLOOKUP($D832&amp;"_"&amp;K$61,$B$23:$B$45&amp;"_"&amp;$C$23:$C$45,$D$23:$D$45)*$E832)</f>
        <v>3.22925259515571</v>
      </c>
      <c r="L832" s="67" cm="1">
        <f ca="1" t="array" ref="L832">MIN(6,_xlfn.XLOOKUP($D832&amp;"_"&amp;L$61,$B$23:$B$45&amp;"_"&amp;$C$23:$C$45,$D$23:$D$45)*$E832)</f>
        <v>4.84387889273357</v>
      </c>
      <c r="M832" s="67" cm="1">
        <f ca="1" t="array" ref="M832">(1+SUMPRODUCT(G832:H832,OFFSET($H$49:$I$49,D832,0)))*(1+OFFSET($J$49,D832,0))^I832*(1+OFFSET($K$49,D832,0))^J832*(1+OFFSET($L$49,D832,0))^K832*(1+OFFSET($M$49,D832,0))^L832</f>
        <v>293.162634176415</v>
      </c>
      <c r="N832" s="67">
        <f ca="1">MAX(MAX($N$62:N831),OFFSET($C$61,MATCH(M832*1.07,$M$62:$M$2061,1),0)-C832)</f>
        <v>28800</v>
      </c>
    </row>
    <row r="833" spans="2:14">
      <c r="B833" s="67">
        <v>772</v>
      </c>
      <c r="C833" s="67">
        <f t="shared" si="78"/>
        <v>277920</v>
      </c>
      <c r="D833" s="67">
        <f t="shared" si="79"/>
        <v>5</v>
      </c>
      <c r="E833" s="67">
        <f ca="1" t="shared" si="80"/>
        <v>802</v>
      </c>
      <c r="F833" s="67">
        <f ca="1" t="shared" si="81"/>
        <v>0</v>
      </c>
      <c r="G833" s="67">
        <f ca="1" t="shared" si="82"/>
        <v>0</v>
      </c>
      <c r="H833" s="67" cm="1">
        <f ca="1" t="array" ref="H833">MIN(30-SUM(I833:L833),_xlfn.XLOOKUP($D833&amp;"_"&amp;H$61,$B$23:$B$45&amp;"_"&amp;$C$23:$C$45,$D$23:$D$45)*$E833,18)</f>
        <v>12.7667158785083</v>
      </c>
      <c r="I833" s="67" cm="1">
        <f ca="1" t="array" ref="I833">MIN(30-SUM(J833:L833),6-L833,_xlfn.XLOOKUP($D833&amp;"_"&amp;I$61,$B$23:$B$45&amp;"_"&amp;$C$23:$C$45,$D$23:$D$45)*$E833)</f>
        <v>1.1500738177624</v>
      </c>
      <c r="J833" s="67" cm="1">
        <f ca="1" t="array" ref="J833">MIN(8,_xlfn.XLOOKUP($D833&amp;"_"&amp;J$61,$B$23:$B$45&amp;"_"&amp;$C$23:$C$45,$D$23:$D$45)*$E833)</f>
        <v>8</v>
      </c>
      <c r="K833" s="67" cm="1">
        <f ca="1" t="array" ref="K833">MIN(18,_xlfn.XLOOKUP($D833&amp;"_"&amp;K$61,$B$23:$B$45&amp;"_"&amp;$C$23:$C$45,$D$23:$D$45)*$E833)</f>
        <v>3.23328412149174</v>
      </c>
      <c r="L833" s="67" cm="1">
        <f ca="1" t="array" ref="L833">MIN(6,_xlfn.XLOOKUP($D833&amp;"_"&amp;L$61,$B$23:$B$45&amp;"_"&amp;$C$23:$C$45,$D$23:$D$45)*$E833)</f>
        <v>4.8499261822376</v>
      </c>
      <c r="M833" s="67" cm="1">
        <f ca="1" t="array" ref="M833">(1+SUMPRODUCT(G833:H833,OFFSET($H$49:$I$49,D833,0)))*(1+OFFSET($J$49,D833,0))^I833*(1+OFFSET($K$49,D833,0))^J833*(1+OFFSET($L$49,D833,0))^K833*(1+OFFSET($M$49,D833,0))^L833</f>
        <v>293.408305081808</v>
      </c>
      <c r="N833" s="67">
        <f ca="1">MAX(MAX($N$62:N832),OFFSET($C$61,MATCH(M833*1.07,$M$62:$M$2061,1),0)-C833)</f>
        <v>28800</v>
      </c>
    </row>
    <row r="834" spans="2:14">
      <c r="B834" s="67">
        <v>773</v>
      </c>
      <c r="C834" s="67">
        <f t="shared" si="78"/>
        <v>278280</v>
      </c>
      <c r="D834" s="67">
        <f t="shared" si="79"/>
        <v>5</v>
      </c>
      <c r="E834" s="67">
        <f ca="1" t="shared" si="80"/>
        <v>803</v>
      </c>
      <c r="F834" s="67">
        <f ca="1" t="shared" si="81"/>
        <v>0</v>
      </c>
      <c r="G834" s="67">
        <f ca="1" t="shared" si="82"/>
        <v>0</v>
      </c>
      <c r="H834" s="67" cm="1">
        <f ca="1" t="array" ref="H834">MIN(30-SUM(I834:L834),_xlfn.XLOOKUP($D834&amp;"_"&amp;H$61,$B$23:$B$45&amp;"_"&amp;$C$23:$C$45,$D$23:$D$45)*$E834,18)</f>
        <v>12.7626843521722</v>
      </c>
      <c r="I834" s="67" cm="1">
        <f ca="1" t="array" ref="I834">MIN(30-SUM(J834:L834),6-L834,_xlfn.XLOOKUP($D834&amp;"_"&amp;I$61,$B$23:$B$45&amp;"_"&amp;$C$23:$C$45,$D$23:$D$45)*$E834)</f>
        <v>1.14402652825836</v>
      </c>
      <c r="J834" s="67" cm="1">
        <f ca="1" t="array" ref="J834">MIN(8,_xlfn.XLOOKUP($D834&amp;"_"&amp;J$61,$B$23:$B$45&amp;"_"&amp;$C$23:$C$45,$D$23:$D$45)*$E834)</f>
        <v>8</v>
      </c>
      <c r="K834" s="67" cm="1">
        <f ca="1" t="array" ref="K834">MIN(18,_xlfn.XLOOKUP($D834&amp;"_"&amp;K$61,$B$23:$B$45&amp;"_"&amp;$C$23:$C$45,$D$23:$D$45)*$E834)</f>
        <v>3.23731564782776</v>
      </c>
      <c r="L834" s="67" cm="1">
        <f ca="1" t="array" ref="L834">MIN(6,_xlfn.XLOOKUP($D834&amp;"_"&amp;L$61,$B$23:$B$45&amp;"_"&amp;$C$23:$C$45,$D$23:$D$45)*$E834)</f>
        <v>4.85597347174164</v>
      </c>
      <c r="M834" s="67" cm="1">
        <f ca="1" t="array" ref="M834">(1+SUMPRODUCT(G834:H834,OFFSET($H$49:$I$49,D834,0)))*(1+OFFSET($J$49,D834,0))^I834*(1+OFFSET($K$49,D834,0))^J834*(1+OFFSET($L$49,D834,0))^K834*(1+OFFSET($M$49,D834,0))^L834</f>
        <v>293.654166739621</v>
      </c>
      <c r="N834" s="67">
        <f ca="1">MAX(MAX($N$62:N833),OFFSET($C$61,MATCH(M834*1.07,$M$62:$M$2061,1),0)-C834)</f>
        <v>28800</v>
      </c>
    </row>
    <row r="835" spans="2:14">
      <c r="B835" s="67">
        <v>774</v>
      </c>
      <c r="C835" s="67">
        <f t="shared" si="78"/>
        <v>278640</v>
      </c>
      <c r="D835" s="67">
        <f t="shared" si="79"/>
        <v>5</v>
      </c>
      <c r="E835" s="67">
        <f ca="1" t="shared" si="80"/>
        <v>804</v>
      </c>
      <c r="F835" s="67">
        <f ca="1" t="shared" si="81"/>
        <v>0</v>
      </c>
      <c r="G835" s="67">
        <f ca="1" t="shared" si="82"/>
        <v>0</v>
      </c>
      <c r="H835" s="67" cm="1">
        <f ca="1" t="array" ref="H835">MIN(30-SUM(I835:L835),_xlfn.XLOOKUP($D835&amp;"_"&amp;H$61,$B$23:$B$45&amp;"_"&amp;$C$23:$C$45,$D$23:$D$45)*$E835,18)</f>
        <v>12.7586528258362</v>
      </c>
      <c r="I835" s="67" cm="1">
        <f ca="1" t="array" ref="I835">MIN(30-SUM(J835:L835),6-L835,_xlfn.XLOOKUP($D835&amp;"_"&amp;I$61,$B$23:$B$45&amp;"_"&amp;$C$23:$C$45,$D$23:$D$45)*$E835)</f>
        <v>1.13797923875432</v>
      </c>
      <c r="J835" s="67" cm="1">
        <f ca="1" t="array" ref="J835">MIN(8,_xlfn.XLOOKUP($D835&amp;"_"&amp;J$61,$B$23:$B$45&amp;"_"&amp;$C$23:$C$45,$D$23:$D$45)*$E835)</f>
        <v>8</v>
      </c>
      <c r="K835" s="67" cm="1">
        <f ca="1" t="array" ref="K835">MIN(18,_xlfn.XLOOKUP($D835&amp;"_"&amp;K$61,$B$23:$B$45&amp;"_"&amp;$C$23:$C$45,$D$23:$D$45)*$E835)</f>
        <v>3.24134717416379</v>
      </c>
      <c r="L835" s="67" cm="1">
        <f ca="1" t="array" ref="L835">MIN(6,_xlfn.XLOOKUP($D835&amp;"_"&amp;L$61,$B$23:$B$45&amp;"_"&amp;$C$23:$C$45,$D$23:$D$45)*$E835)</f>
        <v>4.86202076124568</v>
      </c>
      <c r="M835" s="67" cm="1">
        <f ca="1" t="array" ref="M835">(1+SUMPRODUCT(G835:H835,OFFSET($H$49:$I$49,D835,0)))*(1+OFFSET($J$49,D835,0))^I835*(1+OFFSET($K$49,D835,0))^J835*(1+OFFSET($L$49,D835,0))^K835*(1+OFFSET($M$49,D835,0))^L835</f>
        <v>293.900219277496</v>
      </c>
      <c r="N835" s="67">
        <f ca="1">MAX(MAX($N$62:N834),OFFSET($C$61,MATCH(M835*1.07,$M$62:$M$2061,1),0)-C835)</f>
        <v>28800</v>
      </c>
    </row>
    <row r="836" spans="2:14">
      <c r="B836" s="67">
        <v>775</v>
      </c>
      <c r="C836" s="67">
        <f t="shared" si="78"/>
        <v>279000</v>
      </c>
      <c r="D836" s="67">
        <f t="shared" si="79"/>
        <v>5</v>
      </c>
      <c r="E836" s="67">
        <f ca="1" t="shared" si="80"/>
        <v>805</v>
      </c>
      <c r="F836" s="67">
        <f ca="1" t="shared" si="81"/>
        <v>0</v>
      </c>
      <c r="G836" s="67">
        <f ca="1" t="shared" si="82"/>
        <v>0</v>
      </c>
      <c r="H836" s="67" cm="1">
        <f ca="1" t="array" ref="H836">MIN(30-SUM(I836:L836),_xlfn.XLOOKUP($D836&amp;"_"&amp;H$61,$B$23:$B$45&amp;"_"&amp;$C$23:$C$45,$D$23:$D$45)*$E836,18)</f>
        <v>12.7546212995002</v>
      </c>
      <c r="I836" s="67" cm="1">
        <f ca="1" t="array" ref="I836">MIN(30-SUM(J836:L836),6-L836,_xlfn.XLOOKUP($D836&amp;"_"&amp;I$61,$B$23:$B$45&amp;"_"&amp;$C$23:$C$45,$D$23:$D$45)*$E836)</f>
        <v>1.13193194925029</v>
      </c>
      <c r="J836" s="67" cm="1">
        <f ca="1" t="array" ref="J836">MIN(8,_xlfn.XLOOKUP($D836&amp;"_"&amp;J$61,$B$23:$B$45&amp;"_"&amp;$C$23:$C$45,$D$23:$D$45)*$E836)</f>
        <v>8</v>
      </c>
      <c r="K836" s="67" cm="1">
        <f ca="1" t="array" ref="K836">MIN(18,_xlfn.XLOOKUP($D836&amp;"_"&amp;K$61,$B$23:$B$45&amp;"_"&amp;$C$23:$C$45,$D$23:$D$45)*$E836)</f>
        <v>3.24537870049981</v>
      </c>
      <c r="L836" s="67" cm="1">
        <f ca="1" t="array" ref="L836">MIN(6,_xlfn.XLOOKUP($D836&amp;"_"&amp;L$61,$B$23:$B$45&amp;"_"&amp;$C$23:$C$45,$D$23:$D$45)*$E836)</f>
        <v>4.86806805074971</v>
      </c>
      <c r="M836" s="67" cm="1">
        <f ca="1" t="array" ref="M836">(1+SUMPRODUCT(G836:H836,OFFSET($H$49:$I$49,D836,0)))*(1+OFFSET($J$49,D836,0))^I836*(1+OFFSET($K$49,D836,0))^J836*(1+OFFSET($L$49,D836,0))^K836*(1+OFFSET($M$49,D836,0))^L836</f>
        <v>294.146462823129</v>
      </c>
      <c r="N836" s="67">
        <f ca="1">MAX(MAX($N$62:N835),OFFSET($C$61,MATCH(M836*1.07,$M$62:$M$2061,1),0)-C836)</f>
        <v>28800</v>
      </c>
    </row>
    <row r="837" spans="2:14">
      <c r="B837" s="67">
        <v>776</v>
      </c>
      <c r="C837" s="67">
        <f t="shared" si="78"/>
        <v>279360</v>
      </c>
      <c r="D837" s="67">
        <f t="shared" si="79"/>
        <v>5</v>
      </c>
      <c r="E837" s="67">
        <f ca="1" t="shared" si="80"/>
        <v>806</v>
      </c>
      <c r="F837" s="67">
        <f ca="1" t="shared" si="81"/>
        <v>0</v>
      </c>
      <c r="G837" s="67">
        <f ca="1" t="shared" si="82"/>
        <v>0</v>
      </c>
      <c r="H837" s="67" cm="1">
        <f ca="1" t="array" ref="H837">MIN(30-SUM(I837:L837),_xlfn.XLOOKUP($D837&amp;"_"&amp;H$61,$B$23:$B$45&amp;"_"&amp;$C$23:$C$45,$D$23:$D$45)*$E837,18)</f>
        <v>12.7505897731642</v>
      </c>
      <c r="I837" s="67" cm="1">
        <f ca="1" t="array" ref="I837">MIN(30-SUM(J837:L837),6-L837,_xlfn.XLOOKUP($D837&amp;"_"&amp;I$61,$B$23:$B$45&amp;"_"&amp;$C$23:$C$45,$D$23:$D$45)*$E837)</f>
        <v>1.12588465974625</v>
      </c>
      <c r="J837" s="67" cm="1">
        <f ca="1" t="array" ref="J837">MIN(8,_xlfn.XLOOKUP($D837&amp;"_"&amp;J$61,$B$23:$B$45&amp;"_"&amp;$C$23:$C$45,$D$23:$D$45)*$E837)</f>
        <v>8</v>
      </c>
      <c r="K837" s="67" cm="1">
        <f ca="1" t="array" ref="K837">MIN(18,_xlfn.XLOOKUP($D837&amp;"_"&amp;K$61,$B$23:$B$45&amp;"_"&amp;$C$23:$C$45,$D$23:$D$45)*$E837)</f>
        <v>3.24941022683584</v>
      </c>
      <c r="L837" s="67" cm="1">
        <f ca="1" t="array" ref="L837">MIN(6,_xlfn.XLOOKUP($D837&amp;"_"&amp;L$61,$B$23:$B$45&amp;"_"&amp;$C$23:$C$45,$D$23:$D$45)*$E837)</f>
        <v>4.87411534025375</v>
      </c>
      <c r="M837" s="67" cm="1">
        <f ca="1" t="array" ref="M837">(1+SUMPRODUCT(G837:H837,OFFSET($H$49:$I$49,D837,0)))*(1+OFFSET($J$49,D837,0))^I837*(1+OFFSET($K$49,D837,0))^J837*(1+OFFSET($L$49,D837,0))^K837*(1+OFFSET($M$49,D837,0))^L837</f>
        <v>294.392897504273</v>
      </c>
      <c r="N837" s="67">
        <f ca="1">MAX(MAX($N$62:N836),OFFSET($C$61,MATCH(M837*1.07,$M$62:$M$2061,1),0)-C837)</f>
        <v>28800</v>
      </c>
    </row>
    <row r="838" spans="2:14">
      <c r="B838" s="67">
        <v>777</v>
      </c>
      <c r="C838" s="67">
        <f t="shared" si="78"/>
        <v>279720</v>
      </c>
      <c r="D838" s="67">
        <f t="shared" si="79"/>
        <v>5</v>
      </c>
      <c r="E838" s="67">
        <f ca="1" t="shared" si="80"/>
        <v>807</v>
      </c>
      <c r="F838" s="67">
        <f ca="1" t="shared" si="81"/>
        <v>0</v>
      </c>
      <c r="G838" s="67">
        <f ca="1" t="shared" si="82"/>
        <v>0</v>
      </c>
      <c r="H838" s="67" cm="1">
        <f ca="1" t="array" ref="H838">MIN(30-SUM(I838:L838),_xlfn.XLOOKUP($D838&amp;"_"&amp;H$61,$B$23:$B$45&amp;"_"&amp;$C$23:$C$45,$D$23:$D$45)*$E838,18)</f>
        <v>12.7465582468281</v>
      </c>
      <c r="I838" s="67" cm="1">
        <f ca="1" t="array" ref="I838">MIN(30-SUM(J838:L838),6-L838,_xlfn.XLOOKUP($D838&amp;"_"&amp;I$61,$B$23:$B$45&amp;"_"&amp;$C$23:$C$45,$D$23:$D$45)*$E838)</f>
        <v>1.11983737024221</v>
      </c>
      <c r="J838" s="67" cm="1">
        <f ca="1" t="array" ref="J838">MIN(8,_xlfn.XLOOKUP($D838&amp;"_"&amp;J$61,$B$23:$B$45&amp;"_"&amp;$C$23:$C$45,$D$23:$D$45)*$E838)</f>
        <v>8</v>
      </c>
      <c r="K838" s="67" cm="1">
        <f ca="1" t="array" ref="K838">MIN(18,_xlfn.XLOOKUP($D838&amp;"_"&amp;K$61,$B$23:$B$45&amp;"_"&amp;$C$23:$C$45,$D$23:$D$45)*$E838)</f>
        <v>3.25344175317186</v>
      </c>
      <c r="L838" s="67" cm="1">
        <f ca="1" t="array" ref="L838">MIN(6,_xlfn.XLOOKUP($D838&amp;"_"&amp;L$61,$B$23:$B$45&amp;"_"&amp;$C$23:$C$45,$D$23:$D$45)*$E838)</f>
        <v>4.88016262975779</v>
      </c>
      <c r="M838" s="67" cm="1">
        <f ca="1" t="array" ref="M838">(1+SUMPRODUCT(G838:H838,OFFSET($H$49:$I$49,D838,0)))*(1+OFFSET($J$49,D838,0))^I838*(1+OFFSET($K$49,D838,0))^J838*(1+OFFSET($L$49,D838,0))^K838*(1+OFFSET($M$49,D838,0))^L838</f>
        <v>294.639523448736</v>
      </c>
      <c r="N838" s="67">
        <f ca="1">MAX(MAX($N$62:N837),OFFSET($C$61,MATCH(M838*1.07,$M$62:$M$2061,1),0)-C838)</f>
        <v>29160</v>
      </c>
    </row>
    <row r="839" spans="2:14">
      <c r="B839" s="67">
        <v>778</v>
      </c>
      <c r="C839" s="67">
        <f t="shared" si="78"/>
        <v>280080</v>
      </c>
      <c r="D839" s="67">
        <f t="shared" si="79"/>
        <v>5</v>
      </c>
      <c r="E839" s="67">
        <f ca="1" t="shared" si="80"/>
        <v>808</v>
      </c>
      <c r="F839" s="67">
        <f ca="1" t="shared" si="81"/>
        <v>0</v>
      </c>
      <c r="G839" s="67">
        <f ca="1" t="shared" si="82"/>
        <v>0</v>
      </c>
      <c r="H839" s="67" cm="1">
        <f ca="1" t="array" ref="H839">MIN(30-SUM(I839:L839),_xlfn.XLOOKUP($D839&amp;"_"&amp;H$61,$B$23:$B$45&amp;"_"&amp;$C$23:$C$45,$D$23:$D$45)*$E839,18)</f>
        <v>12.7425267204921</v>
      </c>
      <c r="I839" s="67" cm="1">
        <f ca="1" t="array" ref="I839">MIN(30-SUM(J839:L839),6-L839,_xlfn.XLOOKUP($D839&amp;"_"&amp;I$61,$B$23:$B$45&amp;"_"&amp;$C$23:$C$45,$D$23:$D$45)*$E839)</f>
        <v>1.11379008073818</v>
      </c>
      <c r="J839" s="67" cm="1">
        <f ca="1" t="array" ref="J839">MIN(8,_xlfn.XLOOKUP($D839&amp;"_"&amp;J$61,$B$23:$B$45&amp;"_"&amp;$C$23:$C$45,$D$23:$D$45)*$E839)</f>
        <v>8</v>
      </c>
      <c r="K839" s="67" cm="1">
        <f ca="1" t="array" ref="K839">MIN(18,_xlfn.XLOOKUP($D839&amp;"_"&amp;K$61,$B$23:$B$45&amp;"_"&amp;$C$23:$C$45,$D$23:$D$45)*$E839)</f>
        <v>3.25747327950788</v>
      </c>
      <c r="L839" s="67" cm="1">
        <f ca="1" t="array" ref="L839">MIN(6,_xlfn.XLOOKUP($D839&amp;"_"&amp;L$61,$B$23:$B$45&amp;"_"&amp;$C$23:$C$45,$D$23:$D$45)*$E839)</f>
        <v>4.88620991926182</v>
      </c>
      <c r="M839" s="67" cm="1">
        <f ca="1" t="array" ref="M839">(1+SUMPRODUCT(G839:H839,OFFSET($H$49:$I$49,D839,0)))*(1+OFFSET($J$49,D839,0))^I839*(1+OFFSET($K$49,D839,0))^J839*(1+OFFSET($L$49,D839,0))^K839*(1+OFFSET($M$49,D839,0))^L839</f>
        <v>294.886340784382</v>
      </c>
      <c r="N839" s="67">
        <f ca="1">MAX(MAX($N$62:N838),OFFSET($C$61,MATCH(M839*1.07,$M$62:$M$2061,1),0)-C839)</f>
        <v>29160</v>
      </c>
    </row>
    <row r="840" spans="2:14">
      <c r="B840" s="67">
        <v>779</v>
      </c>
      <c r="C840" s="67">
        <f t="shared" si="78"/>
        <v>280440</v>
      </c>
      <c r="D840" s="67">
        <f t="shared" si="79"/>
        <v>5</v>
      </c>
      <c r="E840" s="67">
        <f ca="1" t="shared" si="80"/>
        <v>809</v>
      </c>
      <c r="F840" s="67">
        <f ca="1" t="shared" si="81"/>
        <v>0</v>
      </c>
      <c r="G840" s="67">
        <f ca="1" t="shared" si="82"/>
        <v>0</v>
      </c>
      <c r="H840" s="67" cm="1">
        <f ca="1" t="array" ref="H840">MIN(30-SUM(I840:L840),_xlfn.XLOOKUP($D840&amp;"_"&amp;H$61,$B$23:$B$45&amp;"_"&amp;$C$23:$C$45,$D$23:$D$45)*$E840,18)</f>
        <v>12.7384951941561</v>
      </c>
      <c r="I840" s="67" cm="1">
        <f ca="1" t="array" ref="I840">MIN(30-SUM(J840:L840),6-L840,_xlfn.XLOOKUP($D840&amp;"_"&amp;I$61,$B$23:$B$45&amp;"_"&amp;$C$23:$C$45,$D$23:$D$45)*$E840)</f>
        <v>1.10774279123414</v>
      </c>
      <c r="J840" s="67" cm="1">
        <f ca="1" t="array" ref="J840">MIN(8,_xlfn.XLOOKUP($D840&amp;"_"&amp;J$61,$B$23:$B$45&amp;"_"&amp;$C$23:$C$45,$D$23:$D$45)*$E840)</f>
        <v>8</v>
      </c>
      <c r="K840" s="67" cm="1">
        <f ca="1" t="array" ref="K840">MIN(18,_xlfn.XLOOKUP($D840&amp;"_"&amp;K$61,$B$23:$B$45&amp;"_"&amp;$C$23:$C$45,$D$23:$D$45)*$E840)</f>
        <v>3.26150480584391</v>
      </c>
      <c r="L840" s="67" cm="1">
        <f ca="1" t="array" ref="L840">MIN(6,_xlfn.XLOOKUP($D840&amp;"_"&amp;L$61,$B$23:$B$45&amp;"_"&amp;$C$23:$C$45,$D$23:$D$45)*$E840)</f>
        <v>4.89225720876586</v>
      </c>
      <c r="M840" s="67" cm="1">
        <f ca="1" t="array" ref="M840">(1+SUMPRODUCT(G840:H840,OFFSET($H$49:$I$49,D840,0)))*(1+OFFSET($J$49,D840,0))^I840*(1+OFFSET($K$49,D840,0))^J840*(1+OFFSET($L$49,D840,0))^K840*(1+OFFSET($M$49,D840,0))^L840</f>
        <v>295.133349639128</v>
      </c>
      <c r="N840" s="67">
        <f ca="1">MAX(MAX($N$62:N839),OFFSET($C$61,MATCH(M840*1.07,$M$62:$M$2061,1),0)-C840)</f>
        <v>29160</v>
      </c>
    </row>
    <row r="841" spans="2:14">
      <c r="B841" s="67">
        <v>780</v>
      </c>
      <c r="C841" s="67">
        <f t="shared" si="78"/>
        <v>280800</v>
      </c>
      <c r="D841" s="67">
        <f t="shared" si="79"/>
        <v>5</v>
      </c>
      <c r="E841" s="67">
        <f ca="1" t="shared" si="80"/>
        <v>810</v>
      </c>
      <c r="F841" s="67">
        <f ca="1" t="shared" si="81"/>
        <v>0</v>
      </c>
      <c r="G841" s="67">
        <f ca="1" t="shared" si="82"/>
        <v>0</v>
      </c>
      <c r="H841" s="67" cm="1">
        <f ca="1" t="array" ref="H841">MIN(30-SUM(I841:L841),_xlfn.XLOOKUP($D841&amp;"_"&amp;H$61,$B$23:$B$45&amp;"_"&amp;$C$23:$C$45,$D$23:$D$45)*$E841,18)</f>
        <v>12.7344636678201</v>
      </c>
      <c r="I841" s="67" cm="1">
        <f ca="1" t="array" ref="I841">MIN(30-SUM(J841:L841),6-L841,_xlfn.XLOOKUP($D841&amp;"_"&amp;I$61,$B$23:$B$45&amp;"_"&amp;$C$23:$C$45,$D$23:$D$45)*$E841)</f>
        <v>1.1016955017301</v>
      </c>
      <c r="J841" s="67" cm="1">
        <f ca="1" t="array" ref="J841">MIN(8,_xlfn.XLOOKUP($D841&amp;"_"&amp;J$61,$B$23:$B$45&amp;"_"&amp;$C$23:$C$45,$D$23:$D$45)*$E841)</f>
        <v>8</v>
      </c>
      <c r="K841" s="67" cm="1">
        <f ca="1" t="array" ref="K841">MIN(18,_xlfn.XLOOKUP($D841&amp;"_"&amp;K$61,$B$23:$B$45&amp;"_"&amp;$C$23:$C$45,$D$23:$D$45)*$E841)</f>
        <v>3.26553633217993</v>
      </c>
      <c r="L841" s="67" cm="1">
        <f ca="1" t="array" ref="L841">MIN(6,_xlfn.XLOOKUP($D841&amp;"_"&amp;L$61,$B$23:$B$45&amp;"_"&amp;$C$23:$C$45,$D$23:$D$45)*$E841)</f>
        <v>4.8983044982699</v>
      </c>
      <c r="M841" s="67" cm="1">
        <f ca="1" t="array" ref="M841">(1+SUMPRODUCT(G841:H841,OFFSET($H$49:$I$49,D841,0)))*(1+OFFSET($J$49,D841,0))^I841*(1+OFFSET($K$49,D841,0))^J841*(1+OFFSET($L$49,D841,0))^K841*(1+OFFSET($M$49,D841,0))^L841</f>
        <v>295.380550140948</v>
      </c>
      <c r="N841" s="67">
        <f ca="1">MAX(MAX($N$62:N840),OFFSET($C$61,MATCH(M841*1.07,$M$62:$M$2061,1),0)-C841)</f>
        <v>29160</v>
      </c>
    </row>
    <row r="842" spans="2:14">
      <c r="B842" s="67">
        <v>781</v>
      </c>
      <c r="C842" s="67">
        <f t="shared" si="78"/>
        <v>281160</v>
      </c>
      <c r="D842" s="67">
        <f t="shared" si="79"/>
        <v>5</v>
      </c>
      <c r="E842" s="67">
        <f ca="1" t="shared" si="80"/>
        <v>811</v>
      </c>
      <c r="F842" s="67">
        <f ca="1" t="shared" si="81"/>
        <v>0</v>
      </c>
      <c r="G842" s="67">
        <f ca="1" t="shared" si="82"/>
        <v>0</v>
      </c>
      <c r="H842" s="67" cm="1">
        <f ca="1" t="array" ref="H842">MIN(30-SUM(I842:L842),_xlfn.XLOOKUP($D842&amp;"_"&amp;H$61,$B$23:$B$45&amp;"_"&amp;$C$23:$C$45,$D$23:$D$45)*$E842,18)</f>
        <v>12.730432141484</v>
      </c>
      <c r="I842" s="67" cm="1">
        <f ca="1" t="array" ref="I842">MIN(30-SUM(J842:L842),6-L842,_xlfn.XLOOKUP($D842&amp;"_"&amp;I$61,$B$23:$B$45&amp;"_"&amp;$C$23:$C$45,$D$23:$D$45)*$E842)</f>
        <v>1.09564821222607</v>
      </c>
      <c r="J842" s="67" cm="1">
        <f ca="1" t="array" ref="J842">MIN(8,_xlfn.XLOOKUP($D842&amp;"_"&amp;J$61,$B$23:$B$45&amp;"_"&amp;$C$23:$C$45,$D$23:$D$45)*$E842)</f>
        <v>8</v>
      </c>
      <c r="K842" s="67" cm="1">
        <f ca="1" t="array" ref="K842">MIN(18,_xlfn.XLOOKUP($D842&amp;"_"&amp;K$61,$B$23:$B$45&amp;"_"&amp;$C$23:$C$45,$D$23:$D$45)*$E842)</f>
        <v>3.26956785851596</v>
      </c>
      <c r="L842" s="67" cm="1">
        <f ca="1" t="array" ref="L842">MIN(6,_xlfn.XLOOKUP($D842&amp;"_"&amp;L$61,$B$23:$B$45&amp;"_"&amp;$C$23:$C$45,$D$23:$D$45)*$E842)</f>
        <v>4.90435178777393</v>
      </c>
      <c r="M842" s="67" cm="1">
        <f ca="1" t="array" ref="M842">(1+SUMPRODUCT(G842:H842,OFFSET($H$49:$I$49,D842,0)))*(1+OFFSET($J$49,D842,0))^I842*(1+OFFSET($K$49,D842,0))^J842*(1+OFFSET($L$49,D842,0))^K842*(1+OFFSET($M$49,D842,0))^L842</f>
        <v>295.627942417874</v>
      </c>
      <c r="N842" s="67">
        <f ca="1">MAX(MAX($N$62:N841),OFFSET($C$61,MATCH(M842*1.07,$M$62:$M$2061,1),0)-C842)</f>
        <v>29160</v>
      </c>
    </row>
    <row r="843" spans="2:14">
      <c r="B843" s="67">
        <v>782</v>
      </c>
      <c r="C843" s="67">
        <f t="shared" si="78"/>
        <v>281520</v>
      </c>
      <c r="D843" s="67">
        <f t="shared" si="79"/>
        <v>5</v>
      </c>
      <c r="E843" s="67">
        <f ca="1" t="shared" si="80"/>
        <v>812</v>
      </c>
      <c r="F843" s="67">
        <f ca="1" t="shared" si="81"/>
        <v>0</v>
      </c>
      <c r="G843" s="67">
        <f ca="1" t="shared" si="82"/>
        <v>0</v>
      </c>
      <c r="H843" s="67" cm="1">
        <f ca="1" t="array" ref="H843">MIN(30-SUM(I843:L843),_xlfn.XLOOKUP($D843&amp;"_"&amp;H$61,$B$23:$B$45&amp;"_"&amp;$C$23:$C$45,$D$23:$D$45)*$E843,18)</f>
        <v>12.726400615148</v>
      </c>
      <c r="I843" s="67" cm="1">
        <f ca="1" t="array" ref="I843">MIN(30-SUM(J843:L843),6-L843,_xlfn.XLOOKUP($D843&amp;"_"&amp;I$61,$B$23:$B$45&amp;"_"&amp;$C$23:$C$45,$D$23:$D$45)*$E843)</f>
        <v>1.08960092272203</v>
      </c>
      <c r="J843" s="67" cm="1">
        <f ca="1" t="array" ref="J843">MIN(8,_xlfn.XLOOKUP($D843&amp;"_"&amp;J$61,$B$23:$B$45&amp;"_"&amp;$C$23:$C$45,$D$23:$D$45)*$E843)</f>
        <v>8</v>
      </c>
      <c r="K843" s="67" cm="1">
        <f ca="1" t="array" ref="K843">MIN(18,_xlfn.XLOOKUP($D843&amp;"_"&amp;K$61,$B$23:$B$45&amp;"_"&amp;$C$23:$C$45,$D$23:$D$45)*$E843)</f>
        <v>3.27359938485198</v>
      </c>
      <c r="L843" s="67" cm="1">
        <f ca="1" t="array" ref="L843">MIN(6,_xlfn.XLOOKUP($D843&amp;"_"&amp;L$61,$B$23:$B$45&amp;"_"&amp;$C$23:$C$45,$D$23:$D$45)*$E843)</f>
        <v>4.91039907727797</v>
      </c>
      <c r="M843" s="67" cm="1">
        <f ca="1" t="array" ref="M843">(1+SUMPRODUCT(G843:H843,OFFSET($H$49:$I$49,D843,0)))*(1+OFFSET($J$49,D843,0))^I843*(1+OFFSET($K$49,D843,0))^J843*(1+OFFSET($L$49,D843,0))^K843*(1+OFFSET($M$49,D843,0))^L843</f>
        <v>295.875526597988</v>
      </c>
      <c r="N843" s="67">
        <f ca="1">MAX(MAX($N$62:N842),OFFSET($C$61,MATCH(M843*1.07,$M$62:$M$2061,1),0)-C843)</f>
        <v>29160</v>
      </c>
    </row>
    <row r="844" spans="2:14">
      <c r="B844" s="67">
        <v>783</v>
      </c>
      <c r="C844" s="67">
        <f t="shared" si="78"/>
        <v>281880</v>
      </c>
      <c r="D844" s="67">
        <f t="shared" si="79"/>
        <v>5</v>
      </c>
      <c r="E844" s="67">
        <f ca="1" t="shared" si="80"/>
        <v>813</v>
      </c>
      <c r="F844" s="67">
        <f ca="1" t="shared" si="81"/>
        <v>0</v>
      </c>
      <c r="G844" s="67">
        <f ca="1" t="shared" si="82"/>
        <v>0</v>
      </c>
      <c r="H844" s="67" cm="1">
        <f ca="1" t="array" ref="H844">MIN(30-SUM(I844:L844),_xlfn.XLOOKUP($D844&amp;"_"&amp;H$61,$B$23:$B$45&amp;"_"&amp;$C$23:$C$45,$D$23:$D$45)*$E844,18)</f>
        <v>12.722369088812</v>
      </c>
      <c r="I844" s="67" cm="1">
        <f ca="1" t="array" ref="I844">MIN(30-SUM(J844:L844),6-L844,_xlfn.XLOOKUP($D844&amp;"_"&amp;I$61,$B$23:$B$45&amp;"_"&amp;$C$23:$C$45,$D$23:$D$45)*$E844)</f>
        <v>1.08355363321799</v>
      </c>
      <c r="J844" s="67" cm="1">
        <f ca="1" t="array" ref="J844">MIN(8,_xlfn.XLOOKUP($D844&amp;"_"&amp;J$61,$B$23:$B$45&amp;"_"&amp;$C$23:$C$45,$D$23:$D$45)*$E844)</f>
        <v>8</v>
      </c>
      <c r="K844" s="67" cm="1">
        <f ca="1" t="array" ref="K844">MIN(18,_xlfn.XLOOKUP($D844&amp;"_"&amp;K$61,$B$23:$B$45&amp;"_"&amp;$C$23:$C$45,$D$23:$D$45)*$E844)</f>
        <v>3.27763091118801</v>
      </c>
      <c r="L844" s="67" cm="1">
        <f ca="1" t="array" ref="L844">MIN(6,_xlfn.XLOOKUP($D844&amp;"_"&amp;L$61,$B$23:$B$45&amp;"_"&amp;$C$23:$C$45,$D$23:$D$45)*$E844)</f>
        <v>4.91644636678201</v>
      </c>
      <c r="M844" s="67" cm="1">
        <f ca="1" t="array" ref="M844">(1+SUMPRODUCT(G844:H844,OFFSET($H$49:$I$49,D844,0)))*(1+OFFSET($J$49,D844,0))^I844*(1+OFFSET($K$49,D844,0))^J844*(1+OFFSET($L$49,D844,0))^K844*(1+OFFSET($M$49,D844,0))^L844</f>
        <v>296.123302809431</v>
      </c>
      <c r="N844" s="67">
        <f ca="1">MAX(MAX($N$62:N843),OFFSET($C$61,MATCH(M844*1.07,$M$62:$M$2061,1),0)-C844)</f>
        <v>29160</v>
      </c>
    </row>
    <row r="845" spans="2:14">
      <c r="B845" s="67">
        <v>784</v>
      </c>
      <c r="C845" s="67">
        <f t="shared" si="78"/>
        <v>282240</v>
      </c>
      <c r="D845" s="67">
        <f t="shared" si="79"/>
        <v>5</v>
      </c>
      <c r="E845" s="67">
        <f ca="1" t="shared" si="80"/>
        <v>814</v>
      </c>
      <c r="F845" s="67">
        <f ca="1" t="shared" si="81"/>
        <v>0</v>
      </c>
      <c r="G845" s="67">
        <f ca="1" t="shared" si="82"/>
        <v>0</v>
      </c>
      <c r="H845" s="67" cm="1">
        <f ca="1" t="array" ref="H845">MIN(30-SUM(I845:L845),_xlfn.XLOOKUP($D845&amp;"_"&amp;H$61,$B$23:$B$45&amp;"_"&amp;$C$23:$C$45,$D$23:$D$45)*$E845,18)</f>
        <v>12.718337562476</v>
      </c>
      <c r="I845" s="67" cm="1">
        <f ca="1" t="array" ref="I845">MIN(30-SUM(J845:L845),6-L845,_xlfn.XLOOKUP($D845&amp;"_"&amp;I$61,$B$23:$B$45&amp;"_"&amp;$C$23:$C$45,$D$23:$D$45)*$E845)</f>
        <v>1.07750634371395</v>
      </c>
      <c r="J845" s="67" cm="1">
        <f ca="1" t="array" ref="J845">MIN(8,_xlfn.XLOOKUP($D845&amp;"_"&amp;J$61,$B$23:$B$45&amp;"_"&amp;$C$23:$C$45,$D$23:$D$45)*$E845)</f>
        <v>8</v>
      </c>
      <c r="K845" s="67" cm="1">
        <f ca="1" t="array" ref="K845">MIN(18,_xlfn.XLOOKUP($D845&amp;"_"&amp;K$61,$B$23:$B$45&amp;"_"&amp;$C$23:$C$45,$D$23:$D$45)*$E845)</f>
        <v>3.28166243752403</v>
      </c>
      <c r="L845" s="67" cm="1">
        <f ca="1" t="array" ref="L845">MIN(6,_xlfn.XLOOKUP($D845&amp;"_"&amp;L$61,$B$23:$B$45&amp;"_"&amp;$C$23:$C$45,$D$23:$D$45)*$E845)</f>
        <v>4.92249365628605</v>
      </c>
      <c r="M845" s="67" cm="1">
        <f ca="1" t="array" ref="M845">(1+SUMPRODUCT(G845:H845,OFFSET($H$49:$I$49,D845,0)))*(1+OFFSET($J$49,D845,0))^I845*(1+OFFSET($K$49,D845,0))^J845*(1+OFFSET($L$49,D845,0))^K845*(1+OFFSET($M$49,D845,0))^L845</f>
        <v>296.371271180398</v>
      </c>
      <c r="N845" s="67">
        <f ca="1">MAX(MAX($N$62:N844),OFFSET($C$61,MATCH(M845*1.07,$M$62:$M$2061,1),0)-C845)</f>
        <v>29160</v>
      </c>
    </row>
    <row r="846" spans="2:14">
      <c r="B846" s="67">
        <v>785</v>
      </c>
      <c r="C846" s="67">
        <f t="shared" si="78"/>
        <v>282600</v>
      </c>
      <c r="D846" s="67">
        <f t="shared" si="79"/>
        <v>5</v>
      </c>
      <c r="E846" s="67">
        <f ca="1" t="shared" si="80"/>
        <v>815</v>
      </c>
      <c r="F846" s="67">
        <f ca="1" t="shared" si="81"/>
        <v>0</v>
      </c>
      <c r="G846" s="67">
        <f ca="1" t="shared" si="82"/>
        <v>0</v>
      </c>
      <c r="H846" s="67" cm="1">
        <f ca="1" t="array" ref="H846">MIN(30-SUM(I846:L846),_xlfn.XLOOKUP($D846&amp;"_"&amp;H$61,$B$23:$B$45&amp;"_"&amp;$C$23:$C$45,$D$23:$D$45)*$E846,18)</f>
        <v>12.7143060361399</v>
      </c>
      <c r="I846" s="67" cm="1">
        <f ca="1" t="array" ref="I846">MIN(30-SUM(J846:L846),6-L846,_xlfn.XLOOKUP($D846&amp;"_"&amp;I$61,$B$23:$B$45&amp;"_"&amp;$C$23:$C$45,$D$23:$D$45)*$E846)</f>
        <v>1.07145905420992</v>
      </c>
      <c r="J846" s="67" cm="1">
        <f ca="1" t="array" ref="J846">MIN(8,_xlfn.XLOOKUP($D846&amp;"_"&amp;J$61,$B$23:$B$45&amp;"_"&amp;$C$23:$C$45,$D$23:$D$45)*$E846)</f>
        <v>8</v>
      </c>
      <c r="K846" s="67" cm="1">
        <f ca="1" t="array" ref="K846">MIN(18,_xlfn.XLOOKUP($D846&amp;"_"&amp;K$61,$B$23:$B$45&amp;"_"&amp;$C$23:$C$45,$D$23:$D$45)*$E846)</f>
        <v>3.28569396386006</v>
      </c>
      <c r="L846" s="67" cm="1">
        <f ca="1" t="array" ref="L846">MIN(6,_xlfn.XLOOKUP($D846&amp;"_"&amp;L$61,$B$23:$B$45&amp;"_"&amp;$C$23:$C$45,$D$23:$D$45)*$E846)</f>
        <v>4.92854094579008</v>
      </c>
      <c r="M846" s="67" cm="1">
        <f ca="1" t="array" ref="M846">(1+SUMPRODUCT(G846:H846,OFFSET($H$49:$I$49,D846,0)))*(1+OFFSET($J$49,D846,0))^I846*(1+OFFSET($K$49,D846,0))^J846*(1+OFFSET($L$49,D846,0))^K846*(1+OFFSET($M$49,D846,0))^L846</f>
        <v>296.61943183914</v>
      </c>
      <c r="N846" s="67">
        <f ca="1">MAX(MAX($N$62:N845),OFFSET($C$61,MATCH(M846*1.07,$M$62:$M$2061,1),0)-C846)</f>
        <v>29160</v>
      </c>
    </row>
    <row r="847" spans="2:14">
      <c r="B847" s="67">
        <v>786</v>
      </c>
      <c r="C847" s="67">
        <f t="shared" si="78"/>
        <v>282960</v>
      </c>
      <c r="D847" s="67">
        <f t="shared" si="79"/>
        <v>5</v>
      </c>
      <c r="E847" s="67">
        <f ca="1" t="shared" si="80"/>
        <v>816</v>
      </c>
      <c r="F847" s="67">
        <f ca="1" t="shared" si="81"/>
        <v>0</v>
      </c>
      <c r="G847" s="67">
        <f ca="1" t="shared" si="82"/>
        <v>0</v>
      </c>
      <c r="H847" s="67" cm="1">
        <f ca="1" t="array" ref="H847">MIN(30-SUM(I847:L847),_xlfn.XLOOKUP($D847&amp;"_"&amp;H$61,$B$23:$B$45&amp;"_"&amp;$C$23:$C$45,$D$23:$D$45)*$E847,18)</f>
        <v>12.7102745098039</v>
      </c>
      <c r="I847" s="67" cm="1">
        <f ca="1" t="array" ref="I847">MIN(30-SUM(J847:L847),6-L847,_xlfn.XLOOKUP($D847&amp;"_"&amp;I$61,$B$23:$B$45&amp;"_"&amp;$C$23:$C$45,$D$23:$D$45)*$E847)</f>
        <v>1.06541176470588</v>
      </c>
      <c r="J847" s="67" cm="1">
        <f ca="1" t="array" ref="J847">MIN(8,_xlfn.XLOOKUP($D847&amp;"_"&amp;J$61,$B$23:$B$45&amp;"_"&amp;$C$23:$C$45,$D$23:$D$45)*$E847)</f>
        <v>8</v>
      </c>
      <c r="K847" s="67" cm="1">
        <f ca="1" t="array" ref="K847">MIN(18,_xlfn.XLOOKUP($D847&amp;"_"&amp;K$61,$B$23:$B$45&amp;"_"&amp;$C$23:$C$45,$D$23:$D$45)*$E847)</f>
        <v>3.28972549019608</v>
      </c>
      <c r="L847" s="67" cm="1">
        <f ca="1" t="array" ref="L847">MIN(6,_xlfn.XLOOKUP($D847&amp;"_"&amp;L$61,$B$23:$B$45&amp;"_"&amp;$C$23:$C$45,$D$23:$D$45)*$E847)</f>
        <v>4.93458823529412</v>
      </c>
      <c r="M847" s="67" cm="1">
        <f ca="1" t="array" ref="M847">(1+SUMPRODUCT(G847:H847,OFFSET($H$49:$I$49,D847,0)))*(1+OFFSET($J$49,D847,0))^I847*(1+OFFSET($K$49,D847,0))^J847*(1+OFFSET($L$49,D847,0))^K847*(1+OFFSET($M$49,D847,0))^L847</f>
        <v>296.867784913962</v>
      </c>
      <c r="N847" s="67">
        <f ca="1">MAX(MAX($N$62:N846),OFFSET($C$61,MATCH(M847*1.07,$M$62:$M$2061,1),0)-C847)</f>
        <v>29160</v>
      </c>
    </row>
    <row r="848" spans="2:14">
      <c r="B848" s="67">
        <v>787</v>
      </c>
      <c r="C848" s="67">
        <f t="shared" si="78"/>
        <v>283320</v>
      </c>
      <c r="D848" s="67">
        <f t="shared" si="79"/>
        <v>5</v>
      </c>
      <c r="E848" s="67">
        <f ca="1" t="shared" si="80"/>
        <v>817</v>
      </c>
      <c r="F848" s="67">
        <f ca="1" t="shared" si="81"/>
        <v>0</v>
      </c>
      <c r="G848" s="67">
        <f ca="1" t="shared" si="82"/>
        <v>0</v>
      </c>
      <c r="H848" s="67" cm="1">
        <f ca="1" t="array" ref="H848">MIN(30-SUM(I848:L848),_xlfn.XLOOKUP($D848&amp;"_"&amp;H$61,$B$23:$B$45&amp;"_"&amp;$C$23:$C$45,$D$23:$D$45)*$E848,18)</f>
        <v>12.7062429834679</v>
      </c>
      <c r="I848" s="67" cm="1">
        <f ca="1" t="array" ref="I848">MIN(30-SUM(J848:L848),6-L848,_xlfn.XLOOKUP($D848&amp;"_"&amp;I$61,$B$23:$B$45&amp;"_"&amp;$C$23:$C$45,$D$23:$D$45)*$E848)</f>
        <v>1.05936447520184</v>
      </c>
      <c r="J848" s="67" cm="1">
        <f ca="1" t="array" ref="J848">MIN(8,_xlfn.XLOOKUP($D848&amp;"_"&amp;J$61,$B$23:$B$45&amp;"_"&amp;$C$23:$C$45,$D$23:$D$45)*$E848)</f>
        <v>8</v>
      </c>
      <c r="K848" s="67" cm="1">
        <f ca="1" t="array" ref="K848">MIN(18,_xlfn.XLOOKUP($D848&amp;"_"&amp;K$61,$B$23:$B$45&amp;"_"&amp;$C$23:$C$45,$D$23:$D$45)*$E848)</f>
        <v>3.29375701653211</v>
      </c>
      <c r="L848" s="67" cm="1">
        <f ca="1" t="array" ref="L848">MIN(6,_xlfn.XLOOKUP($D848&amp;"_"&amp;L$61,$B$23:$B$45&amp;"_"&amp;$C$23:$C$45,$D$23:$D$45)*$E848)</f>
        <v>4.94063552479816</v>
      </c>
      <c r="M848" s="67" cm="1">
        <f ca="1" t="array" ref="M848">(1+SUMPRODUCT(G848:H848,OFFSET($H$49:$I$49,D848,0)))*(1+OFFSET($J$49,D848,0))^I848*(1+OFFSET($K$49,D848,0))^J848*(1+OFFSET($L$49,D848,0))^K848*(1+OFFSET($M$49,D848,0))^L848</f>
        <v>297.116330533225</v>
      </c>
      <c r="N848" s="67">
        <f ca="1">MAX(MAX($N$62:N847),OFFSET($C$61,MATCH(M848*1.07,$M$62:$M$2061,1),0)-C848)</f>
        <v>29160</v>
      </c>
    </row>
    <row r="849" spans="2:14">
      <c r="B849" s="67">
        <v>788</v>
      </c>
      <c r="C849" s="67">
        <f t="shared" ref="C849:C912" si="83">C848+360</f>
        <v>283680</v>
      </c>
      <c r="D849" s="67">
        <f t="shared" si="79"/>
        <v>5</v>
      </c>
      <c r="E849" s="67">
        <f ca="1" t="shared" si="80"/>
        <v>818</v>
      </c>
      <c r="F849" s="67">
        <f ca="1" t="shared" si="81"/>
        <v>0</v>
      </c>
      <c r="G849" s="67">
        <f ca="1" t="shared" si="82"/>
        <v>0</v>
      </c>
      <c r="H849" s="67" cm="1">
        <f ca="1" t="array" ref="H849">MIN(30-SUM(I849:L849),_xlfn.XLOOKUP($D849&amp;"_"&amp;H$61,$B$23:$B$45&amp;"_"&amp;$C$23:$C$45,$D$23:$D$45)*$E849,18)</f>
        <v>12.7022114571319</v>
      </c>
      <c r="I849" s="67" cm="1">
        <f ca="1" t="array" ref="I849">MIN(30-SUM(J849:L849),6-L849,_xlfn.XLOOKUP($D849&amp;"_"&amp;I$61,$B$23:$B$45&amp;"_"&amp;$C$23:$C$45,$D$23:$D$45)*$E849)</f>
        <v>1.05331718569781</v>
      </c>
      <c r="J849" s="67" cm="1">
        <f ca="1" t="array" ref="J849">MIN(8,_xlfn.XLOOKUP($D849&amp;"_"&amp;J$61,$B$23:$B$45&amp;"_"&amp;$C$23:$C$45,$D$23:$D$45)*$E849)</f>
        <v>8</v>
      </c>
      <c r="K849" s="67" cm="1">
        <f ca="1" t="array" ref="K849">MIN(18,_xlfn.XLOOKUP($D849&amp;"_"&amp;K$61,$B$23:$B$45&amp;"_"&amp;$C$23:$C$45,$D$23:$D$45)*$E849)</f>
        <v>3.29778854286813</v>
      </c>
      <c r="L849" s="67" cm="1">
        <f ca="1" t="array" ref="L849">MIN(6,_xlfn.XLOOKUP($D849&amp;"_"&amp;L$61,$B$23:$B$45&amp;"_"&amp;$C$23:$C$45,$D$23:$D$45)*$E849)</f>
        <v>4.94668281430219</v>
      </c>
      <c r="M849" s="67" cm="1">
        <f ca="1" t="array" ref="M849">(1+SUMPRODUCT(G849:H849,OFFSET($H$49:$I$49,D849,0)))*(1+OFFSET($J$49,D849,0))^I849*(1+OFFSET($K$49,D849,0))^J849*(1+OFFSET($L$49,D849,0))^K849*(1+OFFSET($M$49,D849,0))^L849</f>
        <v>297.365068825346</v>
      </c>
      <c r="N849" s="67">
        <f ca="1">MAX(MAX($N$62:N848),OFFSET($C$61,MATCH(M849*1.07,$M$62:$M$2061,1),0)-C849)</f>
        <v>29160</v>
      </c>
    </row>
    <row r="850" spans="2:14">
      <c r="B850" s="67">
        <v>789</v>
      </c>
      <c r="C850" s="67">
        <f t="shared" si="83"/>
        <v>284040</v>
      </c>
      <c r="D850" s="67">
        <f t="shared" si="79"/>
        <v>5</v>
      </c>
      <c r="E850" s="67">
        <f ca="1" t="shared" si="80"/>
        <v>819</v>
      </c>
      <c r="F850" s="67">
        <f ca="1" t="shared" si="81"/>
        <v>0</v>
      </c>
      <c r="G850" s="67">
        <f ca="1" t="shared" si="82"/>
        <v>0</v>
      </c>
      <c r="H850" s="67" cm="1">
        <f ca="1" t="array" ref="H850">MIN(30-SUM(I850:L850),_xlfn.XLOOKUP($D850&amp;"_"&amp;H$61,$B$23:$B$45&amp;"_"&amp;$C$23:$C$45,$D$23:$D$45)*$E850,18)</f>
        <v>12.6981799307958</v>
      </c>
      <c r="I850" s="67" cm="1">
        <f ca="1" t="array" ref="I850">MIN(30-SUM(J850:L850),6-L850,_xlfn.XLOOKUP($D850&amp;"_"&amp;I$61,$B$23:$B$45&amp;"_"&amp;$C$23:$C$45,$D$23:$D$45)*$E850)</f>
        <v>1.04726989619377</v>
      </c>
      <c r="J850" s="67" cm="1">
        <f ca="1" t="array" ref="J850">MIN(8,_xlfn.XLOOKUP($D850&amp;"_"&amp;J$61,$B$23:$B$45&amp;"_"&amp;$C$23:$C$45,$D$23:$D$45)*$E850)</f>
        <v>8</v>
      </c>
      <c r="K850" s="67" cm="1">
        <f ca="1" t="array" ref="K850">MIN(18,_xlfn.XLOOKUP($D850&amp;"_"&amp;K$61,$B$23:$B$45&amp;"_"&amp;$C$23:$C$45,$D$23:$D$45)*$E850)</f>
        <v>3.30182006920416</v>
      </c>
      <c r="L850" s="67" cm="1">
        <f ca="1" t="array" ref="L850">MIN(6,_xlfn.XLOOKUP($D850&amp;"_"&amp;L$61,$B$23:$B$45&amp;"_"&amp;$C$23:$C$45,$D$23:$D$45)*$E850)</f>
        <v>4.95273010380623</v>
      </c>
      <c r="M850" s="67" cm="1">
        <f ca="1" t="array" ref="M850">(1+SUMPRODUCT(G850:H850,OFFSET($H$49:$I$49,D850,0)))*(1+OFFSET($J$49,D850,0))^I850*(1+OFFSET($K$49,D850,0))^J850*(1+OFFSET($L$49,D850,0))^K850*(1+OFFSET($M$49,D850,0))^L850</f>
        <v>297.613999918795</v>
      </c>
      <c r="N850" s="67">
        <f ca="1">MAX(MAX($N$62:N849),OFFSET($C$61,MATCH(M850*1.07,$M$62:$M$2061,1),0)-C850)</f>
        <v>29160</v>
      </c>
    </row>
    <row r="851" spans="2:14">
      <c r="B851" s="67">
        <v>790</v>
      </c>
      <c r="C851" s="67">
        <f t="shared" si="83"/>
        <v>284400</v>
      </c>
      <c r="D851" s="67">
        <f t="shared" si="79"/>
        <v>5</v>
      </c>
      <c r="E851" s="67">
        <f ca="1" t="shared" si="80"/>
        <v>820</v>
      </c>
      <c r="F851" s="67">
        <f ca="1" t="shared" si="81"/>
        <v>0</v>
      </c>
      <c r="G851" s="67">
        <f ca="1" t="shared" si="82"/>
        <v>0</v>
      </c>
      <c r="H851" s="67" cm="1">
        <f ca="1" t="array" ref="H851">MIN(30-SUM(I851:L851),_xlfn.XLOOKUP($D851&amp;"_"&amp;H$61,$B$23:$B$45&amp;"_"&amp;$C$23:$C$45,$D$23:$D$45)*$E851,18)</f>
        <v>12.6941484044598</v>
      </c>
      <c r="I851" s="67" cm="1">
        <f ca="1" t="array" ref="I851">MIN(30-SUM(J851:L851),6-L851,_xlfn.XLOOKUP($D851&amp;"_"&amp;I$61,$B$23:$B$45&amp;"_"&amp;$C$23:$C$45,$D$23:$D$45)*$E851)</f>
        <v>1.04122260668973</v>
      </c>
      <c r="J851" s="67" cm="1">
        <f ca="1" t="array" ref="J851">MIN(8,_xlfn.XLOOKUP($D851&amp;"_"&amp;J$61,$B$23:$B$45&amp;"_"&amp;$C$23:$C$45,$D$23:$D$45)*$E851)</f>
        <v>8</v>
      </c>
      <c r="K851" s="67" cm="1">
        <f ca="1" t="array" ref="K851">MIN(18,_xlfn.XLOOKUP($D851&amp;"_"&amp;K$61,$B$23:$B$45&amp;"_"&amp;$C$23:$C$45,$D$23:$D$45)*$E851)</f>
        <v>3.30585159554018</v>
      </c>
      <c r="L851" s="67" cm="1">
        <f ca="1" t="array" ref="L851">MIN(6,_xlfn.XLOOKUP($D851&amp;"_"&amp;L$61,$B$23:$B$45&amp;"_"&amp;$C$23:$C$45,$D$23:$D$45)*$E851)</f>
        <v>4.95877739331027</v>
      </c>
      <c r="M851" s="67" cm="1">
        <f ca="1" t="array" ref="M851">(1+SUMPRODUCT(G851:H851,OFFSET($H$49:$I$49,D851,0)))*(1+OFFSET($J$49,D851,0))^I851*(1+OFFSET($K$49,D851,0))^J851*(1+OFFSET($L$49,D851,0))^K851*(1+OFFSET($M$49,D851,0))^L851</f>
        <v>297.863123942099</v>
      </c>
      <c r="N851" s="67">
        <f ca="1">MAX(MAX($N$62:N850),OFFSET($C$61,MATCH(M851*1.07,$M$62:$M$2061,1),0)-C851)</f>
        <v>29160</v>
      </c>
    </row>
    <row r="852" spans="2:14">
      <c r="B852" s="67">
        <v>791</v>
      </c>
      <c r="C852" s="67">
        <f t="shared" si="83"/>
        <v>284760</v>
      </c>
      <c r="D852" s="67">
        <f t="shared" si="79"/>
        <v>5</v>
      </c>
      <c r="E852" s="67">
        <f ca="1" t="shared" si="80"/>
        <v>821</v>
      </c>
      <c r="F852" s="67">
        <f ca="1" t="shared" si="81"/>
        <v>0</v>
      </c>
      <c r="G852" s="67">
        <f ca="1" t="shared" si="82"/>
        <v>0</v>
      </c>
      <c r="H852" s="67" cm="1">
        <f ca="1" t="array" ref="H852">MIN(30-SUM(I852:L852),_xlfn.XLOOKUP($D852&amp;"_"&amp;H$61,$B$23:$B$45&amp;"_"&amp;$C$23:$C$45,$D$23:$D$45)*$E852,18)</f>
        <v>12.6901168781238</v>
      </c>
      <c r="I852" s="67" cm="1">
        <f ca="1" t="array" ref="I852">MIN(30-SUM(J852:L852),6-L852,_xlfn.XLOOKUP($D852&amp;"_"&amp;I$61,$B$23:$B$45&amp;"_"&amp;$C$23:$C$45,$D$23:$D$45)*$E852)</f>
        <v>1.0351753171857</v>
      </c>
      <c r="J852" s="67" cm="1">
        <f ca="1" t="array" ref="J852">MIN(8,_xlfn.XLOOKUP($D852&amp;"_"&amp;J$61,$B$23:$B$45&amp;"_"&amp;$C$23:$C$45,$D$23:$D$45)*$E852)</f>
        <v>8</v>
      </c>
      <c r="K852" s="67" cm="1">
        <f ca="1" t="array" ref="K852">MIN(18,_xlfn.XLOOKUP($D852&amp;"_"&amp;K$61,$B$23:$B$45&amp;"_"&amp;$C$23:$C$45,$D$23:$D$45)*$E852)</f>
        <v>3.3098831218762</v>
      </c>
      <c r="L852" s="67" cm="1">
        <f ca="1" t="array" ref="L852">MIN(6,_xlfn.XLOOKUP($D852&amp;"_"&amp;L$61,$B$23:$B$45&amp;"_"&amp;$C$23:$C$45,$D$23:$D$45)*$E852)</f>
        <v>4.9648246828143</v>
      </c>
      <c r="M852" s="67" cm="1">
        <f ca="1" t="array" ref="M852">(1+SUMPRODUCT(G852:H852,OFFSET($H$49:$I$49,D852,0)))*(1+OFFSET($J$49,D852,0))^I852*(1+OFFSET($K$49,D852,0))^J852*(1+OFFSET($L$49,D852,0))^K852*(1+OFFSET($M$49,D852,0))^L852</f>
        <v>298.112441023839</v>
      </c>
      <c r="N852" s="67">
        <f ca="1">MAX(MAX($N$62:N851),OFFSET($C$61,MATCH(M852*1.07,$M$62:$M$2061,1),0)-C852)</f>
        <v>29160</v>
      </c>
    </row>
    <row r="853" spans="2:14">
      <c r="B853" s="67">
        <v>792</v>
      </c>
      <c r="C853" s="67">
        <f t="shared" si="83"/>
        <v>285120</v>
      </c>
      <c r="D853" s="67">
        <f t="shared" si="79"/>
        <v>5</v>
      </c>
      <c r="E853" s="67">
        <f ca="1" t="shared" si="80"/>
        <v>822</v>
      </c>
      <c r="F853" s="67">
        <f ca="1" t="shared" si="81"/>
        <v>0</v>
      </c>
      <c r="G853" s="67">
        <f ca="1" t="shared" si="82"/>
        <v>0</v>
      </c>
      <c r="H853" s="67" cm="1">
        <f ca="1" t="array" ref="H853">MIN(30-SUM(I853:L853),_xlfn.XLOOKUP($D853&amp;"_"&amp;H$61,$B$23:$B$45&amp;"_"&amp;$C$23:$C$45,$D$23:$D$45)*$E853,18)</f>
        <v>12.6860853517878</v>
      </c>
      <c r="I853" s="67" cm="1">
        <f ca="1" t="array" ref="I853">MIN(30-SUM(J853:L853),6-L853,_xlfn.XLOOKUP($D853&amp;"_"&amp;I$61,$B$23:$B$45&amp;"_"&amp;$C$23:$C$45,$D$23:$D$45)*$E853)</f>
        <v>1.02912802768166</v>
      </c>
      <c r="J853" s="67" cm="1">
        <f ca="1" t="array" ref="J853">MIN(8,_xlfn.XLOOKUP($D853&amp;"_"&amp;J$61,$B$23:$B$45&amp;"_"&amp;$C$23:$C$45,$D$23:$D$45)*$E853)</f>
        <v>8</v>
      </c>
      <c r="K853" s="67" cm="1">
        <f ca="1" t="array" ref="K853">MIN(18,_xlfn.XLOOKUP($D853&amp;"_"&amp;K$61,$B$23:$B$45&amp;"_"&amp;$C$23:$C$45,$D$23:$D$45)*$E853)</f>
        <v>3.31391464821223</v>
      </c>
      <c r="L853" s="67" cm="1">
        <f ca="1" t="array" ref="L853">MIN(6,_xlfn.XLOOKUP($D853&amp;"_"&amp;L$61,$B$23:$B$45&amp;"_"&amp;$C$23:$C$45,$D$23:$D$45)*$E853)</f>
        <v>4.97087197231834</v>
      </c>
      <c r="M853" s="67" cm="1">
        <f ca="1" t="array" ref="M853">(1+SUMPRODUCT(G853:H853,OFFSET($H$49:$I$49,D853,0)))*(1+OFFSET($J$49,D853,0))^I853*(1+OFFSET($K$49,D853,0))^J853*(1+OFFSET($L$49,D853,0))^K853*(1+OFFSET($M$49,D853,0))^L853</f>
        <v>298.361951292651</v>
      </c>
      <c r="N853" s="67">
        <f ca="1">MAX(MAX($N$62:N852),OFFSET($C$61,MATCH(M853*1.07,$M$62:$M$2061,1),0)-C853)</f>
        <v>29160</v>
      </c>
    </row>
    <row r="854" spans="2:14">
      <c r="B854" s="67">
        <v>793</v>
      </c>
      <c r="C854" s="67">
        <f t="shared" si="83"/>
        <v>285480</v>
      </c>
      <c r="D854" s="67">
        <f t="shared" si="79"/>
        <v>5</v>
      </c>
      <c r="E854" s="67">
        <f ca="1" t="shared" si="80"/>
        <v>823</v>
      </c>
      <c r="F854" s="67">
        <f ca="1" t="shared" si="81"/>
        <v>0</v>
      </c>
      <c r="G854" s="67">
        <f ca="1" t="shared" si="82"/>
        <v>0</v>
      </c>
      <c r="H854" s="67" cm="1">
        <f ca="1" t="array" ref="H854">MIN(30-SUM(I854:L854),_xlfn.XLOOKUP($D854&amp;"_"&amp;H$61,$B$23:$B$45&amp;"_"&amp;$C$23:$C$45,$D$23:$D$45)*$E854,18)</f>
        <v>12.6820538254517</v>
      </c>
      <c r="I854" s="67" cm="1">
        <f ca="1" t="array" ref="I854">MIN(30-SUM(J854:L854),6-L854,_xlfn.XLOOKUP($D854&amp;"_"&amp;I$61,$B$23:$B$45&amp;"_"&amp;$C$23:$C$45,$D$23:$D$45)*$E854)</f>
        <v>1.02308073817762</v>
      </c>
      <c r="J854" s="67" cm="1">
        <f ca="1" t="array" ref="J854">MIN(8,_xlfn.XLOOKUP($D854&amp;"_"&amp;J$61,$B$23:$B$45&amp;"_"&amp;$C$23:$C$45,$D$23:$D$45)*$E854)</f>
        <v>8</v>
      </c>
      <c r="K854" s="67" cm="1">
        <f ca="1" t="array" ref="K854">MIN(18,_xlfn.XLOOKUP($D854&amp;"_"&amp;K$61,$B$23:$B$45&amp;"_"&amp;$C$23:$C$45,$D$23:$D$45)*$E854)</f>
        <v>3.31794617454825</v>
      </c>
      <c r="L854" s="67" cm="1">
        <f ca="1" t="array" ref="L854">MIN(6,_xlfn.XLOOKUP($D854&amp;"_"&amp;L$61,$B$23:$B$45&amp;"_"&amp;$C$23:$C$45,$D$23:$D$45)*$E854)</f>
        <v>4.97691926182238</v>
      </c>
      <c r="M854" s="67" cm="1">
        <f ca="1" t="array" ref="M854">(1+SUMPRODUCT(G854:H854,OFFSET($H$49:$I$49,D854,0)))*(1+OFFSET($J$49,D854,0))^I854*(1+OFFSET($K$49,D854,0))^J854*(1+OFFSET($L$49,D854,0))^K854*(1+OFFSET($M$49,D854,0))^L854</f>
        <v>298.611654877227</v>
      </c>
      <c r="N854" s="67">
        <f ca="1">MAX(MAX($N$62:N853),OFFSET($C$61,MATCH(M854*1.07,$M$62:$M$2061,1),0)-C854)</f>
        <v>29160</v>
      </c>
    </row>
    <row r="855" spans="2:14">
      <c r="B855" s="67">
        <v>794</v>
      </c>
      <c r="C855" s="67">
        <f t="shared" si="83"/>
        <v>285840</v>
      </c>
      <c r="D855" s="67">
        <f t="shared" si="79"/>
        <v>5</v>
      </c>
      <c r="E855" s="67">
        <f ca="1" t="shared" si="80"/>
        <v>824</v>
      </c>
      <c r="F855" s="67">
        <f ca="1" t="shared" si="81"/>
        <v>0</v>
      </c>
      <c r="G855" s="67">
        <f ca="1" t="shared" si="82"/>
        <v>0</v>
      </c>
      <c r="H855" s="67" cm="1">
        <f ca="1" t="array" ref="H855">MIN(30-SUM(I855:L855),_xlfn.XLOOKUP($D855&amp;"_"&amp;H$61,$B$23:$B$45&amp;"_"&amp;$C$23:$C$45,$D$23:$D$45)*$E855,18)</f>
        <v>12.6780222991157</v>
      </c>
      <c r="I855" s="67" cm="1">
        <f ca="1" t="array" ref="I855">MIN(30-SUM(J855:L855),6-L855,_xlfn.XLOOKUP($D855&amp;"_"&amp;I$61,$B$23:$B$45&amp;"_"&amp;$C$23:$C$45,$D$23:$D$45)*$E855)</f>
        <v>1.01703344867359</v>
      </c>
      <c r="J855" s="67" cm="1">
        <f ca="1" t="array" ref="J855">MIN(8,_xlfn.XLOOKUP($D855&amp;"_"&amp;J$61,$B$23:$B$45&amp;"_"&amp;$C$23:$C$45,$D$23:$D$45)*$E855)</f>
        <v>8</v>
      </c>
      <c r="K855" s="67" cm="1">
        <f ca="1" t="array" ref="K855">MIN(18,_xlfn.XLOOKUP($D855&amp;"_"&amp;K$61,$B$23:$B$45&amp;"_"&amp;$C$23:$C$45,$D$23:$D$45)*$E855)</f>
        <v>3.32197770088428</v>
      </c>
      <c r="L855" s="67" cm="1">
        <f ca="1" t="array" ref="L855">MIN(6,_xlfn.XLOOKUP($D855&amp;"_"&amp;L$61,$B$23:$B$45&amp;"_"&amp;$C$23:$C$45,$D$23:$D$45)*$E855)</f>
        <v>4.98296655132641</v>
      </c>
      <c r="M855" s="67" cm="1">
        <f ca="1" t="array" ref="M855">(1+SUMPRODUCT(G855:H855,OFFSET($H$49:$I$49,D855,0)))*(1+OFFSET($J$49,D855,0))^I855*(1+OFFSET($K$49,D855,0))^J855*(1+OFFSET($L$49,D855,0))^K855*(1+OFFSET($M$49,D855,0))^L855</f>
        <v>298.861551906312</v>
      </c>
      <c r="N855" s="67">
        <f ca="1">MAX(MAX($N$62:N854),OFFSET($C$61,MATCH(M855*1.07,$M$62:$M$2061,1),0)-C855)</f>
        <v>29160</v>
      </c>
    </row>
    <row r="856" spans="2:14">
      <c r="B856" s="67">
        <v>795</v>
      </c>
      <c r="C856" s="67">
        <f t="shared" si="83"/>
        <v>286200</v>
      </c>
      <c r="D856" s="67">
        <f t="shared" si="79"/>
        <v>5</v>
      </c>
      <c r="E856" s="67">
        <f ca="1" t="shared" si="80"/>
        <v>825</v>
      </c>
      <c r="F856" s="67">
        <f ca="1" t="shared" si="81"/>
        <v>0</v>
      </c>
      <c r="G856" s="67">
        <f ca="1" t="shared" si="82"/>
        <v>0</v>
      </c>
      <c r="H856" s="67" cm="1">
        <f ca="1" t="array" ref="H856">MIN(30-SUM(I856:L856),_xlfn.XLOOKUP($D856&amp;"_"&amp;H$61,$B$23:$B$45&amp;"_"&amp;$C$23:$C$45,$D$23:$D$45)*$E856,18)</f>
        <v>12.6739907727797</v>
      </c>
      <c r="I856" s="67" cm="1">
        <f ca="1" t="array" ref="I856">MIN(30-SUM(J856:L856),6-L856,_xlfn.XLOOKUP($D856&amp;"_"&amp;I$61,$B$23:$B$45&amp;"_"&amp;$C$23:$C$45,$D$23:$D$45)*$E856)</f>
        <v>1.01098615916955</v>
      </c>
      <c r="J856" s="67" cm="1">
        <f ca="1" t="array" ref="J856">MIN(8,_xlfn.XLOOKUP($D856&amp;"_"&amp;J$61,$B$23:$B$45&amp;"_"&amp;$C$23:$C$45,$D$23:$D$45)*$E856)</f>
        <v>8</v>
      </c>
      <c r="K856" s="67" cm="1">
        <f ca="1" t="array" ref="K856">MIN(18,_xlfn.XLOOKUP($D856&amp;"_"&amp;K$61,$B$23:$B$45&amp;"_"&amp;$C$23:$C$45,$D$23:$D$45)*$E856)</f>
        <v>3.3260092272203</v>
      </c>
      <c r="L856" s="67" cm="1">
        <f ca="1" t="array" ref="L856">MIN(6,_xlfn.XLOOKUP($D856&amp;"_"&amp;L$61,$B$23:$B$45&amp;"_"&amp;$C$23:$C$45,$D$23:$D$45)*$E856)</f>
        <v>4.98901384083045</v>
      </c>
      <c r="M856" s="67" cm="1">
        <f ca="1" t="array" ref="M856">(1+SUMPRODUCT(G856:H856,OFFSET($H$49:$I$49,D856,0)))*(1+OFFSET($J$49,D856,0))^I856*(1+OFFSET($K$49,D856,0))^J856*(1+OFFSET($L$49,D856,0))^K856*(1+OFFSET($M$49,D856,0))^L856</f>
        <v>299.111642508709</v>
      </c>
      <c r="N856" s="67">
        <f ca="1">MAX(MAX($N$62:N855),OFFSET($C$61,MATCH(M856*1.07,$M$62:$M$2061,1),0)-C856)</f>
        <v>29160</v>
      </c>
    </row>
    <row r="857" spans="2:14">
      <c r="B857" s="67">
        <v>796</v>
      </c>
      <c r="C857" s="67">
        <f t="shared" si="83"/>
        <v>286560</v>
      </c>
      <c r="D857" s="67">
        <f t="shared" si="79"/>
        <v>5</v>
      </c>
      <c r="E857" s="67">
        <f ca="1" t="shared" si="80"/>
        <v>826</v>
      </c>
      <c r="F857" s="67">
        <f ca="1" t="shared" si="81"/>
        <v>0</v>
      </c>
      <c r="G857" s="67">
        <f ca="1" t="shared" si="82"/>
        <v>0</v>
      </c>
      <c r="H857" s="67" cm="1">
        <f ca="1" t="array" ref="H857">MIN(30-SUM(I857:L857),_xlfn.XLOOKUP($D857&amp;"_"&amp;H$61,$B$23:$B$45&amp;"_"&amp;$C$23:$C$45,$D$23:$D$45)*$E857,18)</f>
        <v>12.6699592464437</v>
      </c>
      <c r="I857" s="67" cm="1">
        <f ca="1" t="array" ref="I857">MIN(30-SUM(J857:L857),6-L857,_xlfn.XLOOKUP($D857&amp;"_"&amp;I$61,$B$23:$B$45&amp;"_"&amp;$C$23:$C$45,$D$23:$D$45)*$E857)</f>
        <v>1.00493886966551</v>
      </c>
      <c r="J857" s="67" cm="1">
        <f ca="1" t="array" ref="J857">MIN(8,_xlfn.XLOOKUP($D857&amp;"_"&amp;J$61,$B$23:$B$45&amp;"_"&amp;$C$23:$C$45,$D$23:$D$45)*$E857)</f>
        <v>8</v>
      </c>
      <c r="K857" s="67" cm="1">
        <f ca="1" t="array" ref="K857">MIN(18,_xlfn.XLOOKUP($D857&amp;"_"&amp;K$61,$B$23:$B$45&amp;"_"&amp;$C$23:$C$45,$D$23:$D$45)*$E857)</f>
        <v>3.33004075355633</v>
      </c>
      <c r="L857" s="67" cm="1">
        <f ca="1" t="array" ref="L857">MIN(6,_xlfn.XLOOKUP($D857&amp;"_"&amp;L$61,$B$23:$B$45&amp;"_"&amp;$C$23:$C$45,$D$23:$D$45)*$E857)</f>
        <v>4.99506113033449</v>
      </c>
      <c r="M857" s="67" cm="1">
        <f ca="1" t="array" ref="M857">(1+SUMPRODUCT(G857:H857,OFFSET($H$49:$I$49,D857,0)))*(1+OFFSET($J$49,D857,0))^I857*(1+OFFSET($K$49,D857,0))^J857*(1+OFFSET($L$49,D857,0))^K857*(1+OFFSET($M$49,D857,0))^L857</f>
        <v>299.361926813273</v>
      </c>
      <c r="N857" s="67">
        <f ca="1">MAX(MAX($N$62:N856),OFFSET($C$61,MATCH(M857*1.07,$M$62:$M$2061,1),0)-C857)</f>
        <v>29160</v>
      </c>
    </row>
    <row r="858" spans="2:14">
      <c r="B858" s="67">
        <v>797</v>
      </c>
      <c r="C858" s="67">
        <f t="shared" si="83"/>
        <v>286920</v>
      </c>
      <c r="D858" s="67">
        <f t="shared" si="79"/>
        <v>5</v>
      </c>
      <c r="E858" s="67">
        <f ca="1" t="shared" si="80"/>
        <v>827</v>
      </c>
      <c r="F858" s="67">
        <f ca="1" t="shared" si="81"/>
        <v>0</v>
      </c>
      <c r="G858" s="67">
        <f ca="1" t="shared" si="82"/>
        <v>0</v>
      </c>
      <c r="H858" s="67" cm="1">
        <f ca="1" t="array" ref="H858">MIN(30-SUM(I858:L858),_xlfn.XLOOKUP($D858&amp;"_"&amp;H$61,$B$23:$B$45&amp;"_"&amp;$C$23:$C$45,$D$23:$D$45)*$E858,18)</f>
        <v>12.6659277201076</v>
      </c>
      <c r="I858" s="67" cm="1">
        <f ca="1" t="array" ref="I858">MIN(30-SUM(J858:L858),6-L858,_xlfn.XLOOKUP($D858&amp;"_"&amp;I$61,$B$23:$B$45&amp;"_"&amp;$C$23:$C$45,$D$23:$D$45)*$E858)</f>
        <v>0.998891580161475</v>
      </c>
      <c r="J858" s="67" cm="1">
        <f ca="1" t="array" ref="J858">MIN(8,_xlfn.XLOOKUP($D858&amp;"_"&amp;J$61,$B$23:$B$45&amp;"_"&amp;$C$23:$C$45,$D$23:$D$45)*$E858)</f>
        <v>8</v>
      </c>
      <c r="K858" s="67" cm="1">
        <f ca="1" t="array" ref="K858">MIN(18,_xlfn.XLOOKUP($D858&amp;"_"&amp;K$61,$B$23:$B$45&amp;"_"&amp;$C$23:$C$45,$D$23:$D$45)*$E858)</f>
        <v>3.33407227989235</v>
      </c>
      <c r="L858" s="67" cm="1">
        <f ca="1" t="array" ref="L858">MIN(6,_xlfn.XLOOKUP($D858&amp;"_"&amp;L$61,$B$23:$B$45&amp;"_"&amp;$C$23:$C$45,$D$23:$D$45)*$E858)</f>
        <v>5.00110841983853</v>
      </c>
      <c r="M858" s="67" cm="1">
        <f ca="1" t="array" ref="M858">(1+SUMPRODUCT(G858:H858,OFFSET($H$49:$I$49,D858,0)))*(1+OFFSET($J$49,D858,0))^I858*(1+OFFSET($K$49,D858,0))^J858*(1+OFFSET($L$49,D858,0))^K858*(1+OFFSET($M$49,D858,0))^L858</f>
        <v>299.612404948916</v>
      </c>
      <c r="N858" s="67">
        <f ca="1">MAX(MAX($N$62:N857),OFFSET($C$61,MATCH(M858*1.07,$M$62:$M$2061,1),0)-C858)</f>
        <v>29160</v>
      </c>
    </row>
    <row r="859" spans="2:14">
      <c r="B859" s="67">
        <v>798</v>
      </c>
      <c r="C859" s="67">
        <f t="shared" si="83"/>
        <v>287280</v>
      </c>
      <c r="D859" s="67">
        <f t="shared" si="79"/>
        <v>5</v>
      </c>
      <c r="E859" s="67">
        <f ca="1" t="shared" si="80"/>
        <v>828</v>
      </c>
      <c r="F859" s="67">
        <f ca="1" t="shared" si="81"/>
        <v>0</v>
      </c>
      <c r="G859" s="67">
        <f ca="1" t="shared" si="82"/>
        <v>0</v>
      </c>
      <c r="H859" s="67" cm="1">
        <f ca="1" t="array" ref="H859">MIN(30-SUM(I859:L859),_xlfn.XLOOKUP($D859&amp;"_"&amp;H$61,$B$23:$B$45&amp;"_"&amp;$C$23:$C$45,$D$23:$D$45)*$E859,18)</f>
        <v>12.6618961937716</v>
      </c>
      <c r="I859" s="67" cm="1">
        <f ca="1" t="array" ref="I859">MIN(30-SUM(J859:L859),6-L859,_xlfn.XLOOKUP($D859&amp;"_"&amp;I$61,$B$23:$B$45&amp;"_"&amp;$C$23:$C$45,$D$23:$D$45)*$E859)</f>
        <v>0.992844290657438</v>
      </c>
      <c r="J859" s="67" cm="1">
        <f ca="1" t="array" ref="J859">MIN(8,_xlfn.XLOOKUP($D859&amp;"_"&amp;J$61,$B$23:$B$45&amp;"_"&amp;$C$23:$C$45,$D$23:$D$45)*$E859)</f>
        <v>8</v>
      </c>
      <c r="K859" s="67" cm="1">
        <f ca="1" t="array" ref="K859">MIN(18,_xlfn.XLOOKUP($D859&amp;"_"&amp;K$61,$B$23:$B$45&amp;"_"&amp;$C$23:$C$45,$D$23:$D$45)*$E859)</f>
        <v>3.33810380622838</v>
      </c>
      <c r="L859" s="67" cm="1">
        <f ca="1" t="array" ref="L859">MIN(6,_xlfn.XLOOKUP($D859&amp;"_"&amp;L$61,$B$23:$B$45&amp;"_"&amp;$C$23:$C$45,$D$23:$D$45)*$E859)</f>
        <v>5.00715570934256</v>
      </c>
      <c r="M859" s="67" cm="1">
        <f ca="1" t="array" ref="M859">(1+SUMPRODUCT(G859:H859,OFFSET($H$49:$I$49,D859,0)))*(1+OFFSET($J$49,D859,0))^I859*(1+OFFSET($K$49,D859,0))^J859*(1+OFFSET($L$49,D859,0))^K859*(1+OFFSET($M$49,D859,0))^L859</f>
        <v>299.863077044603</v>
      </c>
      <c r="N859" s="67">
        <f ca="1">MAX(MAX($N$62:N858),OFFSET($C$61,MATCH(M859*1.07,$M$62:$M$2061,1),0)-C859)</f>
        <v>29160</v>
      </c>
    </row>
    <row r="860" spans="2:14">
      <c r="B860" s="67">
        <v>799</v>
      </c>
      <c r="C860" s="67">
        <f t="shared" si="83"/>
        <v>287640</v>
      </c>
      <c r="D860" s="67">
        <f t="shared" si="79"/>
        <v>5</v>
      </c>
      <c r="E860" s="67">
        <f ca="1" t="shared" si="80"/>
        <v>829</v>
      </c>
      <c r="F860" s="67">
        <f ca="1" t="shared" si="81"/>
        <v>0</v>
      </c>
      <c r="G860" s="67">
        <f ca="1" t="shared" si="82"/>
        <v>0</v>
      </c>
      <c r="H860" s="67" cm="1">
        <f ca="1" t="array" ref="H860">MIN(30-SUM(I860:L860),_xlfn.XLOOKUP($D860&amp;"_"&amp;H$61,$B$23:$B$45&amp;"_"&amp;$C$23:$C$45,$D$23:$D$45)*$E860,18)</f>
        <v>12.6578646674356</v>
      </c>
      <c r="I860" s="67" cm="1">
        <f ca="1" t="array" ref="I860">MIN(30-SUM(J860:L860),6-L860,_xlfn.XLOOKUP($D860&amp;"_"&amp;I$61,$B$23:$B$45&amp;"_"&amp;$C$23:$C$45,$D$23:$D$45)*$E860)</f>
        <v>0.986797001153401</v>
      </c>
      <c r="J860" s="67" cm="1">
        <f ca="1" t="array" ref="J860">MIN(8,_xlfn.XLOOKUP($D860&amp;"_"&amp;J$61,$B$23:$B$45&amp;"_"&amp;$C$23:$C$45,$D$23:$D$45)*$E860)</f>
        <v>8</v>
      </c>
      <c r="K860" s="67" cm="1">
        <f ca="1" t="array" ref="K860">MIN(18,_xlfn.XLOOKUP($D860&amp;"_"&amp;K$61,$B$23:$B$45&amp;"_"&amp;$C$23:$C$45,$D$23:$D$45)*$E860)</f>
        <v>3.3421353325644</v>
      </c>
      <c r="L860" s="67" cm="1">
        <f ca="1" t="array" ref="L860">MIN(6,_xlfn.XLOOKUP($D860&amp;"_"&amp;L$61,$B$23:$B$45&amp;"_"&amp;$C$23:$C$45,$D$23:$D$45)*$E860)</f>
        <v>5.0132029988466</v>
      </c>
      <c r="M860" s="67" cm="1">
        <f ca="1" t="array" ref="M860">(1+SUMPRODUCT(G860:H860,OFFSET($H$49:$I$49,D860,0)))*(1+OFFSET($J$49,D860,0))^I860*(1+OFFSET($K$49,D860,0))^J860*(1+OFFSET($L$49,D860,0))^K860*(1+OFFSET($M$49,D860,0))^L860</f>
        <v>300.113943229355</v>
      </c>
      <c r="N860" s="67">
        <f ca="1">MAX(MAX($N$62:N859),OFFSET($C$61,MATCH(M860*1.07,$M$62:$M$2061,1),0)-C860)</f>
        <v>29160</v>
      </c>
    </row>
    <row r="861" spans="2:14">
      <c r="B861" s="67">
        <v>800</v>
      </c>
      <c r="C861" s="67">
        <f t="shared" si="83"/>
        <v>288000</v>
      </c>
      <c r="D861" s="67">
        <f t="shared" si="79"/>
        <v>5</v>
      </c>
      <c r="E861" s="67">
        <f ca="1" t="shared" si="80"/>
        <v>830</v>
      </c>
      <c r="F861" s="67">
        <f ca="1" t="shared" si="81"/>
        <v>0</v>
      </c>
      <c r="G861" s="67">
        <f ca="1" t="shared" si="82"/>
        <v>0</v>
      </c>
      <c r="H861" s="67" cm="1">
        <f ca="1" t="array" ref="H861">MIN(30-SUM(I861:L861),_xlfn.XLOOKUP($D861&amp;"_"&amp;H$61,$B$23:$B$45&amp;"_"&amp;$C$23:$C$45,$D$23:$D$45)*$E861,18)</f>
        <v>12.6538331410996</v>
      </c>
      <c r="I861" s="67" cm="1">
        <f ca="1" t="array" ref="I861">MIN(30-SUM(J861:L861),6-L861,_xlfn.XLOOKUP($D861&amp;"_"&amp;I$61,$B$23:$B$45&amp;"_"&amp;$C$23:$C$45,$D$23:$D$45)*$E861)</f>
        <v>0.980749711649365</v>
      </c>
      <c r="J861" s="67" cm="1">
        <f ca="1" t="array" ref="J861">MIN(8,_xlfn.XLOOKUP($D861&amp;"_"&amp;J$61,$B$23:$B$45&amp;"_"&amp;$C$23:$C$45,$D$23:$D$45)*$E861)</f>
        <v>8</v>
      </c>
      <c r="K861" s="67" cm="1">
        <f ca="1" t="array" ref="K861">MIN(18,_xlfn.XLOOKUP($D861&amp;"_"&amp;K$61,$B$23:$B$45&amp;"_"&amp;$C$23:$C$45,$D$23:$D$45)*$E861)</f>
        <v>3.34616685890043</v>
      </c>
      <c r="L861" s="67" cm="1">
        <f ca="1" t="array" ref="L861">MIN(6,_xlfn.XLOOKUP($D861&amp;"_"&amp;L$61,$B$23:$B$45&amp;"_"&amp;$C$23:$C$45,$D$23:$D$45)*$E861)</f>
        <v>5.01925028835064</v>
      </c>
      <c r="M861" s="67" cm="1">
        <f ca="1" t="array" ref="M861">(1+SUMPRODUCT(G861:H861,OFFSET($H$49:$I$49,D861,0)))*(1+OFFSET($J$49,D861,0))^I861*(1+OFFSET($K$49,D861,0))^J861*(1+OFFSET($L$49,D861,0))^K861*(1+OFFSET($M$49,D861,0))^L861</f>
        <v>300.365003632248</v>
      </c>
      <c r="N861" s="67">
        <f ca="1">MAX(MAX($N$62:N860),OFFSET($C$61,MATCH(M861*1.07,$M$62:$M$2061,1),0)-C861)</f>
        <v>29160</v>
      </c>
    </row>
    <row r="862" spans="2:14">
      <c r="B862" s="67">
        <v>801</v>
      </c>
      <c r="C862" s="67">
        <f t="shared" si="83"/>
        <v>288360</v>
      </c>
      <c r="D862" s="67">
        <f t="shared" si="79"/>
        <v>5</v>
      </c>
      <c r="E862" s="67">
        <f ca="1" t="shared" si="80"/>
        <v>831</v>
      </c>
      <c r="F862" s="67">
        <f ca="1" t="shared" si="81"/>
        <v>0</v>
      </c>
      <c r="G862" s="67">
        <f ca="1" t="shared" si="82"/>
        <v>0</v>
      </c>
      <c r="H862" s="67" cm="1">
        <f ca="1" t="array" ref="H862">MIN(30-SUM(I862:L862),_xlfn.XLOOKUP($D862&amp;"_"&amp;H$61,$B$23:$B$45&amp;"_"&amp;$C$23:$C$45,$D$23:$D$45)*$E862,18)</f>
        <v>12.6498016147636</v>
      </c>
      <c r="I862" s="67" cm="1">
        <f ca="1" t="array" ref="I862">MIN(30-SUM(J862:L862),6-L862,_xlfn.XLOOKUP($D862&amp;"_"&amp;I$61,$B$23:$B$45&amp;"_"&amp;$C$23:$C$45,$D$23:$D$45)*$E862)</f>
        <v>0.974702422145327</v>
      </c>
      <c r="J862" s="67" cm="1">
        <f ca="1" t="array" ref="J862">MIN(8,_xlfn.XLOOKUP($D862&amp;"_"&amp;J$61,$B$23:$B$45&amp;"_"&amp;$C$23:$C$45,$D$23:$D$45)*$E862)</f>
        <v>8</v>
      </c>
      <c r="K862" s="67" cm="1">
        <f ca="1" t="array" ref="K862">MIN(18,_xlfn.XLOOKUP($D862&amp;"_"&amp;K$61,$B$23:$B$45&amp;"_"&amp;$C$23:$C$45,$D$23:$D$45)*$E862)</f>
        <v>3.35019838523645</v>
      </c>
      <c r="L862" s="67" cm="1">
        <f ca="1" t="array" ref="L862">MIN(6,_xlfn.XLOOKUP($D862&amp;"_"&amp;L$61,$B$23:$B$45&amp;"_"&amp;$C$23:$C$45,$D$23:$D$45)*$E862)</f>
        <v>5.02529757785467</v>
      </c>
      <c r="M862" s="67" cm="1">
        <f ca="1" t="array" ref="M862">(1+SUMPRODUCT(G862:H862,OFFSET($H$49:$I$49,D862,0)))*(1+OFFSET($J$49,D862,0))^I862*(1+OFFSET($K$49,D862,0))^J862*(1+OFFSET($L$49,D862,0))^K862*(1+OFFSET($M$49,D862,0))^L862</f>
        <v>300.616258382413</v>
      </c>
      <c r="N862" s="67">
        <f ca="1">MAX(MAX($N$62:N861),OFFSET($C$61,MATCH(M862*1.07,$M$62:$M$2061,1),0)-C862)</f>
        <v>29160</v>
      </c>
    </row>
    <row r="863" spans="2:14">
      <c r="B863" s="67">
        <v>802</v>
      </c>
      <c r="C863" s="67">
        <f t="shared" si="83"/>
        <v>288720</v>
      </c>
      <c r="D863" s="67">
        <f t="shared" si="79"/>
        <v>5</v>
      </c>
      <c r="E863" s="67">
        <f ca="1" t="shared" si="80"/>
        <v>832</v>
      </c>
      <c r="F863" s="67">
        <f ca="1" t="shared" si="81"/>
        <v>0</v>
      </c>
      <c r="G863" s="67">
        <f ca="1" t="shared" si="82"/>
        <v>0</v>
      </c>
      <c r="H863" s="67" cm="1">
        <f ca="1" t="array" ref="H863">MIN(30-SUM(I863:L863),_xlfn.XLOOKUP($D863&amp;"_"&amp;H$61,$B$23:$B$45&amp;"_"&amp;$C$23:$C$45,$D$23:$D$45)*$E863,18)</f>
        <v>12.6457700884275</v>
      </c>
      <c r="I863" s="67" cm="1">
        <f ca="1" t="array" ref="I863">MIN(30-SUM(J863:L863),6-L863,_xlfn.XLOOKUP($D863&amp;"_"&amp;I$61,$B$23:$B$45&amp;"_"&amp;$C$23:$C$45,$D$23:$D$45)*$E863)</f>
        <v>0.968655132641291</v>
      </c>
      <c r="J863" s="67" cm="1">
        <f ca="1" t="array" ref="J863">MIN(8,_xlfn.XLOOKUP($D863&amp;"_"&amp;J$61,$B$23:$B$45&amp;"_"&amp;$C$23:$C$45,$D$23:$D$45)*$E863)</f>
        <v>8</v>
      </c>
      <c r="K863" s="67" cm="1">
        <f ca="1" t="array" ref="K863">MIN(18,_xlfn.XLOOKUP($D863&amp;"_"&amp;K$61,$B$23:$B$45&amp;"_"&amp;$C$23:$C$45,$D$23:$D$45)*$E863)</f>
        <v>3.35422991157248</v>
      </c>
      <c r="L863" s="67" cm="1">
        <f ca="1" t="array" ref="L863">MIN(6,_xlfn.XLOOKUP($D863&amp;"_"&amp;L$61,$B$23:$B$45&amp;"_"&amp;$C$23:$C$45,$D$23:$D$45)*$E863)</f>
        <v>5.03134486735871</v>
      </c>
      <c r="M863" s="67" cm="1">
        <f ca="1" t="array" ref="M863">(1+SUMPRODUCT(G863:H863,OFFSET($H$49:$I$49,D863,0)))*(1+OFFSET($J$49,D863,0))^I863*(1+OFFSET($K$49,D863,0))^J863*(1+OFFSET($L$49,D863,0))^K863*(1+OFFSET($M$49,D863,0))^L863</f>
        <v>300.867707609033</v>
      </c>
      <c r="N863" s="67">
        <f ca="1">MAX(MAX($N$62:N862),OFFSET($C$61,MATCH(M863*1.07,$M$62:$M$2061,1),0)-C863)</f>
        <v>29160</v>
      </c>
    </row>
    <row r="864" spans="2:14">
      <c r="B864" s="67">
        <v>803</v>
      </c>
      <c r="C864" s="67">
        <f t="shared" si="83"/>
        <v>289080</v>
      </c>
      <c r="D864" s="67">
        <f t="shared" si="79"/>
        <v>5</v>
      </c>
      <c r="E864" s="67">
        <f ca="1" t="shared" si="80"/>
        <v>833</v>
      </c>
      <c r="F864" s="67">
        <f ca="1" t="shared" si="81"/>
        <v>0</v>
      </c>
      <c r="G864" s="67">
        <f ca="1" t="shared" si="82"/>
        <v>0</v>
      </c>
      <c r="H864" s="67" cm="1">
        <f ca="1" t="array" ref="H864">MIN(30-SUM(I864:L864),_xlfn.XLOOKUP($D864&amp;"_"&amp;H$61,$B$23:$B$45&amp;"_"&amp;$C$23:$C$45,$D$23:$D$45)*$E864,18)</f>
        <v>12.6417385620915</v>
      </c>
      <c r="I864" s="67" cm="1">
        <f ca="1" t="array" ref="I864">MIN(30-SUM(J864:L864),6-L864,_xlfn.XLOOKUP($D864&amp;"_"&amp;I$61,$B$23:$B$45&amp;"_"&amp;$C$23:$C$45,$D$23:$D$45)*$E864)</f>
        <v>0.962607843137254</v>
      </c>
      <c r="J864" s="67" cm="1">
        <f ca="1" t="array" ref="J864">MIN(8,_xlfn.XLOOKUP($D864&amp;"_"&amp;J$61,$B$23:$B$45&amp;"_"&amp;$C$23:$C$45,$D$23:$D$45)*$E864)</f>
        <v>8</v>
      </c>
      <c r="K864" s="67" cm="1">
        <f ca="1" t="array" ref="K864">MIN(18,_xlfn.XLOOKUP($D864&amp;"_"&amp;K$61,$B$23:$B$45&amp;"_"&amp;$C$23:$C$45,$D$23:$D$45)*$E864)</f>
        <v>3.3582614379085</v>
      </c>
      <c r="L864" s="67" cm="1">
        <f ca="1" t="array" ref="L864">MIN(6,_xlfn.XLOOKUP($D864&amp;"_"&amp;L$61,$B$23:$B$45&amp;"_"&amp;$C$23:$C$45,$D$23:$D$45)*$E864)</f>
        <v>5.03739215686275</v>
      </c>
      <c r="M864" s="67" cm="1">
        <f ca="1" t="array" ref="M864">(1+SUMPRODUCT(G864:H864,OFFSET($H$49:$I$49,D864,0)))*(1+OFFSET($J$49,D864,0))^I864*(1+OFFSET($K$49,D864,0))^J864*(1+OFFSET($L$49,D864,0))^K864*(1+OFFSET($M$49,D864,0))^L864</f>
        <v>301.11935144135</v>
      </c>
      <c r="N864" s="67">
        <f ca="1">MAX(MAX($N$62:N863),OFFSET($C$61,MATCH(M864*1.07,$M$62:$M$2061,1),0)-C864)</f>
        <v>29160</v>
      </c>
    </row>
    <row r="865" spans="2:14">
      <c r="B865" s="67">
        <v>804</v>
      </c>
      <c r="C865" s="67">
        <f t="shared" si="83"/>
        <v>289440</v>
      </c>
      <c r="D865" s="67">
        <f t="shared" si="79"/>
        <v>5</v>
      </c>
      <c r="E865" s="67">
        <f ca="1" t="shared" si="80"/>
        <v>834</v>
      </c>
      <c r="F865" s="67">
        <f ca="1" t="shared" si="81"/>
        <v>0</v>
      </c>
      <c r="G865" s="67">
        <f ca="1" t="shared" si="82"/>
        <v>0</v>
      </c>
      <c r="H865" s="67" cm="1">
        <f ca="1" t="array" ref="H865">MIN(30-SUM(I865:L865),_xlfn.XLOOKUP($D865&amp;"_"&amp;H$61,$B$23:$B$45&amp;"_"&amp;$C$23:$C$45,$D$23:$D$45)*$E865,18)</f>
        <v>12.6377070357555</v>
      </c>
      <c r="I865" s="67" cm="1">
        <f ca="1" t="array" ref="I865">MIN(30-SUM(J865:L865),6-L865,_xlfn.XLOOKUP($D865&amp;"_"&amp;I$61,$B$23:$B$45&amp;"_"&amp;$C$23:$C$45,$D$23:$D$45)*$E865)</f>
        <v>0.956560553633217</v>
      </c>
      <c r="J865" s="67" cm="1">
        <f ca="1" t="array" ref="J865">MIN(8,_xlfn.XLOOKUP($D865&amp;"_"&amp;J$61,$B$23:$B$45&amp;"_"&amp;$C$23:$C$45,$D$23:$D$45)*$E865)</f>
        <v>8</v>
      </c>
      <c r="K865" s="67" cm="1">
        <f ca="1" t="array" ref="K865">MIN(18,_xlfn.XLOOKUP($D865&amp;"_"&amp;K$61,$B$23:$B$45&amp;"_"&amp;$C$23:$C$45,$D$23:$D$45)*$E865)</f>
        <v>3.36229296424452</v>
      </c>
      <c r="L865" s="67" cm="1">
        <f ca="1" t="array" ref="L865">MIN(6,_xlfn.XLOOKUP($D865&amp;"_"&amp;L$61,$B$23:$B$45&amp;"_"&amp;$C$23:$C$45,$D$23:$D$45)*$E865)</f>
        <v>5.04343944636678</v>
      </c>
      <c r="M865" s="67" cm="1">
        <f ca="1" t="array" ref="M865">(1+SUMPRODUCT(G865:H865,OFFSET($H$49:$I$49,D865,0)))*(1+OFFSET($J$49,D865,0))^I865*(1+OFFSET($K$49,D865,0))^J865*(1+OFFSET($L$49,D865,0))^K865*(1+OFFSET($M$49,D865,0))^L865</f>
        <v>301.371190008656</v>
      </c>
      <c r="N865" s="67">
        <f ca="1">MAX(MAX($N$62:N864),OFFSET($C$61,MATCH(M865*1.07,$M$62:$M$2061,1),0)-C865)</f>
        <v>29160</v>
      </c>
    </row>
    <row r="866" spans="2:14">
      <c r="B866" s="67">
        <v>805</v>
      </c>
      <c r="C866" s="67">
        <f t="shared" si="83"/>
        <v>289800</v>
      </c>
      <c r="D866" s="67">
        <f t="shared" si="79"/>
        <v>5</v>
      </c>
      <c r="E866" s="67">
        <f ca="1" t="shared" si="80"/>
        <v>835</v>
      </c>
      <c r="F866" s="67">
        <f ca="1" t="shared" si="81"/>
        <v>0</v>
      </c>
      <c r="G866" s="67">
        <f ca="1" t="shared" si="82"/>
        <v>0</v>
      </c>
      <c r="H866" s="67" cm="1">
        <f ca="1" t="array" ref="H866">MIN(30-SUM(I866:L866),_xlfn.XLOOKUP($D866&amp;"_"&amp;H$61,$B$23:$B$45&amp;"_"&amp;$C$23:$C$45,$D$23:$D$45)*$E866,18)</f>
        <v>12.6336755094195</v>
      </c>
      <c r="I866" s="67" cm="1">
        <f ca="1" t="array" ref="I866">MIN(30-SUM(J866:L866),6-L866,_xlfn.XLOOKUP($D866&amp;"_"&amp;I$61,$B$23:$B$45&amp;"_"&amp;$C$23:$C$45,$D$23:$D$45)*$E866)</f>
        <v>0.95051326412918</v>
      </c>
      <c r="J866" s="67" cm="1">
        <f ca="1" t="array" ref="J866">MIN(8,_xlfn.XLOOKUP($D866&amp;"_"&amp;J$61,$B$23:$B$45&amp;"_"&amp;$C$23:$C$45,$D$23:$D$45)*$E866)</f>
        <v>8</v>
      </c>
      <c r="K866" s="67" cm="1">
        <f ca="1" t="array" ref="K866">MIN(18,_xlfn.XLOOKUP($D866&amp;"_"&amp;K$61,$B$23:$B$45&amp;"_"&amp;$C$23:$C$45,$D$23:$D$45)*$E866)</f>
        <v>3.36632449058055</v>
      </c>
      <c r="L866" s="67" cm="1">
        <f ca="1" t="array" ref="L866">MIN(6,_xlfn.XLOOKUP($D866&amp;"_"&amp;L$61,$B$23:$B$45&amp;"_"&amp;$C$23:$C$45,$D$23:$D$45)*$E866)</f>
        <v>5.04948673587082</v>
      </c>
      <c r="M866" s="67" cm="1">
        <f ca="1" t="array" ref="M866">(1+SUMPRODUCT(G866:H866,OFFSET($H$49:$I$49,D866,0)))*(1+OFFSET($J$49,D866,0))^I866*(1+OFFSET($K$49,D866,0))^J866*(1+OFFSET($L$49,D866,0))^K866*(1+OFFSET($M$49,D866,0))^L866</f>
        <v>301.623223440303</v>
      </c>
      <c r="N866" s="67">
        <f ca="1">MAX(MAX($N$62:N865),OFFSET($C$61,MATCH(M866*1.07,$M$62:$M$2061,1),0)-C866)</f>
        <v>29160</v>
      </c>
    </row>
    <row r="867" spans="2:14">
      <c r="B867" s="67">
        <v>806</v>
      </c>
      <c r="C867" s="67">
        <f t="shared" si="83"/>
        <v>290160</v>
      </c>
      <c r="D867" s="67">
        <f t="shared" si="79"/>
        <v>5</v>
      </c>
      <c r="E867" s="67">
        <f ca="1" t="shared" si="80"/>
        <v>836</v>
      </c>
      <c r="F867" s="67">
        <f ca="1" t="shared" si="81"/>
        <v>0</v>
      </c>
      <c r="G867" s="67">
        <f ca="1" t="shared" si="82"/>
        <v>0</v>
      </c>
      <c r="H867" s="67" cm="1">
        <f ca="1" t="array" ref="H867">MIN(30-SUM(I867:L867),_xlfn.XLOOKUP($D867&amp;"_"&amp;H$61,$B$23:$B$45&amp;"_"&amp;$C$23:$C$45,$D$23:$D$45)*$E867,18)</f>
        <v>12.6296439830834</v>
      </c>
      <c r="I867" s="67" cm="1">
        <f ca="1" t="array" ref="I867">MIN(30-SUM(J867:L867),6-L867,_xlfn.XLOOKUP($D867&amp;"_"&amp;I$61,$B$23:$B$45&amp;"_"&amp;$C$23:$C$45,$D$23:$D$45)*$E867)</f>
        <v>0.944465974625143</v>
      </c>
      <c r="J867" s="67" cm="1">
        <f ca="1" t="array" ref="J867">MIN(8,_xlfn.XLOOKUP($D867&amp;"_"&amp;J$61,$B$23:$B$45&amp;"_"&amp;$C$23:$C$45,$D$23:$D$45)*$E867)</f>
        <v>8</v>
      </c>
      <c r="K867" s="67" cm="1">
        <f ca="1" t="array" ref="K867">MIN(18,_xlfn.XLOOKUP($D867&amp;"_"&amp;K$61,$B$23:$B$45&amp;"_"&amp;$C$23:$C$45,$D$23:$D$45)*$E867)</f>
        <v>3.37035601691657</v>
      </c>
      <c r="L867" s="67" cm="1">
        <f ca="1" t="array" ref="L867">MIN(6,_xlfn.XLOOKUP($D867&amp;"_"&amp;L$61,$B$23:$B$45&amp;"_"&amp;$C$23:$C$45,$D$23:$D$45)*$E867)</f>
        <v>5.05553402537486</v>
      </c>
      <c r="M867" s="67" cm="1">
        <f ca="1" t="array" ref="M867">(1+SUMPRODUCT(G867:H867,OFFSET($H$49:$I$49,D867,0)))*(1+OFFSET($J$49,D867,0))^I867*(1+OFFSET($K$49,D867,0))^J867*(1+OFFSET($L$49,D867,0))^K867*(1+OFFSET($M$49,D867,0))^L867</f>
        <v>301.875451865693</v>
      </c>
      <c r="N867" s="67">
        <f ca="1">MAX(MAX($N$62:N866),OFFSET($C$61,MATCH(M867*1.07,$M$62:$M$2061,1),0)-C867)</f>
        <v>29160</v>
      </c>
    </row>
    <row r="868" spans="2:14">
      <c r="B868" s="67">
        <v>807</v>
      </c>
      <c r="C868" s="67">
        <f t="shared" si="83"/>
        <v>290520</v>
      </c>
      <c r="D868" s="67">
        <f t="shared" si="79"/>
        <v>5</v>
      </c>
      <c r="E868" s="67">
        <f ca="1" t="shared" si="80"/>
        <v>837</v>
      </c>
      <c r="F868" s="67">
        <f ca="1" t="shared" si="81"/>
        <v>0</v>
      </c>
      <c r="G868" s="67">
        <f ca="1" t="shared" si="82"/>
        <v>0</v>
      </c>
      <c r="H868" s="67" cm="1">
        <f ca="1" t="array" ref="H868">MIN(30-SUM(I868:L868),_xlfn.XLOOKUP($D868&amp;"_"&amp;H$61,$B$23:$B$45&amp;"_"&amp;$C$23:$C$45,$D$23:$D$45)*$E868,18)</f>
        <v>12.6256124567474</v>
      </c>
      <c r="I868" s="67" cm="1">
        <f ca="1" t="array" ref="I868">MIN(30-SUM(J868:L868),6-L868,_xlfn.XLOOKUP($D868&amp;"_"&amp;I$61,$B$23:$B$45&amp;"_"&amp;$C$23:$C$45,$D$23:$D$45)*$E868)</f>
        <v>0.938418685121106</v>
      </c>
      <c r="J868" s="67" cm="1">
        <f ca="1" t="array" ref="J868">MIN(8,_xlfn.XLOOKUP($D868&amp;"_"&amp;J$61,$B$23:$B$45&amp;"_"&amp;$C$23:$C$45,$D$23:$D$45)*$E868)</f>
        <v>8</v>
      </c>
      <c r="K868" s="67" cm="1">
        <f ca="1" t="array" ref="K868">MIN(18,_xlfn.XLOOKUP($D868&amp;"_"&amp;K$61,$B$23:$B$45&amp;"_"&amp;$C$23:$C$45,$D$23:$D$45)*$E868)</f>
        <v>3.3743875432526</v>
      </c>
      <c r="L868" s="67" cm="1">
        <f ca="1" t="array" ref="L868">MIN(6,_xlfn.XLOOKUP($D868&amp;"_"&amp;L$61,$B$23:$B$45&amp;"_"&amp;$C$23:$C$45,$D$23:$D$45)*$E868)</f>
        <v>5.06158131487889</v>
      </c>
      <c r="M868" s="67" cm="1">
        <f ca="1" t="array" ref="M868">(1+SUMPRODUCT(G868:H868,OFFSET($H$49:$I$49,D868,0)))*(1+OFFSET($J$49,D868,0))^I868*(1+OFFSET($K$49,D868,0))^J868*(1+OFFSET($L$49,D868,0))^K868*(1+OFFSET($M$49,D868,0))^L868</f>
        <v>302.127875414285</v>
      </c>
      <c r="N868" s="67">
        <f ca="1">MAX(MAX($N$62:N867),OFFSET($C$61,MATCH(M868*1.07,$M$62:$M$2061,1),0)-C868)</f>
        <v>29160</v>
      </c>
    </row>
    <row r="869" spans="2:14">
      <c r="B869" s="67">
        <v>808</v>
      </c>
      <c r="C869" s="67">
        <f t="shared" si="83"/>
        <v>290880</v>
      </c>
      <c r="D869" s="67">
        <f t="shared" si="79"/>
        <v>5</v>
      </c>
      <c r="E869" s="67">
        <f ca="1" t="shared" si="80"/>
        <v>838</v>
      </c>
      <c r="F869" s="67">
        <f ca="1" t="shared" si="81"/>
        <v>0</v>
      </c>
      <c r="G869" s="67">
        <f ca="1" t="shared" si="82"/>
        <v>0</v>
      </c>
      <c r="H869" s="67" cm="1">
        <f ca="1" t="array" ref="H869">MIN(30-SUM(I869:L869),_xlfn.XLOOKUP($D869&amp;"_"&amp;H$61,$B$23:$B$45&amp;"_"&amp;$C$23:$C$45,$D$23:$D$45)*$E869,18)</f>
        <v>12.6215809304114</v>
      </c>
      <c r="I869" s="67" cm="1">
        <f ca="1" t="array" ref="I869">MIN(30-SUM(J869:L869),6-L869,_xlfn.XLOOKUP($D869&amp;"_"&amp;I$61,$B$23:$B$45&amp;"_"&amp;$C$23:$C$45,$D$23:$D$45)*$E869)</f>
        <v>0.93237139561707</v>
      </c>
      <c r="J869" s="67" cm="1">
        <f ca="1" t="array" ref="J869">MIN(8,_xlfn.XLOOKUP($D869&amp;"_"&amp;J$61,$B$23:$B$45&amp;"_"&amp;$C$23:$C$45,$D$23:$D$45)*$E869)</f>
        <v>8</v>
      </c>
      <c r="K869" s="67" cm="1">
        <f ca="1" t="array" ref="K869">MIN(18,_xlfn.XLOOKUP($D869&amp;"_"&amp;K$61,$B$23:$B$45&amp;"_"&amp;$C$23:$C$45,$D$23:$D$45)*$E869)</f>
        <v>3.37841906958862</v>
      </c>
      <c r="L869" s="67" cm="1">
        <f ca="1" t="array" ref="L869">MIN(6,_xlfn.XLOOKUP($D869&amp;"_"&amp;L$61,$B$23:$B$45&amp;"_"&amp;$C$23:$C$45,$D$23:$D$45)*$E869)</f>
        <v>5.06762860438293</v>
      </c>
      <c r="M869" s="67" cm="1">
        <f ca="1" t="array" ref="M869">(1+SUMPRODUCT(G869:H869,OFFSET($H$49:$I$49,D869,0)))*(1+OFFSET($J$49,D869,0))^I869*(1+OFFSET($K$49,D869,0))^J869*(1+OFFSET($L$49,D869,0))^K869*(1+OFFSET($M$49,D869,0))^L869</f>
        <v>302.380494215592</v>
      </c>
      <c r="N869" s="67">
        <f ca="1">MAX(MAX($N$62:N868),OFFSET($C$61,MATCH(M869*1.07,$M$62:$M$2061,1),0)-C869)</f>
        <v>29160</v>
      </c>
    </row>
    <row r="870" spans="2:14">
      <c r="B870" s="67">
        <v>809</v>
      </c>
      <c r="C870" s="67">
        <f t="shared" si="83"/>
        <v>291240</v>
      </c>
      <c r="D870" s="67">
        <f t="shared" si="79"/>
        <v>5</v>
      </c>
      <c r="E870" s="67">
        <f ca="1" t="shared" si="80"/>
        <v>839</v>
      </c>
      <c r="F870" s="67">
        <f ca="1" t="shared" si="81"/>
        <v>0</v>
      </c>
      <c r="G870" s="67">
        <f ca="1" t="shared" si="82"/>
        <v>0</v>
      </c>
      <c r="H870" s="67" cm="1">
        <f ca="1" t="array" ref="H870">MIN(30-SUM(I870:L870),_xlfn.XLOOKUP($D870&amp;"_"&amp;H$61,$B$23:$B$45&amp;"_"&amp;$C$23:$C$45,$D$23:$D$45)*$E870,18)</f>
        <v>12.6175494040754</v>
      </c>
      <c r="I870" s="67" cm="1">
        <f ca="1" t="array" ref="I870">MIN(30-SUM(J870:L870),6-L870,_xlfn.XLOOKUP($D870&amp;"_"&amp;I$61,$B$23:$B$45&amp;"_"&amp;$C$23:$C$45,$D$23:$D$45)*$E870)</f>
        <v>0.926324106113032</v>
      </c>
      <c r="J870" s="67" cm="1">
        <f ca="1" t="array" ref="J870">MIN(8,_xlfn.XLOOKUP($D870&amp;"_"&amp;J$61,$B$23:$B$45&amp;"_"&amp;$C$23:$C$45,$D$23:$D$45)*$E870)</f>
        <v>8</v>
      </c>
      <c r="K870" s="67" cm="1">
        <f ca="1" t="array" ref="K870">MIN(18,_xlfn.XLOOKUP($D870&amp;"_"&amp;K$61,$B$23:$B$45&amp;"_"&amp;$C$23:$C$45,$D$23:$D$45)*$E870)</f>
        <v>3.38245059592465</v>
      </c>
      <c r="L870" s="67" cm="1">
        <f ca="1" t="array" ref="L870">MIN(6,_xlfn.XLOOKUP($D870&amp;"_"&amp;L$61,$B$23:$B$45&amp;"_"&amp;$C$23:$C$45,$D$23:$D$45)*$E870)</f>
        <v>5.07367589388697</v>
      </c>
      <c r="M870" s="67" cm="1">
        <f ca="1" t="array" ref="M870">(1+SUMPRODUCT(G870:H870,OFFSET($H$49:$I$49,D870,0)))*(1+OFFSET($J$49,D870,0))^I870*(1+OFFSET($K$49,D870,0))^J870*(1+OFFSET($L$49,D870,0))^K870*(1+OFFSET($M$49,D870,0))^L870</f>
        <v>302.633308399181</v>
      </c>
      <c r="N870" s="67">
        <f ca="1">MAX(MAX($N$62:N869),OFFSET($C$61,MATCH(M870*1.07,$M$62:$M$2061,1),0)-C870)</f>
        <v>29160</v>
      </c>
    </row>
    <row r="871" spans="2:14">
      <c r="B871" s="67">
        <v>810</v>
      </c>
      <c r="C871" s="67">
        <f t="shared" si="83"/>
        <v>291600</v>
      </c>
      <c r="D871" s="67">
        <f t="shared" si="79"/>
        <v>5</v>
      </c>
      <c r="E871" s="67">
        <f ca="1" t="shared" si="80"/>
        <v>840</v>
      </c>
      <c r="F871" s="67">
        <f ca="1" t="shared" si="81"/>
        <v>0</v>
      </c>
      <c r="G871" s="67">
        <f ca="1" t="shared" si="82"/>
        <v>0</v>
      </c>
      <c r="H871" s="67" cm="1">
        <f ca="1" t="array" ref="H871">MIN(30-SUM(I871:L871),_xlfn.XLOOKUP($D871&amp;"_"&amp;H$61,$B$23:$B$45&amp;"_"&amp;$C$23:$C$45,$D$23:$D$45)*$E871,18)</f>
        <v>12.6135178777393</v>
      </c>
      <c r="I871" s="67" cm="1">
        <f ca="1" t="array" ref="I871">MIN(30-SUM(J871:L871),6-L871,_xlfn.XLOOKUP($D871&amp;"_"&amp;I$61,$B$23:$B$45&amp;"_"&amp;$C$23:$C$45,$D$23:$D$45)*$E871)</f>
        <v>0.920276816608995</v>
      </c>
      <c r="J871" s="67" cm="1">
        <f ca="1" t="array" ref="J871">MIN(8,_xlfn.XLOOKUP($D871&amp;"_"&amp;J$61,$B$23:$B$45&amp;"_"&amp;$C$23:$C$45,$D$23:$D$45)*$E871)</f>
        <v>8</v>
      </c>
      <c r="K871" s="67" cm="1">
        <f ca="1" t="array" ref="K871">MIN(18,_xlfn.XLOOKUP($D871&amp;"_"&amp;K$61,$B$23:$B$45&amp;"_"&amp;$C$23:$C$45,$D$23:$D$45)*$E871)</f>
        <v>3.38648212226067</v>
      </c>
      <c r="L871" s="67" cm="1">
        <f ca="1" t="array" ref="L871">MIN(6,_xlfn.XLOOKUP($D871&amp;"_"&amp;L$61,$B$23:$B$45&amp;"_"&amp;$C$23:$C$45,$D$23:$D$45)*$E871)</f>
        <v>5.07972318339101</v>
      </c>
      <c r="M871" s="67" cm="1">
        <f ca="1" t="array" ref="M871">(1+SUMPRODUCT(G871:H871,OFFSET($H$49:$I$49,D871,0)))*(1+OFFSET($J$49,D871,0))^I871*(1+OFFSET($K$49,D871,0))^J871*(1+OFFSET($L$49,D871,0))^K871*(1+OFFSET($M$49,D871,0))^L871</f>
        <v>302.886318094674</v>
      </c>
      <c r="N871" s="67">
        <f ca="1">MAX(MAX($N$62:N870),OFFSET($C$61,MATCH(M871*1.07,$M$62:$M$2061,1),0)-C871)</f>
        <v>29160</v>
      </c>
    </row>
    <row r="872" spans="2:14">
      <c r="B872" s="67">
        <v>811</v>
      </c>
      <c r="C872" s="67">
        <f t="shared" si="83"/>
        <v>291960</v>
      </c>
      <c r="D872" s="67">
        <f t="shared" si="79"/>
        <v>5</v>
      </c>
      <c r="E872" s="67">
        <f ca="1" t="shared" si="80"/>
        <v>841</v>
      </c>
      <c r="F872" s="67">
        <f ca="1" t="shared" si="81"/>
        <v>0</v>
      </c>
      <c r="G872" s="67">
        <f ca="1" t="shared" si="82"/>
        <v>0</v>
      </c>
      <c r="H872" s="67" cm="1">
        <f ca="1" t="array" ref="H872">MIN(30-SUM(I872:L872),_xlfn.XLOOKUP($D872&amp;"_"&amp;H$61,$B$23:$B$45&amp;"_"&amp;$C$23:$C$45,$D$23:$D$45)*$E872,18)</f>
        <v>12.6094863514033</v>
      </c>
      <c r="I872" s="67" cm="1">
        <f ca="1" t="array" ref="I872">MIN(30-SUM(J872:L872),6-L872,_xlfn.XLOOKUP($D872&amp;"_"&amp;I$61,$B$23:$B$45&amp;"_"&amp;$C$23:$C$45,$D$23:$D$45)*$E872)</f>
        <v>0.914229527104959</v>
      </c>
      <c r="J872" s="67" cm="1">
        <f ca="1" t="array" ref="J872">MIN(8,_xlfn.XLOOKUP($D872&amp;"_"&amp;J$61,$B$23:$B$45&amp;"_"&amp;$C$23:$C$45,$D$23:$D$45)*$E872)</f>
        <v>8</v>
      </c>
      <c r="K872" s="67" cm="1">
        <f ca="1" t="array" ref="K872">MIN(18,_xlfn.XLOOKUP($D872&amp;"_"&amp;K$61,$B$23:$B$45&amp;"_"&amp;$C$23:$C$45,$D$23:$D$45)*$E872)</f>
        <v>3.3905136485967</v>
      </c>
      <c r="L872" s="67" cm="1">
        <f ca="1" t="array" ref="L872">MIN(6,_xlfn.XLOOKUP($D872&amp;"_"&amp;L$61,$B$23:$B$45&amp;"_"&amp;$C$23:$C$45,$D$23:$D$45)*$E872)</f>
        <v>5.08577047289504</v>
      </c>
      <c r="M872" s="67" cm="1">
        <f ca="1" t="array" ref="M872">(1+SUMPRODUCT(G872:H872,OFFSET($H$49:$I$49,D872,0)))*(1+OFFSET($J$49,D872,0))^I872*(1+OFFSET($K$49,D872,0))^J872*(1+OFFSET($L$49,D872,0))^K872*(1+OFFSET($M$49,D872,0))^L872</f>
        <v>303.139523431748</v>
      </c>
      <c r="N872" s="67">
        <f ca="1">MAX(MAX($N$62:N871),OFFSET($C$61,MATCH(M872*1.07,$M$62:$M$2061,1),0)-C872)</f>
        <v>29160</v>
      </c>
    </row>
    <row r="873" spans="2:14">
      <c r="B873" s="67">
        <v>812</v>
      </c>
      <c r="C873" s="67">
        <f t="shared" si="83"/>
        <v>292320</v>
      </c>
      <c r="D873" s="67">
        <f t="shared" si="79"/>
        <v>5</v>
      </c>
      <c r="E873" s="67">
        <f ca="1" t="shared" si="80"/>
        <v>842</v>
      </c>
      <c r="F873" s="67">
        <f ca="1" t="shared" si="81"/>
        <v>0</v>
      </c>
      <c r="G873" s="67">
        <f ca="1" t="shared" si="82"/>
        <v>0</v>
      </c>
      <c r="H873" s="67" cm="1">
        <f ca="1" t="array" ref="H873">MIN(30-SUM(I873:L873),_xlfn.XLOOKUP($D873&amp;"_"&amp;H$61,$B$23:$B$45&amp;"_"&amp;$C$23:$C$45,$D$23:$D$45)*$E873,18)</f>
        <v>12.6054548250673</v>
      </c>
      <c r="I873" s="67" cm="1">
        <f ca="1" t="array" ref="I873">MIN(30-SUM(J873:L873),6-L873,_xlfn.XLOOKUP($D873&amp;"_"&amp;I$61,$B$23:$B$45&amp;"_"&amp;$C$23:$C$45,$D$23:$D$45)*$E873)</f>
        <v>0.908182237600921</v>
      </c>
      <c r="J873" s="67" cm="1">
        <f ca="1" t="array" ref="J873">MIN(8,_xlfn.XLOOKUP($D873&amp;"_"&amp;J$61,$B$23:$B$45&amp;"_"&amp;$C$23:$C$45,$D$23:$D$45)*$E873)</f>
        <v>8</v>
      </c>
      <c r="K873" s="67" cm="1">
        <f ca="1" t="array" ref="K873">MIN(18,_xlfn.XLOOKUP($D873&amp;"_"&amp;K$61,$B$23:$B$45&amp;"_"&amp;$C$23:$C$45,$D$23:$D$45)*$E873)</f>
        <v>3.39454517493272</v>
      </c>
      <c r="L873" s="67" cm="1">
        <f ca="1" t="array" ref="L873">MIN(6,_xlfn.XLOOKUP($D873&amp;"_"&amp;L$61,$B$23:$B$45&amp;"_"&amp;$C$23:$C$45,$D$23:$D$45)*$E873)</f>
        <v>5.09181776239908</v>
      </c>
      <c r="M873" s="67" cm="1">
        <f ca="1" t="array" ref="M873">(1+SUMPRODUCT(G873:H873,OFFSET($H$49:$I$49,D873,0)))*(1+OFFSET($J$49,D873,0))^I873*(1+OFFSET($K$49,D873,0))^J873*(1+OFFSET($L$49,D873,0))^K873*(1+OFFSET($M$49,D873,0))^L873</f>
        <v>303.392924540133</v>
      </c>
      <c r="N873" s="67">
        <f ca="1">MAX(MAX($N$62:N872),OFFSET($C$61,MATCH(M873*1.07,$M$62:$M$2061,1),0)-C873)</f>
        <v>29160</v>
      </c>
    </row>
    <row r="874" spans="2:14">
      <c r="B874" s="67">
        <v>813</v>
      </c>
      <c r="C874" s="67">
        <f t="shared" si="83"/>
        <v>292680</v>
      </c>
      <c r="D874" s="67">
        <f t="shared" si="79"/>
        <v>5</v>
      </c>
      <c r="E874" s="67">
        <f ca="1" t="shared" si="80"/>
        <v>843</v>
      </c>
      <c r="F874" s="67">
        <f ca="1" t="shared" si="81"/>
        <v>0</v>
      </c>
      <c r="G874" s="67">
        <f ca="1" t="shared" si="82"/>
        <v>0</v>
      </c>
      <c r="H874" s="67" cm="1">
        <f ca="1" t="array" ref="H874">MIN(30-SUM(I874:L874),_xlfn.XLOOKUP($D874&amp;"_"&amp;H$61,$B$23:$B$45&amp;"_"&amp;$C$23:$C$45,$D$23:$D$45)*$E874,18)</f>
        <v>12.6014232987313</v>
      </c>
      <c r="I874" s="67" cm="1">
        <f ca="1" t="array" ref="I874">MIN(30-SUM(J874:L874),6-L874,_xlfn.XLOOKUP($D874&amp;"_"&amp;I$61,$B$23:$B$45&amp;"_"&amp;$C$23:$C$45,$D$23:$D$45)*$E874)</f>
        <v>0.902134948096885</v>
      </c>
      <c r="J874" s="67" cm="1">
        <f ca="1" t="array" ref="J874">MIN(8,_xlfn.XLOOKUP($D874&amp;"_"&amp;J$61,$B$23:$B$45&amp;"_"&amp;$C$23:$C$45,$D$23:$D$45)*$E874)</f>
        <v>8</v>
      </c>
      <c r="K874" s="67" cm="1">
        <f ca="1" t="array" ref="K874">MIN(18,_xlfn.XLOOKUP($D874&amp;"_"&amp;K$61,$B$23:$B$45&amp;"_"&amp;$C$23:$C$45,$D$23:$D$45)*$E874)</f>
        <v>3.39857670126875</v>
      </c>
      <c r="L874" s="67" cm="1">
        <f ca="1" t="array" ref="L874">MIN(6,_xlfn.XLOOKUP($D874&amp;"_"&amp;L$61,$B$23:$B$45&amp;"_"&amp;$C$23:$C$45,$D$23:$D$45)*$E874)</f>
        <v>5.09786505190312</v>
      </c>
      <c r="M874" s="67" cm="1">
        <f ca="1" t="array" ref="M874">(1+SUMPRODUCT(G874:H874,OFFSET($H$49:$I$49,D874,0)))*(1+OFFSET($J$49,D874,0))^I874*(1+OFFSET($K$49,D874,0))^J874*(1+OFFSET($L$49,D874,0))^K874*(1+OFFSET($M$49,D874,0))^L874</f>
        <v>303.646521549615</v>
      </c>
      <c r="N874" s="67">
        <f ca="1">MAX(MAX($N$62:N873),OFFSET($C$61,MATCH(M874*1.07,$M$62:$M$2061,1),0)-C874)</f>
        <v>29160</v>
      </c>
    </row>
    <row r="875" spans="2:14">
      <c r="B875" s="67">
        <v>814</v>
      </c>
      <c r="C875" s="67">
        <f t="shared" si="83"/>
        <v>293040</v>
      </c>
      <c r="D875" s="67">
        <f t="shared" si="79"/>
        <v>5</v>
      </c>
      <c r="E875" s="67">
        <f ca="1" t="shared" si="80"/>
        <v>844</v>
      </c>
      <c r="F875" s="67">
        <f ca="1" t="shared" si="81"/>
        <v>0</v>
      </c>
      <c r="G875" s="67">
        <f ca="1" t="shared" si="82"/>
        <v>0</v>
      </c>
      <c r="H875" s="67" cm="1">
        <f ca="1" t="array" ref="H875">MIN(30-SUM(I875:L875),_xlfn.XLOOKUP($D875&amp;"_"&amp;H$61,$B$23:$B$45&amp;"_"&amp;$C$23:$C$45,$D$23:$D$45)*$E875,18)</f>
        <v>12.5973917723952</v>
      </c>
      <c r="I875" s="67" cm="1">
        <f ca="1" t="array" ref="I875">MIN(30-SUM(J875:L875),6-L875,_xlfn.XLOOKUP($D875&amp;"_"&amp;I$61,$B$23:$B$45&amp;"_"&amp;$C$23:$C$45,$D$23:$D$45)*$E875)</f>
        <v>0.896087658592847</v>
      </c>
      <c r="J875" s="67" cm="1">
        <f ca="1" t="array" ref="J875">MIN(8,_xlfn.XLOOKUP($D875&amp;"_"&amp;J$61,$B$23:$B$45&amp;"_"&amp;$C$23:$C$45,$D$23:$D$45)*$E875)</f>
        <v>8</v>
      </c>
      <c r="K875" s="67" cm="1">
        <f ca="1" t="array" ref="K875">MIN(18,_xlfn.XLOOKUP($D875&amp;"_"&amp;K$61,$B$23:$B$45&amp;"_"&amp;$C$23:$C$45,$D$23:$D$45)*$E875)</f>
        <v>3.40260822760477</v>
      </c>
      <c r="L875" s="67" cm="1">
        <f ca="1" t="array" ref="L875">MIN(6,_xlfn.XLOOKUP($D875&amp;"_"&amp;L$61,$B$23:$B$45&amp;"_"&amp;$C$23:$C$45,$D$23:$D$45)*$E875)</f>
        <v>5.10391234140715</v>
      </c>
      <c r="M875" s="67" cm="1">
        <f ca="1" t="array" ref="M875">(1+SUMPRODUCT(G875:H875,OFFSET($H$49:$I$49,D875,0)))*(1+OFFSET($J$49,D875,0))^I875*(1+OFFSET($K$49,D875,0))^J875*(1+OFFSET($L$49,D875,0))^K875*(1+OFFSET($M$49,D875,0))^L875</f>
        <v>303.900314590033</v>
      </c>
      <c r="N875" s="67">
        <f ca="1">MAX(MAX($N$62:N874),OFFSET($C$61,MATCH(M875*1.07,$M$62:$M$2061,1),0)-C875)</f>
        <v>29160</v>
      </c>
    </row>
    <row r="876" spans="2:14">
      <c r="B876" s="67">
        <v>815</v>
      </c>
      <c r="C876" s="67">
        <f t="shared" si="83"/>
        <v>293400</v>
      </c>
      <c r="D876" s="67">
        <f t="shared" si="79"/>
        <v>5</v>
      </c>
      <c r="E876" s="67">
        <f ca="1" t="shared" si="80"/>
        <v>845</v>
      </c>
      <c r="F876" s="67">
        <f ca="1" t="shared" si="81"/>
        <v>0</v>
      </c>
      <c r="G876" s="67">
        <f ca="1" t="shared" si="82"/>
        <v>0</v>
      </c>
      <c r="H876" s="67" cm="1">
        <f ca="1" t="array" ref="H876">MIN(30-SUM(I876:L876),_xlfn.XLOOKUP($D876&amp;"_"&amp;H$61,$B$23:$B$45&amp;"_"&amp;$C$23:$C$45,$D$23:$D$45)*$E876,18)</f>
        <v>12.5933602460592</v>
      </c>
      <c r="I876" s="67" cm="1">
        <f ca="1" t="array" ref="I876">MIN(30-SUM(J876:L876),6-L876,_xlfn.XLOOKUP($D876&amp;"_"&amp;I$61,$B$23:$B$45&amp;"_"&amp;$C$23:$C$45,$D$23:$D$45)*$E876)</f>
        <v>0.890040369088811</v>
      </c>
      <c r="J876" s="67" cm="1">
        <f ca="1" t="array" ref="J876">MIN(8,_xlfn.XLOOKUP($D876&amp;"_"&amp;J$61,$B$23:$B$45&amp;"_"&amp;$C$23:$C$45,$D$23:$D$45)*$E876)</f>
        <v>8</v>
      </c>
      <c r="K876" s="67" cm="1">
        <f ca="1" t="array" ref="K876">MIN(18,_xlfn.XLOOKUP($D876&amp;"_"&amp;K$61,$B$23:$B$45&amp;"_"&amp;$C$23:$C$45,$D$23:$D$45)*$E876)</f>
        <v>3.4066397539408</v>
      </c>
      <c r="L876" s="67" cm="1">
        <f ca="1" t="array" ref="L876">MIN(6,_xlfn.XLOOKUP($D876&amp;"_"&amp;L$61,$B$23:$B$45&amp;"_"&amp;$C$23:$C$45,$D$23:$D$45)*$E876)</f>
        <v>5.10995963091119</v>
      </c>
      <c r="M876" s="67" cm="1">
        <f ca="1" t="array" ref="M876">(1+SUMPRODUCT(G876:H876,OFFSET($H$49:$I$49,D876,0)))*(1+OFFSET($J$49,D876,0))^I876*(1+OFFSET($K$49,D876,0))^J876*(1+OFFSET($L$49,D876,0))^K876*(1+OFFSET($M$49,D876,0))^L876</f>
        <v>304.154303791282</v>
      </c>
      <c r="N876" s="67">
        <f ca="1">MAX(MAX($N$62:N875),OFFSET($C$61,MATCH(M876*1.07,$M$62:$M$2061,1),0)-C876)</f>
        <v>29160</v>
      </c>
    </row>
    <row r="877" spans="2:14">
      <c r="B877" s="67">
        <v>816</v>
      </c>
      <c r="C877" s="67">
        <f t="shared" si="83"/>
        <v>293760</v>
      </c>
      <c r="D877" s="67">
        <f t="shared" si="79"/>
        <v>5</v>
      </c>
      <c r="E877" s="67">
        <f ca="1" t="shared" si="80"/>
        <v>846</v>
      </c>
      <c r="F877" s="67">
        <f ca="1" t="shared" si="81"/>
        <v>0</v>
      </c>
      <c r="G877" s="67">
        <f ca="1" t="shared" si="82"/>
        <v>0</v>
      </c>
      <c r="H877" s="67" cm="1">
        <f ca="1" t="array" ref="H877">MIN(30-SUM(I877:L877),_xlfn.XLOOKUP($D877&amp;"_"&amp;H$61,$B$23:$B$45&amp;"_"&amp;$C$23:$C$45,$D$23:$D$45)*$E877,18)</f>
        <v>12.5893287197232</v>
      </c>
      <c r="I877" s="67" cm="1">
        <f ca="1" t="array" ref="I877">MIN(30-SUM(J877:L877),6-L877,_xlfn.XLOOKUP($D877&amp;"_"&amp;I$61,$B$23:$B$45&amp;"_"&amp;$C$23:$C$45,$D$23:$D$45)*$E877)</f>
        <v>0.883993079584774</v>
      </c>
      <c r="J877" s="67" cm="1">
        <f ca="1" t="array" ref="J877">MIN(8,_xlfn.XLOOKUP($D877&amp;"_"&amp;J$61,$B$23:$B$45&amp;"_"&amp;$C$23:$C$45,$D$23:$D$45)*$E877)</f>
        <v>8</v>
      </c>
      <c r="K877" s="67" cm="1">
        <f ca="1" t="array" ref="K877">MIN(18,_xlfn.XLOOKUP($D877&amp;"_"&amp;K$61,$B$23:$B$45&amp;"_"&amp;$C$23:$C$45,$D$23:$D$45)*$E877)</f>
        <v>3.41067128027682</v>
      </c>
      <c r="L877" s="67" cm="1">
        <f ca="1" t="array" ref="L877">MIN(6,_xlfn.XLOOKUP($D877&amp;"_"&amp;L$61,$B$23:$B$45&amp;"_"&amp;$C$23:$C$45,$D$23:$D$45)*$E877)</f>
        <v>5.11600692041523</v>
      </c>
      <c r="M877" s="67" cm="1">
        <f ca="1" t="array" ref="M877">(1+SUMPRODUCT(G877:H877,OFFSET($H$49:$I$49,D877,0)))*(1+OFFSET($J$49,D877,0))^I877*(1+OFFSET($K$49,D877,0))^J877*(1+OFFSET($L$49,D877,0))^K877*(1+OFFSET($M$49,D877,0))^L877</f>
        <v>304.40848928331</v>
      </c>
      <c r="N877" s="67">
        <f ca="1">MAX(MAX($N$62:N876),OFFSET($C$61,MATCH(M877*1.07,$M$62:$M$2061,1),0)-C877)</f>
        <v>29160</v>
      </c>
    </row>
    <row r="878" spans="2:14">
      <c r="B878" s="67">
        <v>817</v>
      </c>
      <c r="C878" s="67">
        <f t="shared" si="83"/>
        <v>294120</v>
      </c>
      <c r="D878" s="67">
        <f t="shared" si="79"/>
        <v>5</v>
      </c>
      <c r="E878" s="67">
        <f ca="1" t="shared" si="80"/>
        <v>847</v>
      </c>
      <c r="F878" s="67">
        <f ca="1" t="shared" si="81"/>
        <v>0</v>
      </c>
      <c r="G878" s="67">
        <f ca="1" t="shared" si="82"/>
        <v>0</v>
      </c>
      <c r="H878" s="67" cm="1">
        <f ca="1" t="array" ref="H878">MIN(30-SUM(I878:L878),_xlfn.XLOOKUP($D878&amp;"_"&amp;H$61,$B$23:$B$45&amp;"_"&amp;$C$23:$C$45,$D$23:$D$45)*$E878,18)</f>
        <v>12.5852971933872</v>
      </c>
      <c r="I878" s="67" cm="1">
        <f ca="1" t="array" ref="I878">MIN(30-SUM(J878:L878),6-L878,_xlfn.XLOOKUP($D878&amp;"_"&amp;I$61,$B$23:$B$45&amp;"_"&amp;$C$23:$C$45,$D$23:$D$45)*$E878)</f>
        <v>0.877945790080737</v>
      </c>
      <c r="J878" s="67" cm="1">
        <f ca="1" t="array" ref="J878">MIN(8,_xlfn.XLOOKUP($D878&amp;"_"&amp;J$61,$B$23:$B$45&amp;"_"&amp;$C$23:$C$45,$D$23:$D$45)*$E878)</f>
        <v>8</v>
      </c>
      <c r="K878" s="67" cm="1">
        <f ca="1" t="array" ref="K878">MIN(18,_xlfn.XLOOKUP($D878&amp;"_"&amp;K$61,$B$23:$B$45&amp;"_"&amp;$C$23:$C$45,$D$23:$D$45)*$E878)</f>
        <v>3.41470280661284</v>
      </c>
      <c r="L878" s="67" cm="1">
        <f ca="1" t="array" ref="L878">MIN(6,_xlfn.XLOOKUP($D878&amp;"_"&amp;L$61,$B$23:$B$45&amp;"_"&amp;$C$23:$C$45,$D$23:$D$45)*$E878)</f>
        <v>5.12205420991926</v>
      </c>
      <c r="M878" s="67" cm="1">
        <f ca="1" t="array" ref="M878">(1+SUMPRODUCT(G878:H878,OFFSET($H$49:$I$49,D878,0)))*(1+OFFSET($J$49,D878,0))^I878*(1+OFFSET($K$49,D878,0))^J878*(1+OFFSET($L$49,D878,0))^K878*(1+OFFSET($M$49,D878,0))^L878</f>
        <v>304.662871196119</v>
      </c>
      <c r="N878" s="67">
        <f ca="1">MAX(MAX($N$62:N877),OFFSET($C$61,MATCH(M878*1.07,$M$62:$M$2061,1),0)-C878)</f>
        <v>29160</v>
      </c>
    </row>
    <row r="879" spans="2:14">
      <c r="B879" s="67">
        <v>818</v>
      </c>
      <c r="C879" s="67">
        <f t="shared" si="83"/>
        <v>294480</v>
      </c>
      <c r="D879" s="67">
        <f t="shared" si="79"/>
        <v>5</v>
      </c>
      <c r="E879" s="67">
        <f ca="1" t="shared" si="80"/>
        <v>848</v>
      </c>
      <c r="F879" s="67">
        <f ca="1" t="shared" si="81"/>
        <v>0</v>
      </c>
      <c r="G879" s="67">
        <f ca="1" t="shared" si="82"/>
        <v>0</v>
      </c>
      <c r="H879" s="67" cm="1">
        <f ca="1" t="array" ref="H879">MIN(30-SUM(I879:L879),_xlfn.XLOOKUP($D879&amp;"_"&amp;H$61,$B$23:$B$45&amp;"_"&amp;$C$23:$C$45,$D$23:$D$45)*$E879,18)</f>
        <v>12.5812656670511</v>
      </c>
      <c r="I879" s="67" cm="1">
        <f ca="1" t="array" ref="I879">MIN(30-SUM(J879:L879),6-L879,_xlfn.XLOOKUP($D879&amp;"_"&amp;I$61,$B$23:$B$45&amp;"_"&amp;$C$23:$C$45,$D$23:$D$45)*$E879)</f>
        <v>0.8718985005767</v>
      </c>
      <c r="J879" s="67" cm="1">
        <f ca="1" t="array" ref="J879">MIN(8,_xlfn.XLOOKUP($D879&amp;"_"&amp;J$61,$B$23:$B$45&amp;"_"&amp;$C$23:$C$45,$D$23:$D$45)*$E879)</f>
        <v>8</v>
      </c>
      <c r="K879" s="67" cm="1">
        <f ca="1" t="array" ref="K879">MIN(18,_xlfn.XLOOKUP($D879&amp;"_"&amp;K$61,$B$23:$B$45&amp;"_"&amp;$C$23:$C$45,$D$23:$D$45)*$E879)</f>
        <v>3.41873433294887</v>
      </c>
      <c r="L879" s="67" cm="1">
        <f ca="1" t="array" ref="L879">MIN(6,_xlfn.XLOOKUP($D879&amp;"_"&amp;L$61,$B$23:$B$45&amp;"_"&amp;$C$23:$C$45,$D$23:$D$45)*$E879)</f>
        <v>5.1281014994233</v>
      </c>
      <c r="M879" s="67" cm="1">
        <f ca="1" t="array" ref="M879">(1+SUMPRODUCT(G879:H879,OFFSET($H$49:$I$49,D879,0)))*(1+OFFSET($J$49,D879,0))^I879*(1+OFFSET($K$49,D879,0))^J879*(1+OFFSET($L$49,D879,0))^K879*(1+OFFSET($M$49,D879,0))^L879</f>
        <v>304.917449659766</v>
      </c>
      <c r="N879" s="67">
        <f ca="1">MAX(MAX($N$62:N878),OFFSET($C$61,MATCH(M879*1.07,$M$62:$M$2061,1),0)-C879)</f>
        <v>29160</v>
      </c>
    </row>
    <row r="880" spans="2:14">
      <c r="B880" s="67">
        <v>819</v>
      </c>
      <c r="C880" s="67">
        <f t="shared" si="83"/>
        <v>294840</v>
      </c>
      <c r="D880" s="67">
        <f t="shared" si="79"/>
        <v>5</v>
      </c>
      <c r="E880" s="67">
        <f ca="1" t="shared" si="80"/>
        <v>849</v>
      </c>
      <c r="F880" s="67">
        <f ca="1" t="shared" si="81"/>
        <v>0</v>
      </c>
      <c r="G880" s="67">
        <f ca="1" t="shared" si="82"/>
        <v>0</v>
      </c>
      <c r="H880" s="67" cm="1">
        <f ca="1" t="array" ref="H880">MIN(30-SUM(I880:L880),_xlfn.XLOOKUP($D880&amp;"_"&amp;H$61,$B$23:$B$45&amp;"_"&amp;$C$23:$C$45,$D$23:$D$45)*$E880,18)</f>
        <v>12.5772341407151</v>
      </c>
      <c r="I880" s="67" cm="1">
        <f ca="1" t="array" ref="I880">MIN(30-SUM(J880:L880),6-L880,_xlfn.XLOOKUP($D880&amp;"_"&amp;I$61,$B$23:$B$45&amp;"_"&amp;$C$23:$C$45,$D$23:$D$45)*$E880)</f>
        <v>0.865851211072663</v>
      </c>
      <c r="J880" s="67" cm="1">
        <f ca="1" t="array" ref="J880">MIN(8,_xlfn.XLOOKUP($D880&amp;"_"&amp;J$61,$B$23:$B$45&amp;"_"&amp;$C$23:$C$45,$D$23:$D$45)*$E880)</f>
        <v>8</v>
      </c>
      <c r="K880" s="67" cm="1">
        <f ca="1" t="array" ref="K880">MIN(18,_xlfn.XLOOKUP($D880&amp;"_"&amp;K$61,$B$23:$B$45&amp;"_"&amp;$C$23:$C$45,$D$23:$D$45)*$E880)</f>
        <v>3.42276585928489</v>
      </c>
      <c r="L880" s="67" cm="1">
        <f ca="1" t="array" ref="L880">MIN(6,_xlfn.XLOOKUP($D880&amp;"_"&amp;L$61,$B$23:$B$45&amp;"_"&amp;$C$23:$C$45,$D$23:$D$45)*$E880)</f>
        <v>5.13414878892734</v>
      </c>
      <c r="M880" s="67" cm="1">
        <f ca="1" t="array" ref="M880">(1+SUMPRODUCT(G880:H880,OFFSET($H$49:$I$49,D880,0)))*(1+OFFSET($J$49,D880,0))^I880*(1+OFFSET($K$49,D880,0))^J880*(1+OFFSET($L$49,D880,0))^K880*(1+OFFSET($M$49,D880,0))^L880</f>
        <v>305.172224804363</v>
      </c>
      <c r="N880" s="67">
        <f ca="1">MAX(MAX($N$62:N879),OFFSET($C$61,MATCH(M880*1.07,$M$62:$M$2061,1),0)-C880)</f>
        <v>29160</v>
      </c>
    </row>
    <row r="881" spans="2:14">
      <c r="B881" s="67">
        <v>820</v>
      </c>
      <c r="C881" s="67">
        <f t="shared" si="83"/>
        <v>295200</v>
      </c>
      <c r="D881" s="67">
        <f t="shared" si="79"/>
        <v>5</v>
      </c>
      <c r="E881" s="67">
        <f ca="1" t="shared" si="80"/>
        <v>850</v>
      </c>
      <c r="F881" s="67">
        <f ca="1" t="shared" si="81"/>
        <v>0</v>
      </c>
      <c r="G881" s="67">
        <f ca="1" t="shared" si="82"/>
        <v>0</v>
      </c>
      <c r="H881" s="67" cm="1">
        <f ca="1" t="array" ref="H881">MIN(30-SUM(I881:L881),_xlfn.XLOOKUP($D881&amp;"_"&amp;H$61,$B$23:$B$45&amp;"_"&amp;$C$23:$C$45,$D$23:$D$45)*$E881,18)</f>
        <v>12.5732026143791</v>
      </c>
      <c r="I881" s="67" cm="1">
        <f ca="1" t="array" ref="I881">MIN(30-SUM(J881:L881),6-L881,_xlfn.XLOOKUP($D881&amp;"_"&amp;I$61,$B$23:$B$45&amp;"_"&amp;$C$23:$C$45,$D$23:$D$45)*$E881)</f>
        <v>0.859803921568626</v>
      </c>
      <c r="J881" s="67" cm="1">
        <f ca="1" t="array" ref="J881">MIN(8,_xlfn.XLOOKUP($D881&amp;"_"&amp;J$61,$B$23:$B$45&amp;"_"&amp;$C$23:$C$45,$D$23:$D$45)*$E881)</f>
        <v>8</v>
      </c>
      <c r="K881" s="67" cm="1">
        <f ca="1" t="array" ref="K881">MIN(18,_xlfn.XLOOKUP($D881&amp;"_"&amp;K$61,$B$23:$B$45&amp;"_"&amp;$C$23:$C$45,$D$23:$D$45)*$E881)</f>
        <v>3.42679738562092</v>
      </c>
      <c r="L881" s="67" cm="1">
        <f ca="1" t="array" ref="L881">MIN(6,_xlfn.XLOOKUP($D881&amp;"_"&amp;L$61,$B$23:$B$45&amp;"_"&amp;$C$23:$C$45,$D$23:$D$45)*$E881)</f>
        <v>5.14019607843137</v>
      </c>
      <c r="M881" s="67" cm="1">
        <f ca="1" t="array" ref="M881">(1+SUMPRODUCT(G881:H881,OFFSET($H$49:$I$49,D881,0)))*(1+OFFSET($J$49,D881,0))^I881*(1+OFFSET($K$49,D881,0))^J881*(1+OFFSET($L$49,D881,0))^K881*(1+OFFSET($M$49,D881,0))^L881</f>
        <v>305.427196760074</v>
      </c>
      <c r="N881" s="67">
        <f ca="1">MAX(MAX($N$62:N880),OFFSET($C$61,MATCH(M881*1.07,$M$62:$M$2061,1),0)-C881)</f>
        <v>29160</v>
      </c>
    </row>
    <row r="882" spans="2:14">
      <c r="B882" s="67">
        <v>821</v>
      </c>
      <c r="C882" s="67">
        <f t="shared" si="83"/>
        <v>295560</v>
      </c>
      <c r="D882" s="67">
        <f t="shared" si="79"/>
        <v>5</v>
      </c>
      <c r="E882" s="67">
        <f ca="1" t="shared" si="80"/>
        <v>851</v>
      </c>
      <c r="F882" s="67">
        <f ca="1" t="shared" si="81"/>
        <v>0</v>
      </c>
      <c r="G882" s="67">
        <f ca="1" t="shared" si="82"/>
        <v>0</v>
      </c>
      <c r="H882" s="67" cm="1">
        <f ca="1" t="array" ref="H882">MIN(30-SUM(I882:L882),_xlfn.XLOOKUP($D882&amp;"_"&amp;H$61,$B$23:$B$45&amp;"_"&amp;$C$23:$C$45,$D$23:$D$45)*$E882,18)</f>
        <v>12.5691710880431</v>
      </c>
      <c r="I882" s="67" cm="1">
        <f ca="1" t="array" ref="I882">MIN(30-SUM(J882:L882),6-L882,_xlfn.XLOOKUP($D882&amp;"_"&amp;I$61,$B$23:$B$45&amp;"_"&amp;$C$23:$C$45,$D$23:$D$45)*$E882)</f>
        <v>0.85375663206459</v>
      </c>
      <c r="J882" s="67" cm="1">
        <f ca="1" t="array" ref="J882">MIN(8,_xlfn.XLOOKUP($D882&amp;"_"&amp;J$61,$B$23:$B$45&amp;"_"&amp;$C$23:$C$45,$D$23:$D$45)*$E882)</f>
        <v>8</v>
      </c>
      <c r="K882" s="67" cm="1">
        <f ca="1" t="array" ref="K882">MIN(18,_xlfn.XLOOKUP($D882&amp;"_"&amp;K$61,$B$23:$B$45&amp;"_"&amp;$C$23:$C$45,$D$23:$D$45)*$E882)</f>
        <v>3.43082891195694</v>
      </c>
      <c r="L882" s="67" cm="1">
        <f ca="1" t="array" ref="L882">MIN(6,_xlfn.XLOOKUP($D882&amp;"_"&amp;L$61,$B$23:$B$45&amp;"_"&amp;$C$23:$C$45,$D$23:$D$45)*$E882)</f>
        <v>5.14624336793541</v>
      </c>
      <c r="M882" s="67" cm="1">
        <f ca="1" t="array" ref="M882">(1+SUMPRODUCT(G882:H882,OFFSET($H$49:$I$49,D882,0)))*(1+OFFSET($J$49,D882,0))^I882*(1+OFFSET($K$49,D882,0))^J882*(1+OFFSET($L$49,D882,0))^K882*(1+OFFSET($M$49,D882,0))^L882</f>
        <v>305.682365657118</v>
      </c>
      <c r="N882" s="67">
        <f ca="1">MAX(MAX($N$62:N881),OFFSET($C$61,MATCH(M882*1.07,$M$62:$M$2061,1),0)-C882)</f>
        <v>29160</v>
      </c>
    </row>
    <row r="883" spans="2:14">
      <c r="B883" s="67">
        <v>822</v>
      </c>
      <c r="C883" s="67">
        <f t="shared" si="83"/>
        <v>295920</v>
      </c>
      <c r="D883" s="67">
        <f t="shared" si="79"/>
        <v>5</v>
      </c>
      <c r="E883" s="67">
        <f ca="1" t="shared" si="80"/>
        <v>852</v>
      </c>
      <c r="F883" s="67">
        <f ca="1" t="shared" si="81"/>
        <v>0</v>
      </c>
      <c r="G883" s="67">
        <f ca="1" t="shared" si="82"/>
        <v>0</v>
      </c>
      <c r="H883" s="67" cm="1">
        <f ca="1" t="array" ref="H883">MIN(30-SUM(I883:L883),_xlfn.XLOOKUP($D883&amp;"_"&amp;H$61,$B$23:$B$45&amp;"_"&amp;$C$23:$C$45,$D$23:$D$45)*$E883,18)</f>
        <v>12.565139561707</v>
      </c>
      <c r="I883" s="67" cm="1">
        <f ca="1" t="array" ref="I883">MIN(30-SUM(J883:L883),6-L883,_xlfn.XLOOKUP($D883&amp;"_"&amp;I$61,$B$23:$B$45&amp;"_"&amp;$C$23:$C$45,$D$23:$D$45)*$E883)</f>
        <v>0.847709342560552</v>
      </c>
      <c r="J883" s="67" cm="1">
        <f ca="1" t="array" ref="J883">MIN(8,_xlfn.XLOOKUP($D883&amp;"_"&amp;J$61,$B$23:$B$45&amp;"_"&amp;$C$23:$C$45,$D$23:$D$45)*$E883)</f>
        <v>8</v>
      </c>
      <c r="K883" s="67" cm="1">
        <f ca="1" t="array" ref="K883">MIN(18,_xlfn.XLOOKUP($D883&amp;"_"&amp;K$61,$B$23:$B$45&amp;"_"&amp;$C$23:$C$45,$D$23:$D$45)*$E883)</f>
        <v>3.43486043829297</v>
      </c>
      <c r="L883" s="67" cm="1">
        <f ca="1" t="array" ref="L883">MIN(6,_xlfn.XLOOKUP($D883&amp;"_"&amp;L$61,$B$23:$B$45&amp;"_"&amp;$C$23:$C$45,$D$23:$D$45)*$E883)</f>
        <v>5.15229065743945</v>
      </c>
      <c r="M883" s="67" cm="1">
        <f ca="1" t="array" ref="M883">(1+SUMPRODUCT(G883:H883,OFFSET($H$49:$I$49,D883,0)))*(1+OFFSET($J$49,D883,0))^I883*(1+OFFSET($K$49,D883,0))^J883*(1+OFFSET($L$49,D883,0))^K883*(1+OFFSET($M$49,D883,0))^L883</f>
        <v>305.937731625771</v>
      </c>
      <c r="N883" s="67">
        <f ca="1">MAX(MAX($N$62:N882),OFFSET($C$61,MATCH(M883*1.07,$M$62:$M$2061,1),0)-C883)</f>
        <v>29160</v>
      </c>
    </row>
    <row r="884" spans="2:14">
      <c r="B884" s="67">
        <v>823</v>
      </c>
      <c r="C884" s="67">
        <f t="shared" si="83"/>
        <v>296280</v>
      </c>
      <c r="D884" s="67">
        <f t="shared" si="79"/>
        <v>5</v>
      </c>
      <c r="E884" s="67">
        <f ca="1" t="shared" si="80"/>
        <v>853</v>
      </c>
      <c r="F884" s="67">
        <f ca="1" t="shared" si="81"/>
        <v>0</v>
      </c>
      <c r="G884" s="67">
        <f ca="1" t="shared" si="82"/>
        <v>0</v>
      </c>
      <c r="H884" s="67" cm="1">
        <f ca="1" t="array" ref="H884">MIN(30-SUM(I884:L884),_xlfn.XLOOKUP($D884&amp;"_"&amp;H$61,$B$23:$B$45&amp;"_"&amp;$C$23:$C$45,$D$23:$D$45)*$E884,18)</f>
        <v>12.561108035371</v>
      </c>
      <c r="I884" s="67" cm="1">
        <f ca="1" t="array" ref="I884">MIN(30-SUM(J884:L884),6-L884,_xlfn.XLOOKUP($D884&amp;"_"&amp;I$61,$B$23:$B$45&amp;"_"&amp;$C$23:$C$45,$D$23:$D$45)*$E884)</f>
        <v>0.841662053056516</v>
      </c>
      <c r="J884" s="67" cm="1">
        <f ca="1" t="array" ref="J884">MIN(8,_xlfn.XLOOKUP($D884&amp;"_"&amp;J$61,$B$23:$B$45&amp;"_"&amp;$C$23:$C$45,$D$23:$D$45)*$E884)</f>
        <v>8</v>
      </c>
      <c r="K884" s="67" cm="1">
        <f ca="1" t="array" ref="K884">MIN(18,_xlfn.XLOOKUP($D884&amp;"_"&amp;K$61,$B$23:$B$45&amp;"_"&amp;$C$23:$C$45,$D$23:$D$45)*$E884)</f>
        <v>3.43889196462899</v>
      </c>
      <c r="L884" s="67" cm="1">
        <f ca="1" t="array" ref="L884">MIN(6,_xlfn.XLOOKUP($D884&amp;"_"&amp;L$61,$B$23:$B$45&amp;"_"&amp;$C$23:$C$45,$D$23:$D$45)*$E884)</f>
        <v>5.15833794694348</v>
      </c>
      <c r="M884" s="67" cm="1">
        <f ca="1" t="array" ref="M884">(1+SUMPRODUCT(G884:H884,OFFSET($H$49:$I$49,D884,0)))*(1+OFFSET($J$49,D884,0))^I884*(1+OFFSET($K$49,D884,0))^J884*(1+OFFSET($L$49,D884,0))^K884*(1+OFFSET($M$49,D884,0))^L884</f>
        <v>306.193294796358</v>
      </c>
      <c r="N884" s="67">
        <f ca="1">MAX(MAX($N$62:N883),OFFSET($C$61,MATCH(M884*1.07,$M$62:$M$2061,1),0)-C884)</f>
        <v>29160</v>
      </c>
    </row>
    <row r="885" spans="2:14">
      <c r="B885" s="67">
        <v>824</v>
      </c>
      <c r="C885" s="67">
        <f t="shared" si="83"/>
        <v>296640</v>
      </c>
      <c r="D885" s="67">
        <f t="shared" si="79"/>
        <v>5</v>
      </c>
      <c r="E885" s="67">
        <f ca="1" t="shared" si="80"/>
        <v>854</v>
      </c>
      <c r="F885" s="67">
        <f ca="1" t="shared" si="81"/>
        <v>0</v>
      </c>
      <c r="G885" s="67">
        <f ca="1" t="shared" si="82"/>
        <v>0</v>
      </c>
      <c r="H885" s="67" cm="1">
        <f ca="1" t="array" ref="H885">MIN(30-SUM(I885:L885),_xlfn.XLOOKUP($D885&amp;"_"&amp;H$61,$B$23:$B$45&amp;"_"&amp;$C$23:$C$45,$D$23:$D$45)*$E885,18)</f>
        <v>12.557076509035</v>
      </c>
      <c r="I885" s="67" cm="1">
        <f ca="1" t="array" ref="I885">MIN(30-SUM(J885:L885),6-L885,_xlfn.XLOOKUP($D885&amp;"_"&amp;I$61,$B$23:$B$45&amp;"_"&amp;$C$23:$C$45,$D$23:$D$45)*$E885)</f>
        <v>0.835614763552479</v>
      </c>
      <c r="J885" s="67" cm="1">
        <f ca="1" t="array" ref="J885">MIN(8,_xlfn.XLOOKUP($D885&amp;"_"&amp;J$61,$B$23:$B$45&amp;"_"&amp;$C$23:$C$45,$D$23:$D$45)*$E885)</f>
        <v>8</v>
      </c>
      <c r="K885" s="67" cm="1">
        <f ca="1" t="array" ref="K885">MIN(18,_xlfn.XLOOKUP($D885&amp;"_"&amp;K$61,$B$23:$B$45&amp;"_"&amp;$C$23:$C$45,$D$23:$D$45)*$E885)</f>
        <v>3.44292349096502</v>
      </c>
      <c r="L885" s="67" cm="1">
        <f ca="1" t="array" ref="L885">MIN(6,_xlfn.XLOOKUP($D885&amp;"_"&amp;L$61,$B$23:$B$45&amp;"_"&amp;$C$23:$C$45,$D$23:$D$45)*$E885)</f>
        <v>5.16438523644752</v>
      </c>
      <c r="M885" s="67" cm="1">
        <f ca="1" t="array" ref="M885">(1+SUMPRODUCT(G885:H885,OFFSET($H$49:$I$49,D885,0)))*(1+OFFSET($J$49,D885,0))^I885*(1+OFFSET($K$49,D885,0))^J885*(1+OFFSET($L$49,D885,0))^K885*(1+OFFSET($M$49,D885,0))^L885</f>
        <v>306.449055299263</v>
      </c>
      <c r="N885" s="67">
        <f ca="1">MAX(MAX($N$62:N884),OFFSET($C$61,MATCH(M885*1.07,$M$62:$M$2061,1),0)-C885)</f>
        <v>29160</v>
      </c>
    </row>
    <row r="886" spans="2:14">
      <c r="B886" s="67">
        <v>825</v>
      </c>
      <c r="C886" s="67">
        <f t="shared" si="83"/>
        <v>297000</v>
      </c>
      <c r="D886" s="67">
        <f t="shared" si="79"/>
        <v>5</v>
      </c>
      <c r="E886" s="67">
        <f ca="1" t="shared" si="80"/>
        <v>855</v>
      </c>
      <c r="F886" s="67">
        <f ca="1" t="shared" si="81"/>
        <v>0</v>
      </c>
      <c r="G886" s="67">
        <f ca="1" t="shared" si="82"/>
        <v>0</v>
      </c>
      <c r="H886" s="67" cm="1">
        <f ca="1" t="array" ref="H886">MIN(30-SUM(I886:L886),_xlfn.XLOOKUP($D886&amp;"_"&amp;H$61,$B$23:$B$45&amp;"_"&amp;$C$23:$C$45,$D$23:$D$45)*$E886,18)</f>
        <v>12.553044982699</v>
      </c>
      <c r="I886" s="67" cm="1">
        <f ca="1" t="array" ref="I886">MIN(30-SUM(J886:L886),6-L886,_xlfn.XLOOKUP($D886&amp;"_"&amp;I$61,$B$23:$B$45&amp;"_"&amp;$C$23:$C$45,$D$23:$D$45)*$E886)</f>
        <v>0.829567474048441</v>
      </c>
      <c r="J886" s="67" cm="1">
        <f ca="1" t="array" ref="J886">MIN(8,_xlfn.XLOOKUP($D886&amp;"_"&amp;J$61,$B$23:$B$45&amp;"_"&amp;$C$23:$C$45,$D$23:$D$45)*$E886)</f>
        <v>8</v>
      </c>
      <c r="K886" s="67" cm="1">
        <f ca="1" t="array" ref="K886">MIN(18,_xlfn.XLOOKUP($D886&amp;"_"&amp;K$61,$B$23:$B$45&amp;"_"&amp;$C$23:$C$45,$D$23:$D$45)*$E886)</f>
        <v>3.44695501730104</v>
      </c>
      <c r="L886" s="67" cm="1">
        <f ca="1" t="array" ref="L886">MIN(6,_xlfn.XLOOKUP($D886&amp;"_"&amp;L$61,$B$23:$B$45&amp;"_"&amp;$C$23:$C$45,$D$23:$D$45)*$E886)</f>
        <v>5.17043252595156</v>
      </c>
      <c r="M886" s="67" cm="1">
        <f ca="1" t="array" ref="M886">(1+SUMPRODUCT(G886:H886,OFFSET($H$49:$I$49,D886,0)))*(1+OFFSET($J$49,D886,0))^I886*(1+OFFSET($K$49,D886,0))^J886*(1+OFFSET($L$49,D886,0))^K886*(1+OFFSET($M$49,D886,0))^L886</f>
        <v>306.70501326492</v>
      </c>
      <c r="N886" s="67">
        <f ca="1">MAX(MAX($N$62:N885),OFFSET($C$61,MATCH(M886*1.07,$M$62:$M$2061,1),0)-C886)</f>
        <v>29160</v>
      </c>
    </row>
    <row r="887" spans="2:14">
      <c r="B887" s="67">
        <v>826</v>
      </c>
      <c r="C887" s="67">
        <f t="shared" si="83"/>
        <v>297360</v>
      </c>
      <c r="D887" s="67">
        <f t="shared" si="79"/>
        <v>5</v>
      </c>
      <c r="E887" s="67">
        <f ca="1" t="shared" si="80"/>
        <v>856</v>
      </c>
      <c r="F887" s="67">
        <f ca="1" t="shared" si="81"/>
        <v>0</v>
      </c>
      <c r="G887" s="67">
        <f ca="1" t="shared" si="82"/>
        <v>0</v>
      </c>
      <c r="H887" s="67" cm="1">
        <f ca="1" t="array" ref="H887">MIN(30-SUM(I887:L887),_xlfn.XLOOKUP($D887&amp;"_"&amp;H$61,$B$23:$B$45&amp;"_"&amp;$C$23:$C$45,$D$23:$D$45)*$E887,18)</f>
        <v>12.5490134563629</v>
      </c>
      <c r="I887" s="67" cm="1">
        <f ca="1" t="array" ref="I887">MIN(30-SUM(J887:L887),6-L887,_xlfn.XLOOKUP($D887&amp;"_"&amp;I$61,$B$23:$B$45&amp;"_"&amp;$C$23:$C$45,$D$23:$D$45)*$E887)</f>
        <v>0.823520184544405</v>
      </c>
      <c r="J887" s="67" cm="1">
        <f ca="1" t="array" ref="J887">MIN(8,_xlfn.XLOOKUP($D887&amp;"_"&amp;J$61,$B$23:$B$45&amp;"_"&amp;$C$23:$C$45,$D$23:$D$45)*$E887)</f>
        <v>8</v>
      </c>
      <c r="K887" s="67" cm="1">
        <f ca="1" t="array" ref="K887">MIN(18,_xlfn.XLOOKUP($D887&amp;"_"&amp;K$61,$B$23:$B$45&amp;"_"&amp;$C$23:$C$45,$D$23:$D$45)*$E887)</f>
        <v>3.45098654363707</v>
      </c>
      <c r="L887" s="67" cm="1">
        <f ca="1" t="array" ref="L887">MIN(6,_xlfn.XLOOKUP($D887&amp;"_"&amp;L$61,$B$23:$B$45&amp;"_"&amp;$C$23:$C$45,$D$23:$D$45)*$E887)</f>
        <v>5.1764798154556</v>
      </c>
      <c r="M887" s="67" cm="1">
        <f ca="1" t="array" ref="M887">(1+SUMPRODUCT(G887:H887,OFFSET($H$49:$I$49,D887,0)))*(1+OFFSET($J$49,D887,0))^I887*(1+OFFSET($K$49,D887,0))^J887*(1+OFFSET($L$49,D887,0))^K887*(1+OFFSET($M$49,D887,0))^L887</f>
        <v>306.961168823819</v>
      </c>
      <c r="N887" s="67">
        <f ca="1">MAX(MAX($N$62:N886),OFFSET($C$61,MATCH(M887*1.07,$M$62:$M$2061,1),0)-C887)</f>
        <v>29160</v>
      </c>
    </row>
    <row r="888" spans="2:14">
      <c r="B888" s="67">
        <v>827</v>
      </c>
      <c r="C888" s="67">
        <f t="shared" si="83"/>
        <v>297720</v>
      </c>
      <c r="D888" s="67">
        <f t="shared" si="79"/>
        <v>5</v>
      </c>
      <c r="E888" s="67">
        <f ca="1" t="shared" si="80"/>
        <v>857</v>
      </c>
      <c r="F888" s="67">
        <f ca="1" t="shared" si="81"/>
        <v>0</v>
      </c>
      <c r="G888" s="67">
        <f ca="1" t="shared" si="82"/>
        <v>0</v>
      </c>
      <c r="H888" s="67" cm="1">
        <f ca="1" t="array" ref="H888">MIN(30-SUM(I888:L888),_xlfn.XLOOKUP($D888&amp;"_"&amp;H$61,$B$23:$B$45&amp;"_"&amp;$C$23:$C$45,$D$23:$D$45)*$E888,18)</f>
        <v>12.5449819300269</v>
      </c>
      <c r="I888" s="67" cm="1">
        <f ca="1" t="array" ref="I888">MIN(30-SUM(J888:L888),6-L888,_xlfn.XLOOKUP($D888&amp;"_"&amp;I$61,$B$23:$B$45&amp;"_"&amp;$C$23:$C$45,$D$23:$D$45)*$E888)</f>
        <v>0.817472895040368</v>
      </c>
      <c r="J888" s="67" cm="1">
        <f ca="1" t="array" ref="J888">MIN(8,_xlfn.XLOOKUP($D888&amp;"_"&amp;J$61,$B$23:$B$45&amp;"_"&amp;$C$23:$C$45,$D$23:$D$45)*$E888)</f>
        <v>8</v>
      </c>
      <c r="K888" s="67" cm="1">
        <f ca="1" t="array" ref="K888">MIN(18,_xlfn.XLOOKUP($D888&amp;"_"&amp;K$61,$B$23:$B$45&amp;"_"&amp;$C$23:$C$45,$D$23:$D$45)*$E888)</f>
        <v>3.45501806997309</v>
      </c>
      <c r="L888" s="67" cm="1">
        <f ca="1" t="array" ref="L888">MIN(6,_xlfn.XLOOKUP($D888&amp;"_"&amp;L$61,$B$23:$B$45&amp;"_"&amp;$C$23:$C$45,$D$23:$D$45)*$E888)</f>
        <v>5.18252710495963</v>
      </c>
      <c r="M888" s="67" cm="1">
        <f ca="1" t="array" ref="M888">(1+SUMPRODUCT(G888:H888,OFFSET($H$49:$I$49,D888,0)))*(1+OFFSET($J$49,D888,0))^I888*(1+OFFSET($K$49,D888,0))^J888*(1+OFFSET($L$49,D888,0))^K888*(1+OFFSET($M$49,D888,0))^L888</f>
        <v>307.217522106503</v>
      </c>
      <c r="N888" s="67">
        <f ca="1">MAX(MAX($N$62:N887),OFFSET($C$61,MATCH(M888*1.07,$M$62:$M$2061,1),0)-C888)</f>
        <v>29160</v>
      </c>
    </row>
    <row r="889" spans="2:14">
      <c r="B889" s="67">
        <v>828</v>
      </c>
      <c r="C889" s="67">
        <f t="shared" si="83"/>
        <v>298080</v>
      </c>
      <c r="D889" s="67">
        <f t="shared" si="79"/>
        <v>5</v>
      </c>
      <c r="E889" s="67">
        <f ca="1" t="shared" si="80"/>
        <v>858</v>
      </c>
      <c r="F889" s="67">
        <f ca="1" t="shared" si="81"/>
        <v>0</v>
      </c>
      <c r="G889" s="67">
        <f ca="1" t="shared" si="82"/>
        <v>0</v>
      </c>
      <c r="H889" s="67" cm="1">
        <f ca="1" t="array" ref="H889">MIN(30-SUM(I889:L889),_xlfn.XLOOKUP($D889&amp;"_"&amp;H$61,$B$23:$B$45&amp;"_"&amp;$C$23:$C$45,$D$23:$D$45)*$E889,18)</f>
        <v>12.5409504036909</v>
      </c>
      <c r="I889" s="67" cm="1">
        <f ca="1" t="array" ref="I889">MIN(30-SUM(J889:L889),6-L889,_xlfn.XLOOKUP($D889&amp;"_"&amp;I$61,$B$23:$B$45&amp;"_"&amp;$C$23:$C$45,$D$23:$D$45)*$E889)</f>
        <v>0.811425605536331</v>
      </c>
      <c r="J889" s="67" cm="1">
        <f ca="1" t="array" ref="J889">MIN(8,_xlfn.XLOOKUP($D889&amp;"_"&amp;J$61,$B$23:$B$45&amp;"_"&amp;$C$23:$C$45,$D$23:$D$45)*$E889)</f>
        <v>8</v>
      </c>
      <c r="K889" s="67" cm="1">
        <f ca="1" t="array" ref="K889">MIN(18,_xlfn.XLOOKUP($D889&amp;"_"&amp;K$61,$B$23:$B$45&amp;"_"&amp;$C$23:$C$45,$D$23:$D$45)*$E889)</f>
        <v>3.45904959630912</v>
      </c>
      <c r="L889" s="67" cm="1">
        <f ca="1" t="array" ref="L889">MIN(6,_xlfn.XLOOKUP($D889&amp;"_"&amp;L$61,$B$23:$B$45&amp;"_"&amp;$C$23:$C$45,$D$23:$D$45)*$E889)</f>
        <v>5.18857439446367</v>
      </c>
      <c r="M889" s="67" cm="1">
        <f ca="1" t="array" ref="M889">(1+SUMPRODUCT(G889:H889,OFFSET($H$49:$I$49,D889,0)))*(1+OFFSET($J$49,D889,0))^I889*(1+OFFSET($K$49,D889,0))^J889*(1+OFFSET($L$49,D889,0))^K889*(1+OFFSET($M$49,D889,0))^L889</f>
        <v>307.474073243572</v>
      </c>
      <c r="N889" s="67">
        <f ca="1">MAX(MAX($N$62:N888),OFFSET($C$61,MATCH(M889*1.07,$M$62:$M$2061,1),0)-C889)</f>
        <v>29160</v>
      </c>
    </row>
    <row r="890" spans="2:14">
      <c r="B890" s="67">
        <v>829</v>
      </c>
      <c r="C890" s="67">
        <f t="shared" si="83"/>
        <v>298440</v>
      </c>
      <c r="D890" s="67">
        <f t="shared" si="79"/>
        <v>5</v>
      </c>
      <c r="E890" s="67">
        <f ca="1" t="shared" si="80"/>
        <v>859</v>
      </c>
      <c r="F890" s="67">
        <f ca="1" t="shared" si="81"/>
        <v>0</v>
      </c>
      <c r="G890" s="67">
        <f ca="1" t="shared" si="82"/>
        <v>0</v>
      </c>
      <c r="H890" s="67" cm="1">
        <f ca="1" t="array" ref="H890">MIN(30-SUM(I890:L890),_xlfn.XLOOKUP($D890&amp;"_"&amp;H$61,$B$23:$B$45&amp;"_"&amp;$C$23:$C$45,$D$23:$D$45)*$E890,18)</f>
        <v>12.5369188773549</v>
      </c>
      <c r="I890" s="67" cm="1">
        <f ca="1" t="array" ref="I890">MIN(30-SUM(J890:L890),6-L890,_xlfn.XLOOKUP($D890&amp;"_"&amp;I$61,$B$23:$B$45&amp;"_"&amp;$C$23:$C$45,$D$23:$D$45)*$E890)</f>
        <v>0.805378316032294</v>
      </c>
      <c r="J890" s="67" cm="1">
        <f ca="1" t="array" ref="J890">MIN(8,_xlfn.XLOOKUP($D890&amp;"_"&amp;J$61,$B$23:$B$45&amp;"_"&amp;$C$23:$C$45,$D$23:$D$45)*$E890)</f>
        <v>8</v>
      </c>
      <c r="K890" s="67" cm="1">
        <f ca="1" t="array" ref="K890">MIN(18,_xlfn.XLOOKUP($D890&amp;"_"&amp;K$61,$B$23:$B$45&amp;"_"&amp;$C$23:$C$45,$D$23:$D$45)*$E890)</f>
        <v>3.46308112264514</v>
      </c>
      <c r="L890" s="67" cm="1">
        <f ca="1" t="array" ref="L890">MIN(6,_xlfn.XLOOKUP($D890&amp;"_"&amp;L$61,$B$23:$B$45&amp;"_"&amp;$C$23:$C$45,$D$23:$D$45)*$E890)</f>
        <v>5.19462168396771</v>
      </c>
      <c r="M890" s="67" cm="1">
        <f ca="1" t="array" ref="M890">(1+SUMPRODUCT(G890:H890,OFFSET($H$49:$I$49,D890,0)))*(1+OFFSET($J$49,D890,0))^I890*(1+OFFSET($K$49,D890,0))^J890*(1+OFFSET($L$49,D890,0))^K890*(1+OFFSET($M$49,D890,0))^L890</f>
        <v>307.730822365675</v>
      </c>
      <c r="N890" s="67">
        <f ca="1">MAX(MAX($N$62:N889),OFFSET($C$61,MATCH(M890*1.07,$M$62:$M$2061,1),0)-C890)</f>
        <v>29160</v>
      </c>
    </row>
    <row r="891" spans="2:14">
      <c r="B891" s="67">
        <v>830</v>
      </c>
      <c r="C891" s="67">
        <f t="shared" si="83"/>
        <v>298800</v>
      </c>
      <c r="D891" s="67">
        <f t="shared" si="79"/>
        <v>5</v>
      </c>
      <c r="E891" s="67">
        <f ca="1" t="shared" si="80"/>
        <v>860</v>
      </c>
      <c r="F891" s="67">
        <f ca="1" t="shared" si="81"/>
        <v>0</v>
      </c>
      <c r="G891" s="67">
        <f ca="1" t="shared" si="82"/>
        <v>0</v>
      </c>
      <c r="H891" s="67" cm="1">
        <f ca="1" t="array" ref="H891">MIN(30-SUM(I891:L891),_xlfn.XLOOKUP($D891&amp;"_"&amp;H$61,$B$23:$B$45&amp;"_"&amp;$C$23:$C$45,$D$23:$D$45)*$E891,18)</f>
        <v>12.5328873510188</v>
      </c>
      <c r="I891" s="67" cm="1">
        <f ca="1" t="array" ref="I891">MIN(30-SUM(J891:L891),6-L891,_xlfn.XLOOKUP($D891&amp;"_"&amp;I$61,$B$23:$B$45&amp;"_"&amp;$C$23:$C$45,$D$23:$D$45)*$E891)</f>
        <v>0.799331026528257</v>
      </c>
      <c r="J891" s="67" cm="1">
        <f ca="1" t="array" ref="J891">MIN(8,_xlfn.XLOOKUP($D891&amp;"_"&amp;J$61,$B$23:$B$45&amp;"_"&amp;$C$23:$C$45,$D$23:$D$45)*$E891)</f>
        <v>8</v>
      </c>
      <c r="K891" s="67" cm="1">
        <f ca="1" t="array" ref="K891">MIN(18,_xlfn.XLOOKUP($D891&amp;"_"&amp;K$61,$B$23:$B$45&amp;"_"&amp;$C$23:$C$45,$D$23:$D$45)*$E891)</f>
        <v>3.46711264898116</v>
      </c>
      <c r="L891" s="67" cm="1">
        <f ca="1" t="array" ref="L891">MIN(6,_xlfn.XLOOKUP($D891&amp;"_"&amp;L$61,$B$23:$B$45&amp;"_"&amp;$C$23:$C$45,$D$23:$D$45)*$E891)</f>
        <v>5.20066897347174</v>
      </c>
      <c r="M891" s="67" cm="1">
        <f ca="1" t="array" ref="M891">(1+SUMPRODUCT(G891:H891,OFFSET($H$49:$I$49,D891,0)))*(1+OFFSET($J$49,D891,0))^I891*(1+OFFSET($K$49,D891,0))^J891*(1+OFFSET($L$49,D891,0))^K891*(1+OFFSET($M$49,D891,0))^L891</f>
        <v>307.987769603518</v>
      </c>
      <c r="N891" s="67">
        <f ca="1">MAX(MAX($N$62:N890),OFFSET($C$61,MATCH(M891*1.07,$M$62:$M$2061,1),0)-C891)</f>
        <v>29160</v>
      </c>
    </row>
    <row r="892" spans="2:14">
      <c r="B892" s="67">
        <v>831</v>
      </c>
      <c r="C892" s="67">
        <f t="shared" si="83"/>
        <v>299160</v>
      </c>
      <c r="D892" s="67">
        <f t="shared" si="79"/>
        <v>5</v>
      </c>
      <c r="E892" s="67">
        <f ca="1" t="shared" si="80"/>
        <v>861</v>
      </c>
      <c r="F892" s="67">
        <f ca="1" t="shared" si="81"/>
        <v>0</v>
      </c>
      <c r="G892" s="67">
        <f ca="1" t="shared" si="82"/>
        <v>0</v>
      </c>
      <c r="H892" s="67" cm="1">
        <f ca="1" t="array" ref="H892">MIN(30-SUM(I892:L892),_xlfn.XLOOKUP($D892&amp;"_"&amp;H$61,$B$23:$B$45&amp;"_"&amp;$C$23:$C$45,$D$23:$D$45)*$E892,18)</f>
        <v>12.5288558246828</v>
      </c>
      <c r="I892" s="67" cm="1">
        <f ca="1" t="array" ref="I892">MIN(30-SUM(J892:L892),6-L892,_xlfn.XLOOKUP($D892&amp;"_"&amp;I$61,$B$23:$B$45&amp;"_"&amp;$C$23:$C$45,$D$23:$D$45)*$E892)</f>
        <v>0.79328373702422</v>
      </c>
      <c r="J892" s="67" cm="1">
        <f ca="1" t="array" ref="J892">MIN(8,_xlfn.XLOOKUP($D892&amp;"_"&amp;J$61,$B$23:$B$45&amp;"_"&amp;$C$23:$C$45,$D$23:$D$45)*$E892)</f>
        <v>8</v>
      </c>
      <c r="K892" s="67" cm="1">
        <f ca="1" t="array" ref="K892">MIN(18,_xlfn.XLOOKUP($D892&amp;"_"&amp;K$61,$B$23:$B$45&amp;"_"&amp;$C$23:$C$45,$D$23:$D$45)*$E892)</f>
        <v>3.47114417531719</v>
      </c>
      <c r="L892" s="67" cm="1">
        <f ca="1" t="array" ref="L892">MIN(6,_xlfn.XLOOKUP($D892&amp;"_"&amp;L$61,$B$23:$B$45&amp;"_"&amp;$C$23:$C$45,$D$23:$D$45)*$E892)</f>
        <v>5.20671626297578</v>
      </c>
      <c r="M892" s="67" cm="1">
        <f ca="1" t="array" ref="M892">(1+SUMPRODUCT(G892:H892,OFFSET($H$49:$I$49,D892,0)))*(1+OFFSET($J$49,D892,0))^I892*(1+OFFSET($K$49,D892,0))^J892*(1+OFFSET($L$49,D892,0))^K892*(1+OFFSET($M$49,D892,0))^L892</f>
        <v>308.244915087861</v>
      </c>
      <c r="N892" s="67">
        <f ca="1">MAX(MAX($N$62:N891),OFFSET($C$61,MATCH(M892*1.07,$M$62:$M$2061,1),0)-C892)</f>
        <v>29160</v>
      </c>
    </row>
    <row r="893" spans="2:14">
      <c r="B893" s="67">
        <v>832</v>
      </c>
      <c r="C893" s="67">
        <f t="shared" si="83"/>
        <v>299520</v>
      </c>
      <c r="D893" s="67">
        <f t="shared" si="79"/>
        <v>5</v>
      </c>
      <c r="E893" s="67">
        <f ca="1" t="shared" si="80"/>
        <v>862</v>
      </c>
      <c r="F893" s="67">
        <f ca="1" t="shared" si="81"/>
        <v>0</v>
      </c>
      <c r="G893" s="67">
        <f ca="1" t="shared" si="82"/>
        <v>0</v>
      </c>
      <c r="H893" s="67" cm="1">
        <f ca="1" t="array" ref="H893">MIN(30-SUM(I893:L893),_xlfn.XLOOKUP($D893&amp;"_"&amp;H$61,$B$23:$B$45&amp;"_"&amp;$C$23:$C$45,$D$23:$D$45)*$E893,18)</f>
        <v>12.5248242983468</v>
      </c>
      <c r="I893" s="67" cm="1">
        <f ca="1" t="array" ref="I893">MIN(30-SUM(J893:L893),6-L893,_xlfn.XLOOKUP($D893&amp;"_"&amp;I$61,$B$23:$B$45&amp;"_"&amp;$C$23:$C$45,$D$23:$D$45)*$E893)</f>
        <v>0.787236447520184</v>
      </c>
      <c r="J893" s="67" cm="1">
        <f ca="1" t="array" ref="J893">MIN(8,_xlfn.XLOOKUP($D893&amp;"_"&amp;J$61,$B$23:$B$45&amp;"_"&amp;$C$23:$C$45,$D$23:$D$45)*$E893)</f>
        <v>8</v>
      </c>
      <c r="K893" s="67" cm="1">
        <f ca="1" t="array" ref="K893">MIN(18,_xlfn.XLOOKUP($D893&amp;"_"&amp;K$61,$B$23:$B$45&amp;"_"&amp;$C$23:$C$45,$D$23:$D$45)*$E893)</f>
        <v>3.47517570165321</v>
      </c>
      <c r="L893" s="67" cm="1">
        <f ca="1" t="array" ref="L893">MIN(6,_xlfn.XLOOKUP($D893&amp;"_"&amp;L$61,$B$23:$B$45&amp;"_"&amp;$C$23:$C$45,$D$23:$D$45)*$E893)</f>
        <v>5.21276355247982</v>
      </c>
      <c r="M893" s="67" cm="1">
        <f ca="1" t="array" ref="M893">(1+SUMPRODUCT(G893:H893,OFFSET($H$49:$I$49,D893,0)))*(1+OFFSET($J$49,D893,0))^I893*(1+OFFSET($K$49,D893,0))^J893*(1+OFFSET($L$49,D893,0))^K893*(1+OFFSET($M$49,D893,0))^L893</f>
        <v>308.502258949516</v>
      </c>
      <c r="N893" s="67">
        <f ca="1">MAX(MAX($N$62:N892),OFFSET($C$61,MATCH(M893*1.07,$M$62:$M$2061,1),0)-C893)</f>
        <v>29160</v>
      </c>
    </row>
    <row r="894" spans="2:14">
      <c r="B894" s="67">
        <v>833</v>
      </c>
      <c r="C894" s="67">
        <f t="shared" si="83"/>
        <v>299880</v>
      </c>
      <c r="D894" s="67">
        <f t="shared" si="79"/>
        <v>5</v>
      </c>
      <c r="E894" s="67">
        <f ca="1" t="shared" si="80"/>
        <v>863</v>
      </c>
      <c r="F894" s="67">
        <f ca="1" t="shared" si="81"/>
        <v>0</v>
      </c>
      <c r="G894" s="67">
        <f ca="1" t="shared" si="82"/>
        <v>0</v>
      </c>
      <c r="H894" s="67" cm="1">
        <f ca="1" t="array" ref="H894">MIN(30-SUM(I894:L894),_xlfn.XLOOKUP($D894&amp;"_"&amp;H$61,$B$23:$B$45&amp;"_"&amp;$C$23:$C$45,$D$23:$D$45)*$E894,18)</f>
        <v>12.5207927720108</v>
      </c>
      <c r="I894" s="67" cm="1">
        <f ca="1" t="array" ref="I894">MIN(30-SUM(J894:L894),6-L894,_xlfn.XLOOKUP($D894&amp;"_"&amp;I$61,$B$23:$B$45&amp;"_"&amp;$C$23:$C$45,$D$23:$D$45)*$E894)</f>
        <v>0.781189158016146</v>
      </c>
      <c r="J894" s="67" cm="1">
        <f ca="1" t="array" ref="J894">MIN(8,_xlfn.XLOOKUP($D894&amp;"_"&amp;J$61,$B$23:$B$45&amp;"_"&amp;$C$23:$C$45,$D$23:$D$45)*$E894)</f>
        <v>8</v>
      </c>
      <c r="K894" s="67" cm="1">
        <f ca="1" t="array" ref="K894">MIN(18,_xlfn.XLOOKUP($D894&amp;"_"&amp;K$61,$B$23:$B$45&amp;"_"&amp;$C$23:$C$45,$D$23:$D$45)*$E894)</f>
        <v>3.47920722798924</v>
      </c>
      <c r="L894" s="67" cm="1">
        <f ca="1" t="array" ref="L894">MIN(6,_xlfn.XLOOKUP($D894&amp;"_"&amp;L$61,$B$23:$B$45&amp;"_"&amp;$C$23:$C$45,$D$23:$D$45)*$E894)</f>
        <v>5.21881084198385</v>
      </c>
      <c r="M894" s="67" cm="1">
        <f ca="1" t="array" ref="M894">(1+SUMPRODUCT(G894:H894,OFFSET($H$49:$I$49,D894,0)))*(1+OFFSET($J$49,D894,0))^I894*(1+OFFSET($K$49,D894,0))^J894*(1+OFFSET($L$49,D894,0))^K894*(1+OFFSET($M$49,D894,0))^L894</f>
        <v>308.759801319351</v>
      </c>
      <c r="N894" s="67">
        <f ca="1">MAX(MAX($N$62:N893),OFFSET($C$61,MATCH(M894*1.07,$M$62:$M$2061,1),0)-C894)</f>
        <v>29160</v>
      </c>
    </row>
    <row r="895" spans="2:14">
      <c r="B895" s="67">
        <v>834</v>
      </c>
      <c r="C895" s="67">
        <f t="shared" si="83"/>
        <v>300240</v>
      </c>
      <c r="D895" s="67">
        <f t="shared" ref="D895:D958" si="84">_xlfn.XLOOKUP("非R",$B$49:$B$54,$C$49:$C$54)</f>
        <v>5</v>
      </c>
      <c r="E895" s="67">
        <f ca="1" t="shared" ref="E895:E958" si="85">INT(C895/_xlfn.XLOOKUP(D895,$R$14:$R$21,$S$14:$S$21))+OFFSET($R$49,D895,0)</f>
        <v>864</v>
      </c>
      <c r="F895" s="67">
        <f ca="1" t="shared" si="81"/>
        <v>0</v>
      </c>
      <c r="G895" s="67">
        <f ca="1" t="shared" si="82"/>
        <v>0</v>
      </c>
      <c r="H895" s="67" cm="1">
        <f ca="1" t="array" ref="H895">MIN(30-SUM(I895:L895),_xlfn.XLOOKUP($D895&amp;"_"&amp;H$61,$B$23:$B$45&amp;"_"&amp;$C$23:$C$45,$D$23:$D$45)*$E895,18)</f>
        <v>12.5167612456747</v>
      </c>
      <c r="I895" s="67" cm="1">
        <f ca="1" t="array" ref="I895">MIN(30-SUM(J895:L895),6-L895,_xlfn.XLOOKUP($D895&amp;"_"&amp;I$61,$B$23:$B$45&amp;"_"&amp;$C$23:$C$45,$D$23:$D$45)*$E895)</f>
        <v>0.77514186851211</v>
      </c>
      <c r="J895" s="67" cm="1">
        <f ca="1" t="array" ref="J895">MIN(8,_xlfn.XLOOKUP($D895&amp;"_"&amp;J$61,$B$23:$B$45&amp;"_"&amp;$C$23:$C$45,$D$23:$D$45)*$E895)</f>
        <v>8</v>
      </c>
      <c r="K895" s="67" cm="1">
        <f ca="1" t="array" ref="K895">MIN(18,_xlfn.XLOOKUP($D895&amp;"_"&amp;K$61,$B$23:$B$45&amp;"_"&amp;$C$23:$C$45,$D$23:$D$45)*$E895)</f>
        <v>3.48323875432526</v>
      </c>
      <c r="L895" s="67" cm="1">
        <f ca="1" t="array" ref="L895">MIN(6,_xlfn.XLOOKUP($D895&amp;"_"&amp;L$61,$B$23:$B$45&amp;"_"&amp;$C$23:$C$45,$D$23:$D$45)*$E895)</f>
        <v>5.22485813148789</v>
      </c>
      <c r="M895" s="67" cm="1">
        <f ca="1" t="array" ref="M895">(1+SUMPRODUCT(G895:H895,OFFSET($H$49:$I$49,D895,0)))*(1+OFFSET($J$49,D895,0))^I895*(1+OFFSET($K$49,D895,0))^J895*(1+OFFSET($L$49,D895,0))^K895*(1+OFFSET($M$49,D895,0))^L895</f>
        <v>309.017542328284</v>
      </c>
      <c r="N895" s="67">
        <f ca="1">MAX(MAX($N$62:N894),OFFSET($C$61,MATCH(M895*1.07,$M$62:$M$2061,1),0)-C895)</f>
        <v>29160</v>
      </c>
    </row>
    <row r="896" spans="2:14">
      <c r="B896" s="67">
        <v>835</v>
      </c>
      <c r="C896" s="67">
        <f t="shared" si="83"/>
        <v>300600</v>
      </c>
      <c r="D896" s="67">
        <f t="shared" si="84"/>
        <v>5</v>
      </c>
      <c r="E896" s="67">
        <f ca="1" t="shared" si="85"/>
        <v>865</v>
      </c>
      <c r="F896" s="67">
        <f ca="1" t="shared" ref="F896:F959" si="86">30-SUM(G896:L896)</f>
        <v>0</v>
      </c>
      <c r="G896" s="67">
        <f ca="1" t="shared" ref="G896:G959" si="87">30-SUM(H896:L896)</f>
        <v>0</v>
      </c>
      <c r="H896" s="67" cm="1">
        <f ca="1" t="array" ref="H896">MIN(30-SUM(I896:L896),_xlfn.XLOOKUP($D896&amp;"_"&amp;H$61,$B$23:$B$45&amp;"_"&amp;$C$23:$C$45,$D$23:$D$45)*$E896,18)</f>
        <v>12.5127297193387</v>
      </c>
      <c r="I896" s="67" cm="1">
        <f ca="1" t="array" ref="I896">MIN(30-SUM(J896:L896),6-L896,_xlfn.XLOOKUP($D896&amp;"_"&amp;I$61,$B$23:$B$45&amp;"_"&amp;$C$23:$C$45,$D$23:$D$45)*$E896)</f>
        <v>0.769094579008073</v>
      </c>
      <c r="J896" s="67" cm="1">
        <f ca="1" t="array" ref="J896">MIN(8,_xlfn.XLOOKUP($D896&amp;"_"&amp;J$61,$B$23:$B$45&amp;"_"&amp;$C$23:$C$45,$D$23:$D$45)*$E896)</f>
        <v>8</v>
      </c>
      <c r="K896" s="67" cm="1">
        <f ca="1" t="array" ref="K896">MIN(18,_xlfn.XLOOKUP($D896&amp;"_"&amp;K$61,$B$23:$B$45&amp;"_"&amp;$C$23:$C$45,$D$23:$D$45)*$E896)</f>
        <v>3.48727028066129</v>
      </c>
      <c r="L896" s="67" cm="1">
        <f ca="1" t="array" ref="L896">MIN(6,_xlfn.XLOOKUP($D896&amp;"_"&amp;L$61,$B$23:$B$45&amp;"_"&amp;$C$23:$C$45,$D$23:$D$45)*$E896)</f>
        <v>5.23090542099193</v>
      </c>
      <c r="M896" s="67" cm="1">
        <f ca="1" t="array" ref="M896">(1+SUMPRODUCT(G896:H896,OFFSET($H$49:$I$49,D896,0)))*(1+OFFSET($J$49,D896,0))^I896*(1+OFFSET($K$49,D896,0))^J896*(1+OFFSET($L$49,D896,0))^K896*(1+OFFSET($M$49,D896,0))^L896</f>
        <v>309.275482107292</v>
      </c>
      <c r="N896" s="67">
        <f ca="1">MAX(MAX($N$62:N895),OFFSET($C$61,MATCH(M896*1.07,$M$62:$M$2061,1),0)-C896)</f>
        <v>29160</v>
      </c>
    </row>
    <row r="897" spans="2:14">
      <c r="B897" s="67">
        <v>836</v>
      </c>
      <c r="C897" s="67">
        <f t="shared" si="83"/>
        <v>300960</v>
      </c>
      <c r="D897" s="67">
        <f t="shared" si="84"/>
        <v>5</v>
      </c>
      <c r="E897" s="67">
        <f ca="1" t="shared" si="85"/>
        <v>866</v>
      </c>
      <c r="F897" s="67">
        <f ca="1" t="shared" si="86"/>
        <v>0</v>
      </c>
      <c r="G897" s="67">
        <f ca="1" t="shared" si="87"/>
        <v>0</v>
      </c>
      <c r="H897" s="67" cm="1">
        <f ca="1" t="array" ref="H897">MIN(30-SUM(I897:L897),_xlfn.XLOOKUP($D897&amp;"_"&amp;H$61,$B$23:$B$45&amp;"_"&amp;$C$23:$C$45,$D$23:$D$45)*$E897,18)</f>
        <v>12.5086981930027</v>
      </c>
      <c r="I897" s="67" cm="1">
        <f ca="1" t="array" ref="I897">MIN(30-SUM(J897:L897),6-L897,_xlfn.XLOOKUP($D897&amp;"_"&amp;I$61,$B$23:$B$45&amp;"_"&amp;$C$23:$C$45,$D$23:$D$45)*$E897)</f>
        <v>0.763047289504036</v>
      </c>
      <c r="J897" s="67" cm="1">
        <f ca="1" t="array" ref="J897">MIN(8,_xlfn.XLOOKUP($D897&amp;"_"&amp;J$61,$B$23:$B$45&amp;"_"&amp;$C$23:$C$45,$D$23:$D$45)*$E897)</f>
        <v>8</v>
      </c>
      <c r="K897" s="67" cm="1">
        <f ca="1" t="array" ref="K897">MIN(18,_xlfn.XLOOKUP($D897&amp;"_"&amp;K$61,$B$23:$B$45&amp;"_"&amp;$C$23:$C$45,$D$23:$D$45)*$E897)</f>
        <v>3.49130180699731</v>
      </c>
      <c r="L897" s="67" cm="1">
        <f ca="1" t="array" ref="L897">MIN(6,_xlfn.XLOOKUP($D897&amp;"_"&amp;L$61,$B$23:$B$45&amp;"_"&amp;$C$23:$C$45,$D$23:$D$45)*$E897)</f>
        <v>5.23695271049596</v>
      </c>
      <c r="M897" s="67" cm="1">
        <f ca="1" t="array" ref="M897">(1+SUMPRODUCT(G897:H897,OFFSET($H$49:$I$49,D897,0)))*(1+OFFSET($J$49,D897,0))^I897*(1+OFFSET($K$49,D897,0))^J897*(1+OFFSET($L$49,D897,0))^K897*(1+OFFSET($M$49,D897,0))^L897</f>
        <v>309.533620787401</v>
      </c>
      <c r="N897" s="67">
        <f ca="1">MAX(MAX($N$62:N896),OFFSET($C$61,MATCH(M897*1.07,$M$62:$M$2061,1),0)-C897)</f>
        <v>29160</v>
      </c>
    </row>
    <row r="898" spans="2:14">
      <c r="B898" s="67">
        <v>837</v>
      </c>
      <c r="C898" s="67">
        <f t="shared" si="83"/>
        <v>301320</v>
      </c>
      <c r="D898" s="67">
        <f t="shared" si="84"/>
        <v>5</v>
      </c>
      <c r="E898" s="67">
        <f ca="1" t="shared" si="85"/>
        <v>867</v>
      </c>
      <c r="F898" s="67">
        <f ca="1" t="shared" si="86"/>
        <v>0</v>
      </c>
      <c r="G898" s="67">
        <f ca="1" t="shared" si="87"/>
        <v>0</v>
      </c>
      <c r="H898" s="67" cm="1">
        <f ca="1" t="array" ref="H898">MIN(30-SUM(I898:L898),_xlfn.XLOOKUP($D898&amp;"_"&amp;H$61,$B$23:$B$45&amp;"_"&amp;$C$23:$C$45,$D$23:$D$45)*$E898,18)</f>
        <v>12.5046666666667</v>
      </c>
      <c r="I898" s="67" cm="1">
        <f ca="1" t="array" ref="I898">MIN(30-SUM(J898:L898),6-L898,_xlfn.XLOOKUP($D898&amp;"_"&amp;I$61,$B$23:$B$45&amp;"_"&amp;$C$23:$C$45,$D$23:$D$45)*$E898)</f>
        <v>0.756999999999999</v>
      </c>
      <c r="J898" s="67" cm="1">
        <f ca="1" t="array" ref="J898">MIN(8,_xlfn.XLOOKUP($D898&amp;"_"&amp;J$61,$B$23:$B$45&amp;"_"&amp;$C$23:$C$45,$D$23:$D$45)*$E898)</f>
        <v>8</v>
      </c>
      <c r="K898" s="67" cm="1">
        <f ca="1" t="array" ref="K898">MIN(18,_xlfn.XLOOKUP($D898&amp;"_"&amp;K$61,$B$23:$B$45&amp;"_"&amp;$C$23:$C$45,$D$23:$D$45)*$E898)</f>
        <v>3.49533333333334</v>
      </c>
      <c r="L898" s="67" cm="1">
        <f ca="1" t="array" ref="L898">MIN(6,_xlfn.XLOOKUP($D898&amp;"_"&amp;L$61,$B$23:$B$45&amp;"_"&amp;$C$23:$C$45,$D$23:$D$45)*$E898)</f>
        <v>5.243</v>
      </c>
      <c r="M898" s="67" cm="1">
        <f ca="1" t="array" ref="M898">(1+SUMPRODUCT(G898:H898,OFFSET($H$49:$I$49,D898,0)))*(1+OFFSET($J$49,D898,0))^I898*(1+OFFSET($K$49,D898,0))^J898*(1+OFFSET($L$49,D898,0))^K898*(1+OFFSET($M$49,D898,0))^L898</f>
        <v>309.791958499692</v>
      </c>
      <c r="N898" s="67">
        <f ca="1">MAX(MAX($N$62:N897),OFFSET($C$61,MATCH(M898*1.07,$M$62:$M$2061,1),0)-C898)</f>
        <v>29160</v>
      </c>
    </row>
    <row r="899" spans="2:14">
      <c r="B899" s="67">
        <v>838</v>
      </c>
      <c r="C899" s="67">
        <f t="shared" si="83"/>
        <v>301680</v>
      </c>
      <c r="D899" s="67">
        <f t="shared" si="84"/>
        <v>5</v>
      </c>
      <c r="E899" s="67">
        <f ca="1" t="shared" si="85"/>
        <v>868</v>
      </c>
      <c r="F899" s="67">
        <f ca="1" t="shared" si="86"/>
        <v>0</v>
      </c>
      <c r="G899" s="67">
        <f ca="1" t="shared" si="87"/>
        <v>0</v>
      </c>
      <c r="H899" s="67" cm="1">
        <f ca="1" t="array" ref="H899">MIN(30-SUM(I899:L899),_xlfn.XLOOKUP($D899&amp;"_"&amp;H$61,$B$23:$B$45&amp;"_"&amp;$C$23:$C$45,$D$23:$D$45)*$E899,18)</f>
        <v>12.5006351403306</v>
      </c>
      <c r="I899" s="67" cm="1">
        <f ca="1" t="array" ref="I899">MIN(30-SUM(J899:L899),6-L899,_xlfn.XLOOKUP($D899&amp;"_"&amp;I$61,$B$23:$B$45&amp;"_"&amp;$C$23:$C$45,$D$23:$D$45)*$E899)</f>
        <v>0.750952710495961</v>
      </c>
      <c r="J899" s="67" cm="1">
        <f ca="1" t="array" ref="J899">MIN(8,_xlfn.XLOOKUP($D899&amp;"_"&amp;J$61,$B$23:$B$45&amp;"_"&amp;$C$23:$C$45,$D$23:$D$45)*$E899)</f>
        <v>8</v>
      </c>
      <c r="K899" s="67" cm="1">
        <f ca="1" t="array" ref="K899">MIN(18,_xlfn.XLOOKUP($D899&amp;"_"&amp;K$61,$B$23:$B$45&amp;"_"&amp;$C$23:$C$45,$D$23:$D$45)*$E899)</f>
        <v>3.49936485966936</v>
      </c>
      <c r="L899" s="67" cm="1">
        <f ca="1" t="array" ref="L899">MIN(6,_xlfn.XLOOKUP($D899&amp;"_"&amp;L$61,$B$23:$B$45&amp;"_"&amp;$C$23:$C$45,$D$23:$D$45)*$E899)</f>
        <v>5.24904728950404</v>
      </c>
      <c r="M899" s="67" cm="1">
        <f ca="1" t="array" ref="M899">(1+SUMPRODUCT(G899:H899,OFFSET($H$49:$I$49,D899,0)))*(1+OFFSET($J$49,D899,0))^I899*(1+OFFSET($K$49,D899,0))^J899*(1+OFFSET($L$49,D899,0))^K899*(1+OFFSET($M$49,D899,0))^L899</f>
        <v>310.050495375302</v>
      </c>
      <c r="N899" s="67">
        <f ca="1">MAX(MAX($N$62:N898),OFFSET($C$61,MATCH(M899*1.07,$M$62:$M$2061,1),0)-C899)</f>
        <v>29160</v>
      </c>
    </row>
    <row r="900" spans="2:14">
      <c r="B900" s="67">
        <v>839</v>
      </c>
      <c r="C900" s="67">
        <f t="shared" si="83"/>
        <v>302040</v>
      </c>
      <c r="D900" s="67">
        <f t="shared" si="84"/>
        <v>5</v>
      </c>
      <c r="E900" s="67">
        <f ca="1" t="shared" si="85"/>
        <v>869</v>
      </c>
      <c r="F900" s="67">
        <f ca="1" t="shared" si="86"/>
        <v>0</v>
      </c>
      <c r="G900" s="67">
        <f ca="1" t="shared" si="87"/>
        <v>0</v>
      </c>
      <c r="H900" s="67" cm="1">
        <f ca="1" t="array" ref="H900">MIN(30-SUM(I900:L900),_xlfn.XLOOKUP($D900&amp;"_"&amp;H$61,$B$23:$B$45&amp;"_"&amp;$C$23:$C$45,$D$23:$D$45)*$E900,18)</f>
        <v>12.4966036139946</v>
      </c>
      <c r="I900" s="67" cm="1">
        <f ca="1" t="array" ref="I900">MIN(30-SUM(J900:L900),6-L900,_xlfn.XLOOKUP($D900&amp;"_"&amp;I$61,$B$23:$B$45&amp;"_"&amp;$C$23:$C$45,$D$23:$D$45)*$E900)</f>
        <v>0.744905420991925</v>
      </c>
      <c r="J900" s="67" cm="1">
        <f ca="1" t="array" ref="J900">MIN(8,_xlfn.XLOOKUP($D900&amp;"_"&amp;J$61,$B$23:$B$45&amp;"_"&amp;$C$23:$C$45,$D$23:$D$45)*$E900)</f>
        <v>8</v>
      </c>
      <c r="K900" s="67" cm="1">
        <f ca="1" t="array" ref="K900">MIN(18,_xlfn.XLOOKUP($D900&amp;"_"&amp;K$61,$B$23:$B$45&amp;"_"&amp;$C$23:$C$45,$D$23:$D$45)*$E900)</f>
        <v>3.50339638600539</v>
      </c>
      <c r="L900" s="67" cm="1">
        <f ca="1" t="array" ref="L900">MIN(6,_xlfn.XLOOKUP($D900&amp;"_"&amp;L$61,$B$23:$B$45&amp;"_"&amp;$C$23:$C$45,$D$23:$D$45)*$E900)</f>
        <v>5.25509457900807</v>
      </c>
      <c r="M900" s="67" cm="1">
        <f ca="1" t="array" ref="M900">(1+SUMPRODUCT(G900:H900,OFFSET($H$49:$I$49,D900,0)))*(1+OFFSET($J$49,D900,0))^I900*(1+OFFSET($K$49,D900,0))^J900*(1+OFFSET($L$49,D900,0))^K900*(1+OFFSET($M$49,D900,0))^L900</f>
        <v>310.309231545418</v>
      </c>
      <c r="N900" s="67">
        <f ca="1">MAX(MAX($N$62:N899),OFFSET($C$61,MATCH(M900*1.07,$M$62:$M$2061,1),0)-C900)</f>
        <v>29160</v>
      </c>
    </row>
    <row r="901" spans="2:14">
      <c r="B901" s="67">
        <v>840</v>
      </c>
      <c r="C901" s="67">
        <f t="shared" si="83"/>
        <v>302400</v>
      </c>
      <c r="D901" s="67">
        <f t="shared" si="84"/>
        <v>5</v>
      </c>
      <c r="E901" s="67">
        <f ca="1" t="shared" si="85"/>
        <v>870</v>
      </c>
      <c r="F901" s="67">
        <f ca="1" t="shared" si="86"/>
        <v>0</v>
      </c>
      <c r="G901" s="67">
        <f ca="1" t="shared" si="87"/>
        <v>0</v>
      </c>
      <c r="H901" s="67" cm="1">
        <f ca="1" t="array" ref="H901">MIN(30-SUM(I901:L901),_xlfn.XLOOKUP($D901&amp;"_"&amp;H$61,$B$23:$B$45&amp;"_"&amp;$C$23:$C$45,$D$23:$D$45)*$E901,18)</f>
        <v>12.4925720876586</v>
      </c>
      <c r="I901" s="67" cm="1">
        <f ca="1" t="array" ref="I901">MIN(30-SUM(J901:L901),6-L901,_xlfn.XLOOKUP($D901&amp;"_"&amp;I$61,$B$23:$B$45&amp;"_"&amp;$C$23:$C$45,$D$23:$D$45)*$E901)</f>
        <v>0.738858131487888</v>
      </c>
      <c r="J901" s="67" cm="1">
        <f ca="1" t="array" ref="J901">MIN(8,_xlfn.XLOOKUP($D901&amp;"_"&amp;J$61,$B$23:$B$45&amp;"_"&amp;$C$23:$C$45,$D$23:$D$45)*$E901)</f>
        <v>8</v>
      </c>
      <c r="K901" s="67" cm="1">
        <f ca="1" t="array" ref="K901">MIN(18,_xlfn.XLOOKUP($D901&amp;"_"&amp;K$61,$B$23:$B$45&amp;"_"&amp;$C$23:$C$45,$D$23:$D$45)*$E901)</f>
        <v>3.50742791234141</v>
      </c>
      <c r="L901" s="67" cm="1">
        <f ca="1" t="array" ref="L901">MIN(6,_xlfn.XLOOKUP($D901&amp;"_"&amp;L$61,$B$23:$B$45&amp;"_"&amp;$C$23:$C$45,$D$23:$D$45)*$E901)</f>
        <v>5.26114186851211</v>
      </c>
      <c r="M901" s="67" cm="1">
        <f ca="1" t="array" ref="M901">(1+SUMPRODUCT(G901:H901,OFFSET($H$49:$I$49,D901,0)))*(1+OFFSET($J$49,D901,0))^I901*(1+OFFSET($K$49,D901,0))^J901*(1+OFFSET($L$49,D901,0))^K901*(1+OFFSET($M$49,D901,0))^L901</f>
        <v>310.568167141282</v>
      </c>
      <c r="N901" s="67">
        <f ca="1">MAX(MAX($N$62:N900),OFFSET($C$61,MATCH(M901*1.07,$M$62:$M$2061,1),0)-C901)</f>
        <v>29160</v>
      </c>
    </row>
    <row r="902" spans="2:14">
      <c r="B902" s="67">
        <v>841</v>
      </c>
      <c r="C902" s="67">
        <f t="shared" si="83"/>
        <v>302760</v>
      </c>
      <c r="D902" s="67">
        <f t="shared" si="84"/>
        <v>5</v>
      </c>
      <c r="E902" s="67">
        <f ca="1" t="shared" si="85"/>
        <v>871</v>
      </c>
      <c r="F902" s="67">
        <f ca="1" t="shared" si="86"/>
        <v>0</v>
      </c>
      <c r="G902" s="67">
        <f ca="1" t="shared" si="87"/>
        <v>0</v>
      </c>
      <c r="H902" s="67" cm="1">
        <f ca="1" t="array" ref="H902">MIN(30-SUM(I902:L902),_xlfn.XLOOKUP($D902&amp;"_"&amp;H$61,$B$23:$B$45&amp;"_"&amp;$C$23:$C$45,$D$23:$D$45)*$E902,18)</f>
        <v>12.4885405613226</v>
      </c>
      <c r="I902" s="67" cm="1">
        <f ca="1" t="array" ref="I902">MIN(30-SUM(J902:L902),6-L902,_xlfn.XLOOKUP($D902&amp;"_"&amp;I$61,$B$23:$B$45&amp;"_"&amp;$C$23:$C$45,$D$23:$D$45)*$E902)</f>
        <v>0.732810841983851</v>
      </c>
      <c r="J902" s="67" cm="1">
        <f ca="1" t="array" ref="J902">MIN(8,_xlfn.XLOOKUP($D902&amp;"_"&amp;J$61,$B$23:$B$45&amp;"_"&amp;$C$23:$C$45,$D$23:$D$45)*$E902)</f>
        <v>8</v>
      </c>
      <c r="K902" s="67" cm="1">
        <f ca="1" t="array" ref="K902">MIN(18,_xlfn.XLOOKUP($D902&amp;"_"&amp;K$61,$B$23:$B$45&amp;"_"&amp;$C$23:$C$45,$D$23:$D$45)*$E902)</f>
        <v>3.51145943867743</v>
      </c>
      <c r="L902" s="67" cm="1">
        <f ca="1" t="array" ref="L902">MIN(6,_xlfn.XLOOKUP($D902&amp;"_"&amp;L$61,$B$23:$B$45&amp;"_"&amp;$C$23:$C$45,$D$23:$D$45)*$E902)</f>
        <v>5.26718915801615</v>
      </c>
      <c r="M902" s="67" cm="1">
        <f ca="1" t="array" ref="M902">(1+SUMPRODUCT(G902:H902,OFFSET($H$49:$I$49,D902,0)))*(1+OFFSET($J$49,D902,0))^I902*(1+OFFSET($K$49,D902,0))^J902*(1+OFFSET($L$49,D902,0))^K902*(1+OFFSET($M$49,D902,0))^L902</f>
        <v>310.82730229419</v>
      </c>
      <c r="N902" s="67">
        <f ca="1">MAX(MAX($N$62:N901),OFFSET($C$61,MATCH(M902*1.07,$M$62:$M$2061,1),0)-C902)</f>
        <v>29160</v>
      </c>
    </row>
    <row r="903" spans="2:14">
      <c r="B903" s="67">
        <v>842</v>
      </c>
      <c r="C903" s="67">
        <f t="shared" si="83"/>
        <v>303120</v>
      </c>
      <c r="D903" s="67">
        <f t="shared" si="84"/>
        <v>5</v>
      </c>
      <c r="E903" s="67">
        <f ca="1" t="shared" si="85"/>
        <v>872</v>
      </c>
      <c r="F903" s="67">
        <f ca="1" t="shared" si="86"/>
        <v>0</v>
      </c>
      <c r="G903" s="67">
        <f ca="1" t="shared" si="87"/>
        <v>0</v>
      </c>
      <c r="H903" s="67" cm="1">
        <f ca="1" t="array" ref="H903">MIN(30-SUM(I903:L903),_xlfn.XLOOKUP($D903&amp;"_"&amp;H$61,$B$23:$B$45&amp;"_"&amp;$C$23:$C$45,$D$23:$D$45)*$E903,18)</f>
        <v>12.4845090349865</v>
      </c>
      <c r="I903" s="67" cm="1">
        <f ca="1" t="array" ref="I903">MIN(30-SUM(J903:L903),6-L903,_xlfn.XLOOKUP($D903&amp;"_"&amp;I$61,$B$23:$B$45&amp;"_"&amp;$C$23:$C$45,$D$23:$D$45)*$E903)</f>
        <v>0.726763552479814</v>
      </c>
      <c r="J903" s="67" cm="1">
        <f ca="1" t="array" ref="J903">MIN(8,_xlfn.XLOOKUP($D903&amp;"_"&amp;J$61,$B$23:$B$45&amp;"_"&amp;$C$23:$C$45,$D$23:$D$45)*$E903)</f>
        <v>8</v>
      </c>
      <c r="K903" s="67" cm="1">
        <f ca="1" t="array" ref="K903">MIN(18,_xlfn.XLOOKUP($D903&amp;"_"&amp;K$61,$B$23:$B$45&amp;"_"&amp;$C$23:$C$45,$D$23:$D$45)*$E903)</f>
        <v>3.51549096501346</v>
      </c>
      <c r="L903" s="67" cm="1">
        <f ca="1" t="array" ref="L903">MIN(6,_xlfn.XLOOKUP($D903&amp;"_"&amp;L$61,$B$23:$B$45&amp;"_"&amp;$C$23:$C$45,$D$23:$D$45)*$E903)</f>
        <v>5.27323644752019</v>
      </c>
      <c r="M903" s="67" cm="1">
        <f ca="1" t="array" ref="M903">(1+SUMPRODUCT(G903:H903,OFFSET($H$49:$I$49,D903,0)))*(1+OFFSET($J$49,D903,0))^I903*(1+OFFSET($K$49,D903,0))^J903*(1+OFFSET($L$49,D903,0))^K903*(1+OFFSET($M$49,D903,0))^L903</f>
        <v>311.086637135491</v>
      </c>
      <c r="N903" s="67">
        <f ca="1">MAX(MAX($N$62:N902),OFFSET($C$61,MATCH(M903*1.07,$M$62:$M$2061,1),0)-C903)</f>
        <v>29160</v>
      </c>
    </row>
    <row r="904" spans="2:14">
      <c r="B904" s="67">
        <v>843</v>
      </c>
      <c r="C904" s="67">
        <f t="shared" si="83"/>
        <v>303480</v>
      </c>
      <c r="D904" s="67">
        <f t="shared" si="84"/>
        <v>5</v>
      </c>
      <c r="E904" s="67">
        <f ca="1" t="shared" si="85"/>
        <v>873</v>
      </c>
      <c r="F904" s="67">
        <f ca="1" t="shared" si="86"/>
        <v>0</v>
      </c>
      <c r="G904" s="67">
        <f ca="1" t="shared" si="87"/>
        <v>0</v>
      </c>
      <c r="H904" s="67" cm="1">
        <f ca="1" t="array" ref="H904">MIN(30-SUM(I904:L904),_xlfn.XLOOKUP($D904&amp;"_"&amp;H$61,$B$23:$B$45&amp;"_"&amp;$C$23:$C$45,$D$23:$D$45)*$E904,18)</f>
        <v>12.4804775086505</v>
      </c>
      <c r="I904" s="67" cm="1">
        <f ca="1" t="array" ref="I904">MIN(30-SUM(J904:L904),6-L904,_xlfn.XLOOKUP($D904&amp;"_"&amp;I$61,$B$23:$B$45&amp;"_"&amp;$C$23:$C$45,$D$23:$D$45)*$E904)</f>
        <v>0.720716262975778</v>
      </c>
      <c r="J904" s="67" cm="1">
        <f ca="1" t="array" ref="J904">MIN(8,_xlfn.XLOOKUP($D904&amp;"_"&amp;J$61,$B$23:$B$45&amp;"_"&amp;$C$23:$C$45,$D$23:$D$45)*$E904)</f>
        <v>8</v>
      </c>
      <c r="K904" s="67" cm="1">
        <f ca="1" t="array" ref="K904">MIN(18,_xlfn.XLOOKUP($D904&amp;"_"&amp;K$61,$B$23:$B$45&amp;"_"&amp;$C$23:$C$45,$D$23:$D$45)*$E904)</f>
        <v>3.51952249134948</v>
      </c>
      <c r="L904" s="67" cm="1">
        <f ca="1" t="array" ref="L904">MIN(6,_xlfn.XLOOKUP($D904&amp;"_"&amp;L$61,$B$23:$B$45&amp;"_"&amp;$C$23:$C$45,$D$23:$D$45)*$E904)</f>
        <v>5.27928373702422</v>
      </c>
      <c r="M904" s="67" cm="1">
        <f ca="1" t="array" ref="M904">(1+SUMPRODUCT(G904:H904,OFFSET($H$49:$I$49,D904,0)))*(1+OFFSET($J$49,D904,0))^I904*(1+OFFSET($K$49,D904,0))^J904*(1+OFFSET($L$49,D904,0))^K904*(1+OFFSET($M$49,D904,0))^L904</f>
        <v>311.346171796587</v>
      </c>
      <c r="N904" s="67">
        <f ca="1">MAX(MAX($N$62:N903),OFFSET($C$61,MATCH(M904*1.07,$M$62:$M$2061,1),0)-C904)</f>
        <v>29160</v>
      </c>
    </row>
    <row r="905" spans="2:14">
      <c r="B905" s="67">
        <v>844</v>
      </c>
      <c r="C905" s="67">
        <f t="shared" si="83"/>
        <v>303840</v>
      </c>
      <c r="D905" s="67">
        <f t="shared" si="84"/>
        <v>5</v>
      </c>
      <c r="E905" s="67">
        <f ca="1" t="shared" si="85"/>
        <v>874</v>
      </c>
      <c r="F905" s="67">
        <f ca="1" t="shared" si="86"/>
        <v>0</v>
      </c>
      <c r="G905" s="67">
        <f ca="1" t="shared" si="87"/>
        <v>0</v>
      </c>
      <c r="H905" s="67" cm="1">
        <f ca="1" t="array" ref="H905">MIN(30-SUM(I905:L905),_xlfn.XLOOKUP($D905&amp;"_"&amp;H$61,$B$23:$B$45&amp;"_"&amp;$C$23:$C$45,$D$23:$D$45)*$E905,18)</f>
        <v>12.4764459823145</v>
      </c>
      <c r="I905" s="67" cm="1">
        <f ca="1" t="array" ref="I905">MIN(30-SUM(J905:L905),6-L905,_xlfn.XLOOKUP($D905&amp;"_"&amp;I$61,$B$23:$B$45&amp;"_"&amp;$C$23:$C$45,$D$23:$D$45)*$E905)</f>
        <v>0.71466897347174</v>
      </c>
      <c r="J905" s="67" cm="1">
        <f ca="1" t="array" ref="J905">MIN(8,_xlfn.XLOOKUP($D905&amp;"_"&amp;J$61,$B$23:$B$45&amp;"_"&amp;$C$23:$C$45,$D$23:$D$45)*$E905)</f>
        <v>8</v>
      </c>
      <c r="K905" s="67" cm="1">
        <f ca="1" t="array" ref="K905">MIN(18,_xlfn.XLOOKUP($D905&amp;"_"&amp;K$61,$B$23:$B$45&amp;"_"&amp;$C$23:$C$45,$D$23:$D$45)*$E905)</f>
        <v>3.52355401768551</v>
      </c>
      <c r="L905" s="67" cm="1">
        <f ca="1" t="array" ref="L905">MIN(6,_xlfn.XLOOKUP($D905&amp;"_"&amp;L$61,$B$23:$B$45&amp;"_"&amp;$C$23:$C$45,$D$23:$D$45)*$E905)</f>
        <v>5.28533102652826</v>
      </c>
      <c r="M905" s="67" cm="1">
        <f ca="1" t="array" ref="M905">(1+SUMPRODUCT(G905:H905,OFFSET($H$49:$I$49,D905,0)))*(1+OFFSET($J$49,D905,0))^I905*(1+OFFSET($K$49,D905,0))^J905*(1+OFFSET($L$49,D905,0))^K905*(1+OFFSET($M$49,D905,0))^L905</f>
        <v>311.605906408935</v>
      </c>
      <c r="N905" s="67">
        <f ca="1">MAX(MAX($N$62:N904),OFFSET($C$61,MATCH(M905*1.07,$M$62:$M$2061,1),0)-C905)</f>
        <v>29160</v>
      </c>
    </row>
    <row r="906" spans="2:14">
      <c r="B906" s="67">
        <v>845</v>
      </c>
      <c r="C906" s="67">
        <f t="shared" si="83"/>
        <v>304200</v>
      </c>
      <c r="D906" s="67">
        <f t="shared" si="84"/>
        <v>5</v>
      </c>
      <c r="E906" s="67">
        <f ca="1" t="shared" si="85"/>
        <v>875</v>
      </c>
      <c r="F906" s="67">
        <f ca="1" t="shared" si="86"/>
        <v>0</v>
      </c>
      <c r="G906" s="67">
        <f ca="1" t="shared" si="87"/>
        <v>0</v>
      </c>
      <c r="H906" s="67" cm="1">
        <f ca="1" t="array" ref="H906">MIN(30-SUM(I906:L906),_xlfn.XLOOKUP($D906&amp;"_"&amp;H$61,$B$23:$B$45&amp;"_"&amp;$C$23:$C$45,$D$23:$D$45)*$E906,18)</f>
        <v>12.4724144559785</v>
      </c>
      <c r="I906" s="67" cm="1">
        <f ca="1" t="array" ref="I906">MIN(30-SUM(J906:L906),6-L906,_xlfn.XLOOKUP($D906&amp;"_"&amp;I$61,$B$23:$B$45&amp;"_"&amp;$C$23:$C$45,$D$23:$D$45)*$E906)</f>
        <v>0.708621683967704</v>
      </c>
      <c r="J906" s="67" cm="1">
        <f ca="1" t="array" ref="J906">MIN(8,_xlfn.XLOOKUP($D906&amp;"_"&amp;J$61,$B$23:$B$45&amp;"_"&amp;$C$23:$C$45,$D$23:$D$45)*$E906)</f>
        <v>8</v>
      </c>
      <c r="K906" s="67" cm="1">
        <f ca="1" t="array" ref="K906">MIN(18,_xlfn.XLOOKUP($D906&amp;"_"&amp;K$61,$B$23:$B$45&amp;"_"&amp;$C$23:$C$45,$D$23:$D$45)*$E906)</f>
        <v>3.52758554402153</v>
      </c>
      <c r="L906" s="67" cm="1">
        <f ca="1" t="array" ref="L906">MIN(6,_xlfn.XLOOKUP($D906&amp;"_"&amp;L$61,$B$23:$B$45&amp;"_"&amp;$C$23:$C$45,$D$23:$D$45)*$E906)</f>
        <v>5.2913783160323</v>
      </c>
      <c r="M906" s="67" cm="1">
        <f ca="1" t="array" ref="M906">(1+SUMPRODUCT(G906:H906,OFFSET($H$49:$I$49,D906,0)))*(1+OFFSET($J$49,D906,0))^I906*(1+OFFSET($K$49,D906,0))^J906*(1+OFFSET($L$49,D906,0))^K906*(1+OFFSET($M$49,D906,0))^L906</f>
        <v>311.865841104043</v>
      </c>
      <c r="N906" s="67">
        <f ca="1">MAX(MAX($N$62:N905),OFFSET($C$61,MATCH(M906*1.07,$M$62:$M$2061,1),0)-C906)</f>
        <v>29160</v>
      </c>
    </row>
    <row r="907" spans="2:14">
      <c r="B907" s="67">
        <v>846</v>
      </c>
      <c r="C907" s="67">
        <f t="shared" si="83"/>
        <v>304560</v>
      </c>
      <c r="D907" s="67">
        <f t="shared" si="84"/>
        <v>5</v>
      </c>
      <c r="E907" s="67">
        <f ca="1" t="shared" si="85"/>
        <v>876</v>
      </c>
      <c r="F907" s="67">
        <f ca="1" t="shared" si="86"/>
        <v>0</v>
      </c>
      <c r="G907" s="67">
        <f ca="1" t="shared" si="87"/>
        <v>0</v>
      </c>
      <c r="H907" s="67" cm="1">
        <f ca="1" t="array" ref="H907">MIN(30-SUM(I907:L907),_xlfn.XLOOKUP($D907&amp;"_"&amp;H$61,$B$23:$B$45&amp;"_"&amp;$C$23:$C$45,$D$23:$D$45)*$E907,18)</f>
        <v>12.4683829296424</v>
      </c>
      <c r="I907" s="67" cm="1">
        <f ca="1" t="array" ref="I907">MIN(30-SUM(J907:L907),6-L907,_xlfn.XLOOKUP($D907&amp;"_"&amp;I$61,$B$23:$B$45&amp;"_"&amp;$C$23:$C$45,$D$23:$D$45)*$E907)</f>
        <v>0.702574394463666</v>
      </c>
      <c r="J907" s="67" cm="1">
        <f ca="1" t="array" ref="J907">MIN(8,_xlfn.XLOOKUP($D907&amp;"_"&amp;J$61,$B$23:$B$45&amp;"_"&amp;$C$23:$C$45,$D$23:$D$45)*$E907)</f>
        <v>8</v>
      </c>
      <c r="K907" s="67" cm="1">
        <f ca="1" t="array" ref="K907">MIN(18,_xlfn.XLOOKUP($D907&amp;"_"&amp;K$61,$B$23:$B$45&amp;"_"&amp;$C$23:$C$45,$D$23:$D$45)*$E907)</f>
        <v>3.53161707035756</v>
      </c>
      <c r="L907" s="67" cm="1">
        <f ca="1" t="array" ref="L907">MIN(6,_xlfn.XLOOKUP($D907&amp;"_"&amp;L$61,$B$23:$B$45&amp;"_"&amp;$C$23:$C$45,$D$23:$D$45)*$E907)</f>
        <v>5.29742560553633</v>
      </c>
      <c r="M907" s="67" cm="1">
        <f ca="1" t="array" ref="M907">(1+SUMPRODUCT(G907:H907,OFFSET($H$49:$I$49,D907,0)))*(1+OFFSET($J$49,D907,0))^I907*(1+OFFSET($K$49,D907,0))^J907*(1+OFFSET($L$49,D907,0))^K907*(1+OFFSET($M$49,D907,0))^L907</f>
        <v>312.125976013473</v>
      </c>
      <c r="N907" s="67">
        <f ca="1">MAX(MAX($N$62:N906),OFFSET($C$61,MATCH(M907*1.07,$M$62:$M$2061,1),0)-C907)</f>
        <v>29160</v>
      </c>
    </row>
    <row r="908" spans="2:14">
      <c r="B908" s="67">
        <v>847</v>
      </c>
      <c r="C908" s="67">
        <f t="shared" si="83"/>
        <v>304920</v>
      </c>
      <c r="D908" s="67">
        <f t="shared" si="84"/>
        <v>5</v>
      </c>
      <c r="E908" s="67">
        <f ca="1" t="shared" si="85"/>
        <v>877</v>
      </c>
      <c r="F908" s="67">
        <f ca="1" t="shared" si="86"/>
        <v>0</v>
      </c>
      <c r="G908" s="67">
        <f ca="1" t="shared" si="87"/>
        <v>0</v>
      </c>
      <c r="H908" s="67" cm="1">
        <f ca="1" t="array" ref="H908">MIN(30-SUM(I908:L908),_xlfn.XLOOKUP($D908&amp;"_"&amp;H$61,$B$23:$B$45&amp;"_"&amp;$C$23:$C$45,$D$23:$D$45)*$E908,18)</f>
        <v>12.4643514033064</v>
      </c>
      <c r="I908" s="67" cm="1">
        <f ca="1" t="array" ref="I908">MIN(30-SUM(J908:L908),6-L908,_xlfn.XLOOKUP($D908&amp;"_"&amp;I$61,$B$23:$B$45&amp;"_"&amp;$C$23:$C$45,$D$23:$D$45)*$E908)</f>
        <v>0.69652710495963</v>
      </c>
      <c r="J908" s="67" cm="1">
        <f ca="1" t="array" ref="J908">MIN(8,_xlfn.XLOOKUP($D908&amp;"_"&amp;J$61,$B$23:$B$45&amp;"_"&amp;$C$23:$C$45,$D$23:$D$45)*$E908)</f>
        <v>8</v>
      </c>
      <c r="K908" s="67" cm="1">
        <f ca="1" t="array" ref="K908">MIN(18,_xlfn.XLOOKUP($D908&amp;"_"&amp;K$61,$B$23:$B$45&amp;"_"&amp;$C$23:$C$45,$D$23:$D$45)*$E908)</f>
        <v>3.53564859669358</v>
      </c>
      <c r="L908" s="67" cm="1">
        <f ca="1" t="array" ref="L908">MIN(6,_xlfn.XLOOKUP($D908&amp;"_"&amp;L$61,$B$23:$B$45&amp;"_"&amp;$C$23:$C$45,$D$23:$D$45)*$E908)</f>
        <v>5.30347289504037</v>
      </c>
      <c r="M908" s="67" cm="1">
        <f ca="1" t="array" ref="M908">(1+SUMPRODUCT(G908:H908,OFFSET($H$49:$I$49,D908,0)))*(1+OFFSET($J$49,D908,0))^I908*(1+OFFSET($K$49,D908,0))^J908*(1+OFFSET($L$49,D908,0))^K908*(1+OFFSET($M$49,D908,0))^L908</f>
        <v>312.386311268842</v>
      </c>
      <c r="N908" s="67">
        <f ca="1">MAX(MAX($N$62:N907),OFFSET($C$61,MATCH(M908*1.07,$M$62:$M$2061,1),0)-C908)</f>
        <v>29160</v>
      </c>
    </row>
    <row r="909" spans="2:14">
      <c r="B909" s="67">
        <v>848</v>
      </c>
      <c r="C909" s="67">
        <f t="shared" si="83"/>
        <v>305280</v>
      </c>
      <c r="D909" s="67">
        <f t="shared" si="84"/>
        <v>5</v>
      </c>
      <c r="E909" s="67">
        <f ca="1" t="shared" si="85"/>
        <v>878</v>
      </c>
      <c r="F909" s="67">
        <f ca="1" t="shared" si="86"/>
        <v>0</v>
      </c>
      <c r="G909" s="67">
        <f ca="1" t="shared" si="87"/>
        <v>0</v>
      </c>
      <c r="H909" s="67" cm="1">
        <f ca="1" t="array" ref="H909">MIN(30-SUM(I909:L909),_xlfn.XLOOKUP($D909&amp;"_"&amp;H$61,$B$23:$B$45&amp;"_"&amp;$C$23:$C$45,$D$23:$D$45)*$E909,18)</f>
        <v>12.4603198769704</v>
      </c>
      <c r="I909" s="67" cm="1">
        <f ca="1" t="array" ref="I909">MIN(30-SUM(J909:L909),6-L909,_xlfn.XLOOKUP($D909&amp;"_"&amp;I$61,$B$23:$B$45&amp;"_"&amp;$C$23:$C$45,$D$23:$D$45)*$E909)</f>
        <v>0.690479815455593</v>
      </c>
      <c r="J909" s="67" cm="1">
        <f ca="1" t="array" ref="J909">MIN(8,_xlfn.XLOOKUP($D909&amp;"_"&amp;J$61,$B$23:$B$45&amp;"_"&amp;$C$23:$C$45,$D$23:$D$45)*$E909)</f>
        <v>8</v>
      </c>
      <c r="K909" s="67" cm="1">
        <f ca="1" t="array" ref="K909">MIN(18,_xlfn.XLOOKUP($D909&amp;"_"&amp;K$61,$B$23:$B$45&amp;"_"&amp;$C$23:$C$45,$D$23:$D$45)*$E909)</f>
        <v>3.53968012302961</v>
      </c>
      <c r="L909" s="67" cm="1">
        <f ca="1" t="array" ref="L909">MIN(6,_xlfn.XLOOKUP($D909&amp;"_"&amp;L$61,$B$23:$B$45&amp;"_"&amp;$C$23:$C$45,$D$23:$D$45)*$E909)</f>
        <v>5.30952018454441</v>
      </c>
      <c r="M909" s="67" cm="1">
        <f ca="1" t="array" ref="M909">(1+SUMPRODUCT(G909:H909,OFFSET($H$49:$I$49,D909,0)))*(1+OFFSET($J$49,D909,0))^I909*(1+OFFSET($K$49,D909,0))^J909*(1+OFFSET($L$49,D909,0))^K909*(1+OFFSET($M$49,D909,0))^L909</f>
        <v>312.646847001819</v>
      </c>
      <c r="N909" s="67">
        <f ca="1">MAX(MAX($N$62:N908),OFFSET($C$61,MATCH(M909*1.07,$M$62:$M$2061,1),0)-C909)</f>
        <v>29160</v>
      </c>
    </row>
    <row r="910" spans="2:14">
      <c r="B910" s="67">
        <v>849</v>
      </c>
      <c r="C910" s="67">
        <f t="shared" si="83"/>
        <v>305640</v>
      </c>
      <c r="D910" s="67">
        <f t="shared" si="84"/>
        <v>5</v>
      </c>
      <c r="E910" s="67">
        <f ca="1" t="shared" si="85"/>
        <v>879</v>
      </c>
      <c r="F910" s="67">
        <f ca="1" t="shared" si="86"/>
        <v>0</v>
      </c>
      <c r="G910" s="67">
        <f ca="1" t="shared" si="87"/>
        <v>0</v>
      </c>
      <c r="H910" s="67" cm="1">
        <f ca="1" t="array" ref="H910">MIN(30-SUM(I910:L910),_xlfn.XLOOKUP($D910&amp;"_"&amp;H$61,$B$23:$B$45&amp;"_"&amp;$C$23:$C$45,$D$23:$D$45)*$E910,18)</f>
        <v>12.4562883506344</v>
      </c>
      <c r="I910" s="67" cm="1">
        <f ca="1" t="array" ref="I910">MIN(30-SUM(J910:L910),6-L910,_xlfn.XLOOKUP($D910&amp;"_"&amp;I$61,$B$23:$B$45&amp;"_"&amp;$C$23:$C$45,$D$23:$D$45)*$E910)</f>
        <v>0.684432525951556</v>
      </c>
      <c r="J910" s="67" cm="1">
        <f ca="1" t="array" ref="J910">MIN(8,_xlfn.XLOOKUP($D910&amp;"_"&amp;J$61,$B$23:$B$45&amp;"_"&amp;$C$23:$C$45,$D$23:$D$45)*$E910)</f>
        <v>8</v>
      </c>
      <c r="K910" s="67" cm="1">
        <f ca="1" t="array" ref="K910">MIN(18,_xlfn.XLOOKUP($D910&amp;"_"&amp;K$61,$B$23:$B$45&amp;"_"&amp;$C$23:$C$45,$D$23:$D$45)*$E910)</f>
        <v>3.54371164936563</v>
      </c>
      <c r="L910" s="67" cm="1">
        <f ca="1" t="array" ref="L910">MIN(6,_xlfn.XLOOKUP($D910&amp;"_"&amp;L$61,$B$23:$B$45&amp;"_"&amp;$C$23:$C$45,$D$23:$D$45)*$E910)</f>
        <v>5.31556747404844</v>
      </c>
      <c r="M910" s="67" cm="1">
        <f ca="1" t="array" ref="M910">(1+SUMPRODUCT(G910:H910,OFFSET($H$49:$I$49,D910,0)))*(1+OFFSET($J$49,D910,0))^I910*(1+OFFSET($K$49,D910,0))^J910*(1+OFFSET($L$49,D910,0))^K910*(1+OFFSET($M$49,D910,0))^L910</f>
        <v>312.907583344124</v>
      </c>
      <c r="N910" s="67">
        <f ca="1">MAX(MAX($N$62:N909),OFFSET($C$61,MATCH(M910*1.07,$M$62:$M$2061,1),0)-C910)</f>
        <v>29160</v>
      </c>
    </row>
    <row r="911" spans="2:14">
      <c r="B911" s="67">
        <v>850</v>
      </c>
      <c r="C911" s="67">
        <f t="shared" si="83"/>
        <v>306000</v>
      </c>
      <c r="D911" s="67">
        <f t="shared" si="84"/>
        <v>5</v>
      </c>
      <c r="E911" s="67">
        <f ca="1" t="shared" si="85"/>
        <v>880</v>
      </c>
      <c r="F911" s="67">
        <f ca="1" t="shared" si="86"/>
        <v>0</v>
      </c>
      <c r="G911" s="67">
        <f ca="1" t="shared" si="87"/>
        <v>0</v>
      </c>
      <c r="H911" s="67" cm="1">
        <f ca="1" t="array" ref="H911">MIN(30-SUM(I911:L911),_xlfn.XLOOKUP($D911&amp;"_"&amp;H$61,$B$23:$B$45&amp;"_"&amp;$C$23:$C$45,$D$23:$D$45)*$E911,18)</f>
        <v>12.4522568242983</v>
      </c>
      <c r="I911" s="67" cm="1">
        <f ca="1" t="array" ref="I911">MIN(30-SUM(J911:L911),6-L911,_xlfn.XLOOKUP($D911&amp;"_"&amp;I$61,$B$23:$B$45&amp;"_"&amp;$C$23:$C$45,$D$23:$D$45)*$E911)</f>
        <v>0.678385236447519</v>
      </c>
      <c r="J911" s="67" cm="1">
        <f ca="1" t="array" ref="J911">MIN(8,_xlfn.XLOOKUP($D911&amp;"_"&amp;J$61,$B$23:$B$45&amp;"_"&amp;$C$23:$C$45,$D$23:$D$45)*$E911)</f>
        <v>8</v>
      </c>
      <c r="K911" s="67" cm="1">
        <f ca="1" t="array" ref="K911">MIN(18,_xlfn.XLOOKUP($D911&amp;"_"&amp;K$61,$B$23:$B$45&amp;"_"&amp;$C$23:$C$45,$D$23:$D$45)*$E911)</f>
        <v>3.54774317570166</v>
      </c>
      <c r="L911" s="67" cm="1">
        <f ca="1" t="array" ref="L911">MIN(6,_xlfn.XLOOKUP($D911&amp;"_"&amp;L$61,$B$23:$B$45&amp;"_"&amp;$C$23:$C$45,$D$23:$D$45)*$E911)</f>
        <v>5.32161476355248</v>
      </c>
      <c r="M911" s="67" cm="1">
        <f ca="1" t="array" ref="M911">(1+SUMPRODUCT(G911:H911,OFFSET($H$49:$I$49,D911,0)))*(1+OFFSET($J$49,D911,0))^I911*(1+OFFSET($K$49,D911,0))^J911*(1+OFFSET($L$49,D911,0))^K911*(1+OFFSET($M$49,D911,0))^L911</f>
        <v>313.168520427535</v>
      </c>
      <c r="N911" s="67">
        <f ca="1">MAX(MAX($N$62:N910),OFFSET($C$61,MATCH(M911*1.07,$M$62:$M$2061,1),0)-C911)</f>
        <v>29160</v>
      </c>
    </row>
    <row r="912" spans="2:14">
      <c r="B912" s="67">
        <v>851</v>
      </c>
      <c r="C912" s="67">
        <f t="shared" si="83"/>
        <v>306360</v>
      </c>
      <c r="D912" s="67">
        <f t="shared" si="84"/>
        <v>5</v>
      </c>
      <c r="E912" s="67">
        <f ca="1" t="shared" si="85"/>
        <v>881</v>
      </c>
      <c r="F912" s="67">
        <f ca="1" t="shared" si="86"/>
        <v>0</v>
      </c>
      <c r="G912" s="67">
        <f ca="1" t="shared" si="87"/>
        <v>0</v>
      </c>
      <c r="H912" s="67" cm="1">
        <f ca="1" t="array" ref="H912">MIN(30-SUM(I912:L912),_xlfn.XLOOKUP($D912&amp;"_"&amp;H$61,$B$23:$B$45&amp;"_"&amp;$C$23:$C$45,$D$23:$D$45)*$E912,18)</f>
        <v>12.4482252979623</v>
      </c>
      <c r="I912" s="67" cm="1">
        <f ca="1" t="array" ref="I912">MIN(30-SUM(J912:L912),6-L912,_xlfn.XLOOKUP($D912&amp;"_"&amp;I$61,$B$23:$B$45&amp;"_"&amp;$C$23:$C$45,$D$23:$D$45)*$E912)</f>
        <v>0.672337946943482</v>
      </c>
      <c r="J912" s="67" cm="1">
        <f ca="1" t="array" ref="J912">MIN(8,_xlfn.XLOOKUP($D912&amp;"_"&amp;J$61,$B$23:$B$45&amp;"_"&amp;$C$23:$C$45,$D$23:$D$45)*$E912)</f>
        <v>8</v>
      </c>
      <c r="K912" s="67" cm="1">
        <f ca="1" t="array" ref="K912">MIN(18,_xlfn.XLOOKUP($D912&amp;"_"&amp;K$61,$B$23:$B$45&amp;"_"&amp;$C$23:$C$45,$D$23:$D$45)*$E912)</f>
        <v>3.55177470203768</v>
      </c>
      <c r="L912" s="67" cm="1">
        <f ca="1" t="array" ref="L912">MIN(6,_xlfn.XLOOKUP($D912&amp;"_"&amp;L$61,$B$23:$B$45&amp;"_"&amp;$C$23:$C$45,$D$23:$D$45)*$E912)</f>
        <v>5.32766205305652</v>
      </c>
      <c r="M912" s="67" cm="1">
        <f ca="1" t="array" ref="M912">(1+SUMPRODUCT(G912:H912,OFFSET($H$49:$I$49,D912,0)))*(1+OFFSET($J$49,D912,0))^I912*(1+OFFSET($K$49,D912,0))^J912*(1+OFFSET($L$49,D912,0))^K912*(1+OFFSET($M$49,D912,0))^L912</f>
        <v>313.429658383879</v>
      </c>
      <c r="N912" s="67">
        <f ca="1">MAX(MAX($N$62:N911),OFFSET($C$61,MATCH(M912*1.07,$M$62:$M$2061,1),0)-C912)</f>
        <v>29160</v>
      </c>
    </row>
    <row r="913" spans="2:14">
      <c r="B913" s="67">
        <v>852</v>
      </c>
      <c r="C913" s="67">
        <f t="shared" ref="C913:C976" si="88">C912+360</f>
        <v>306720</v>
      </c>
      <c r="D913" s="67">
        <f t="shared" si="84"/>
        <v>5</v>
      </c>
      <c r="E913" s="67">
        <f ca="1" t="shared" si="85"/>
        <v>882</v>
      </c>
      <c r="F913" s="67">
        <f ca="1" t="shared" si="86"/>
        <v>0</v>
      </c>
      <c r="G913" s="67">
        <f ca="1" t="shared" si="87"/>
        <v>0</v>
      </c>
      <c r="H913" s="67" cm="1">
        <f ca="1" t="array" ref="H913">MIN(30-SUM(I913:L913),_xlfn.XLOOKUP($D913&amp;"_"&amp;H$61,$B$23:$B$45&amp;"_"&amp;$C$23:$C$45,$D$23:$D$45)*$E913,18)</f>
        <v>12.4441937716263</v>
      </c>
      <c r="I913" s="67" cm="1">
        <f ca="1" t="array" ref="I913">MIN(30-SUM(J913:L913),6-L913,_xlfn.XLOOKUP($D913&amp;"_"&amp;I$61,$B$23:$B$45&amp;"_"&amp;$C$23:$C$45,$D$23:$D$45)*$E913)</f>
        <v>0.666290657439445</v>
      </c>
      <c r="J913" s="67" cm="1">
        <f ca="1" t="array" ref="J913">MIN(8,_xlfn.XLOOKUP($D913&amp;"_"&amp;J$61,$B$23:$B$45&amp;"_"&amp;$C$23:$C$45,$D$23:$D$45)*$E913)</f>
        <v>8</v>
      </c>
      <c r="K913" s="67" cm="1">
        <f ca="1" t="array" ref="K913">MIN(18,_xlfn.XLOOKUP($D913&amp;"_"&amp;K$61,$B$23:$B$45&amp;"_"&amp;$C$23:$C$45,$D$23:$D$45)*$E913)</f>
        <v>3.55580622837371</v>
      </c>
      <c r="L913" s="67" cm="1">
        <f ca="1" t="array" ref="L913">MIN(6,_xlfn.XLOOKUP($D913&amp;"_"&amp;L$61,$B$23:$B$45&amp;"_"&amp;$C$23:$C$45,$D$23:$D$45)*$E913)</f>
        <v>5.33370934256055</v>
      </c>
      <c r="M913" s="67" cm="1">
        <f ca="1" t="array" ref="M913">(1+SUMPRODUCT(G913:H913,OFFSET($H$49:$I$49,D913,0)))*(1+OFFSET($J$49,D913,0))^I913*(1+OFFSET($K$49,D913,0))^J913*(1+OFFSET($L$49,D913,0))^K913*(1+OFFSET($M$49,D913,0))^L913</f>
        <v>313.690997345038</v>
      </c>
      <c r="N913" s="67">
        <f ca="1">MAX(MAX($N$62:N912),OFFSET($C$61,MATCH(M913*1.07,$M$62:$M$2061,1),0)-C913)</f>
        <v>29160</v>
      </c>
    </row>
    <row r="914" spans="2:14">
      <c r="B914" s="67">
        <v>853</v>
      </c>
      <c r="C914" s="67">
        <f t="shared" si="88"/>
        <v>307080</v>
      </c>
      <c r="D914" s="67">
        <f t="shared" si="84"/>
        <v>5</v>
      </c>
      <c r="E914" s="67">
        <f ca="1" t="shared" si="85"/>
        <v>883</v>
      </c>
      <c r="F914" s="67">
        <f ca="1" t="shared" si="86"/>
        <v>0</v>
      </c>
      <c r="G914" s="67">
        <f ca="1" t="shared" si="87"/>
        <v>0</v>
      </c>
      <c r="H914" s="67" cm="1">
        <f ca="1" t="array" ref="H914">MIN(30-SUM(I914:L914),_xlfn.XLOOKUP($D914&amp;"_"&amp;H$61,$B$23:$B$45&amp;"_"&amp;$C$23:$C$45,$D$23:$D$45)*$E914,18)</f>
        <v>12.4401622452903</v>
      </c>
      <c r="I914" s="67" cm="1">
        <f ca="1" t="array" ref="I914">MIN(30-SUM(J914:L914),6-L914,_xlfn.XLOOKUP($D914&amp;"_"&amp;I$61,$B$23:$B$45&amp;"_"&amp;$C$23:$C$45,$D$23:$D$45)*$E914)</f>
        <v>0.660243367935408</v>
      </c>
      <c r="J914" s="67" cm="1">
        <f ca="1" t="array" ref="J914">MIN(8,_xlfn.XLOOKUP($D914&amp;"_"&amp;J$61,$B$23:$B$45&amp;"_"&amp;$C$23:$C$45,$D$23:$D$45)*$E914)</f>
        <v>8</v>
      </c>
      <c r="K914" s="67" cm="1">
        <f ca="1" t="array" ref="K914">MIN(18,_xlfn.XLOOKUP($D914&amp;"_"&amp;K$61,$B$23:$B$45&amp;"_"&amp;$C$23:$C$45,$D$23:$D$45)*$E914)</f>
        <v>3.55983775470973</v>
      </c>
      <c r="L914" s="67" cm="1">
        <f ca="1" t="array" ref="L914">MIN(6,_xlfn.XLOOKUP($D914&amp;"_"&amp;L$61,$B$23:$B$45&amp;"_"&amp;$C$23:$C$45,$D$23:$D$45)*$E914)</f>
        <v>5.33975663206459</v>
      </c>
      <c r="M914" s="67" cm="1">
        <f ca="1" t="array" ref="M914">(1+SUMPRODUCT(G914:H914,OFFSET($H$49:$I$49,D914,0)))*(1+OFFSET($J$49,D914,0))^I914*(1+OFFSET($K$49,D914,0))^J914*(1+OFFSET($L$49,D914,0))^K914*(1+OFFSET($M$49,D914,0))^L914</f>
        <v>313.952537442946</v>
      </c>
      <c r="N914" s="67">
        <f ca="1">MAX(MAX($N$62:N913),OFFSET($C$61,MATCH(M914*1.07,$M$62:$M$2061,1),0)-C914)</f>
        <v>29160</v>
      </c>
    </row>
    <row r="915" spans="2:14">
      <c r="B915" s="67">
        <v>854</v>
      </c>
      <c r="C915" s="67">
        <f t="shared" si="88"/>
        <v>307440</v>
      </c>
      <c r="D915" s="67">
        <f t="shared" si="84"/>
        <v>5</v>
      </c>
      <c r="E915" s="67">
        <f ca="1" t="shared" si="85"/>
        <v>884</v>
      </c>
      <c r="F915" s="67">
        <f ca="1" t="shared" si="86"/>
        <v>0</v>
      </c>
      <c r="G915" s="67">
        <f ca="1" t="shared" si="87"/>
        <v>0</v>
      </c>
      <c r="H915" s="67" cm="1">
        <f ca="1" t="array" ref="H915">MIN(30-SUM(I915:L915),_xlfn.XLOOKUP($D915&amp;"_"&amp;H$61,$B$23:$B$45&amp;"_"&amp;$C$23:$C$45,$D$23:$D$45)*$E915,18)</f>
        <v>12.4361307189542</v>
      </c>
      <c r="I915" s="67" cm="1">
        <f ca="1" t="array" ref="I915">MIN(30-SUM(J915:L915),6-L915,_xlfn.XLOOKUP($D915&amp;"_"&amp;I$61,$B$23:$B$45&amp;"_"&amp;$C$23:$C$45,$D$23:$D$45)*$E915)</f>
        <v>0.654196078431371</v>
      </c>
      <c r="J915" s="67" cm="1">
        <f ca="1" t="array" ref="J915">MIN(8,_xlfn.XLOOKUP($D915&amp;"_"&amp;J$61,$B$23:$B$45&amp;"_"&amp;$C$23:$C$45,$D$23:$D$45)*$E915)</f>
        <v>8</v>
      </c>
      <c r="K915" s="67" cm="1">
        <f ca="1" t="array" ref="K915">MIN(18,_xlfn.XLOOKUP($D915&amp;"_"&amp;K$61,$B$23:$B$45&amp;"_"&amp;$C$23:$C$45,$D$23:$D$45)*$E915)</f>
        <v>3.56386928104575</v>
      </c>
      <c r="L915" s="67" cm="1">
        <f ca="1" t="array" ref="L915">MIN(6,_xlfn.XLOOKUP($D915&amp;"_"&amp;L$61,$B$23:$B$45&amp;"_"&amp;$C$23:$C$45,$D$23:$D$45)*$E915)</f>
        <v>5.34580392156863</v>
      </c>
      <c r="M915" s="67" cm="1">
        <f ca="1" t="array" ref="M915">(1+SUMPRODUCT(G915:H915,OFFSET($H$49:$I$49,D915,0)))*(1+OFFSET($J$49,D915,0))^I915*(1+OFFSET($K$49,D915,0))^J915*(1+OFFSET($L$49,D915,0))^K915*(1+OFFSET($M$49,D915,0))^L915</f>
        <v>314.214278809591</v>
      </c>
      <c r="N915" s="67">
        <f ca="1">MAX(MAX($N$62:N914),OFFSET($C$61,MATCH(M915*1.07,$M$62:$M$2061,1),0)-C915)</f>
        <v>29160</v>
      </c>
    </row>
    <row r="916" spans="2:14">
      <c r="B916" s="67">
        <v>855</v>
      </c>
      <c r="C916" s="67">
        <f t="shared" si="88"/>
        <v>307800</v>
      </c>
      <c r="D916" s="67">
        <f t="shared" si="84"/>
        <v>5</v>
      </c>
      <c r="E916" s="67">
        <f ca="1" t="shared" si="85"/>
        <v>885</v>
      </c>
      <c r="F916" s="67">
        <f ca="1" t="shared" si="86"/>
        <v>0</v>
      </c>
      <c r="G916" s="67">
        <f ca="1" t="shared" si="87"/>
        <v>0</v>
      </c>
      <c r="H916" s="67" cm="1">
        <f ca="1" t="array" ref="H916">MIN(30-SUM(I916:L916),_xlfn.XLOOKUP($D916&amp;"_"&amp;H$61,$B$23:$B$45&amp;"_"&amp;$C$23:$C$45,$D$23:$D$45)*$E916,18)</f>
        <v>12.4320991926182</v>
      </c>
      <c r="I916" s="67" cm="1">
        <f ca="1" t="array" ref="I916">MIN(30-SUM(J916:L916),6-L916,_xlfn.XLOOKUP($D916&amp;"_"&amp;I$61,$B$23:$B$45&amp;"_"&amp;$C$23:$C$45,$D$23:$D$45)*$E916)</f>
        <v>0.648148788927334</v>
      </c>
      <c r="J916" s="67" cm="1">
        <f ca="1" t="array" ref="J916">MIN(8,_xlfn.XLOOKUP($D916&amp;"_"&amp;J$61,$B$23:$B$45&amp;"_"&amp;$C$23:$C$45,$D$23:$D$45)*$E916)</f>
        <v>8</v>
      </c>
      <c r="K916" s="67" cm="1">
        <f ca="1" t="array" ref="K916">MIN(18,_xlfn.XLOOKUP($D916&amp;"_"&amp;K$61,$B$23:$B$45&amp;"_"&amp;$C$23:$C$45,$D$23:$D$45)*$E916)</f>
        <v>3.56790080738178</v>
      </c>
      <c r="L916" s="67" cm="1">
        <f ca="1" t="array" ref="L916">MIN(6,_xlfn.XLOOKUP($D916&amp;"_"&amp;L$61,$B$23:$B$45&amp;"_"&amp;$C$23:$C$45,$D$23:$D$45)*$E916)</f>
        <v>5.35185121107267</v>
      </c>
      <c r="M916" s="67" cm="1">
        <f ca="1" t="array" ref="M916">(1+SUMPRODUCT(G916:H916,OFFSET($H$49:$I$49,D916,0)))*(1+OFFSET($J$49,D916,0))^I916*(1+OFFSET($K$49,D916,0))^J916*(1+OFFSET($L$49,D916,0))^K916*(1+OFFSET($M$49,D916,0))^L916</f>
        <v>314.476221577013</v>
      </c>
      <c r="N916" s="67">
        <f ca="1">MAX(MAX($N$62:N915),OFFSET($C$61,MATCH(M916*1.07,$M$62:$M$2061,1),0)-C916)</f>
        <v>29160</v>
      </c>
    </row>
    <row r="917" spans="2:14">
      <c r="B917" s="67">
        <v>856</v>
      </c>
      <c r="C917" s="67">
        <f t="shared" si="88"/>
        <v>308160</v>
      </c>
      <c r="D917" s="67">
        <f t="shared" si="84"/>
        <v>5</v>
      </c>
      <c r="E917" s="67">
        <f ca="1" t="shared" si="85"/>
        <v>886</v>
      </c>
      <c r="F917" s="67">
        <f ca="1" t="shared" si="86"/>
        <v>0</v>
      </c>
      <c r="G917" s="67">
        <f ca="1" t="shared" si="87"/>
        <v>0</v>
      </c>
      <c r="H917" s="67" cm="1">
        <f ca="1" t="array" ref="H917">MIN(30-SUM(I917:L917),_xlfn.XLOOKUP($D917&amp;"_"&amp;H$61,$B$23:$B$45&amp;"_"&amp;$C$23:$C$45,$D$23:$D$45)*$E917,18)</f>
        <v>12.4280676662822</v>
      </c>
      <c r="I917" s="67" cm="1">
        <f ca="1" t="array" ref="I917">MIN(30-SUM(J917:L917),6-L917,_xlfn.XLOOKUP($D917&amp;"_"&amp;I$61,$B$23:$B$45&amp;"_"&amp;$C$23:$C$45,$D$23:$D$45)*$E917)</f>
        <v>0.642101499423298</v>
      </c>
      <c r="J917" s="67" cm="1">
        <f ca="1" t="array" ref="J917">MIN(8,_xlfn.XLOOKUP($D917&amp;"_"&amp;J$61,$B$23:$B$45&amp;"_"&amp;$C$23:$C$45,$D$23:$D$45)*$E917)</f>
        <v>8</v>
      </c>
      <c r="K917" s="67" cm="1">
        <f ca="1" t="array" ref="K917">MIN(18,_xlfn.XLOOKUP($D917&amp;"_"&amp;K$61,$B$23:$B$45&amp;"_"&amp;$C$23:$C$45,$D$23:$D$45)*$E917)</f>
        <v>3.5719323337178</v>
      </c>
      <c r="L917" s="67" cm="1">
        <f ca="1" t="array" ref="L917">MIN(6,_xlfn.XLOOKUP($D917&amp;"_"&amp;L$61,$B$23:$B$45&amp;"_"&amp;$C$23:$C$45,$D$23:$D$45)*$E917)</f>
        <v>5.3578985005767</v>
      </c>
      <c r="M917" s="67" cm="1">
        <f ca="1" t="array" ref="M917">(1+SUMPRODUCT(G917:H917,OFFSET($H$49:$I$49,D917,0)))*(1+OFFSET($J$49,D917,0))^I917*(1+OFFSET($K$49,D917,0))^J917*(1+OFFSET($L$49,D917,0))^K917*(1+OFFSET($M$49,D917,0))^L917</f>
        <v>314.738365877307</v>
      </c>
      <c r="N917" s="67">
        <f ca="1">MAX(MAX($N$62:N916),OFFSET($C$61,MATCH(M917*1.07,$M$62:$M$2061,1),0)-C917)</f>
        <v>29160</v>
      </c>
    </row>
    <row r="918" spans="2:14">
      <c r="B918" s="67">
        <v>857</v>
      </c>
      <c r="C918" s="67">
        <f t="shared" si="88"/>
        <v>308520</v>
      </c>
      <c r="D918" s="67">
        <f t="shared" si="84"/>
        <v>5</v>
      </c>
      <c r="E918" s="67">
        <f ca="1" t="shared" si="85"/>
        <v>887</v>
      </c>
      <c r="F918" s="67">
        <f ca="1" t="shared" si="86"/>
        <v>0</v>
      </c>
      <c r="G918" s="67">
        <f ca="1" t="shared" si="87"/>
        <v>0</v>
      </c>
      <c r="H918" s="67" cm="1">
        <f ca="1" t="array" ref="H918">MIN(30-SUM(I918:L918),_xlfn.XLOOKUP($D918&amp;"_"&amp;H$61,$B$23:$B$45&amp;"_"&amp;$C$23:$C$45,$D$23:$D$45)*$E918,18)</f>
        <v>12.4240361399462</v>
      </c>
      <c r="I918" s="67" cm="1">
        <f ca="1" t="array" ref="I918">MIN(30-SUM(J918:L918),6-L918,_xlfn.XLOOKUP($D918&amp;"_"&amp;I$61,$B$23:$B$45&amp;"_"&amp;$C$23:$C$45,$D$23:$D$45)*$E918)</f>
        <v>0.63605420991926</v>
      </c>
      <c r="J918" s="67" cm="1">
        <f ca="1" t="array" ref="J918">MIN(8,_xlfn.XLOOKUP($D918&amp;"_"&amp;J$61,$B$23:$B$45&amp;"_"&amp;$C$23:$C$45,$D$23:$D$45)*$E918)</f>
        <v>8</v>
      </c>
      <c r="K918" s="67" cm="1">
        <f ca="1" t="array" ref="K918">MIN(18,_xlfn.XLOOKUP($D918&amp;"_"&amp;K$61,$B$23:$B$45&amp;"_"&amp;$C$23:$C$45,$D$23:$D$45)*$E918)</f>
        <v>3.57596386005383</v>
      </c>
      <c r="L918" s="67" cm="1">
        <f ca="1" t="array" ref="L918">MIN(6,_xlfn.XLOOKUP($D918&amp;"_"&amp;L$61,$B$23:$B$45&amp;"_"&amp;$C$23:$C$45,$D$23:$D$45)*$E918)</f>
        <v>5.36394579008074</v>
      </c>
      <c r="M918" s="67" cm="1">
        <f ca="1" t="array" ref="M918">(1+SUMPRODUCT(G918:H918,OFFSET($H$49:$I$49,D918,0)))*(1+OFFSET($J$49,D918,0))^I918*(1+OFFSET($K$49,D918,0))^J918*(1+OFFSET($L$49,D918,0))^K918*(1+OFFSET($M$49,D918,0))^L918</f>
        <v>315.000711842618</v>
      </c>
      <c r="N918" s="67">
        <f ca="1">MAX(MAX($N$62:N917),OFFSET($C$61,MATCH(M918*1.07,$M$62:$M$2061,1),0)-C918)</f>
        <v>29160</v>
      </c>
    </row>
    <row r="919" spans="2:14">
      <c r="B919" s="67">
        <v>858</v>
      </c>
      <c r="C919" s="67">
        <f t="shared" si="88"/>
        <v>308880</v>
      </c>
      <c r="D919" s="67">
        <f t="shared" si="84"/>
        <v>5</v>
      </c>
      <c r="E919" s="67">
        <f ca="1" t="shared" si="85"/>
        <v>888</v>
      </c>
      <c r="F919" s="67">
        <f ca="1" t="shared" si="86"/>
        <v>0</v>
      </c>
      <c r="G919" s="67">
        <f ca="1" t="shared" si="87"/>
        <v>0</v>
      </c>
      <c r="H919" s="67" cm="1">
        <f ca="1" t="array" ref="H919">MIN(30-SUM(I919:L919),_xlfn.XLOOKUP($D919&amp;"_"&amp;H$61,$B$23:$B$45&amp;"_"&amp;$C$23:$C$45,$D$23:$D$45)*$E919,18)</f>
        <v>12.4200046136101</v>
      </c>
      <c r="I919" s="67" cm="1">
        <f ca="1" t="array" ref="I919">MIN(30-SUM(J919:L919),6-L919,_xlfn.XLOOKUP($D919&amp;"_"&amp;I$61,$B$23:$B$45&amp;"_"&amp;$C$23:$C$45,$D$23:$D$45)*$E919)</f>
        <v>0.630006920415224</v>
      </c>
      <c r="J919" s="67" cm="1">
        <f ca="1" t="array" ref="J919">MIN(8,_xlfn.XLOOKUP($D919&amp;"_"&amp;J$61,$B$23:$B$45&amp;"_"&amp;$C$23:$C$45,$D$23:$D$45)*$E919)</f>
        <v>8</v>
      </c>
      <c r="K919" s="67" cm="1">
        <f ca="1" t="array" ref="K919">MIN(18,_xlfn.XLOOKUP($D919&amp;"_"&amp;K$61,$B$23:$B$45&amp;"_"&amp;$C$23:$C$45,$D$23:$D$45)*$E919)</f>
        <v>3.57999538638985</v>
      </c>
      <c r="L919" s="67" cm="1">
        <f ca="1" t="array" ref="L919">MIN(6,_xlfn.XLOOKUP($D919&amp;"_"&amp;L$61,$B$23:$B$45&amp;"_"&amp;$C$23:$C$45,$D$23:$D$45)*$E919)</f>
        <v>5.36999307958478</v>
      </c>
      <c r="M919" s="67" cm="1">
        <f ca="1" t="array" ref="M919">(1+SUMPRODUCT(G919:H919,OFFSET($H$49:$I$49,D919,0)))*(1+OFFSET($J$49,D919,0))^I919*(1+OFFSET($K$49,D919,0))^J919*(1+OFFSET($L$49,D919,0))^K919*(1+OFFSET($M$49,D919,0))^L919</f>
        <v>315.263259605146</v>
      </c>
      <c r="N919" s="67">
        <f ca="1">MAX(MAX($N$62:N918),OFFSET($C$61,MATCH(M919*1.07,$M$62:$M$2061,1),0)-C919)</f>
        <v>29160</v>
      </c>
    </row>
    <row r="920" spans="2:14">
      <c r="B920" s="67">
        <v>859</v>
      </c>
      <c r="C920" s="67">
        <f t="shared" si="88"/>
        <v>309240</v>
      </c>
      <c r="D920" s="67">
        <f t="shared" si="84"/>
        <v>5</v>
      </c>
      <c r="E920" s="67">
        <f ca="1" t="shared" si="85"/>
        <v>889</v>
      </c>
      <c r="F920" s="67">
        <f ca="1" t="shared" si="86"/>
        <v>0</v>
      </c>
      <c r="G920" s="67">
        <f ca="1" t="shared" si="87"/>
        <v>0</v>
      </c>
      <c r="H920" s="67" cm="1">
        <f ca="1" t="array" ref="H920">MIN(30-SUM(I920:L920),_xlfn.XLOOKUP($D920&amp;"_"&amp;H$61,$B$23:$B$45&amp;"_"&amp;$C$23:$C$45,$D$23:$D$45)*$E920,18)</f>
        <v>12.4159730872741</v>
      </c>
      <c r="I920" s="67" cm="1">
        <f ca="1" t="array" ref="I920">MIN(30-SUM(J920:L920),6-L920,_xlfn.XLOOKUP($D920&amp;"_"&amp;I$61,$B$23:$B$45&amp;"_"&amp;$C$23:$C$45,$D$23:$D$45)*$E920)</f>
        <v>0.623959630911187</v>
      </c>
      <c r="J920" s="67" cm="1">
        <f ca="1" t="array" ref="J920">MIN(8,_xlfn.XLOOKUP($D920&amp;"_"&amp;J$61,$B$23:$B$45&amp;"_"&amp;$C$23:$C$45,$D$23:$D$45)*$E920)</f>
        <v>8</v>
      </c>
      <c r="K920" s="67" cm="1">
        <f ca="1" t="array" ref="K920">MIN(18,_xlfn.XLOOKUP($D920&amp;"_"&amp;K$61,$B$23:$B$45&amp;"_"&amp;$C$23:$C$45,$D$23:$D$45)*$E920)</f>
        <v>3.58402691272588</v>
      </c>
      <c r="L920" s="67" cm="1">
        <f ca="1" t="array" ref="L920">MIN(6,_xlfn.XLOOKUP($D920&amp;"_"&amp;L$61,$B$23:$B$45&amp;"_"&amp;$C$23:$C$45,$D$23:$D$45)*$E920)</f>
        <v>5.37604036908881</v>
      </c>
      <c r="M920" s="67" cm="1">
        <f ca="1" t="array" ref="M920">(1+SUMPRODUCT(G920:H920,OFFSET($H$49:$I$49,D920,0)))*(1+OFFSET($J$49,D920,0))^I920*(1+OFFSET($K$49,D920,0))^J920*(1+OFFSET($L$49,D920,0))^K920*(1+OFFSET($M$49,D920,0))^L920</f>
        <v>315.526009297142</v>
      </c>
      <c r="N920" s="67">
        <f ca="1">MAX(MAX($N$62:N919),OFFSET($C$61,MATCH(M920*1.07,$M$62:$M$2061,1),0)-C920)</f>
        <v>29160</v>
      </c>
    </row>
    <row r="921" spans="2:14">
      <c r="B921" s="67">
        <v>860</v>
      </c>
      <c r="C921" s="67">
        <f t="shared" si="88"/>
        <v>309600</v>
      </c>
      <c r="D921" s="67">
        <f t="shared" si="84"/>
        <v>5</v>
      </c>
      <c r="E921" s="67">
        <f ca="1" t="shared" si="85"/>
        <v>890</v>
      </c>
      <c r="F921" s="67">
        <f ca="1" t="shared" si="86"/>
        <v>0</v>
      </c>
      <c r="G921" s="67">
        <f ca="1" t="shared" si="87"/>
        <v>0</v>
      </c>
      <c r="H921" s="67" cm="1">
        <f ca="1" t="array" ref="H921">MIN(30-SUM(I921:L921),_xlfn.XLOOKUP($D921&amp;"_"&amp;H$61,$B$23:$B$45&amp;"_"&amp;$C$23:$C$45,$D$23:$D$45)*$E921,18)</f>
        <v>12.4119415609381</v>
      </c>
      <c r="I921" s="67" cm="1">
        <f ca="1" t="array" ref="I921">MIN(30-SUM(J921:L921),6-L921,_xlfn.XLOOKUP($D921&amp;"_"&amp;I$61,$B$23:$B$45&amp;"_"&amp;$C$23:$C$45,$D$23:$D$45)*$E921)</f>
        <v>0.61791234140715</v>
      </c>
      <c r="J921" s="67" cm="1">
        <f ca="1" t="array" ref="J921">MIN(8,_xlfn.XLOOKUP($D921&amp;"_"&amp;J$61,$B$23:$B$45&amp;"_"&amp;$C$23:$C$45,$D$23:$D$45)*$E921)</f>
        <v>8</v>
      </c>
      <c r="K921" s="67" cm="1">
        <f ca="1" t="array" ref="K921">MIN(18,_xlfn.XLOOKUP($D921&amp;"_"&amp;K$61,$B$23:$B$45&amp;"_"&amp;$C$23:$C$45,$D$23:$D$45)*$E921)</f>
        <v>3.5880584390619</v>
      </c>
      <c r="L921" s="67" cm="1">
        <f ca="1" t="array" ref="L921">MIN(6,_xlfn.XLOOKUP($D921&amp;"_"&amp;L$61,$B$23:$B$45&amp;"_"&amp;$C$23:$C$45,$D$23:$D$45)*$E921)</f>
        <v>5.38208765859285</v>
      </c>
      <c r="M921" s="67" cm="1">
        <f ca="1" t="array" ref="M921">(1+SUMPRODUCT(G921:H921,OFFSET($H$49:$I$49,D921,0)))*(1+OFFSET($J$49,D921,0))^I921*(1+OFFSET($K$49,D921,0))^J921*(1+OFFSET($L$49,D921,0))^K921*(1+OFFSET($M$49,D921,0))^L921</f>
        <v>315.788961050913</v>
      </c>
      <c r="N921" s="67">
        <f ca="1">MAX(MAX($N$62:N920),OFFSET($C$61,MATCH(M921*1.07,$M$62:$M$2061,1),0)-C921)</f>
        <v>29160</v>
      </c>
    </row>
    <row r="922" spans="2:14">
      <c r="B922" s="67">
        <v>861</v>
      </c>
      <c r="C922" s="67">
        <f t="shared" si="88"/>
        <v>309960</v>
      </c>
      <c r="D922" s="67">
        <f t="shared" si="84"/>
        <v>5</v>
      </c>
      <c r="E922" s="67">
        <f ca="1" t="shared" si="85"/>
        <v>891</v>
      </c>
      <c r="F922" s="67">
        <f ca="1" t="shared" si="86"/>
        <v>0</v>
      </c>
      <c r="G922" s="67">
        <f ca="1" t="shared" si="87"/>
        <v>0</v>
      </c>
      <c r="H922" s="67" cm="1">
        <f ca="1" t="array" ref="H922">MIN(30-SUM(I922:L922),_xlfn.XLOOKUP($D922&amp;"_"&amp;H$61,$B$23:$B$45&amp;"_"&amp;$C$23:$C$45,$D$23:$D$45)*$E922,18)</f>
        <v>12.4079100346021</v>
      </c>
      <c r="I922" s="67" cm="1">
        <f ca="1" t="array" ref="I922">MIN(30-SUM(J922:L922),6-L922,_xlfn.XLOOKUP($D922&amp;"_"&amp;I$61,$B$23:$B$45&amp;"_"&amp;$C$23:$C$45,$D$23:$D$45)*$E922)</f>
        <v>0.611865051903113</v>
      </c>
      <c r="J922" s="67" cm="1">
        <f ca="1" t="array" ref="J922">MIN(8,_xlfn.XLOOKUP($D922&amp;"_"&amp;J$61,$B$23:$B$45&amp;"_"&amp;$C$23:$C$45,$D$23:$D$45)*$E922)</f>
        <v>8</v>
      </c>
      <c r="K922" s="67" cm="1">
        <f ca="1" t="array" ref="K922">MIN(18,_xlfn.XLOOKUP($D922&amp;"_"&amp;K$61,$B$23:$B$45&amp;"_"&amp;$C$23:$C$45,$D$23:$D$45)*$E922)</f>
        <v>3.59208996539793</v>
      </c>
      <c r="L922" s="67" cm="1">
        <f ca="1" t="array" ref="L922">MIN(6,_xlfn.XLOOKUP($D922&amp;"_"&amp;L$61,$B$23:$B$45&amp;"_"&amp;$C$23:$C$45,$D$23:$D$45)*$E922)</f>
        <v>5.38813494809689</v>
      </c>
      <c r="M922" s="67" cm="1">
        <f ca="1" t="array" ref="M922">(1+SUMPRODUCT(G922:H922,OFFSET($H$49:$I$49,D922,0)))*(1+OFFSET($J$49,D922,0))^I922*(1+OFFSET($K$49,D922,0))^J922*(1+OFFSET($L$49,D922,0))^K922*(1+OFFSET($M$49,D922,0))^L922</f>
        <v>316.052114998815</v>
      </c>
      <c r="N922" s="67">
        <f ca="1">MAX(MAX($N$62:N921),OFFSET($C$61,MATCH(M922*1.07,$M$62:$M$2061,1),0)-C922)</f>
        <v>29160</v>
      </c>
    </row>
    <row r="923" spans="2:14">
      <c r="B923" s="67">
        <v>862</v>
      </c>
      <c r="C923" s="67">
        <f t="shared" si="88"/>
        <v>310320</v>
      </c>
      <c r="D923" s="67">
        <f t="shared" si="84"/>
        <v>5</v>
      </c>
      <c r="E923" s="67">
        <f ca="1" t="shared" si="85"/>
        <v>892</v>
      </c>
      <c r="F923" s="67">
        <f ca="1" t="shared" si="86"/>
        <v>0</v>
      </c>
      <c r="G923" s="67">
        <f ca="1" t="shared" si="87"/>
        <v>0</v>
      </c>
      <c r="H923" s="67" cm="1">
        <f ca="1" t="array" ref="H923">MIN(30-SUM(I923:L923),_xlfn.XLOOKUP($D923&amp;"_"&amp;H$61,$B$23:$B$45&amp;"_"&amp;$C$23:$C$45,$D$23:$D$45)*$E923,18)</f>
        <v>12.403878508266</v>
      </c>
      <c r="I923" s="67" cm="1">
        <f ca="1" t="array" ref="I923">MIN(30-SUM(J923:L923),6-L923,_xlfn.XLOOKUP($D923&amp;"_"&amp;I$61,$B$23:$B$45&amp;"_"&amp;$C$23:$C$45,$D$23:$D$45)*$E923)</f>
        <v>0.605817762399076</v>
      </c>
      <c r="J923" s="67" cm="1">
        <f ca="1" t="array" ref="J923">MIN(8,_xlfn.XLOOKUP($D923&amp;"_"&amp;J$61,$B$23:$B$45&amp;"_"&amp;$C$23:$C$45,$D$23:$D$45)*$E923)</f>
        <v>8</v>
      </c>
      <c r="K923" s="67" cm="1">
        <f ca="1" t="array" ref="K923">MIN(18,_xlfn.XLOOKUP($D923&amp;"_"&amp;K$61,$B$23:$B$45&amp;"_"&amp;$C$23:$C$45,$D$23:$D$45)*$E923)</f>
        <v>3.59612149173395</v>
      </c>
      <c r="L923" s="67" cm="1">
        <f ca="1" t="array" ref="L923">MIN(6,_xlfn.XLOOKUP($D923&amp;"_"&amp;L$61,$B$23:$B$45&amp;"_"&amp;$C$23:$C$45,$D$23:$D$45)*$E923)</f>
        <v>5.39418223760092</v>
      </c>
      <c r="M923" s="67" cm="1">
        <f ca="1" t="array" ref="M923">(1+SUMPRODUCT(G923:H923,OFFSET($H$49:$I$49,D923,0)))*(1+OFFSET($J$49,D923,0))^I923*(1+OFFSET($K$49,D923,0))^J923*(1+OFFSET($L$49,D923,0))^K923*(1+OFFSET($M$49,D923,0))^L923</f>
        <v>316.31547127326</v>
      </c>
      <c r="N923" s="67">
        <f ca="1">MAX(MAX($N$62:N922),OFFSET($C$61,MATCH(M923*1.07,$M$62:$M$2061,1),0)-C923)</f>
        <v>29160</v>
      </c>
    </row>
    <row r="924" spans="2:14">
      <c r="B924" s="67">
        <v>863</v>
      </c>
      <c r="C924" s="67">
        <f t="shared" si="88"/>
        <v>310680</v>
      </c>
      <c r="D924" s="67">
        <f t="shared" si="84"/>
        <v>5</v>
      </c>
      <c r="E924" s="67">
        <f ca="1" t="shared" si="85"/>
        <v>893</v>
      </c>
      <c r="F924" s="67">
        <f ca="1" t="shared" si="86"/>
        <v>0</v>
      </c>
      <c r="G924" s="67">
        <f ca="1" t="shared" si="87"/>
        <v>0</v>
      </c>
      <c r="H924" s="67" cm="1">
        <f ca="1" t="array" ref="H924">MIN(30-SUM(I924:L924),_xlfn.XLOOKUP($D924&amp;"_"&amp;H$61,$B$23:$B$45&amp;"_"&amp;$C$23:$C$45,$D$23:$D$45)*$E924,18)</f>
        <v>12.39984698193</v>
      </c>
      <c r="I924" s="67" cm="1">
        <f ca="1" t="array" ref="I924">MIN(30-SUM(J924:L924),6-L924,_xlfn.XLOOKUP($D924&amp;"_"&amp;I$61,$B$23:$B$45&amp;"_"&amp;$C$23:$C$45,$D$23:$D$45)*$E924)</f>
        <v>0.599770472895039</v>
      </c>
      <c r="J924" s="67" cm="1">
        <f ca="1" t="array" ref="J924">MIN(8,_xlfn.XLOOKUP($D924&amp;"_"&amp;J$61,$B$23:$B$45&amp;"_"&amp;$C$23:$C$45,$D$23:$D$45)*$E924)</f>
        <v>8</v>
      </c>
      <c r="K924" s="67" cm="1">
        <f ca="1" t="array" ref="K924">MIN(18,_xlfn.XLOOKUP($D924&amp;"_"&amp;K$61,$B$23:$B$45&amp;"_"&amp;$C$23:$C$45,$D$23:$D$45)*$E924)</f>
        <v>3.60015301806998</v>
      </c>
      <c r="L924" s="67" cm="1">
        <f ca="1" t="array" ref="L924">MIN(6,_xlfn.XLOOKUP($D924&amp;"_"&amp;L$61,$B$23:$B$45&amp;"_"&amp;$C$23:$C$45,$D$23:$D$45)*$E924)</f>
        <v>5.40022952710496</v>
      </c>
      <c r="M924" s="67" cm="1">
        <f ca="1" t="array" ref="M924">(1+SUMPRODUCT(G924:H924,OFFSET($H$49:$I$49,D924,0)))*(1+OFFSET($J$49,D924,0))^I924*(1+OFFSET($K$49,D924,0))^J924*(1+OFFSET($L$49,D924,0))^K924*(1+OFFSET($M$49,D924,0))^L924</f>
        <v>316.579030006709</v>
      </c>
      <c r="N924" s="67">
        <f ca="1">MAX(MAX($N$62:N923),OFFSET($C$61,MATCH(M924*1.07,$M$62:$M$2061,1),0)-C924)</f>
        <v>29160</v>
      </c>
    </row>
    <row r="925" spans="2:14">
      <c r="B925" s="67">
        <v>864</v>
      </c>
      <c r="C925" s="67">
        <f t="shared" si="88"/>
        <v>311040</v>
      </c>
      <c r="D925" s="67">
        <f t="shared" si="84"/>
        <v>5</v>
      </c>
      <c r="E925" s="67">
        <f ca="1" t="shared" si="85"/>
        <v>894</v>
      </c>
      <c r="F925" s="67">
        <f ca="1" t="shared" si="86"/>
        <v>0</v>
      </c>
      <c r="G925" s="67">
        <f ca="1" t="shared" si="87"/>
        <v>0</v>
      </c>
      <c r="H925" s="67" cm="1">
        <f ca="1" t="array" ref="H925">MIN(30-SUM(I925:L925),_xlfn.XLOOKUP($D925&amp;"_"&amp;H$61,$B$23:$B$45&amp;"_"&amp;$C$23:$C$45,$D$23:$D$45)*$E925,18)</f>
        <v>12.395815455594</v>
      </c>
      <c r="I925" s="67" cm="1">
        <f ca="1" t="array" ref="I925">MIN(30-SUM(J925:L925),6-L925,_xlfn.XLOOKUP($D925&amp;"_"&amp;I$61,$B$23:$B$45&amp;"_"&amp;$C$23:$C$45,$D$23:$D$45)*$E925)</f>
        <v>0.593723183391003</v>
      </c>
      <c r="J925" s="67" cm="1">
        <f ca="1" t="array" ref="J925">MIN(8,_xlfn.XLOOKUP($D925&amp;"_"&amp;J$61,$B$23:$B$45&amp;"_"&amp;$C$23:$C$45,$D$23:$D$45)*$E925)</f>
        <v>8</v>
      </c>
      <c r="K925" s="67" cm="1">
        <f ca="1" t="array" ref="K925">MIN(18,_xlfn.XLOOKUP($D925&amp;"_"&amp;K$61,$B$23:$B$45&amp;"_"&amp;$C$23:$C$45,$D$23:$D$45)*$E925)</f>
        <v>3.604184544406</v>
      </c>
      <c r="L925" s="67" cm="1">
        <f ca="1" t="array" ref="L925">MIN(6,_xlfn.XLOOKUP($D925&amp;"_"&amp;L$61,$B$23:$B$45&amp;"_"&amp;$C$23:$C$45,$D$23:$D$45)*$E925)</f>
        <v>5.406276816609</v>
      </c>
      <c r="M925" s="67" cm="1">
        <f ca="1" t="array" ref="M925">(1+SUMPRODUCT(G925:H925,OFFSET($H$49:$I$49,D925,0)))*(1+OFFSET($J$49,D925,0))^I925*(1+OFFSET($K$49,D925,0))^J925*(1+OFFSET($L$49,D925,0))^K925*(1+OFFSET($M$49,D925,0))^L925</f>
        <v>316.842791331679</v>
      </c>
      <c r="N925" s="67">
        <f ca="1">MAX(MAX($N$62:N924),OFFSET($C$61,MATCH(M925*1.07,$M$62:$M$2061,1),0)-C925)</f>
        <v>29160</v>
      </c>
    </row>
    <row r="926" spans="2:14">
      <c r="B926" s="67">
        <v>865</v>
      </c>
      <c r="C926" s="67">
        <f t="shared" si="88"/>
        <v>311400</v>
      </c>
      <c r="D926" s="67">
        <f t="shared" si="84"/>
        <v>5</v>
      </c>
      <c r="E926" s="67">
        <f ca="1" t="shared" si="85"/>
        <v>895</v>
      </c>
      <c r="F926" s="67">
        <f ca="1" t="shared" si="86"/>
        <v>0</v>
      </c>
      <c r="G926" s="67">
        <f ca="1" t="shared" si="87"/>
        <v>0</v>
      </c>
      <c r="H926" s="67" cm="1">
        <f ca="1" t="array" ref="H926">MIN(30-SUM(I926:L926),_xlfn.XLOOKUP($D926&amp;"_"&amp;H$61,$B$23:$B$45&amp;"_"&amp;$C$23:$C$45,$D$23:$D$45)*$E926,18)</f>
        <v>12.391783929258</v>
      </c>
      <c r="I926" s="67" cm="1">
        <f ca="1" t="array" ref="I926">MIN(30-SUM(J926:L926),6-L926,_xlfn.XLOOKUP($D926&amp;"_"&amp;I$61,$B$23:$B$45&amp;"_"&amp;$C$23:$C$45,$D$23:$D$45)*$E926)</f>
        <v>0.587675893886965</v>
      </c>
      <c r="J926" s="67" cm="1">
        <f ca="1" t="array" ref="J926">MIN(8,_xlfn.XLOOKUP($D926&amp;"_"&amp;J$61,$B$23:$B$45&amp;"_"&amp;$C$23:$C$45,$D$23:$D$45)*$E926)</f>
        <v>8</v>
      </c>
      <c r="K926" s="67" cm="1">
        <f ca="1" t="array" ref="K926">MIN(18,_xlfn.XLOOKUP($D926&amp;"_"&amp;K$61,$B$23:$B$45&amp;"_"&amp;$C$23:$C$45,$D$23:$D$45)*$E926)</f>
        <v>3.60821607074203</v>
      </c>
      <c r="L926" s="67" cm="1">
        <f ca="1" t="array" ref="L926">MIN(6,_xlfn.XLOOKUP($D926&amp;"_"&amp;L$61,$B$23:$B$45&amp;"_"&amp;$C$23:$C$45,$D$23:$D$45)*$E926)</f>
        <v>5.41232410611303</v>
      </c>
      <c r="M926" s="67" cm="1">
        <f ca="1" t="array" ref="M926">(1+SUMPRODUCT(G926:H926,OFFSET($H$49:$I$49,D926,0)))*(1+OFFSET($J$49,D926,0))^I926*(1+OFFSET($K$49,D926,0))^J926*(1+OFFSET($L$49,D926,0))^K926*(1+OFFSET($M$49,D926,0))^L926</f>
        <v>317.106755380738</v>
      </c>
      <c r="N926" s="67">
        <f ca="1">MAX(MAX($N$62:N925),OFFSET($C$61,MATCH(M926*1.07,$M$62:$M$2061,1),0)-C926)</f>
        <v>29160</v>
      </c>
    </row>
    <row r="927" spans="2:14">
      <c r="B927" s="67">
        <v>866</v>
      </c>
      <c r="C927" s="67">
        <f t="shared" si="88"/>
        <v>311760</v>
      </c>
      <c r="D927" s="67">
        <f t="shared" si="84"/>
        <v>5</v>
      </c>
      <c r="E927" s="67">
        <f ca="1" t="shared" si="85"/>
        <v>896</v>
      </c>
      <c r="F927" s="67">
        <f ca="1" t="shared" si="86"/>
        <v>0</v>
      </c>
      <c r="G927" s="67">
        <f ca="1" t="shared" si="87"/>
        <v>0</v>
      </c>
      <c r="H927" s="67" cm="1">
        <f ca="1" t="array" ref="H927">MIN(30-SUM(I927:L927),_xlfn.XLOOKUP($D927&amp;"_"&amp;H$61,$B$23:$B$45&amp;"_"&amp;$C$23:$C$45,$D$23:$D$45)*$E927,18)</f>
        <v>12.387752402922</v>
      </c>
      <c r="I927" s="67" cm="1">
        <f ca="1" t="array" ref="I927">MIN(30-SUM(J927:L927),6-L927,_xlfn.XLOOKUP($D927&amp;"_"&amp;I$61,$B$23:$B$45&amp;"_"&amp;$C$23:$C$45,$D$23:$D$45)*$E927)</f>
        <v>0.581628604382928</v>
      </c>
      <c r="J927" s="67" cm="1">
        <f ca="1" t="array" ref="J927">MIN(8,_xlfn.XLOOKUP($D927&amp;"_"&amp;J$61,$B$23:$B$45&amp;"_"&amp;$C$23:$C$45,$D$23:$D$45)*$E927)</f>
        <v>8</v>
      </c>
      <c r="K927" s="67" cm="1">
        <f ca="1" t="array" ref="K927">MIN(18,_xlfn.XLOOKUP($D927&amp;"_"&amp;K$61,$B$23:$B$45&amp;"_"&amp;$C$23:$C$45,$D$23:$D$45)*$E927)</f>
        <v>3.61224759707805</v>
      </c>
      <c r="L927" s="67" cm="1">
        <f ca="1" t="array" ref="L927">MIN(6,_xlfn.XLOOKUP($D927&amp;"_"&amp;L$61,$B$23:$B$45&amp;"_"&amp;$C$23:$C$45,$D$23:$D$45)*$E927)</f>
        <v>5.41837139561707</v>
      </c>
      <c r="M927" s="67" cm="1">
        <f ca="1" t="array" ref="M927">(1+SUMPRODUCT(G927:H927,OFFSET($H$49:$I$49,D927,0)))*(1+OFFSET($J$49,D927,0))^I927*(1+OFFSET($K$49,D927,0))^J927*(1+OFFSET($L$49,D927,0))^K927*(1+OFFSET($M$49,D927,0))^L927</f>
        <v>317.370922286508</v>
      </c>
      <c r="N927" s="67">
        <f ca="1">MAX(MAX($N$62:N926),OFFSET($C$61,MATCH(M927*1.07,$M$62:$M$2061,1),0)-C927)</f>
        <v>29160</v>
      </c>
    </row>
    <row r="928" spans="2:14">
      <c r="B928" s="67">
        <v>867</v>
      </c>
      <c r="C928" s="67">
        <f t="shared" si="88"/>
        <v>312120</v>
      </c>
      <c r="D928" s="67">
        <f t="shared" si="84"/>
        <v>5</v>
      </c>
      <c r="E928" s="67">
        <f ca="1" t="shared" si="85"/>
        <v>897</v>
      </c>
      <c r="F928" s="67">
        <f ca="1" t="shared" si="86"/>
        <v>0</v>
      </c>
      <c r="G928" s="67">
        <f ca="1" t="shared" si="87"/>
        <v>0</v>
      </c>
      <c r="H928" s="67" cm="1">
        <f ca="1" t="array" ref="H928">MIN(30-SUM(I928:L928),_xlfn.XLOOKUP($D928&amp;"_"&amp;H$61,$B$23:$B$45&amp;"_"&amp;$C$23:$C$45,$D$23:$D$45)*$E928,18)</f>
        <v>12.3837208765859</v>
      </c>
      <c r="I928" s="67" cm="1">
        <f ca="1" t="array" ref="I928">MIN(30-SUM(J928:L928),6-L928,_xlfn.XLOOKUP($D928&amp;"_"&amp;I$61,$B$23:$B$45&amp;"_"&amp;$C$23:$C$45,$D$23:$D$45)*$E928)</f>
        <v>0.575581314878892</v>
      </c>
      <c r="J928" s="67" cm="1">
        <f ca="1" t="array" ref="J928">MIN(8,_xlfn.XLOOKUP($D928&amp;"_"&amp;J$61,$B$23:$B$45&amp;"_"&amp;$C$23:$C$45,$D$23:$D$45)*$E928)</f>
        <v>8</v>
      </c>
      <c r="K928" s="67" cm="1">
        <f ca="1" t="array" ref="K928">MIN(18,_xlfn.XLOOKUP($D928&amp;"_"&amp;K$61,$B$23:$B$45&amp;"_"&amp;$C$23:$C$45,$D$23:$D$45)*$E928)</f>
        <v>3.61627912341407</v>
      </c>
      <c r="L928" s="67" cm="1">
        <f ca="1" t="array" ref="L928">MIN(6,_xlfn.XLOOKUP($D928&amp;"_"&amp;L$61,$B$23:$B$45&amp;"_"&amp;$C$23:$C$45,$D$23:$D$45)*$E928)</f>
        <v>5.42441868512111</v>
      </c>
      <c r="M928" s="67" cm="1">
        <f ca="1" t="array" ref="M928">(1+SUMPRODUCT(G928:H928,OFFSET($H$49:$I$49,D928,0)))*(1+OFFSET($J$49,D928,0))^I928*(1+OFFSET($K$49,D928,0))^J928*(1+OFFSET($L$49,D928,0))^K928*(1+OFFSET($M$49,D928,0))^L928</f>
        <v>317.635292181661</v>
      </c>
      <c r="N928" s="67">
        <f ca="1">MAX(MAX($N$62:N927),OFFSET($C$61,MATCH(M928*1.07,$M$62:$M$2061,1),0)-C928)</f>
        <v>29160</v>
      </c>
    </row>
    <row r="929" spans="2:14">
      <c r="B929" s="67">
        <v>868</v>
      </c>
      <c r="C929" s="67">
        <f t="shared" si="88"/>
        <v>312480</v>
      </c>
      <c r="D929" s="67">
        <f t="shared" si="84"/>
        <v>5</v>
      </c>
      <c r="E929" s="67">
        <f ca="1" t="shared" si="85"/>
        <v>898</v>
      </c>
      <c r="F929" s="67">
        <f ca="1" t="shared" si="86"/>
        <v>0</v>
      </c>
      <c r="G929" s="67">
        <f ca="1" t="shared" si="87"/>
        <v>0</v>
      </c>
      <c r="H929" s="67" cm="1">
        <f ca="1" t="array" ref="H929">MIN(30-SUM(I929:L929),_xlfn.XLOOKUP($D929&amp;"_"&amp;H$61,$B$23:$B$45&amp;"_"&amp;$C$23:$C$45,$D$23:$D$45)*$E929,18)</f>
        <v>12.3796893502499</v>
      </c>
      <c r="I929" s="67" cm="1">
        <f ca="1" t="array" ref="I929">MIN(30-SUM(J929:L929),6-L929,_xlfn.XLOOKUP($D929&amp;"_"&amp;I$61,$B$23:$B$45&amp;"_"&amp;$C$23:$C$45,$D$23:$D$45)*$E929)</f>
        <v>0.569534025374854</v>
      </c>
      <c r="J929" s="67" cm="1">
        <f ca="1" t="array" ref="J929">MIN(8,_xlfn.XLOOKUP($D929&amp;"_"&amp;J$61,$B$23:$B$45&amp;"_"&amp;$C$23:$C$45,$D$23:$D$45)*$E929)</f>
        <v>8</v>
      </c>
      <c r="K929" s="67" cm="1">
        <f ca="1" t="array" ref="K929">MIN(18,_xlfn.XLOOKUP($D929&amp;"_"&amp;K$61,$B$23:$B$45&amp;"_"&amp;$C$23:$C$45,$D$23:$D$45)*$E929)</f>
        <v>3.6203106497501</v>
      </c>
      <c r="L929" s="67" cm="1">
        <f ca="1" t="array" ref="L929">MIN(6,_xlfn.XLOOKUP($D929&amp;"_"&amp;L$61,$B$23:$B$45&amp;"_"&amp;$C$23:$C$45,$D$23:$D$45)*$E929)</f>
        <v>5.43046597462515</v>
      </c>
      <c r="M929" s="67" cm="1">
        <f ca="1" t="array" ref="M929">(1+SUMPRODUCT(G929:H929,OFFSET($H$49:$I$49,D929,0)))*(1+OFFSET($J$49,D929,0))^I929*(1+OFFSET($K$49,D929,0))^J929*(1+OFFSET($L$49,D929,0))^K929*(1+OFFSET($M$49,D929,0))^L929</f>
        <v>317.899865198923</v>
      </c>
      <c r="N929" s="67">
        <f ca="1">MAX(MAX($N$62:N928),OFFSET($C$61,MATCH(M929*1.07,$M$62:$M$2061,1),0)-C929)</f>
        <v>29160</v>
      </c>
    </row>
    <row r="930" spans="2:14">
      <c r="B930" s="67">
        <v>869</v>
      </c>
      <c r="C930" s="67">
        <f t="shared" si="88"/>
        <v>312840</v>
      </c>
      <c r="D930" s="67">
        <f t="shared" si="84"/>
        <v>5</v>
      </c>
      <c r="E930" s="67">
        <f ca="1" t="shared" si="85"/>
        <v>899</v>
      </c>
      <c r="F930" s="67">
        <f ca="1" t="shared" si="86"/>
        <v>0</v>
      </c>
      <c r="G930" s="67">
        <f ca="1" t="shared" si="87"/>
        <v>0</v>
      </c>
      <c r="H930" s="67" cm="1">
        <f ca="1" t="array" ref="H930">MIN(30-SUM(I930:L930),_xlfn.XLOOKUP($D930&amp;"_"&amp;H$61,$B$23:$B$45&amp;"_"&amp;$C$23:$C$45,$D$23:$D$45)*$E930,18)</f>
        <v>12.3756578239139</v>
      </c>
      <c r="I930" s="67" cm="1">
        <f ca="1" t="array" ref="I930">MIN(30-SUM(J930:L930),6-L930,_xlfn.XLOOKUP($D930&amp;"_"&amp;I$61,$B$23:$B$45&amp;"_"&amp;$C$23:$C$45,$D$23:$D$45)*$E930)</f>
        <v>0.563486735870818</v>
      </c>
      <c r="J930" s="67" cm="1">
        <f ca="1" t="array" ref="J930">MIN(8,_xlfn.XLOOKUP($D930&amp;"_"&amp;J$61,$B$23:$B$45&amp;"_"&amp;$C$23:$C$45,$D$23:$D$45)*$E930)</f>
        <v>8</v>
      </c>
      <c r="K930" s="67" cm="1">
        <f ca="1" t="array" ref="K930">MIN(18,_xlfn.XLOOKUP($D930&amp;"_"&amp;K$61,$B$23:$B$45&amp;"_"&amp;$C$23:$C$45,$D$23:$D$45)*$E930)</f>
        <v>3.62434217608612</v>
      </c>
      <c r="L930" s="67" cm="1">
        <f ca="1" t="array" ref="L930">MIN(6,_xlfn.XLOOKUP($D930&amp;"_"&amp;L$61,$B$23:$B$45&amp;"_"&amp;$C$23:$C$45,$D$23:$D$45)*$E930)</f>
        <v>5.43651326412918</v>
      </c>
      <c r="M930" s="67" cm="1">
        <f ca="1" t="array" ref="M930">(1+SUMPRODUCT(G930:H930,OFFSET($H$49:$I$49,D930,0)))*(1+OFFSET($J$49,D930,0))^I930*(1+OFFSET($K$49,D930,0))^J930*(1+OFFSET($L$49,D930,0))^K930*(1+OFFSET($M$49,D930,0))^L930</f>
        <v>318.164641471073</v>
      </c>
      <c r="N930" s="67">
        <f ca="1">MAX(MAX($N$62:N929),OFFSET($C$61,MATCH(M930*1.07,$M$62:$M$2061,1),0)-C930)</f>
        <v>29160</v>
      </c>
    </row>
    <row r="931" spans="2:14">
      <c r="B931" s="67">
        <v>870</v>
      </c>
      <c r="C931" s="67">
        <f t="shared" si="88"/>
        <v>313200</v>
      </c>
      <c r="D931" s="67">
        <f t="shared" si="84"/>
        <v>5</v>
      </c>
      <c r="E931" s="67">
        <f ca="1" t="shared" si="85"/>
        <v>900</v>
      </c>
      <c r="F931" s="67">
        <f ca="1" t="shared" si="86"/>
        <v>0</v>
      </c>
      <c r="G931" s="67">
        <f ca="1" t="shared" si="87"/>
        <v>0</v>
      </c>
      <c r="H931" s="67" cm="1">
        <f ca="1" t="array" ref="H931">MIN(30-SUM(I931:L931),_xlfn.XLOOKUP($D931&amp;"_"&amp;H$61,$B$23:$B$45&amp;"_"&amp;$C$23:$C$45,$D$23:$D$45)*$E931,18)</f>
        <v>12.3716262975779</v>
      </c>
      <c r="I931" s="67" cm="1">
        <f ca="1" t="array" ref="I931">MIN(30-SUM(J931:L931),6-L931,_xlfn.XLOOKUP($D931&amp;"_"&amp;I$61,$B$23:$B$45&amp;"_"&amp;$C$23:$C$45,$D$23:$D$45)*$E931)</f>
        <v>0.55743944636678</v>
      </c>
      <c r="J931" s="67" cm="1">
        <f ca="1" t="array" ref="J931">MIN(8,_xlfn.XLOOKUP($D931&amp;"_"&amp;J$61,$B$23:$B$45&amp;"_"&amp;$C$23:$C$45,$D$23:$D$45)*$E931)</f>
        <v>8</v>
      </c>
      <c r="K931" s="67" cm="1">
        <f ca="1" t="array" ref="K931">MIN(18,_xlfn.XLOOKUP($D931&amp;"_"&amp;K$61,$B$23:$B$45&amp;"_"&amp;$C$23:$C$45,$D$23:$D$45)*$E931)</f>
        <v>3.62837370242215</v>
      </c>
      <c r="L931" s="67" cm="1">
        <f ca="1" t="array" ref="L931">MIN(6,_xlfn.XLOOKUP($D931&amp;"_"&amp;L$61,$B$23:$B$45&amp;"_"&amp;$C$23:$C$45,$D$23:$D$45)*$E931)</f>
        <v>5.44256055363322</v>
      </c>
      <c r="M931" s="67" cm="1">
        <f ca="1" t="array" ref="M931">(1+SUMPRODUCT(G931:H931,OFFSET($H$49:$I$49,D931,0)))*(1+OFFSET($J$49,D931,0))^I931*(1+OFFSET($K$49,D931,0))^J931*(1+OFFSET($L$49,D931,0))^K931*(1+OFFSET($M$49,D931,0))^L931</f>
        <v>318.429621130942</v>
      </c>
      <c r="N931" s="67">
        <f ca="1">MAX(MAX($N$62:N930),OFFSET($C$61,MATCH(M931*1.07,$M$62:$M$2061,1),0)-C931)</f>
        <v>29160</v>
      </c>
    </row>
    <row r="932" spans="2:14">
      <c r="B932" s="67">
        <v>871</v>
      </c>
      <c r="C932" s="67">
        <f t="shared" si="88"/>
        <v>313560</v>
      </c>
      <c r="D932" s="67">
        <f t="shared" si="84"/>
        <v>5</v>
      </c>
      <c r="E932" s="67">
        <f ca="1" t="shared" si="85"/>
        <v>901</v>
      </c>
      <c r="F932" s="67">
        <f ca="1" t="shared" si="86"/>
        <v>0</v>
      </c>
      <c r="G932" s="67">
        <f ca="1" t="shared" si="87"/>
        <v>0</v>
      </c>
      <c r="H932" s="67" cm="1">
        <f ca="1" t="array" ref="H932">MIN(30-SUM(I932:L932),_xlfn.XLOOKUP($D932&amp;"_"&amp;H$61,$B$23:$B$45&amp;"_"&amp;$C$23:$C$45,$D$23:$D$45)*$E932,18)</f>
        <v>12.3675947712418</v>
      </c>
      <c r="I932" s="67" cm="1">
        <f ca="1" t="array" ref="I932">MIN(30-SUM(J932:L932),6-L932,_xlfn.XLOOKUP($D932&amp;"_"&amp;I$61,$B$23:$B$45&amp;"_"&amp;$C$23:$C$45,$D$23:$D$45)*$E932)</f>
        <v>0.551392156862744</v>
      </c>
      <c r="J932" s="67" cm="1">
        <f ca="1" t="array" ref="J932">MIN(8,_xlfn.XLOOKUP($D932&amp;"_"&amp;J$61,$B$23:$B$45&amp;"_"&amp;$C$23:$C$45,$D$23:$D$45)*$E932)</f>
        <v>8</v>
      </c>
      <c r="K932" s="67" cm="1">
        <f ca="1" t="array" ref="K932">MIN(18,_xlfn.XLOOKUP($D932&amp;"_"&amp;K$61,$B$23:$B$45&amp;"_"&amp;$C$23:$C$45,$D$23:$D$45)*$E932)</f>
        <v>3.63240522875817</v>
      </c>
      <c r="L932" s="67" cm="1">
        <f ca="1" t="array" ref="L932">MIN(6,_xlfn.XLOOKUP($D932&amp;"_"&amp;L$61,$B$23:$B$45&amp;"_"&amp;$C$23:$C$45,$D$23:$D$45)*$E932)</f>
        <v>5.44860784313726</v>
      </c>
      <c r="M932" s="67" cm="1">
        <f ca="1" t="array" ref="M932">(1+SUMPRODUCT(G932:H932,OFFSET($H$49:$I$49,D932,0)))*(1+OFFSET($J$49,D932,0))^I932*(1+OFFSET($K$49,D932,0))^J932*(1+OFFSET($L$49,D932,0))^K932*(1+OFFSET($M$49,D932,0))^L932</f>
        <v>318.694804311413</v>
      </c>
      <c r="N932" s="67">
        <f ca="1">MAX(MAX($N$62:N931),OFFSET($C$61,MATCH(M932*1.07,$M$62:$M$2061,1),0)-C932)</f>
        <v>29160</v>
      </c>
    </row>
    <row r="933" spans="2:14">
      <c r="B933" s="67">
        <v>872</v>
      </c>
      <c r="C933" s="67">
        <f t="shared" si="88"/>
        <v>313920</v>
      </c>
      <c r="D933" s="67">
        <f t="shared" si="84"/>
        <v>5</v>
      </c>
      <c r="E933" s="67">
        <f ca="1" t="shared" si="85"/>
        <v>902</v>
      </c>
      <c r="F933" s="67">
        <f ca="1" t="shared" si="86"/>
        <v>0</v>
      </c>
      <c r="G933" s="67">
        <f ca="1" t="shared" si="87"/>
        <v>0</v>
      </c>
      <c r="H933" s="67" cm="1">
        <f ca="1" t="array" ref="H933">MIN(30-SUM(I933:L933),_xlfn.XLOOKUP($D933&amp;"_"&amp;H$61,$B$23:$B$45&amp;"_"&amp;$C$23:$C$45,$D$23:$D$45)*$E933,18)</f>
        <v>12.3635632449058</v>
      </c>
      <c r="I933" s="67" cm="1">
        <f ca="1" t="array" ref="I933">MIN(30-SUM(J933:L933),6-L933,_xlfn.XLOOKUP($D933&amp;"_"&amp;I$61,$B$23:$B$45&amp;"_"&amp;$C$23:$C$45,$D$23:$D$45)*$E933)</f>
        <v>0.545344867358707</v>
      </c>
      <c r="J933" s="67" cm="1">
        <f ca="1" t="array" ref="J933">MIN(8,_xlfn.XLOOKUP($D933&amp;"_"&amp;J$61,$B$23:$B$45&amp;"_"&amp;$C$23:$C$45,$D$23:$D$45)*$E933)</f>
        <v>8</v>
      </c>
      <c r="K933" s="67" cm="1">
        <f ca="1" t="array" ref="K933">MIN(18,_xlfn.XLOOKUP($D933&amp;"_"&amp;K$61,$B$23:$B$45&amp;"_"&amp;$C$23:$C$45,$D$23:$D$45)*$E933)</f>
        <v>3.6364367550942</v>
      </c>
      <c r="L933" s="67" cm="1">
        <f ca="1" t="array" ref="L933">MIN(6,_xlfn.XLOOKUP($D933&amp;"_"&amp;L$61,$B$23:$B$45&amp;"_"&amp;$C$23:$C$45,$D$23:$D$45)*$E933)</f>
        <v>5.45465513264129</v>
      </c>
      <c r="M933" s="67" cm="1">
        <f ca="1" t="array" ref="M933">(1+SUMPRODUCT(G933:H933,OFFSET($H$49:$I$49,D933,0)))*(1+OFFSET($J$49,D933,0))^I933*(1+OFFSET($K$49,D933,0))^J933*(1+OFFSET($L$49,D933,0))^K933*(1+OFFSET($M$49,D933,0))^L933</f>
        <v>318.960191145421</v>
      </c>
      <c r="N933" s="67">
        <f ca="1">MAX(MAX($N$62:N932),OFFSET($C$61,MATCH(M933*1.07,$M$62:$M$2061,1),0)-C933)</f>
        <v>29160</v>
      </c>
    </row>
    <row r="934" spans="2:14">
      <c r="B934" s="67">
        <v>873</v>
      </c>
      <c r="C934" s="67">
        <f t="shared" si="88"/>
        <v>314280</v>
      </c>
      <c r="D934" s="67">
        <f t="shared" si="84"/>
        <v>5</v>
      </c>
      <c r="E934" s="67">
        <f ca="1" t="shared" si="85"/>
        <v>903</v>
      </c>
      <c r="F934" s="67">
        <f ca="1" t="shared" si="86"/>
        <v>0</v>
      </c>
      <c r="G934" s="67">
        <f ca="1" t="shared" si="87"/>
        <v>0</v>
      </c>
      <c r="H934" s="67" cm="1">
        <f ca="1" t="array" ref="H934">MIN(30-SUM(I934:L934),_xlfn.XLOOKUP($D934&amp;"_"&amp;H$61,$B$23:$B$45&amp;"_"&amp;$C$23:$C$45,$D$23:$D$45)*$E934,18)</f>
        <v>12.3595317185698</v>
      </c>
      <c r="I934" s="67" cm="1">
        <f ca="1" t="array" ref="I934">MIN(30-SUM(J934:L934),6-L934,_xlfn.XLOOKUP($D934&amp;"_"&amp;I$61,$B$23:$B$45&amp;"_"&amp;$C$23:$C$45,$D$23:$D$45)*$E934)</f>
        <v>0.53929757785467</v>
      </c>
      <c r="J934" s="67" cm="1">
        <f ca="1" t="array" ref="J934">MIN(8,_xlfn.XLOOKUP($D934&amp;"_"&amp;J$61,$B$23:$B$45&amp;"_"&amp;$C$23:$C$45,$D$23:$D$45)*$E934)</f>
        <v>8</v>
      </c>
      <c r="K934" s="67" cm="1">
        <f ca="1" t="array" ref="K934">MIN(18,_xlfn.XLOOKUP($D934&amp;"_"&amp;K$61,$B$23:$B$45&amp;"_"&amp;$C$23:$C$45,$D$23:$D$45)*$E934)</f>
        <v>3.64046828143022</v>
      </c>
      <c r="L934" s="67" cm="1">
        <f ca="1" t="array" ref="L934">MIN(6,_xlfn.XLOOKUP($D934&amp;"_"&amp;L$61,$B$23:$B$45&amp;"_"&amp;$C$23:$C$45,$D$23:$D$45)*$E934)</f>
        <v>5.46070242214533</v>
      </c>
      <c r="M934" s="67" cm="1">
        <f ca="1" t="array" ref="M934">(1+SUMPRODUCT(G934:H934,OFFSET($H$49:$I$49,D934,0)))*(1+OFFSET($J$49,D934,0))^I934*(1+OFFSET($K$49,D934,0))^J934*(1+OFFSET($L$49,D934,0))^K934*(1+OFFSET($M$49,D934,0))^L934</f>
        <v>319.225781765954</v>
      </c>
      <c r="N934" s="67">
        <f ca="1">MAX(MAX($N$62:N933),OFFSET($C$61,MATCH(M934*1.07,$M$62:$M$2061,1),0)-C934)</f>
        <v>29160</v>
      </c>
    </row>
    <row r="935" spans="2:14">
      <c r="B935" s="67">
        <v>874</v>
      </c>
      <c r="C935" s="67">
        <f t="shared" si="88"/>
        <v>314640</v>
      </c>
      <c r="D935" s="67">
        <f t="shared" si="84"/>
        <v>5</v>
      </c>
      <c r="E935" s="67">
        <f ca="1" t="shared" si="85"/>
        <v>904</v>
      </c>
      <c r="F935" s="67">
        <f ca="1" t="shared" si="86"/>
        <v>0</v>
      </c>
      <c r="G935" s="67">
        <f ca="1" t="shared" si="87"/>
        <v>0</v>
      </c>
      <c r="H935" s="67" cm="1">
        <f ca="1" t="array" ref="H935">MIN(30-SUM(I935:L935),_xlfn.XLOOKUP($D935&amp;"_"&amp;H$61,$B$23:$B$45&amp;"_"&amp;$C$23:$C$45,$D$23:$D$45)*$E935,18)</f>
        <v>12.3555001922338</v>
      </c>
      <c r="I935" s="67" cm="1">
        <f ca="1" t="array" ref="I935">MIN(30-SUM(J935:L935),6-L935,_xlfn.XLOOKUP($D935&amp;"_"&amp;I$61,$B$23:$B$45&amp;"_"&amp;$C$23:$C$45,$D$23:$D$45)*$E935)</f>
        <v>0.533250288350633</v>
      </c>
      <c r="J935" s="67" cm="1">
        <f ca="1" t="array" ref="J935">MIN(8,_xlfn.XLOOKUP($D935&amp;"_"&amp;J$61,$B$23:$B$45&amp;"_"&amp;$C$23:$C$45,$D$23:$D$45)*$E935)</f>
        <v>8</v>
      </c>
      <c r="K935" s="67" cm="1">
        <f ca="1" t="array" ref="K935">MIN(18,_xlfn.XLOOKUP($D935&amp;"_"&amp;K$61,$B$23:$B$45&amp;"_"&amp;$C$23:$C$45,$D$23:$D$45)*$E935)</f>
        <v>3.64449980776625</v>
      </c>
      <c r="L935" s="67" cm="1">
        <f ca="1" t="array" ref="L935">MIN(6,_xlfn.XLOOKUP($D935&amp;"_"&amp;L$61,$B$23:$B$45&amp;"_"&amp;$C$23:$C$45,$D$23:$D$45)*$E935)</f>
        <v>5.46674971164937</v>
      </c>
      <c r="M935" s="67" cm="1">
        <f ca="1" t="array" ref="M935">(1+SUMPRODUCT(G935:H935,OFFSET($H$49:$I$49,D935,0)))*(1+OFFSET($J$49,D935,0))^I935*(1+OFFSET($K$49,D935,0))^J935*(1+OFFSET($L$49,D935,0))^K935*(1+OFFSET($M$49,D935,0))^L935</f>
        <v>319.491576306053</v>
      </c>
      <c r="N935" s="67">
        <f ca="1">MAX(MAX($N$62:N934),OFFSET($C$61,MATCH(M935*1.07,$M$62:$M$2061,1),0)-C935)</f>
        <v>29160</v>
      </c>
    </row>
    <row r="936" spans="2:14">
      <c r="B936" s="67">
        <v>875</v>
      </c>
      <c r="C936" s="67">
        <f t="shared" si="88"/>
        <v>315000</v>
      </c>
      <c r="D936" s="67">
        <f t="shared" si="84"/>
        <v>5</v>
      </c>
      <c r="E936" s="67">
        <f ca="1" t="shared" si="85"/>
        <v>905</v>
      </c>
      <c r="F936" s="67">
        <f ca="1" t="shared" si="86"/>
        <v>0</v>
      </c>
      <c r="G936" s="67">
        <f ca="1" t="shared" si="87"/>
        <v>0</v>
      </c>
      <c r="H936" s="67" cm="1">
        <f ca="1" t="array" ref="H936">MIN(30-SUM(I936:L936),_xlfn.XLOOKUP($D936&amp;"_"&amp;H$61,$B$23:$B$45&amp;"_"&amp;$C$23:$C$45,$D$23:$D$45)*$E936,18)</f>
        <v>12.3514686658977</v>
      </c>
      <c r="I936" s="67" cm="1">
        <f ca="1" t="array" ref="I936">MIN(30-SUM(J936:L936),6-L936,_xlfn.XLOOKUP($D936&amp;"_"&amp;I$61,$B$23:$B$45&amp;"_"&amp;$C$23:$C$45,$D$23:$D$45)*$E936)</f>
        <v>0.527202998846596</v>
      </c>
      <c r="J936" s="67" cm="1">
        <f ca="1" t="array" ref="J936">MIN(8,_xlfn.XLOOKUP($D936&amp;"_"&amp;J$61,$B$23:$B$45&amp;"_"&amp;$C$23:$C$45,$D$23:$D$45)*$E936)</f>
        <v>8</v>
      </c>
      <c r="K936" s="67" cm="1">
        <f ca="1" t="array" ref="K936">MIN(18,_xlfn.XLOOKUP($D936&amp;"_"&amp;K$61,$B$23:$B$45&amp;"_"&amp;$C$23:$C$45,$D$23:$D$45)*$E936)</f>
        <v>3.64853133410227</v>
      </c>
      <c r="L936" s="67" cm="1">
        <f ca="1" t="array" ref="L936">MIN(6,_xlfn.XLOOKUP($D936&amp;"_"&amp;L$61,$B$23:$B$45&amp;"_"&amp;$C$23:$C$45,$D$23:$D$45)*$E936)</f>
        <v>5.4727970011534</v>
      </c>
      <c r="M936" s="67" cm="1">
        <f ca="1" t="array" ref="M936">(1+SUMPRODUCT(G936:H936,OFFSET($H$49:$I$49,D936,0)))*(1+OFFSET($J$49,D936,0))^I936*(1+OFFSET($K$49,D936,0))^J936*(1+OFFSET($L$49,D936,0))^K936*(1+OFFSET($M$49,D936,0))^L936</f>
        <v>319.757574898809</v>
      </c>
      <c r="N936" s="67">
        <f ca="1">MAX(MAX($N$62:N935),OFFSET($C$61,MATCH(M936*1.07,$M$62:$M$2061,1),0)-C936)</f>
        <v>29160</v>
      </c>
    </row>
    <row r="937" spans="2:14">
      <c r="B937" s="67">
        <v>876</v>
      </c>
      <c r="C937" s="67">
        <f t="shared" si="88"/>
        <v>315360</v>
      </c>
      <c r="D937" s="67">
        <f t="shared" si="84"/>
        <v>5</v>
      </c>
      <c r="E937" s="67">
        <f ca="1" t="shared" si="85"/>
        <v>906</v>
      </c>
      <c r="F937" s="67">
        <f ca="1" t="shared" si="86"/>
        <v>0</v>
      </c>
      <c r="G937" s="67">
        <f ca="1" t="shared" si="87"/>
        <v>0</v>
      </c>
      <c r="H937" s="67" cm="1">
        <f ca="1" t="array" ref="H937">MIN(30-SUM(I937:L937),_xlfn.XLOOKUP($D937&amp;"_"&amp;H$61,$B$23:$B$45&amp;"_"&amp;$C$23:$C$45,$D$23:$D$45)*$E937,18)</f>
        <v>12.3474371395617</v>
      </c>
      <c r="I937" s="67" cm="1">
        <f ca="1" t="array" ref="I937">MIN(30-SUM(J937:L937),6-L937,_xlfn.XLOOKUP($D937&amp;"_"&amp;I$61,$B$23:$B$45&amp;"_"&amp;$C$23:$C$45,$D$23:$D$45)*$E937)</f>
        <v>0.521155709342559</v>
      </c>
      <c r="J937" s="67" cm="1">
        <f ca="1" t="array" ref="J937">MIN(8,_xlfn.XLOOKUP($D937&amp;"_"&amp;J$61,$B$23:$B$45&amp;"_"&amp;$C$23:$C$45,$D$23:$D$45)*$E937)</f>
        <v>8</v>
      </c>
      <c r="K937" s="67" cm="1">
        <f ca="1" t="array" ref="K937">MIN(18,_xlfn.XLOOKUP($D937&amp;"_"&amp;K$61,$B$23:$B$45&amp;"_"&amp;$C$23:$C$45,$D$23:$D$45)*$E937)</f>
        <v>3.6525628604383</v>
      </c>
      <c r="L937" s="67" cm="1">
        <f ca="1" t="array" ref="L937">MIN(6,_xlfn.XLOOKUP($D937&amp;"_"&amp;L$61,$B$23:$B$45&amp;"_"&amp;$C$23:$C$45,$D$23:$D$45)*$E937)</f>
        <v>5.47884429065744</v>
      </c>
      <c r="M937" s="67" cm="1">
        <f ca="1" t="array" ref="M937">(1+SUMPRODUCT(G937:H937,OFFSET($H$49:$I$49,D937,0)))*(1+OFFSET($J$49,D937,0))^I937*(1+OFFSET($K$49,D937,0))^J937*(1+OFFSET($L$49,D937,0))^K937*(1+OFFSET($M$49,D937,0))^L937</f>
        <v>320.023777677367</v>
      </c>
      <c r="N937" s="67">
        <f ca="1">MAX(MAX($N$62:N936),OFFSET($C$61,MATCH(M937*1.07,$M$62:$M$2061,1),0)-C937)</f>
        <v>29160</v>
      </c>
    </row>
    <row r="938" spans="2:14">
      <c r="B938" s="67">
        <v>877</v>
      </c>
      <c r="C938" s="67">
        <f t="shared" si="88"/>
        <v>315720</v>
      </c>
      <c r="D938" s="67">
        <f t="shared" si="84"/>
        <v>5</v>
      </c>
      <c r="E938" s="67">
        <f ca="1" t="shared" si="85"/>
        <v>907</v>
      </c>
      <c r="F938" s="67">
        <f ca="1" t="shared" si="86"/>
        <v>0</v>
      </c>
      <c r="G938" s="67">
        <f ca="1" t="shared" si="87"/>
        <v>0</v>
      </c>
      <c r="H938" s="67" cm="1">
        <f ca="1" t="array" ref="H938">MIN(30-SUM(I938:L938),_xlfn.XLOOKUP($D938&amp;"_"&amp;H$61,$B$23:$B$45&amp;"_"&amp;$C$23:$C$45,$D$23:$D$45)*$E938,18)</f>
        <v>12.3434056132257</v>
      </c>
      <c r="I938" s="67" cm="1">
        <f ca="1" t="array" ref="I938">MIN(30-SUM(J938:L938),6-L938,_xlfn.XLOOKUP($D938&amp;"_"&amp;I$61,$B$23:$B$45&amp;"_"&amp;$C$23:$C$45,$D$23:$D$45)*$E938)</f>
        <v>0.515108419838523</v>
      </c>
      <c r="J938" s="67" cm="1">
        <f ca="1" t="array" ref="J938">MIN(8,_xlfn.XLOOKUP($D938&amp;"_"&amp;J$61,$B$23:$B$45&amp;"_"&amp;$C$23:$C$45,$D$23:$D$45)*$E938)</f>
        <v>8</v>
      </c>
      <c r="K938" s="67" cm="1">
        <f ca="1" t="array" ref="K938">MIN(18,_xlfn.XLOOKUP($D938&amp;"_"&amp;K$61,$B$23:$B$45&amp;"_"&amp;$C$23:$C$45,$D$23:$D$45)*$E938)</f>
        <v>3.65659438677432</v>
      </c>
      <c r="L938" s="67" cm="1">
        <f ca="1" t="array" ref="L938">MIN(6,_xlfn.XLOOKUP($D938&amp;"_"&amp;L$61,$B$23:$B$45&amp;"_"&amp;$C$23:$C$45,$D$23:$D$45)*$E938)</f>
        <v>5.48489158016148</v>
      </c>
      <c r="M938" s="67" cm="1">
        <f ca="1" t="array" ref="M938">(1+SUMPRODUCT(G938:H938,OFFSET($H$49:$I$49,D938,0)))*(1+OFFSET($J$49,D938,0))^I938*(1+OFFSET($K$49,D938,0))^J938*(1+OFFSET($L$49,D938,0))^K938*(1+OFFSET($M$49,D938,0))^L938</f>
        <v>320.290184774924</v>
      </c>
      <c r="N938" s="67">
        <f ca="1">MAX(MAX($N$62:N937),OFFSET($C$61,MATCH(M938*1.07,$M$62:$M$2061,1),0)-C938)</f>
        <v>29160</v>
      </c>
    </row>
    <row r="939" spans="2:14">
      <c r="B939" s="67">
        <v>878</v>
      </c>
      <c r="C939" s="67">
        <f t="shared" si="88"/>
        <v>316080</v>
      </c>
      <c r="D939" s="67">
        <f t="shared" si="84"/>
        <v>5</v>
      </c>
      <c r="E939" s="67">
        <f ca="1" t="shared" si="85"/>
        <v>908</v>
      </c>
      <c r="F939" s="67">
        <f ca="1" t="shared" si="86"/>
        <v>0</v>
      </c>
      <c r="G939" s="67">
        <f ca="1" t="shared" si="87"/>
        <v>0</v>
      </c>
      <c r="H939" s="67" cm="1">
        <f ca="1" t="array" ref="H939">MIN(30-SUM(I939:L939),_xlfn.XLOOKUP($D939&amp;"_"&amp;H$61,$B$23:$B$45&amp;"_"&amp;$C$23:$C$45,$D$23:$D$45)*$E939,18)</f>
        <v>12.3393740868897</v>
      </c>
      <c r="I939" s="67" cm="1">
        <f ca="1" t="array" ref="I939">MIN(30-SUM(J939:L939),6-L939,_xlfn.XLOOKUP($D939&amp;"_"&amp;I$61,$B$23:$B$45&amp;"_"&amp;$C$23:$C$45,$D$23:$D$45)*$E939)</f>
        <v>0.509061130334485</v>
      </c>
      <c r="J939" s="67" cm="1">
        <f ca="1" t="array" ref="J939">MIN(8,_xlfn.XLOOKUP($D939&amp;"_"&amp;J$61,$B$23:$B$45&amp;"_"&amp;$C$23:$C$45,$D$23:$D$45)*$E939)</f>
        <v>8</v>
      </c>
      <c r="K939" s="67" cm="1">
        <f ca="1" t="array" ref="K939">MIN(18,_xlfn.XLOOKUP($D939&amp;"_"&amp;K$61,$B$23:$B$45&amp;"_"&amp;$C$23:$C$45,$D$23:$D$45)*$E939)</f>
        <v>3.66062591311035</v>
      </c>
      <c r="L939" s="67" cm="1">
        <f ca="1" t="array" ref="L939">MIN(6,_xlfn.XLOOKUP($D939&amp;"_"&amp;L$61,$B$23:$B$45&amp;"_"&amp;$C$23:$C$45,$D$23:$D$45)*$E939)</f>
        <v>5.49093886966551</v>
      </c>
      <c r="M939" s="67" cm="1">
        <f ca="1" t="array" ref="M939">(1+SUMPRODUCT(G939:H939,OFFSET($H$49:$I$49,D939,0)))*(1+OFFSET($J$49,D939,0))^I939*(1+OFFSET($K$49,D939,0))^J939*(1+OFFSET($L$49,D939,0))^K939*(1+OFFSET($M$49,D939,0))^L939</f>
        <v>320.556796324728</v>
      </c>
      <c r="N939" s="67">
        <f ca="1">MAX(MAX($N$62:N938),OFFSET($C$61,MATCH(M939*1.07,$M$62:$M$2061,1),0)-C939)</f>
        <v>29160</v>
      </c>
    </row>
    <row r="940" spans="2:14">
      <c r="B940" s="67">
        <v>879</v>
      </c>
      <c r="C940" s="67">
        <f t="shared" si="88"/>
        <v>316440</v>
      </c>
      <c r="D940" s="67">
        <f t="shared" si="84"/>
        <v>5</v>
      </c>
      <c r="E940" s="67">
        <f ca="1" t="shared" si="85"/>
        <v>909</v>
      </c>
      <c r="F940" s="67">
        <f ca="1" t="shared" si="86"/>
        <v>0</v>
      </c>
      <c r="G940" s="67">
        <f ca="1" t="shared" si="87"/>
        <v>0</v>
      </c>
      <c r="H940" s="67" cm="1">
        <f ca="1" t="array" ref="H940">MIN(30-SUM(I940:L940),_xlfn.XLOOKUP($D940&amp;"_"&amp;H$61,$B$23:$B$45&amp;"_"&amp;$C$23:$C$45,$D$23:$D$45)*$E940,18)</f>
        <v>12.3353425605536</v>
      </c>
      <c r="I940" s="67" cm="1">
        <f ca="1" t="array" ref="I940">MIN(30-SUM(J940:L940),6-L940,_xlfn.XLOOKUP($D940&amp;"_"&amp;I$61,$B$23:$B$45&amp;"_"&amp;$C$23:$C$45,$D$23:$D$45)*$E940)</f>
        <v>0.503013840830449</v>
      </c>
      <c r="J940" s="67" cm="1">
        <f ca="1" t="array" ref="J940">MIN(8,_xlfn.XLOOKUP($D940&amp;"_"&amp;J$61,$B$23:$B$45&amp;"_"&amp;$C$23:$C$45,$D$23:$D$45)*$E940)</f>
        <v>8</v>
      </c>
      <c r="K940" s="67" cm="1">
        <f ca="1" t="array" ref="K940">MIN(18,_xlfn.XLOOKUP($D940&amp;"_"&amp;K$61,$B$23:$B$45&amp;"_"&amp;$C$23:$C$45,$D$23:$D$45)*$E940)</f>
        <v>3.66465743944637</v>
      </c>
      <c r="L940" s="67" cm="1">
        <f ca="1" t="array" ref="L940">MIN(6,_xlfn.XLOOKUP($D940&amp;"_"&amp;L$61,$B$23:$B$45&amp;"_"&amp;$C$23:$C$45,$D$23:$D$45)*$E940)</f>
        <v>5.49698615916955</v>
      </c>
      <c r="M940" s="67" cm="1">
        <f ca="1" t="array" ref="M940">(1+SUMPRODUCT(G940:H940,OFFSET($H$49:$I$49,D940,0)))*(1+OFFSET($J$49,D940,0))^I940*(1+OFFSET($K$49,D940,0))^J940*(1+OFFSET($L$49,D940,0))^K940*(1+OFFSET($M$49,D940,0))^L940</f>
        <v>320.82361246008</v>
      </c>
      <c r="N940" s="67">
        <f ca="1">MAX(MAX($N$62:N939),OFFSET($C$61,MATCH(M940*1.07,$M$62:$M$2061,1),0)-C940)</f>
        <v>29160</v>
      </c>
    </row>
    <row r="941" spans="2:14">
      <c r="B941" s="67">
        <v>880</v>
      </c>
      <c r="C941" s="67">
        <f t="shared" si="88"/>
        <v>316800</v>
      </c>
      <c r="D941" s="67">
        <f t="shared" si="84"/>
        <v>5</v>
      </c>
      <c r="E941" s="67">
        <f ca="1" t="shared" si="85"/>
        <v>910</v>
      </c>
      <c r="F941" s="67">
        <f ca="1" t="shared" si="86"/>
        <v>0</v>
      </c>
      <c r="G941" s="67">
        <f ca="1" t="shared" si="87"/>
        <v>0</v>
      </c>
      <c r="H941" s="67" cm="1">
        <f ca="1" t="array" ref="H941">MIN(30-SUM(I941:L941),_xlfn.XLOOKUP($D941&amp;"_"&amp;H$61,$B$23:$B$45&amp;"_"&amp;$C$23:$C$45,$D$23:$D$45)*$E941,18)</f>
        <v>12.3313110342176</v>
      </c>
      <c r="I941" s="67" cm="1">
        <f ca="1" t="array" ref="I941">MIN(30-SUM(J941:L941),6-L941,_xlfn.XLOOKUP($D941&amp;"_"&amp;I$61,$B$23:$B$45&amp;"_"&amp;$C$23:$C$45,$D$23:$D$45)*$E941)</f>
        <v>0.496966551326412</v>
      </c>
      <c r="J941" s="67" cm="1">
        <f ca="1" t="array" ref="J941">MIN(8,_xlfn.XLOOKUP($D941&amp;"_"&amp;J$61,$B$23:$B$45&amp;"_"&amp;$C$23:$C$45,$D$23:$D$45)*$E941)</f>
        <v>8</v>
      </c>
      <c r="K941" s="67" cm="1">
        <f ca="1" t="array" ref="K941">MIN(18,_xlfn.XLOOKUP($D941&amp;"_"&amp;K$61,$B$23:$B$45&amp;"_"&amp;$C$23:$C$45,$D$23:$D$45)*$E941)</f>
        <v>3.66868896578239</v>
      </c>
      <c r="L941" s="67" cm="1">
        <f ca="1" t="array" ref="L941">MIN(6,_xlfn.XLOOKUP($D941&amp;"_"&amp;L$61,$B$23:$B$45&amp;"_"&amp;$C$23:$C$45,$D$23:$D$45)*$E941)</f>
        <v>5.50303344867359</v>
      </c>
      <c r="M941" s="67" cm="1">
        <f ca="1" t="array" ref="M941">(1+SUMPRODUCT(G941:H941,OFFSET($H$49:$I$49,D941,0)))*(1+OFFSET($J$49,D941,0))^I941*(1+OFFSET($K$49,D941,0))^J941*(1+OFFSET($L$49,D941,0))^K941*(1+OFFSET($M$49,D941,0))^L941</f>
        <v>321.090633314333</v>
      </c>
      <c r="N941" s="67">
        <f ca="1">MAX(MAX($N$62:N940),OFFSET($C$61,MATCH(M941*1.07,$M$62:$M$2061,1),0)-C941)</f>
        <v>29160</v>
      </c>
    </row>
    <row r="942" spans="2:14">
      <c r="B942" s="67">
        <v>881</v>
      </c>
      <c r="C942" s="67">
        <f t="shared" si="88"/>
        <v>317160</v>
      </c>
      <c r="D942" s="67">
        <f t="shared" si="84"/>
        <v>5</v>
      </c>
      <c r="E942" s="67">
        <f ca="1" t="shared" si="85"/>
        <v>911</v>
      </c>
      <c r="F942" s="67">
        <f ca="1" t="shared" si="86"/>
        <v>0</v>
      </c>
      <c r="G942" s="67">
        <f ca="1" t="shared" si="87"/>
        <v>0</v>
      </c>
      <c r="H942" s="67" cm="1">
        <f ca="1" t="array" ref="H942">MIN(30-SUM(I942:L942),_xlfn.XLOOKUP($D942&amp;"_"&amp;H$61,$B$23:$B$45&amp;"_"&amp;$C$23:$C$45,$D$23:$D$45)*$E942,18)</f>
        <v>12.3272795078816</v>
      </c>
      <c r="I942" s="67" cm="1">
        <f ca="1" t="array" ref="I942">MIN(30-SUM(J942:L942),6-L942,_xlfn.XLOOKUP($D942&amp;"_"&amp;I$61,$B$23:$B$45&amp;"_"&amp;$C$23:$C$45,$D$23:$D$45)*$E942)</f>
        <v>0.490919261822374</v>
      </c>
      <c r="J942" s="67" cm="1">
        <f ca="1" t="array" ref="J942">MIN(8,_xlfn.XLOOKUP($D942&amp;"_"&amp;J$61,$B$23:$B$45&amp;"_"&amp;$C$23:$C$45,$D$23:$D$45)*$E942)</f>
        <v>8</v>
      </c>
      <c r="K942" s="67" cm="1">
        <f ca="1" t="array" ref="K942">MIN(18,_xlfn.XLOOKUP($D942&amp;"_"&amp;K$61,$B$23:$B$45&amp;"_"&amp;$C$23:$C$45,$D$23:$D$45)*$E942)</f>
        <v>3.67272049211842</v>
      </c>
      <c r="L942" s="67" cm="1">
        <f ca="1" t="array" ref="L942">MIN(6,_xlfn.XLOOKUP($D942&amp;"_"&amp;L$61,$B$23:$B$45&amp;"_"&amp;$C$23:$C$45,$D$23:$D$45)*$E942)</f>
        <v>5.50908073817763</v>
      </c>
      <c r="M942" s="67" cm="1">
        <f ca="1" t="array" ref="M942">(1+SUMPRODUCT(G942:H942,OFFSET($H$49:$I$49,D942,0)))*(1+OFFSET($J$49,D942,0))^I942*(1+OFFSET($K$49,D942,0))^J942*(1+OFFSET($L$49,D942,0))^K942*(1+OFFSET($M$49,D942,0))^L942</f>
        <v>321.357859020891</v>
      </c>
      <c r="N942" s="67">
        <f ca="1">MAX(MAX($N$62:N941),OFFSET($C$61,MATCH(M942*1.07,$M$62:$M$2061,1),0)-C942)</f>
        <v>29160</v>
      </c>
    </row>
    <row r="943" spans="2:14">
      <c r="B943" s="67">
        <v>882</v>
      </c>
      <c r="C943" s="67">
        <f t="shared" si="88"/>
        <v>317520</v>
      </c>
      <c r="D943" s="67">
        <f t="shared" si="84"/>
        <v>5</v>
      </c>
      <c r="E943" s="67">
        <f ca="1" t="shared" si="85"/>
        <v>912</v>
      </c>
      <c r="F943" s="67">
        <f ca="1" t="shared" si="86"/>
        <v>0</v>
      </c>
      <c r="G943" s="67">
        <f ca="1" t="shared" si="87"/>
        <v>0</v>
      </c>
      <c r="H943" s="67" cm="1">
        <f ca="1" t="array" ref="H943">MIN(30-SUM(I943:L943),_xlfn.XLOOKUP($D943&amp;"_"&amp;H$61,$B$23:$B$45&amp;"_"&amp;$C$23:$C$45,$D$23:$D$45)*$E943,18)</f>
        <v>12.3232479815456</v>
      </c>
      <c r="I943" s="67" cm="1">
        <f ca="1" t="array" ref="I943">MIN(30-SUM(J943:L943),6-L943,_xlfn.XLOOKUP($D943&amp;"_"&amp;I$61,$B$23:$B$45&amp;"_"&amp;$C$23:$C$45,$D$23:$D$45)*$E943)</f>
        <v>0.484871972318338</v>
      </c>
      <c r="J943" s="67" cm="1">
        <f ca="1" t="array" ref="J943">MIN(8,_xlfn.XLOOKUP($D943&amp;"_"&amp;J$61,$B$23:$B$45&amp;"_"&amp;$C$23:$C$45,$D$23:$D$45)*$E943)</f>
        <v>8</v>
      </c>
      <c r="K943" s="67" cm="1">
        <f ca="1" t="array" ref="K943">MIN(18,_xlfn.XLOOKUP($D943&amp;"_"&amp;K$61,$B$23:$B$45&amp;"_"&amp;$C$23:$C$45,$D$23:$D$45)*$E943)</f>
        <v>3.67675201845444</v>
      </c>
      <c r="L943" s="67" cm="1">
        <f ca="1" t="array" ref="L943">MIN(6,_xlfn.XLOOKUP($D943&amp;"_"&amp;L$61,$B$23:$B$45&amp;"_"&amp;$C$23:$C$45,$D$23:$D$45)*$E943)</f>
        <v>5.51512802768166</v>
      </c>
      <c r="M943" s="67" cm="1">
        <f ca="1" t="array" ref="M943">(1+SUMPRODUCT(G943:H943,OFFSET($H$49:$I$49,D943,0)))*(1+OFFSET($J$49,D943,0))^I943*(1+OFFSET($K$49,D943,0))^J943*(1+OFFSET($L$49,D943,0))^K943*(1+OFFSET($M$49,D943,0))^L943</f>
        <v>321.625289713212</v>
      </c>
      <c r="N943" s="67">
        <f ca="1">MAX(MAX($N$62:N942),OFFSET($C$61,MATCH(M943*1.07,$M$62:$M$2061,1),0)-C943)</f>
        <v>29520</v>
      </c>
    </row>
    <row r="944" spans="2:14">
      <c r="B944" s="67">
        <v>883</v>
      </c>
      <c r="C944" s="67">
        <f t="shared" si="88"/>
        <v>317880</v>
      </c>
      <c r="D944" s="67">
        <f t="shared" si="84"/>
        <v>5</v>
      </c>
      <c r="E944" s="67">
        <f ca="1" t="shared" si="85"/>
        <v>913</v>
      </c>
      <c r="F944" s="67">
        <f ca="1" t="shared" si="86"/>
        <v>0</v>
      </c>
      <c r="G944" s="67">
        <f ca="1" t="shared" si="87"/>
        <v>0</v>
      </c>
      <c r="H944" s="67" cm="1">
        <f ca="1" t="array" ref="H944">MIN(30-SUM(I944:L944),_xlfn.XLOOKUP($D944&amp;"_"&amp;H$61,$B$23:$B$45&amp;"_"&amp;$C$23:$C$45,$D$23:$D$45)*$E944,18)</f>
        <v>12.3192164552095</v>
      </c>
      <c r="I944" s="67" cm="1">
        <f ca="1" t="array" ref="I944">MIN(30-SUM(J944:L944),6-L944,_xlfn.XLOOKUP($D944&amp;"_"&amp;I$61,$B$23:$B$45&amp;"_"&amp;$C$23:$C$45,$D$23:$D$45)*$E944)</f>
        <v>0.478824682814301</v>
      </c>
      <c r="J944" s="67" cm="1">
        <f ca="1" t="array" ref="J944">MIN(8,_xlfn.XLOOKUP($D944&amp;"_"&amp;J$61,$B$23:$B$45&amp;"_"&amp;$C$23:$C$45,$D$23:$D$45)*$E944)</f>
        <v>8</v>
      </c>
      <c r="K944" s="67" cm="1">
        <f ca="1" t="array" ref="K944">MIN(18,_xlfn.XLOOKUP($D944&amp;"_"&amp;K$61,$B$23:$B$45&amp;"_"&amp;$C$23:$C$45,$D$23:$D$45)*$E944)</f>
        <v>3.68078354479047</v>
      </c>
      <c r="L944" s="67" cm="1">
        <f ca="1" t="array" ref="L944">MIN(6,_xlfn.XLOOKUP($D944&amp;"_"&amp;L$61,$B$23:$B$45&amp;"_"&amp;$C$23:$C$45,$D$23:$D$45)*$E944)</f>
        <v>5.5211753171857</v>
      </c>
      <c r="M944" s="67" cm="1">
        <f ca="1" t="array" ref="M944">(1+SUMPRODUCT(G944:H944,OFFSET($H$49:$I$49,D944,0)))*(1+OFFSET($J$49,D944,0))^I944*(1+OFFSET($K$49,D944,0))^J944*(1+OFFSET($L$49,D944,0))^K944*(1+OFFSET($M$49,D944,0))^L944</f>
        <v>321.892925524803</v>
      </c>
      <c r="N944" s="67">
        <f ca="1">MAX(MAX($N$62:N943),OFFSET($C$61,MATCH(M944*1.07,$M$62:$M$2061,1),0)-C944)</f>
        <v>29880</v>
      </c>
    </row>
    <row r="945" spans="2:14">
      <c r="B945" s="67">
        <v>884</v>
      </c>
      <c r="C945" s="67">
        <f t="shared" si="88"/>
        <v>318240</v>
      </c>
      <c r="D945" s="67">
        <f t="shared" si="84"/>
        <v>5</v>
      </c>
      <c r="E945" s="67">
        <f ca="1" t="shared" si="85"/>
        <v>914</v>
      </c>
      <c r="F945" s="67">
        <f ca="1" t="shared" si="86"/>
        <v>0</v>
      </c>
      <c r="G945" s="67">
        <f ca="1" t="shared" si="87"/>
        <v>0</v>
      </c>
      <c r="H945" s="67" cm="1">
        <f ca="1" t="array" ref="H945">MIN(30-SUM(I945:L945),_xlfn.XLOOKUP($D945&amp;"_"&amp;H$61,$B$23:$B$45&amp;"_"&amp;$C$23:$C$45,$D$23:$D$45)*$E945,18)</f>
        <v>12.3151849288735</v>
      </c>
      <c r="I945" s="67" cm="1">
        <f ca="1" t="array" ref="I945">MIN(30-SUM(J945:L945),6-L945,_xlfn.XLOOKUP($D945&amp;"_"&amp;I$61,$B$23:$B$45&amp;"_"&amp;$C$23:$C$45,$D$23:$D$45)*$E945)</f>
        <v>0.472777393310264</v>
      </c>
      <c r="J945" s="67" cm="1">
        <f ca="1" t="array" ref="J945">MIN(8,_xlfn.XLOOKUP($D945&amp;"_"&amp;J$61,$B$23:$B$45&amp;"_"&amp;$C$23:$C$45,$D$23:$D$45)*$E945)</f>
        <v>8</v>
      </c>
      <c r="K945" s="67" cm="1">
        <f ca="1" t="array" ref="K945">MIN(18,_xlfn.XLOOKUP($D945&amp;"_"&amp;K$61,$B$23:$B$45&amp;"_"&amp;$C$23:$C$45,$D$23:$D$45)*$E945)</f>
        <v>3.68481507112649</v>
      </c>
      <c r="L945" s="67" cm="1">
        <f ca="1" t="array" ref="L945">MIN(6,_xlfn.XLOOKUP($D945&amp;"_"&amp;L$61,$B$23:$B$45&amp;"_"&amp;$C$23:$C$45,$D$23:$D$45)*$E945)</f>
        <v>5.52722260668974</v>
      </c>
      <c r="M945" s="67" cm="1">
        <f ca="1" t="array" ref="M945">(1+SUMPRODUCT(G945:H945,OFFSET($H$49:$I$49,D945,0)))*(1+OFFSET($J$49,D945,0))^I945*(1+OFFSET($K$49,D945,0))^J945*(1+OFFSET($L$49,D945,0))^K945*(1+OFFSET($M$49,D945,0))^L945</f>
        <v>322.160766589226</v>
      </c>
      <c r="N945" s="67">
        <f ca="1">MAX(MAX($N$62:N944),OFFSET($C$61,MATCH(M945*1.07,$M$62:$M$2061,1),0)-C945)</f>
        <v>29880</v>
      </c>
    </row>
    <row r="946" spans="2:14">
      <c r="B946" s="67">
        <v>885</v>
      </c>
      <c r="C946" s="67">
        <f t="shared" si="88"/>
        <v>318600</v>
      </c>
      <c r="D946" s="67">
        <f t="shared" si="84"/>
        <v>5</v>
      </c>
      <c r="E946" s="67">
        <f ca="1" t="shared" si="85"/>
        <v>915</v>
      </c>
      <c r="F946" s="67">
        <f ca="1" t="shared" si="86"/>
        <v>0</v>
      </c>
      <c r="G946" s="67">
        <f ca="1" t="shared" si="87"/>
        <v>0</v>
      </c>
      <c r="H946" s="67" cm="1">
        <f ca="1" t="array" ref="H946">MIN(30-SUM(I946:L946),_xlfn.XLOOKUP($D946&amp;"_"&amp;H$61,$B$23:$B$45&amp;"_"&amp;$C$23:$C$45,$D$23:$D$45)*$E946,18)</f>
        <v>12.3111534025375</v>
      </c>
      <c r="I946" s="67" cm="1">
        <f ca="1" t="array" ref="I946">MIN(30-SUM(J946:L946),6-L946,_xlfn.XLOOKUP($D946&amp;"_"&amp;I$61,$B$23:$B$45&amp;"_"&amp;$C$23:$C$45,$D$23:$D$45)*$E946)</f>
        <v>0.466730103806227</v>
      </c>
      <c r="J946" s="67" cm="1">
        <f ca="1" t="array" ref="J946">MIN(8,_xlfn.XLOOKUP($D946&amp;"_"&amp;J$61,$B$23:$B$45&amp;"_"&amp;$C$23:$C$45,$D$23:$D$45)*$E946)</f>
        <v>8</v>
      </c>
      <c r="K946" s="67" cm="1">
        <f ca="1" t="array" ref="K946">MIN(18,_xlfn.XLOOKUP($D946&amp;"_"&amp;K$61,$B$23:$B$45&amp;"_"&amp;$C$23:$C$45,$D$23:$D$45)*$E946)</f>
        <v>3.68884659746252</v>
      </c>
      <c r="L946" s="67" cm="1">
        <f ca="1" t="array" ref="L946">MIN(6,_xlfn.XLOOKUP($D946&amp;"_"&amp;L$61,$B$23:$B$45&amp;"_"&amp;$C$23:$C$45,$D$23:$D$45)*$E946)</f>
        <v>5.53326989619377</v>
      </c>
      <c r="M946" s="67" cm="1">
        <f ca="1" t="array" ref="M946">(1+SUMPRODUCT(G946:H946,OFFSET($H$49:$I$49,D946,0)))*(1+OFFSET($J$49,D946,0))^I946*(1+OFFSET($K$49,D946,0))^J946*(1+OFFSET($L$49,D946,0))^K946*(1+OFFSET($M$49,D946,0))^L946</f>
        <v>322.428813040093</v>
      </c>
      <c r="N946" s="67">
        <f ca="1">MAX(MAX($N$62:N945),OFFSET($C$61,MATCH(M946*1.07,$M$62:$M$2061,1),0)-C946)</f>
        <v>30240</v>
      </c>
    </row>
    <row r="947" spans="2:14">
      <c r="B947" s="67">
        <v>886</v>
      </c>
      <c r="C947" s="67">
        <f t="shared" si="88"/>
        <v>318960</v>
      </c>
      <c r="D947" s="67">
        <f t="shared" si="84"/>
        <v>5</v>
      </c>
      <c r="E947" s="67">
        <f ca="1" t="shared" si="85"/>
        <v>916</v>
      </c>
      <c r="F947" s="67">
        <f ca="1" t="shared" si="86"/>
        <v>0</v>
      </c>
      <c r="G947" s="67">
        <f ca="1" t="shared" si="87"/>
        <v>0</v>
      </c>
      <c r="H947" s="67" cm="1">
        <f ca="1" t="array" ref="H947">MIN(30-SUM(I947:L947),_xlfn.XLOOKUP($D947&amp;"_"&amp;H$61,$B$23:$B$45&amp;"_"&amp;$C$23:$C$45,$D$23:$D$45)*$E947,18)</f>
        <v>12.3071218762015</v>
      </c>
      <c r="I947" s="67" cm="1">
        <f ca="1" t="array" ref="I947">MIN(30-SUM(J947:L947),6-L947,_xlfn.XLOOKUP($D947&amp;"_"&amp;I$61,$B$23:$B$45&amp;"_"&amp;$C$23:$C$45,$D$23:$D$45)*$E947)</f>
        <v>0.46068281430219</v>
      </c>
      <c r="J947" s="67" cm="1">
        <f ca="1" t="array" ref="J947">MIN(8,_xlfn.XLOOKUP($D947&amp;"_"&amp;J$61,$B$23:$B$45&amp;"_"&amp;$C$23:$C$45,$D$23:$D$45)*$E947)</f>
        <v>8</v>
      </c>
      <c r="K947" s="67" cm="1">
        <f ca="1" t="array" ref="K947">MIN(18,_xlfn.XLOOKUP($D947&amp;"_"&amp;K$61,$B$23:$B$45&amp;"_"&amp;$C$23:$C$45,$D$23:$D$45)*$E947)</f>
        <v>3.69287812379854</v>
      </c>
      <c r="L947" s="67" cm="1">
        <f ca="1" t="array" ref="L947">MIN(6,_xlfn.XLOOKUP($D947&amp;"_"&amp;L$61,$B$23:$B$45&amp;"_"&amp;$C$23:$C$45,$D$23:$D$45)*$E947)</f>
        <v>5.53931718569781</v>
      </c>
      <c r="M947" s="67" cm="1">
        <f ca="1" t="array" ref="M947">(1+SUMPRODUCT(G947:H947,OFFSET($H$49:$I$49,D947,0)))*(1+OFFSET($J$49,D947,0))^I947*(1+OFFSET($K$49,D947,0))^J947*(1+OFFSET($L$49,D947,0))^K947*(1+OFFSET($M$49,D947,0))^L947</f>
        <v>322.697065011067</v>
      </c>
      <c r="N947" s="67">
        <f ca="1">MAX(MAX($N$62:N946),OFFSET($C$61,MATCH(M947*1.07,$M$62:$M$2061,1),0)-C947)</f>
        <v>30600</v>
      </c>
    </row>
    <row r="948" spans="2:14">
      <c r="B948" s="67">
        <v>887</v>
      </c>
      <c r="C948" s="67">
        <f t="shared" si="88"/>
        <v>319320</v>
      </c>
      <c r="D948" s="67">
        <f t="shared" si="84"/>
        <v>5</v>
      </c>
      <c r="E948" s="67">
        <f ca="1" t="shared" si="85"/>
        <v>917</v>
      </c>
      <c r="F948" s="67">
        <f ca="1" t="shared" si="86"/>
        <v>0</v>
      </c>
      <c r="G948" s="67">
        <f ca="1" t="shared" si="87"/>
        <v>0</v>
      </c>
      <c r="H948" s="67" cm="1">
        <f ca="1" t="array" ref="H948">MIN(30-SUM(I948:L948),_xlfn.XLOOKUP($D948&amp;"_"&amp;H$61,$B$23:$B$45&amp;"_"&amp;$C$23:$C$45,$D$23:$D$45)*$E948,18)</f>
        <v>12.3030903498654</v>
      </c>
      <c r="I948" s="67" cm="1">
        <f ca="1" t="array" ref="I948">MIN(30-SUM(J948:L948),6-L948,_xlfn.XLOOKUP($D948&amp;"_"&amp;I$61,$B$23:$B$45&amp;"_"&amp;$C$23:$C$45,$D$23:$D$45)*$E948)</f>
        <v>0.454635524798153</v>
      </c>
      <c r="J948" s="67" cm="1">
        <f ca="1" t="array" ref="J948">MIN(8,_xlfn.XLOOKUP($D948&amp;"_"&amp;J$61,$B$23:$B$45&amp;"_"&amp;$C$23:$C$45,$D$23:$D$45)*$E948)</f>
        <v>8</v>
      </c>
      <c r="K948" s="67" cm="1">
        <f ca="1" t="array" ref="K948">MIN(18,_xlfn.XLOOKUP($D948&amp;"_"&amp;K$61,$B$23:$B$45&amp;"_"&amp;$C$23:$C$45,$D$23:$D$45)*$E948)</f>
        <v>3.69690965013457</v>
      </c>
      <c r="L948" s="67" cm="1">
        <f ca="1" t="array" ref="L948">MIN(6,_xlfn.XLOOKUP($D948&amp;"_"&amp;L$61,$B$23:$B$45&amp;"_"&amp;$C$23:$C$45,$D$23:$D$45)*$E948)</f>
        <v>5.54536447520185</v>
      </c>
      <c r="M948" s="67" cm="1">
        <f ca="1" t="array" ref="M948">(1+SUMPRODUCT(G948:H948,OFFSET($H$49:$I$49,D948,0)))*(1+OFFSET($J$49,D948,0))^I948*(1+OFFSET($K$49,D948,0))^J948*(1+OFFSET($L$49,D948,0))^K948*(1+OFFSET($M$49,D948,0))^L948</f>
        <v>322.965522635864</v>
      </c>
      <c r="N948" s="67">
        <f ca="1">MAX(MAX($N$62:N947),OFFSET($C$61,MATCH(M948*1.07,$M$62:$M$2061,1),0)-C948)</f>
        <v>30600</v>
      </c>
    </row>
    <row r="949" spans="2:14">
      <c r="B949" s="67">
        <v>888</v>
      </c>
      <c r="C949" s="67">
        <f t="shared" si="88"/>
        <v>319680</v>
      </c>
      <c r="D949" s="67">
        <f t="shared" si="84"/>
        <v>5</v>
      </c>
      <c r="E949" s="67">
        <f ca="1" t="shared" si="85"/>
        <v>918</v>
      </c>
      <c r="F949" s="67">
        <f ca="1" t="shared" si="86"/>
        <v>0</v>
      </c>
      <c r="G949" s="67">
        <f ca="1" t="shared" si="87"/>
        <v>0</v>
      </c>
      <c r="H949" s="67" cm="1">
        <f ca="1" t="array" ref="H949">MIN(30-SUM(I949:L949),_xlfn.XLOOKUP($D949&amp;"_"&amp;H$61,$B$23:$B$45&amp;"_"&amp;$C$23:$C$45,$D$23:$D$45)*$E949,18)</f>
        <v>12.2990588235294</v>
      </c>
      <c r="I949" s="67" cm="1">
        <f ca="1" t="array" ref="I949">MIN(30-SUM(J949:L949),6-L949,_xlfn.XLOOKUP($D949&amp;"_"&amp;I$61,$B$23:$B$45&amp;"_"&amp;$C$23:$C$45,$D$23:$D$45)*$E949)</f>
        <v>0.448588235294117</v>
      </c>
      <c r="J949" s="67" cm="1">
        <f ca="1" t="array" ref="J949">MIN(8,_xlfn.XLOOKUP($D949&amp;"_"&amp;J$61,$B$23:$B$45&amp;"_"&amp;$C$23:$C$45,$D$23:$D$45)*$E949)</f>
        <v>8</v>
      </c>
      <c r="K949" s="67" cm="1">
        <f ca="1" t="array" ref="K949">MIN(18,_xlfn.XLOOKUP($D949&amp;"_"&amp;K$61,$B$23:$B$45&amp;"_"&amp;$C$23:$C$45,$D$23:$D$45)*$E949)</f>
        <v>3.70094117647059</v>
      </c>
      <c r="L949" s="67" cm="1">
        <f ca="1" t="array" ref="L949">MIN(6,_xlfn.XLOOKUP($D949&amp;"_"&amp;L$61,$B$23:$B$45&amp;"_"&amp;$C$23:$C$45,$D$23:$D$45)*$E949)</f>
        <v>5.55141176470588</v>
      </c>
      <c r="M949" s="67" cm="1">
        <f ca="1" t="array" ref="M949">(1+SUMPRODUCT(G949:H949,OFFSET($H$49:$I$49,D949,0)))*(1+OFFSET($J$49,D949,0))^I949*(1+OFFSET($K$49,D949,0))^J949*(1+OFFSET($L$49,D949,0))^K949*(1+OFFSET($M$49,D949,0))^L949</f>
        <v>323.234186048252</v>
      </c>
      <c r="N949" s="67">
        <f ca="1">MAX(MAX($N$62:N948),OFFSET($C$61,MATCH(M949*1.07,$M$62:$M$2061,1),0)-C949)</f>
        <v>30960</v>
      </c>
    </row>
    <row r="950" spans="2:14">
      <c r="B950" s="67">
        <v>889</v>
      </c>
      <c r="C950" s="67">
        <f t="shared" si="88"/>
        <v>320040</v>
      </c>
      <c r="D950" s="67">
        <f t="shared" si="84"/>
        <v>5</v>
      </c>
      <c r="E950" s="67">
        <f ca="1" t="shared" si="85"/>
        <v>919</v>
      </c>
      <c r="F950" s="67">
        <f ca="1" t="shared" si="86"/>
        <v>0</v>
      </c>
      <c r="G950" s="67">
        <f ca="1" t="shared" si="87"/>
        <v>0</v>
      </c>
      <c r="H950" s="67" cm="1">
        <f ca="1" t="array" ref="H950">MIN(30-SUM(I950:L950),_xlfn.XLOOKUP($D950&amp;"_"&amp;H$61,$B$23:$B$45&amp;"_"&amp;$C$23:$C$45,$D$23:$D$45)*$E950,18)</f>
        <v>12.2950272971934</v>
      </c>
      <c r="I950" s="67" cm="1">
        <f ca="1" t="array" ref="I950">MIN(30-SUM(J950:L950),6-L950,_xlfn.XLOOKUP($D950&amp;"_"&amp;I$61,$B$23:$B$45&amp;"_"&amp;$C$23:$C$45,$D$23:$D$45)*$E950)</f>
        <v>0.442540945790079</v>
      </c>
      <c r="J950" s="67" cm="1">
        <f ca="1" t="array" ref="J950">MIN(8,_xlfn.XLOOKUP($D950&amp;"_"&amp;J$61,$B$23:$B$45&amp;"_"&amp;$C$23:$C$45,$D$23:$D$45)*$E950)</f>
        <v>8</v>
      </c>
      <c r="K950" s="67" cm="1">
        <f ca="1" t="array" ref="K950">MIN(18,_xlfn.XLOOKUP($D950&amp;"_"&amp;K$61,$B$23:$B$45&amp;"_"&amp;$C$23:$C$45,$D$23:$D$45)*$E950)</f>
        <v>3.70497270280662</v>
      </c>
      <c r="L950" s="67" cm="1">
        <f ca="1" t="array" ref="L950">MIN(6,_xlfn.XLOOKUP($D950&amp;"_"&amp;L$61,$B$23:$B$45&amp;"_"&amp;$C$23:$C$45,$D$23:$D$45)*$E950)</f>
        <v>5.55745905420992</v>
      </c>
      <c r="M950" s="67" cm="1">
        <f ca="1" t="array" ref="M950">(1+SUMPRODUCT(G950:H950,OFFSET($H$49:$I$49,D950,0)))*(1+OFFSET($J$49,D950,0))^I950*(1+OFFSET($K$49,D950,0))^J950*(1+OFFSET($L$49,D950,0))^K950*(1+OFFSET($M$49,D950,0))^L950</f>
        <v>323.50305538205</v>
      </c>
      <c r="N950" s="67">
        <f ca="1">MAX(MAX($N$62:N949),OFFSET($C$61,MATCH(M950*1.07,$M$62:$M$2061,1),0)-C950)</f>
        <v>31320</v>
      </c>
    </row>
    <row r="951" spans="2:14">
      <c r="B951" s="67">
        <v>890</v>
      </c>
      <c r="C951" s="67">
        <f t="shared" si="88"/>
        <v>320400</v>
      </c>
      <c r="D951" s="67">
        <f t="shared" si="84"/>
        <v>5</v>
      </c>
      <c r="E951" s="67">
        <f ca="1" t="shared" si="85"/>
        <v>920</v>
      </c>
      <c r="F951" s="67">
        <f ca="1" t="shared" si="86"/>
        <v>0</v>
      </c>
      <c r="G951" s="67">
        <f ca="1" t="shared" si="87"/>
        <v>0</v>
      </c>
      <c r="H951" s="67" cm="1">
        <f ca="1" t="array" ref="H951">MIN(30-SUM(I951:L951),_xlfn.XLOOKUP($D951&amp;"_"&amp;H$61,$B$23:$B$45&amp;"_"&amp;$C$23:$C$45,$D$23:$D$45)*$E951,18)</f>
        <v>12.2909957708574</v>
      </c>
      <c r="I951" s="67" cm="1">
        <f ca="1" t="array" ref="I951">MIN(30-SUM(J951:L951),6-L951,_xlfn.XLOOKUP($D951&amp;"_"&amp;I$61,$B$23:$B$45&amp;"_"&amp;$C$23:$C$45,$D$23:$D$45)*$E951)</f>
        <v>0.436493656286043</v>
      </c>
      <c r="J951" s="67" cm="1">
        <f ca="1" t="array" ref="J951">MIN(8,_xlfn.XLOOKUP($D951&amp;"_"&amp;J$61,$B$23:$B$45&amp;"_"&amp;$C$23:$C$45,$D$23:$D$45)*$E951)</f>
        <v>8</v>
      </c>
      <c r="K951" s="67" cm="1">
        <f ca="1" t="array" ref="K951">MIN(18,_xlfn.XLOOKUP($D951&amp;"_"&amp;K$61,$B$23:$B$45&amp;"_"&amp;$C$23:$C$45,$D$23:$D$45)*$E951)</f>
        <v>3.70900422914264</v>
      </c>
      <c r="L951" s="67" cm="1">
        <f ca="1" t="array" ref="L951">MIN(6,_xlfn.XLOOKUP($D951&amp;"_"&amp;L$61,$B$23:$B$45&amp;"_"&amp;$C$23:$C$45,$D$23:$D$45)*$E951)</f>
        <v>5.56350634371396</v>
      </c>
      <c r="M951" s="67" cm="1">
        <f ca="1" t="array" ref="M951">(1+SUMPRODUCT(G951:H951,OFFSET($H$49:$I$49,D951,0)))*(1+OFFSET($J$49,D951,0))^I951*(1+OFFSET($K$49,D951,0))^J951*(1+OFFSET($L$49,D951,0))^K951*(1+OFFSET($M$49,D951,0))^L951</f>
        <v>323.772130771129</v>
      </c>
      <c r="N951" s="67">
        <f ca="1">MAX(MAX($N$62:N950),OFFSET($C$61,MATCH(M951*1.07,$M$62:$M$2061,1),0)-C951)</f>
        <v>31320</v>
      </c>
    </row>
    <row r="952" spans="2:14">
      <c r="B952" s="67">
        <v>891</v>
      </c>
      <c r="C952" s="67">
        <f t="shared" si="88"/>
        <v>320760</v>
      </c>
      <c r="D952" s="67">
        <f t="shared" si="84"/>
        <v>5</v>
      </c>
      <c r="E952" s="67">
        <f ca="1" t="shared" si="85"/>
        <v>921</v>
      </c>
      <c r="F952" s="67">
        <f ca="1" t="shared" si="86"/>
        <v>0</v>
      </c>
      <c r="G952" s="67">
        <f ca="1" t="shared" si="87"/>
        <v>0</v>
      </c>
      <c r="H952" s="67" cm="1">
        <f ca="1" t="array" ref="H952">MIN(30-SUM(I952:L952),_xlfn.XLOOKUP($D952&amp;"_"&amp;H$61,$B$23:$B$45&amp;"_"&amp;$C$23:$C$45,$D$23:$D$45)*$E952,18)</f>
        <v>12.2869642445213</v>
      </c>
      <c r="I952" s="67" cm="1">
        <f ca="1" t="array" ref="I952">MIN(30-SUM(J952:L952),6-L952,_xlfn.XLOOKUP($D952&amp;"_"&amp;I$61,$B$23:$B$45&amp;"_"&amp;$C$23:$C$45,$D$23:$D$45)*$E952)</f>
        <v>0.430446366782006</v>
      </c>
      <c r="J952" s="67" cm="1">
        <f ca="1" t="array" ref="J952">MIN(8,_xlfn.XLOOKUP($D952&amp;"_"&amp;J$61,$B$23:$B$45&amp;"_"&amp;$C$23:$C$45,$D$23:$D$45)*$E952)</f>
        <v>8</v>
      </c>
      <c r="K952" s="67" cm="1">
        <f ca="1" t="array" ref="K952">MIN(18,_xlfn.XLOOKUP($D952&amp;"_"&amp;K$61,$B$23:$B$45&amp;"_"&amp;$C$23:$C$45,$D$23:$D$45)*$E952)</f>
        <v>3.71303575547867</v>
      </c>
      <c r="L952" s="67" cm="1">
        <f ca="1" t="array" ref="L952">MIN(6,_xlfn.XLOOKUP($D952&amp;"_"&amp;L$61,$B$23:$B$45&amp;"_"&amp;$C$23:$C$45,$D$23:$D$45)*$E952)</f>
        <v>5.56955363321799</v>
      </c>
      <c r="M952" s="67" cm="1">
        <f ca="1" t="array" ref="M952">(1+SUMPRODUCT(G952:H952,OFFSET($H$49:$I$49,D952,0)))*(1+OFFSET($J$49,D952,0))^I952*(1+OFFSET($K$49,D952,0))^J952*(1+OFFSET($L$49,D952,0))^K952*(1+OFFSET($M$49,D952,0))^L952</f>
        <v>324.041412349411</v>
      </c>
      <c r="N952" s="67">
        <f ca="1">MAX(MAX($N$62:N951),OFFSET($C$61,MATCH(M952*1.07,$M$62:$M$2061,1),0)-C952)</f>
        <v>31680</v>
      </c>
    </row>
    <row r="953" spans="2:14">
      <c r="B953" s="67">
        <v>892</v>
      </c>
      <c r="C953" s="67">
        <f t="shared" si="88"/>
        <v>321120</v>
      </c>
      <c r="D953" s="67">
        <f t="shared" si="84"/>
        <v>5</v>
      </c>
      <c r="E953" s="67">
        <f ca="1" t="shared" si="85"/>
        <v>922</v>
      </c>
      <c r="F953" s="67">
        <f ca="1" t="shared" si="86"/>
        <v>0</v>
      </c>
      <c r="G953" s="67">
        <f ca="1" t="shared" si="87"/>
        <v>0</v>
      </c>
      <c r="H953" s="67" cm="1">
        <f ca="1" t="array" ref="H953">MIN(30-SUM(I953:L953),_xlfn.XLOOKUP($D953&amp;"_"&amp;H$61,$B$23:$B$45&amp;"_"&amp;$C$23:$C$45,$D$23:$D$45)*$E953,18)</f>
        <v>12.2829327181853</v>
      </c>
      <c r="I953" s="67" cm="1">
        <f ca="1" t="array" ref="I953">MIN(30-SUM(J953:L953),6-L953,_xlfn.XLOOKUP($D953&amp;"_"&amp;I$61,$B$23:$B$45&amp;"_"&amp;$C$23:$C$45,$D$23:$D$45)*$E953)</f>
        <v>0.424399077277969</v>
      </c>
      <c r="J953" s="67" cm="1">
        <f ca="1" t="array" ref="J953">MIN(8,_xlfn.XLOOKUP($D953&amp;"_"&amp;J$61,$B$23:$B$45&amp;"_"&amp;$C$23:$C$45,$D$23:$D$45)*$E953)</f>
        <v>8</v>
      </c>
      <c r="K953" s="67" cm="1">
        <f ca="1" t="array" ref="K953">MIN(18,_xlfn.XLOOKUP($D953&amp;"_"&amp;K$61,$B$23:$B$45&amp;"_"&amp;$C$23:$C$45,$D$23:$D$45)*$E953)</f>
        <v>3.71706728181469</v>
      </c>
      <c r="L953" s="67" cm="1">
        <f ca="1" t="array" ref="L953">MIN(6,_xlfn.XLOOKUP($D953&amp;"_"&amp;L$61,$B$23:$B$45&amp;"_"&amp;$C$23:$C$45,$D$23:$D$45)*$E953)</f>
        <v>5.57560092272203</v>
      </c>
      <c r="M953" s="67" cm="1">
        <f ca="1" t="array" ref="M953">(1+SUMPRODUCT(G953:H953,OFFSET($H$49:$I$49,D953,0)))*(1+OFFSET($J$49,D953,0))^I953*(1+OFFSET($K$49,D953,0))^J953*(1+OFFSET($L$49,D953,0))^K953*(1+OFFSET($M$49,D953,0))^L953</f>
        <v>324.310900250869</v>
      </c>
      <c r="N953" s="67">
        <f ca="1">MAX(MAX($N$62:N952),OFFSET($C$61,MATCH(M953*1.07,$M$62:$M$2061,1),0)-C953)</f>
        <v>32040</v>
      </c>
    </row>
    <row r="954" spans="2:14">
      <c r="B954" s="67">
        <v>893</v>
      </c>
      <c r="C954" s="67">
        <f t="shared" si="88"/>
        <v>321480</v>
      </c>
      <c r="D954" s="67">
        <f t="shared" si="84"/>
        <v>5</v>
      </c>
      <c r="E954" s="67">
        <f ca="1" t="shared" si="85"/>
        <v>923</v>
      </c>
      <c r="F954" s="67">
        <f ca="1" t="shared" si="86"/>
        <v>0</v>
      </c>
      <c r="G954" s="67">
        <f ca="1" t="shared" si="87"/>
        <v>0</v>
      </c>
      <c r="H954" s="67" cm="1">
        <f ca="1" t="array" ref="H954">MIN(30-SUM(I954:L954),_xlfn.XLOOKUP($D954&amp;"_"&amp;H$61,$B$23:$B$45&amp;"_"&amp;$C$23:$C$45,$D$23:$D$45)*$E954,18)</f>
        <v>12.2789011918493</v>
      </c>
      <c r="I954" s="67" cm="1">
        <f ca="1" t="array" ref="I954">MIN(30-SUM(J954:L954),6-L954,_xlfn.XLOOKUP($D954&amp;"_"&amp;I$61,$B$23:$B$45&amp;"_"&amp;$C$23:$C$45,$D$23:$D$45)*$E954)</f>
        <v>0.418351787773932</v>
      </c>
      <c r="J954" s="67" cm="1">
        <f ca="1" t="array" ref="J954">MIN(8,_xlfn.XLOOKUP($D954&amp;"_"&amp;J$61,$B$23:$B$45&amp;"_"&amp;$C$23:$C$45,$D$23:$D$45)*$E954)</f>
        <v>8</v>
      </c>
      <c r="K954" s="67" cm="1">
        <f ca="1" t="array" ref="K954">MIN(18,_xlfn.XLOOKUP($D954&amp;"_"&amp;K$61,$B$23:$B$45&amp;"_"&amp;$C$23:$C$45,$D$23:$D$45)*$E954)</f>
        <v>3.72109880815071</v>
      </c>
      <c r="L954" s="67" cm="1">
        <f ca="1" t="array" ref="L954">MIN(6,_xlfn.XLOOKUP($D954&amp;"_"&amp;L$61,$B$23:$B$45&amp;"_"&amp;$C$23:$C$45,$D$23:$D$45)*$E954)</f>
        <v>5.58164821222607</v>
      </c>
      <c r="M954" s="67" cm="1">
        <f ca="1" t="array" ref="M954">(1+SUMPRODUCT(G954:H954,OFFSET($H$49:$I$49,D954,0)))*(1+OFFSET($J$49,D954,0))^I954*(1+OFFSET($K$49,D954,0))^J954*(1+OFFSET($L$49,D954,0))^K954*(1+OFFSET($M$49,D954,0))^L954</f>
        <v>324.580594609529</v>
      </c>
      <c r="N954" s="67">
        <f ca="1">MAX(MAX($N$62:N953),OFFSET($C$61,MATCH(M954*1.07,$M$62:$M$2061,1),0)-C954)</f>
        <v>32040</v>
      </c>
    </row>
    <row r="955" spans="2:14">
      <c r="B955" s="67">
        <v>894</v>
      </c>
      <c r="C955" s="67">
        <f t="shared" si="88"/>
        <v>321840</v>
      </c>
      <c r="D955" s="67">
        <f t="shared" si="84"/>
        <v>5</v>
      </c>
      <c r="E955" s="67">
        <f ca="1" t="shared" si="85"/>
        <v>924</v>
      </c>
      <c r="F955" s="67">
        <f ca="1" t="shared" si="86"/>
        <v>0</v>
      </c>
      <c r="G955" s="67">
        <f ca="1" t="shared" si="87"/>
        <v>0</v>
      </c>
      <c r="H955" s="67" cm="1">
        <f ca="1" t="array" ref="H955">MIN(30-SUM(I955:L955),_xlfn.XLOOKUP($D955&amp;"_"&amp;H$61,$B$23:$B$45&amp;"_"&amp;$C$23:$C$45,$D$23:$D$45)*$E955,18)</f>
        <v>12.2748696655133</v>
      </c>
      <c r="I955" s="67" cm="1">
        <f ca="1" t="array" ref="I955">MIN(30-SUM(J955:L955),6-L955,_xlfn.XLOOKUP($D955&amp;"_"&amp;I$61,$B$23:$B$45&amp;"_"&amp;$C$23:$C$45,$D$23:$D$45)*$E955)</f>
        <v>0.412304498269895</v>
      </c>
      <c r="J955" s="67" cm="1">
        <f ca="1" t="array" ref="J955">MIN(8,_xlfn.XLOOKUP($D955&amp;"_"&amp;J$61,$B$23:$B$45&amp;"_"&amp;$C$23:$C$45,$D$23:$D$45)*$E955)</f>
        <v>8</v>
      </c>
      <c r="K955" s="67" cm="1">
        <f ca="1" t="array" ref="K955">MIN(18,_xlfn.XLOOKUP($D955&amp;"_"&amp;K$61,$B$23:$B$45&amp;"_"&amp;$C$23:$C$45,$D$23:$D$45)*$E955)</f>
        <v>3.72513033448674</v>
      </c>
      <c r="L955" s="67" cm="1">
        <f ca="1" t="array" ref="L955">MIN(6,_xlfn.XLOOKUP($D955&amp;"_"&amp;L$61,$B$23:$B$45&amp;"_"&amp;$C$23:$C$45,$D$23:$D$45)*$E955)</f>
        <v>5.5876955017301</v>
      </c>
      <c r="M955" s="67" cm="1">
        <f ca="1" t="array" ref="M955">(1+SUMPRODUCT(G955:H955,OFFSET($H$49:$I$49,D955,0)))*(1+OFFSET($J$49,D955,0))^I955*(1+OFFSET($K$49,D955,0))^J955*(1+OFFSET($L$49,D955,0))^K955*(1+OFFSET($M$49,D955,0))^L955</f>
        <v>324.850495559468</v>
      </c>
      <c r="N955" s="67">
        <f ca="1">MAX(MAX($N$62:N954),OFFSET($C$61,MATCH(M955*1.07,$M$62:$M$2061,1),0)-C955)</f>
        <v>32400</v>
      </c>
    </row>
    <row r="956" spans="2:14">
      <c r="B956" s="67">
        <v>895</v>
      </c>
      <c r="C956" s="67">
        <f t="shared" si="88"/>
        <v>322200</v>
      </c>
      <c r="D956" s="67">
        <f t="shared" si="84"/>
        <v>5</v>
      </c>
      <c r="E956" s="67">
        <f ca="1" t="shared" si="85"/>
        <v>925</v>
      </c>
      <c r="F956" s="67">
        <f ca="1" t="shared" si="86"/>
        <v>0</v>
      </c>
      <c r="G956" s="67">
        <f ca="1" t="shared" si="87"/>
        <v>0</v>
      </c>
      <c r="H956" s="67" cm="1">
        <f ca="1" t="array" ref="H956">MIN(30-SUM(I956:L956),_xlfn.XLOOKUP($D956&amp;"_"&amp;H$61,$B$23:$B$45&amp;"_"&amp;$C$23:$C$45,$D$23:$D$45)*$E956,18)</f>
        <v>12.2708381391772</v>
      </c>
      <c r="I956" s="67" cm="1">
        <f ca="1" t="array" ref="I956">MIN(30-SUM(J956:L956),6-L956,_xlfn.XLOOKUP($D956&amp;"_"&amp;I$61,$B$23:$B$45&amp;"_"&amp;$C$23:$C$45,$D$23:$D$45)*$E956)</f>
        <v>0.406257208765858</v>
      </c>
      <c r="J956" s="67" cm="1">
        <f ca="1" t="array" ref="J956">MIN(8,_xlfn.XLOOKUP($D956&amp;"_"&amp;J$61,$B$23:$B$45&amp;"_"&amp;$C$23:$C$45,$D$23:$D$45)*$E956)</f>
        <v>8</v>
      </c>
      <c r="K956" s="67" cm="1">
        <f ca="1" t="array" ref="K956">MIN(18,_xlfn.XLOOKUP($D956&amp;"_"&amp;K$61,$B$23:$B$45&amp;"_"&amp;$C$23:$C$45,$D$23:$D$45)*$E956)</f>
        <v>3.72916186082276</v>
      </c>
      <c r="L956" s="67" cm="1">
        <f ca="1" t="array" ref="L956">MIN(6,_xlfn.XLOOKUP($D956&amp;"_"&amp;L$61,$B$23:$B$45&amp;"_"&amp;$C$23:$C$45,$D$23:$D$45)*$E956)</f>
        <v>5.59374279123414</v>
      </c>
      <c r="M956" s="67" cm="1">
        <f ca="1" t="array" ref="M956">(1+SUMPRODUCT(G956:H956,OFFSET($H$49:$I$49,D956,0)))*(1+OFFSET($J$49,D956,0))^I956*(1+OFFSET($K$49,D956,0))^J956*(1+OFFSET($L$49,D956,0))^K956*(1+OFFSET($M$49,D956,0))^L956</f>
        <v>325.120603234814</v>
      </c>
      <c r="N956" s="67">
        <f ca="1">MAX(MAX($N$62:N955),OFFSET($C$61,MATCH(M956*1.07,$M$62:$M$2061,1),0)-C956)</f>
        <v>32760</v>
      </c>
    </row>
    <row r="957" spans="2:14">
      <c r="B957" s="67">
        <v>896</v>
      </c>
      <c r="C957" s="67">
        <f t="shared" si="88"/>
        <v>322560</v>
      </c>
      <c r="D957" s="67">
        <f t="shared" si="84"/>
        <v>5</v>
      </c>
      <c r="E957" s="67">
        <f ca="1" t="shared" si="85"/>
        <v>926</v>
      </c>
      <c r="F957" s="67">
        <f ca="1" t="shared" si="86"/>
        <v>0</v>
      </c>
      <c r="G957" s="67">
        <f ca="1" t="shared" si="87"/>
        <v>0</v>
      </c>
      <c r="H957" s="67" cm="1">
        <f ca="1" t="array" ref="H957">MIN(30-SUM(I957:L957),_xlfn.XLOOKUP($D957&amp;"_"&amp;H$61,$B$23:$B$45&amp;"_"&amp;$C$23:$C$45,$D$23:$D$45)*$E957,18)</f>
        <v>12.2668066128412</v>
      </c>
      <c r="I957" s="67" cm="1">
        <f ca="1" t="array" ref="I957">MIN(30-SUM(J957:L957),6-L957,_xlfn.XLOOKUP($D957&amp;"_"&amp;I$61,$B$23:$B$45&amp;"_"&amp;$C$23:$C$45,$D$23:$D$45)*$E957)</f>
        <v>0.400209919261821</v>
      </c>
      <c r="J957" s="67" cm="1">
        <f ca="1" t="array" ref="J957">MIN(8,_xlfn.XLOOKUP($D957&amp;"_"&amp;J$61,$B$23:$B$45&amp;"_"&amp;$C$23:$C$45,$D$23:$D$45)*$E957)</f>
        <v>8</v>
      </c>
      <c r="K957" s="67" cm="1">
        <f ca="1" t="array" ref="K957">MIN(18,_xlfn.XLOOKUP($D957&amp;"_"&amp;K$61,$B$23:$B$45&amp;"_"&amp;$C$23:$C$45,$D$23:$D$45)*$E957)</f>
        <v>3.73319338715879</v>
      </c>
      <c r="L957" s="67" cm="1">
        <f ca="1" t="array" ref="L957">MIN(6,_xlfn.XLOOKUP($D957&amp;"_"&amp;L$61,$B$23:$B$45&amp;"_"&amp;$C$23:$C$45,$D$23:$D$45)*$E957)</f>
        <v>5.59979008073818</v>
      </c>
      <c r="M957" s="67" cm="1">
        <f ca="1" t="array" ref="M957">(1+SUMPRODUCT(G957:H957,OFFSET($H$49:$I$49,D957,0)))*(1+OFFSET($J$49,D957,0))^I957*(1+OFFSET($K$49,D957,0))^J957*(1+OFFSET($L$49,D957,0))^K957*(1+OFFSET($M$49,D957,0))^L957</f>
        <v>325.390917769746</v>
      </c>
      <c r="N957" s="67">
        <f ca="1">MAX(MAX($N$62:N956),OFFSET($C$61,MATCH(M957*1.07,$M$62:$M$2061,1),0)-C957)</f>
        <v>32760</v>
      </c>
    </row>
    <row r="958" spans="2:14">
      <c r="B958" s="67">
        <v>897</v>
      </c>
      <c r="C958" s="67">
        <f t="shared" si="88"/>
        <v>322920</v>
      </c>
      <c r="D958" s="67">
        <f t="shared" si="84"/>
        <v>5</v>
      </c>
      <c r="E958" s="67">
        <f ca="1" t="shared" si="85"/>
        <v>927</v>
      </c>
      <c r="F958" s="67">
        <f ca="1" t="shared" si="86"/>
        <v>0</v>
      </c>
      <c r="G958" s="67">
        <f ca="1" t="shared" si="87"/>
        <v>0</v>
      </c>
      <c r="H958" s="67" cm="1">
        <f ca="1" t="array" ref="H958">MIN(30-SUM(I958:L958),_xlfn.XLOOKUP($D958&amp;"_"&amp;H$61,$B$23:$B$45&amp;"_"&amp;$C$23:$C$45,$D$23:$D$45)*$E958,18)</f>
        <v>12.2627750865052</v>
      </c>
      <c r="I958" s="67" cm="1">
        <f ca="1" t="array" ref="I958">MIN(30-SUM(J958:L958),6-L958,_xlfn.XLOOKUP($D958&amp;"_"&amp;I$61,$B$23:$B$45&amp;"_"&amp;$C$23:$C$45,$D$23:$D$45)*$E958)</f>
        <v>0.394162629757784</v>
      </c>
      <c r="J958" s="67" cm="1">
        <f ca="1" t="array" ref="J958">MIN(8,_xlfn.XLOOKUP($D958&amp;"_"&amp;J$61,$B$23:$B$45&amp;"_"&amp;$C$23:$C$45,$D$23:$D$45)*$E958)</f>
        <v>8</v>
      </c>
      <c r="K958" s="67" cm="1">
        <f ca="1" t="array" ref="K958">MIN(18,_xlfn.XLOOKUP($D958&amp;"_"&amp;K$61,$B$23:$B$45&amp;"_"&amp;$C$23:$C$45,$D$23:$D$45)*$E958)</f>
        <v>3.73722491349481</v>
      </c>
      <c r="L958" s="67" cm="1">
        <f ca="1" t="array" ref="L958">MIN(6,_xlfn.XLOOKUP($D958&amp;"_"&amp;L$61,$B$23:$B$45&amp;"_"&amp;$C$23:$C$45,$D$23:$D$45)*$E958)</f>
        <v>5.60583737024222</v>
      </c>
      <c r="M958" s="67" cm="1">
        <f ca="1" t="array" ref="M958">(1+SUMPRODUCT(G958:H958,OFFSET($H$49:$I$49,D958,0)))*(1+OFFSET($J$49,D958,0))^I958*(1+OFFSET($K$49,D958,0))^J958*(1+OFFSET($L$49,D958,0))^K958*(1+OFFSET($M$49,D958,0))^L958</f>
        <v>325.661439298495</v>
      </c>
      <c r="N958" s="67">
        <f ca="1">MAX(MAX($N$62:N957),OFFSET($C$61,MATCH(M958*1.07,$M$62:$M$2061,1),0)-C958)</f>
        <v>33120</v>
      </c>
    </row>
    <row r="959" spans="2:14">
      <c r="B959" s="67">
        <v>898</v>
      </c>
      <c r="C959" s="67">
        <f t="shared" si="88"/>
        <v>323280</v>
      </c>
      <c r="D959" s="67">
        <f t="shared" ref="D959:D1022" si="89">_xlfn.XLOOKUP("非R",$B$49:$B$54,$C$49:$C$54)</f>
        <v>5</v>
      </c>
      <c r="E959" s="67">
        <f ca="1" t="shared" ref="E959:E1022" si="90">INT(C959/_xlfn.XLOOKUP(D959,$R$14:$R$21,$S$14:$S$21))+OFFSET($R$49,D959,0)</f>
        <v>928</v>
      </c>
      <c r="F959" s="67">
        <f ca="1" t="shared" si="86"/>
        <v>0</v>
      </c>
      <c r="G959" s="67">
        <f ca="1" t="shared" si="87"/>
        <v>0</v>
      </c>
      <c r="H959" s="67" cm="1">
        <f ca="1" t="array" ref="H959">MIN(30-SUM(I959:L959),_xlfn.XLOOKUP($D959&amp;"_"&amp;H$61,$B$23:$B$45&amp;"_"&amp;$C$23:$C$45,$D$23:$D$45)*$E959,18)</f>
        <v>12.2587435601692</v>
      </c>
      <c r="I959" s="67" cm="1">
        <f ca="1" t="array" ref="I959">MIN(30-SUM(J959:L959),6-L959,_xlfn.XLOOKUP($D959&amp;"_"&amp;I$61,$B$23:$B$45&amp;"_"&amp;$C$23:$C$45,$D$23:$D$45)*$E959)</f>
        <v>0.388115340253747</v>
      </c>
      <c r="J959" s="67" cm="1">
        <f ca="1" t="array" ref="J959">MIN(8,_xlfn.XLOOKUP($D959&amp;"_"&amp;J$61,$B$23:$B$45&amp;"_"&amp;$C$23:$C$45,$D$23:$D$45)*$E959)</f>
        <v>8</v>
      </c>
      <c r="K959" s="67" cm="1">
        <f ca="1" t="array" ref="K959">MIN(18,_xlfn.XLOOKUP($D959&amp;"_"&amp;K$61,$B$23:$B$45&amp;"_"&amp;$C$23:$C$45,$D$23:$D$45)*$E959)</f>
        <v>3.74125643983084</v>
      </c>
      <c r="L959" s="67" cm="1">
        <f ca="1" t="array" ref="L959">MIN(6,_xlfn.XLOOKUP($D959&amp;"_"&amp;L$61,$B$23:$B$45&amp;"_"&amp;$C$23:$C$45,$D$23:$D$45)*$E959)</f>
        <v>5.61188465974625</v>
      </c>
      <c r="M959" s="67" cm="1">
        <f ca="1" t="array" ref="M959">(1+SUMPRODUCT(G959:H959,OFFSET($H$49:$I$49,D959,0)))*(1+OFFSET($J$49,D959,0))^I959*(1+OFFSET($K$49,D959,0))^J959*(1+OFFSET($L$49,D959,0))^K959*(1+OFFSET($M$49,D959,0))^L959</f>
        <v>325.932167955343</v>
      </c>
      <c r="N959" s="67">
        <f ca="1">MAX(MAX($N$62:N958),OFFSET($C$61,MATCH(M959*1.07,$M$62:$M$2061,1),0)-C959)</f>
        <v>33480</v>
      </c>
    </row>
    <row r="960" spans="2:14">
      <c r="B960" s="67">
        <v>899</v>
      </c>
      <c r="C960" s="67">
        <f t="shared" si="88"/>
        <v>323640</v>
      </c>
      <c r="D960" s="67">
        <f t="shared" si="89"/>
        <v>5</v>
      </c>
      <c r="E960" s="67">
        <f ca="1" t="shared" si="90"/>
        <v>929</v>
      </c>
      <c r="F960" s="67">
        <f ca="1" t="shared" ref="F960:F1023" si="91">30-SUM(G960:L960)</f>
        <v>0</v>
      </c>
      <c r="G960" s="67">
        <f ca="1" t="shared" ref="G960:G1023" si="92">30-SUM(H960:L960)</f>
        <v>0</v>
      </c>
      <c r="H960" s="67" cm="1">
        <f ca="1" t="array" ref="H960">MIN(30-SUM(I960:L960),_xlfn.XLOOKUP($D960&amp;"_"&amp;H$61,$B$23:$B$45&amp;"_"&amp;$C$23:$C$45,$D$23:$D$45)*$E960,18)</f>
        <v>12.2547120338331</v>
      </c>
      <c r="I960" s="67" cm="1">
        <f ca="1" t="array" ref="I960">MIN(30-SUM(J960:L960),6-L960,_xlfn.XLOOKUP($D960&amp;"_"&amp;I$61,$B$23:$B$45&amp;"_"&amp;$C$23:$C$45,$D$23:$D$45)*$E960)</f>
        <v>0.382068050749711</v>
      </c>
      <c r="J960" s="67" cm="1">
        <f ca="1" t="array" ref="J960">MIN(8,_xlfn.XLOOKUP($D960&amp;"_"&amp;J$61,$B$23:$B$45&amp;"_"&amp;$C$23:$C$45,$D$23:$D$45)*$E960)</f>
        <v>8</v>
      </c>
      <c r="K960" s="67" cm="1">
        <f ca="1" t="array" ref="K960">MIN(18,_xlfn.XLOOKUP($D960&amp;"_"&amp;K$61,$B$23:$B$45&amp;"_"&amp;$C$23:$C$45,$D$23:$D$45)*$E960)</f>
        <v>3.74528796616686</v>
      </c>
      <c r="L960" s="67" cm="1">
        <f ca="1" t="array" ref="L960">MIN(6,_xlfn.XLOOKUP($D960&amp;"_"&amp;L$61,$B$23:$B$45&amp;"_"&amp;$C$23:$C$45,$D$23:$D$45)*$E960)</f>
        <v>5.61793194925029</v>
      </c>
      <c r="M960" s="67" cm="1">
        <f ca="1" t="array" ref="M960">(1+SUMPRODUCT(G960:H960,OFFSET($H$49:$I$49,D960,0)))*(1+OFFSET($J$49,D960,0))^I960*(1+OFFSET($K$49,D960,0))^J960*(1+OFFSET($L$49,D960,0))^K960*(1+OFFSET($M$49,D960,0))^L960</f>
        <v>326.203103874623</v>
      </c>
      <c r="N960" s="67">
        <f ca="1">MAX(MAX($N$62:N959),OFFSET($C$61,MATCH(M960*1.07,$M$62:$M$2061,1),0)-C960)</f>
        <v>33480</v>
      </c>
    </row>
    <row r="961" spans="2:14">
      <c r="B961" s="67">
        <v>900</v>
      </c>
      <c r="C961" s="67">
        <f t="shared" si="88"/>
        <v>324000</v>
      </c>
      <c r="D961" s="67">
        <f t="shared" si="89"/>
        <v>5</v>
      </c>
      <c r="E961" s="67">
        <f ca="1" t="shared" si="90"/>
        <v>930</v>
      </c>
      <c r="F961" s="67">
        <f ca="1" t="shared" si="91"/>
        <v>0</v>
      </c>
      <c r="G961" s="67">
        <f ca="1" t="shared" si="92"/>
        <v>0</v>
      </c>
      <c r="H961" s="67" cm="1">
        <f ca="1" t="array" ref="H961">MIN(30-SUM(I961:L961),_xlfn.XLOOKUP($D961&amp;"_"&amp;H$61,$B$23:$B$45&amp;"_"&amp;$C$23:$C$45,$D$23:$D$45)*$E961,18)</f>
        <v>12.2506805074971</v>
      </c>
      <c r="I961" s="67" cm="1">
        <f ca="1" t="array" ref="I961">MIN(30-SUM(J961:L961),6-L961,_xlfn.XLOOKUP($D961&amp;"_"&amp;I$61,$B$23:$B$45&amp;"_"&amp;$C$23:$C$45,$D$23:$D$45)*$E961)</f>
        <v>0.376020761245673</v>
      </c>
      <c r="J961" s="67" cm="1">
        <f ca="1" t="array" ref="J961">MIN(8,_xlfn.XLOOKUP($D961&amp;"_"&amp;J$61,$B$23:$B$45&amp;"_"&amp;$C$23:$C$45,$D$23:$D$45)*$E961)</f>
        <v>8</v>
      </c>
      <c r="K961" s="67" cm="1">
        <f ca="1" t="array" ref="K961">MIN(18,_xlfn.XLOOKUP($D961&amp;"_"&amp;K$61,$B$23:$B$45&amp;"_"&amp;$C$23:$C$45,$D$23:$D$45)*$E961)</f>
        <v>3.74931949250289</v>
      </c>
      <c r="L961" s="67" cm="1">
        <f ca="1" t="array" ref="L961">MIN(6,_xlfn.XLOOKUP($D961&amp;"_"&amp;L$61,$B$23:$B$45&amp;"_"&amp;$C$23:$C$45,$D$23:$D$45)*$E961)</f>
        <v>5.62397923875433</v>
      </c>
      <c r="M961" s="67" cm="1">
        <f ca="1" t="array" ref="M961">(1+SUMPRODUCT(G961:H961,OFFSET($H$49:$I$49,D961,0)))*(1+OFFSET($J$49,D961,0))^I961*(1+OFFSET($K$49,D961,0))^J961*(1+OFFSET($L$49,D961,0))^K961*(1+OFFSET($M$49,D961,0))^L961</f>
        <v>326.47424719072</v>
      </c>
      <c r="N961" s="67">
        <f ca="1">MAX(MAX($N$62:N960),OFFSET($C$61,MATCH(M961*1.07,$M$62:$M$2061,1),0)-C961)</f>
        <v>33840</v>
      </c>
    </row>
    <row r="962" spans="2:14">
      <c r="B962" s="67">
        <v>901</v>
      </c>
      <c r="C962" s="67">
        <f t="shared" si="88"/>
        <v>324360</v>
      </c>
      <c r="D962" s="67">
        <f t="shared" si="89"/>
        <v>5</v>
      </c>
      <c r="E962" s="67">
        <f ca="1" t="shared" si="90"/>
        <v>931</v>
      </c>
      <c r="F962" s="67">
        <f ca="1" t="shared" si="91"/>
        <v>0</v>
      </c>
      <c r="G962" s="67">
        <f ca="1" t="shared" si="92"/>
        <v>0</v>
      </c>
      <c r="H962" s="67" cm="1">
        <f ca="1" t="array" ref="H962">MIN(30-SUM(I962:L962),_xlfn.XLOOKUP($D962&amp;"_"&amp;H$61,$B$23:$B$45&amp;"_"&amp;$C$23:$C$45,$D$23:$D$45)*$E962,18)</f>
        <v>12.2466489811611</v>
      </c>
      <c r="I962" s="67" cm="1">
        <f ca="1" t="array" ref="I962">MIN(30-SUM(J962:L962),6-L962,_xlfn.XLOOKUP($D962&amp;"_"&amp;I$61,$B$23:$B$45&amp;"_"&amp;$C$23:$C$45,$D$23:$D$45)*$E962)</f>
        <v>0.369973471741637</v>
      </c>
      <c r="J962" s="67" cm="1">
        <f ca="1" t="array" ref="J962">MIN(8,_xlfn.XLOOKUP($D962&amp;"_"&amp;J$61,$B$23:$B$45&amp;"_"&amp;$C$23:$C$45,$D$23:$D$45)*$E962)</f>
        <v>8</v>
      </c>
      <c r="K962" s="67" cm="1">
        <f ca="1" t="array" ref="K962">MIN(18,_xlfn.XLOOKUP($D962&amp;"_"&amp;K$61,$B$23:$B$45&amp;"_"&amp;$C$23:$C$45,$D$23:$D$45)*$E962)</f>
        <v>3.75335101883891</v>
      </c>
      <c r="L962" s="67" cm="1">
        <f ca="1" t="array" ref="L962">MIN(6,_xlfn.XLOOKUP($D962&amp;"_"&amp;L$61,$B$23:$B$45&amp;"_"&amp;$C$23:$C$45,$D$23:$D$45)*$E962)</f>
        <v>5.63002652825836</v>
      </c>
      <c r="M962" s="67" cm="1">
        <f ca="1" t="array" ref="M962">(1+SUMPRODUCT(G962:H962,OFFSET($H$49:$I$49,D962,0)))*(1+OFFSET($J$49,D962,0))^I962*(1+OFFSET($K$49,D962,0))^J962*(1+OFFSET($L$49,D962,0))^K962*(1+OFFSET($M$49,D962,0))^L962</f>
        <v>326.74559803807</v>
      </c>
      <c r="N962" s="67">
        <f ca="1">MAX(MAX($N$62:N961),OFFSET($C$61,MATCH(M962*1.07,$M$62:$M$2061,1),0)-C962)</f>
        <v>34200</v>
      </c>
    </row>
    <row r="963" spans="2:14">
      <c r="B963" s="67">
        <v>902</v>
      </c>
      <c r="C963" s="67">
        <f t="shared" si="88"/>
        <v>324720</v>
      </c>
      <c r="D963" s="67">
        <f t="shared" si="89"/>
        <v>5</v>
      </c>
      <c r="E963" s="67">
        <f ca="1" t="shared" si="90"/>
        <v>932</v>
      </c>
      <c r="F963" s="67">
        <f ca="1" t="shared" si="91"/>
        <v>0</v>
      </c>
      <c r="G963" s="67">
        <f ca="1" t="shared" si="92"/>
        <v>0</v>
      </c>
      <c r="H963" s="67" cm="1">
        <f ca="1" t="array" ref="H963">MIN(30-SUM(I963:L963),_xlfn.XLOOKUP($D963&amp;"_"&amp;H$61,$B$23:$B$45&amp;"_"&amp;$C$23:$C$45,$D$23:$D$45)*$E963,18)</f>
        <v>12.2426174548251</v>
      </c>
      <c r="I963" s="67" cm="1">
        <f ca="1" t="array" ref="I963">MIN(30-SUM(J963:L963),6-L963,_xlfn.XLOOKUP($D963&amp;"_"&amp;I$61,$B$23:$B$45&amp;"_"&amp;$C$23:$C$45,$D$23:$D$45)*$E963)</f>
        <v>0.363926182237599</v>
      </c>
      <c r="J963" s="67" cm="1">
        <f ca="1" t="array" ref="J963">MIN(8,_xlfn.XLOOKUP($D963&amp;"_"&amp;J$61,$B$23:$B$45&amp;"_"&amp;$C$23:$C$45,$D$23:$D$45)*$E963)</f>
        <v>8</v>
      </c>
      <c r="K963" s="67" cm="1">
        <f ca="1" t="array" ref="K963">MIN(18,_xlfn.XLOOKUP($D963&amp;"_"&amp;K$61,$B$23:$B$45&amp;"_"&amp;$C$23:$C$45,$D$23:$D$45)*$E963)</f>
        <v>3.75738254517494</v>
      </c>
      <c r="L963" s="67" cm="1">
        <f ca="1" t="array" ref="L963">MIN(6,_xlfn.XLOOKUP($D963&amp;"_"&amp;L$61,$B$23:$B$45&amp;"_"&amp;$C$23:$C$45,$D$23:$D$45)*$E963)</f>
        <v>5.6360738177624</v>
      </c>
      <c r="M963" s="67" cm="1">
        <f ca="1" t="array" ref="M963">(1+SUMPRODUCT(G963:H963,OFFSET($H$49:$I$49,D963,0)))*(1+OFFSET($J$49,D963,0))^I963*(1+OFFSET($K$49,D963,0))^J963*(1+OFFSET($L$49,D963,0))^K963*(1+OFFSET($M$49,D963,0))^L963</f>
        <v>327.017156551159</v>
      </c>
      <c r="N963" s="67">
        <f ca="1">MAX(MAX($N$62:N962),OFFSET($C$61,MATCH(M963*1.07,$M$62:$M$2061,1),0)-C963)</f>
        <v>34200</v>
      </c>
    </row>
    <row r="964" spans="2:14">
      <c r="B964" s="67">
        <v>903</v>
      </c>
      <c r="C964" s="67">
        <f t="shared" si="88"/>
        <v>325080</v>
      </c>
      <c r="D964" s="67">
        <f t="shared" si="89"/>
        <v>5</v>
      </c>
      <c r="E964" s="67">
        <f ca="1" t="shared" si="90"/>
        <v>933</v>
      </c>
      <c r="F964" s="67">
        <f ca="1" t="shared" si="91"/>
        <v>0</v>
      </c>
      <c r="G964" s="67">
        <f ca="1" t="shared" si="92"/>
        <v>0</v>
      </c>
      <c r="H964" s="67" cm="1">
        <f ca="1" t="array" ref="H964">MIN(30-SUM(I964:L964),_xlfn.XLOOKUP($D964&amp;"_"&amp;H$61,$B$23:$B$45&amp;"_"&amp;$C$23:$C$45,$D$23:$D$45)*$E964,18)</f>
        <v>12.238585928489</v>
      </c>
      <c r="I964" s="67" cm="1">
        <f ca="1" t="array" ref="I964">MIN(30-SUM(J964:L964),6-L964,_xlfn.XLOOKUP($D964&amp;"_"&amp;I$61,$B$23:$B$45&amp;"_"&amp;$C$23:$C$45,$D$23:$D$45)*$E964)</f>
        <v>0.357878892733563</v>
      </c>
      <c r="J964" s="67" cm="1">
        <f ca="1" t="array" ref="J964">MIN(8,_xlfn.XLOOKUP($D964&amp;"_"&amp;J$61,$B$23:$B$45&amp;"_"&amp;$C$23:$C$45,$D$23:$D$45)*$E964)</f>
        <v>8</v>
      </c>
      <c r="K964" s="67" cm="1">
        <f ca="1" t="array" ref="K964">MIN(18,_xlfn.XLOOKUP($D964&amp;"_"&amp;K$61,$B$23:$B$45&amp;"_"&amp;$C$23:$C$45,$D$23:$D$45)*$E964)</f>
        <v>3.76141407151096</v>
      </c>
      <c r="L964" s="67" cm="1">
        <f ca="1" t="array" ref="L964">MIN(6,_xlfn.XLOOKUP($D964&amp;"_"&amp;L$61,$B$23:$B$45&amp;"_"&amp;$C$23:$C$45,$D$23:$D$45)*$E964)</f>
        <v>5.64212110726644</v>
      </c>
      <c r="M964" s="67" cm="1">
        <f ca="1" t="array" ref="M964">(1+SUMPRODUCT(G964:H964,OFFSET($H$49:$I$49,D964,0)))*(1+OFFSET($J$49,D964,0))^I964*(1+OFFSET($K$49,D964,0))^J964*(1+OFFSET($L$49,D964,0))^K964*(1+OFFSET($M$49,D964,0))^L964</f>
        <v>327.288922864524</v>
      </c>
      <c r="N964" s="67">
        <f ca="1">MAX(MAX($N$62:N963),OFFSET($C$61,MATCH(M964*1.07,$M$62:$M$2061,1),0)-C964)</f>
        <v>34560</v>
      </c>
    </row>
    <row r="965" spans="2:14">
      <c r="B965" s="67">
        <v>904</v>
      </c>
      <c r="C965" s="67">
        <f t="shared" si="88"/>
        <v>325440</v>
      </c>
      <c r="D965" s="67">
        <f t="shared" si="89"/>
        <v>5</v>
      </c>
      <c r="E965" s="67">
        <f ca="1" t="shared" si="90"/>
        <v>934</v>
      </c>
      <c r="F965" s="67">
        <f ca="1" t="shared" si="91"/>
        <v>0</v>
      </c>
      <c r="G965" s="67">
        <f ca="1" t="shared" si="92"/>
        <v>0</v>
      </c>
      <c r="H965" s="67" cm="1">
        <f ca="1" t="array" ref="H965">MIN(30-SUM(I965:L965),_xlfn.XLOOKUP($D965&amp;"_"&amp;H$61,$B$23:$B$45&amp;"_"&amp;$C$23:$C$45,$D$23:$D$45)*$E965,18)</f>
        <v>12.234554402153</v>
      </c>
      <c r="I965" s="67" cm="1">
        <f ca="1" t="array" ref="I965">MIN(30-SUM(J965:L965),6-L965,_xlfn.XLOOKUP($D965&amp;"_"&amp;I$61,$B$23:$B$45&amp;"_"&amp;$C$23:$C$45,$D$23:$D$45)*$E965)</f>
        <v>0.351831603229526</v>
      </c>
      <c r="J965" s="67" cm="1">
        <f ca="1" t="array" ref="J965">MIN(8,_xlfn.XLOOKUP($D965&amp;"_"&amp;J$61,$B$23:$B$45&amp;"_"&amp;$C$23:$C$45,$D$23:$D$45)*$E965)</f>
        <v>8</v>
      </c>
      <c r="K965" s="67" cm="1">
        <f ca="1" t="array" ref="K965">MIN(18,_xlfn.XLOOKUP($D965&amp;"_"&amp;K$61,$B$23:$B$45&amp;"_"&amp;$C$23:$C$45,$D$23:$D$45)*$E965)</f>
        <v>3.76544559784699</v>
      </c>
      <c r="L965" s="67" cm="1">
        <f ca="1" t="array" ref="L965">MIN(6,_xlfn.XLOOKUP($D965&amp;"_"&amp;L$61,$B$23:$B$45&amp;"_"&amp;$C$23:$C$45,$D$23:$D$45)*$E965)</f>
        <v>5.64816839677047</v>
      </c>
      <c r="M965" s="67" cm="1">
        <f ca="1" t="array" ref="M965">(1+SUMPRODUCT(G965:H965,OFFSET($H$49:$I$49,D965,0)))*(1+OFFSET($J$49,D965,0))^I965*(1+OFFSET($K$49,D965,0))^J965*(1+OFFSET($L$49,D965,0))^K965*(1+OFFSET($M$49,D965,0))^L965</f>
        <v>327.560897112755</v>
      </c>
      <c r="N965" s="67">
        <f ca="1">MAX(MAX($N$62:N964),OFFSET($C$61,MATCH(M965*1.07,$M$62:$M$2061,1),0)-C965)</f>
        <v>34920</v>
      </c>
    </row>
    <row r="966" spans="2:14">
      <c r="B966" s="67">
        <v>905</v>
      </c>
      <c r="C966" s="67">
        <f t="shared" si="88"/>
        <v>325800</v>
      </c>
      <c r="D966" s="67">
        <f t="shared" si="89"/>
        <v>5</v>
      </c>
      <c r="E966" s="67">
        <f ca="1" t="shared" si="90"/>
        <v>935</v>
      </c>
      <c r="F966" s="67">
        <f ca="1" t="shared" si="91"/>
        <v>0</v>
      </c>
      <c r="G966" s="67">
        <f ca="1" t="shared" si="92"/>
        <v>0</v>
      </c>
      <c r="H966" s="67" cm="1">
        <f ca="1" t="array" ref="H966">MIN(30-SUM(I966:L966),_xlfn.XLOOKUP($D966&amp;"_"&amp;H$61,$B$23:$B$45&amp;"_"&amp;$C$23:$C$45,$D$23:$D$45)*$E966,18)</f>
        <v>12.230522875817</v>
      </c>
      <c r="I966" s="67" cm="1">
        <f ca="1" t="array" ref="I966">MIN(30-SUM(J966:L966),6-L966,_xlfn.XLOOKUP($D966&amp;"_"&amp;I$61,$B$23:$B$45&amp;"_"&amp;$C$23:$C$45,$D$23:$D$45)*$E966)</f>
        <v>0.345784313725489</v>
      </c>
      <c r="J966" s="67" cm="1">
        <f ca="1" t="array" ref="J966">MIN(8,_xlfn.XLOOKUP($D966&amp;"_"&amp;J$61,$B$23:$B$45&amp;"_"&amp;$C$23:$C$45,$D$23:$D$45)*$E966)</f>
        <v>8</v>
      </c>
      <c r="K966" s="67" cm="1">
        <f ca="1" t="array" ref="K966">MIN(18,_xlfn.XLOOKUP($D966&amp;"_"&amp;K$61,$B$23:$B$45&amp;"_"&amp;$C$23:$C$45,$D$23:$D$45)*$E966)</f>
        <v>3.76947712418301</v>
      </c>
      <c r="L966" s="67" cm="1">
        <f ca="1" t="array" ref="L966">MIN(6,_xlfn.XLOOKUP($D966&amp;"_"&amp;L$61,$B$23:$B$45&amp;"_"&amp;$C$23:$C$45,$D$23:$D$45)*$E966)</f>
        <v>5.65421568627451</v>
      </c>
      <c r="M966" s="67" cm="1">
        <f ca="1" t="array" ref="M966">(1+SUMPRODUCT(G966:H966,OFFSET($H$49:$I$49,D966,0)))*(1+OFFSET($J$49,D966,0))^I966*(1+OFFSET($K$49,D966,0))^J966*(1+OFFSET($L$49,D966,0))^K966*(1+OFFSET($M$49,D966,0))^L966</f>
        <v>327.833079430491</v>
      </c>
      <c r="N966" s="67">
        <f ca="1">MAX(MAX($N$62:N965),OFFSET($C$61,MATCH(M966*1.07,$M$62:$M$2061,1),0)-C966)</f>
        <v>34920</v>
      </c>
    </row>
    <row r="967" spans="2:14">
      <c r="B967" s="67">
        <v>906</v>
      </c>
      <c r="C967" s="67">
        <f t="shared" si="88"/>
        <v>326160</v>
      </c>
      <c r="D967" s="67">
        <f t="shared" si="89"/>
        <v>5</v>
      </c>
      <c r="E967" s="67">
        <f ca="1" t="shared" si="90"/>
        <v>936</v>
      </c>
      <c r="F967" s="67">
        <f ca="1" t="shared" si="91"/>
        <v>0</v>
      </c>
      <c r="G967" s="67">
        <f ca="1" t="shared" si="92"/>
        <v>0</v>
      </c>
      <c r="H967" s="67" cm="1">
        <f ca="1" t="array" ref="H967">MIN(30-SUM(I967:L967),_xlfn.XLOOKUP($D967&amp;"_"&amp;H$61,$B$23:$B$45&amp;"_"&amp;$C$23:$C$45,$D$23:$D$45)*$E967,18)</f>
        <v>12.226491349481</v>
      </c>
      <c r="I967" s="67" cm="1">
        <f ca="1" t="array" ref="I967">MIN(30-SUM(J967:L967),6-L967,_xlfn.XLOOKUP($D967&amp;"_"&amp;I$61,$B$23:$B$45&amp;"_"&amp;$C$23:$C$45,$D$23:$D$45)*$E967)</f>
        <v>0.339737024221452</v>
      </c>
      <c r="J967" s="67" cm="1">
        <f ca="1" t="array" ref="J967">MIN(8,_xlfn.XLOOKUP($D967&amp;"_"&amp;J$61,$B$23:$B$45&amp;"_"&amp;$C$23:$C$45,$D$23:$D$45)*$E967)</f>
        <v>8</v>
      </c>
      <c r="K967" s="67" cm="1">
        <f ca="1" t="array" ref="K967">MIN(18,_xlfn.XLOOKUP($D967&amp;"_"&amp;K$61,$B$23:$B$45&amp;"_"&amp;$C$23:$C$45,$D$23:$D$45)*$E967)</f>
        <v>3.77350865051903</v>
      </c>
      <c r="L967" s="67" cm="1">
        <f ca="1" t="array" ref="L967">MIN(6,_xlfn.XLOOKUP($D967&amp;"_"&amp;L$61,$B$23:$B$45&amp;"_"&amp;$C$23:$C$45,$D$23:$D$45)*$E967)</f>
        <v>5.66026297577855</v>
      </c>
      <c r="M967" s="67" cm="1">
        <f ca="1" t="array" ref="M967">(1+SUMPRODUCT(G967:H967,OFFSET($H$49:$I$49,D967,0)))*(1+OFFSET($J$49,D967,0))^I967*(1+OFFSET($K$49,D967,0))^J967*(1+OFFSET($L$49,D967,0))^K967*(1+OFFSET($M$49,D967,0))^L967</f>
        <v>328.105469952423</v>
      </c>
      <c r="N967" s="67">
        <f ca="1">MAX(MAX($N$62:N966),OFFSET($C$61,MATCH(M967*1.07,$M$62:$M$2061,1),0)-C967)</f>
        <v>35280</v>
      </c>
    </row>
    <row r="968" spans="2:14">
      <c r="B968" s="67">
        <v>907</v>
      </c>
      <c r="C968" s="67">
        <f t="shared" si="88"/>
        <v>326520</v>
      </c>
      <c r="D968" s="67">
        <f t="shared" si="89"/>
        <v>5</v>
      </c>
      <c r="E968" s="67">
        <f ca="1" t="shared" si="90"/>
        <v>937</v>
      </c>
      <c r="F968" s="67">
        <f ca="1" t="shared" si="91"/>
        <v>0</v>
      </c>
      <c r="G968" s="67">
        <f ca="1" t="shared" si="92"/>
        <v>0</v>
      </c>
      <c r="H968" s="67" cm="1">
        <f ca="1" t="array" ref="H968">MIN(30-SUM(I968:L968),_xlfn.XLOOKUP($D968&amp;"_"&amp;H$61,$B$23:$B$45&amp;"_"&amp;$C$23:$C$45,$D$23:$D$45)*$E968,18)</f>
        <v>12.2224598231449</v>
      </c>
      <c r="I968" s="67" cm="1">
        <f ca="1" t="array" ref="I968">MIN(30-SUM(J968:L968),6-L968,_xlfn.XLOOKUP($D968&amp;"_"&amp;I$61,$B$23:$B$45&amp;"_"&amp;$C$23:$C$45,$D$23:$D$45)*$E968)</f>
        <v>0.333689734717415</v>
      </c>
      <c r="J968" s="67" cm="1">
        <f ca="1" t="array" ref="J968">MIN(8,_xlfn.XLOOKUP($D968&amp;"_"&amp;J$61,$B$23:$B$45&amp;"_"&amp;$C$23:$C$45,$D$23:$D$45)*$E968)</f>
        <v>8</v>
      </c>
      <c r="K968" s="67" cm="1">
        <f ca="1" t="array" ref="K968">MIN(18,_xlfn.XLOOKUP($D968&amp;"_"&amp;K$61,$B$23:$B$45&amp;"_"&amp;$C$23:$C$45,$D$23:$D$45)*$E968)</f>
        <v>3.77754017685506</v>
      </c>
      <c r="L968" s="67" cm="1">
        <f ca="1" t="array" ref="L968">MIN(6,_xlfn.XLOOKUP($D968&amp;"_"&amp;L$61,$B$23:$B$45&amp;"_"&amp;$C$23:$C$45,$D$23:$D$45)*$E968)</f>
        <v>5.66631026528258</v>
      </c>
      <c r="M968" s="67" cm="1">
        <f ca="1" t="array" ref="M968">(1+SUMPRODUCT(G968:H968,OFFSET($H$49:$I$49,D968,0)))*(1+OFFSET($J$49,D968,0))^I968*(1+OFFSET($K$49,D968,0))^J968*(1+OFFSET($L$49,D968,0))^K968*(1+OFFSET($M$49,D968,0))^L968</f>
        <v>328.378068813293</v>
      </c>
      <c r="N968" s="67">
        <f ca="1">MAX(MAX($N$62:N967),OFFSET($C$61,MATCH(M968*1.07,$M$62:$M$2061,1),0)-C968)</f>
        <v>35640</v>
      </c>
    </row>
    <row r="969" spans="2:14">
      <c r="B969" s="67">
        <v>908</v>
      </c>
      <c r="C969" s="67">
        <f t="shared" si="88"/>
        <v>326880</v>
      </c>
      <c r="D969" s="67">
        <f t="shared" si="89"/>
        <v>5</v>
      </c>
      <c r="E969" s="67">
        <f ca="1" t="shared" si="90"/>
        <v>938</v>
      </c>
      <c r="F969" s="67">
        <f ca="1" t="shared" si="91"/>
        <v>0</v>
      </c>
      <c r="G969" s="67">
        <f ca="1" t="shared" si="92"/>
        <v>0</v>
      </c>
      <c r="H969" s="67" cm="1">
        <f ca="1" t="array" ref="H969">MIN(30-SUM(I969:L969),_xlfn.XLOOKUP($D969&amp;"_"&amp;H$61,$B$23:$B$45&amp;"_"&amp;$C$23:$C$45,$D$23:$D$45)*$E969,18)</f>
        <v>12.2184282968089</v>
      </c>
      <c r="I969" s="67" cm="1">
        <f ca="1" t="array" ref="I969">MIN(30-SUM(J969:L969),6-L969,_xlfn.XLOOKUP($D969&amp;"_"&amp;I$61,$B$23:$B$45&amp;"_"&amp;$C$23:$C$45,$D$23:$D$45)*$E969)</f>
        <v>0.327642445213378</v>
      </c>
      <c r="J969" s="67" cm="1">
        <f ca="1" t="array" ref="J969">MIN(8,_xlfn.XLOOKUP($D969&amp;"_"&amp;J$61,$B$23:$B$45&amp;"_"&amp;$C$23:$C$45,$D$23:$D$45)*$E969)</f>
        <v>8</v>
      </c>
      <c r="K969" s="67" cm="1">
        <f ca="1" t="array" ref="K969">MIN(18,_xlfn.XLOOKUP($D969&amp;"_"&amp;K$61,$B$23:$B$45&amp;"_"&amp;$C$23:$C$45,$D$23:$D$45)*$E969)</f>
        <v>3.78157170319108</v>
      </c>
      <c r="L969" s="67" cm="1">
        <f ca="1" t="array" ref="L969">MIN(6,_xlfn.XLOOKUP($D969&amp;"_"&amp;L$61,$B$23:$B$45&amp;"_"&amp;$C$23:$C$45,$D$23:$D$45)*$E969)</f>
        <v>5.67235755478662</v>
      </c>
      <c r="M969" s="67" cm="1">
        <f ca="1" t="array" ref="M969">(1+SUMPRODUCT(G969:H969,OFFSET($H$49:$I$49,D969,0)))*(1+OFFSET($J$49,D969,0))^I969*(1+OFFSET($K$49,D969,0))^J969*(1+OFFSET($L$49,D969,0))^K969*(1+OFFSET($M$49,D969,0))^L969</f>
        <v>328.650876147892</v>
      </c>
      <c r="N969" s="67">
        <f ca="1">MAX(MAX($N$62:N968),OFFSET($C$61,MATCH(M969*1.07,$M$62:$M$2061,1),0)-C969)</f>
        <v>35640</v>
      </c>
    </row>
    <row r="970" spans="2:14">
      <c r="B970" s="67">
        <v>909</v>
      </c>
      <c r="C970" s="67">
        <f t="shared" si="88"/>
        <v>327240</v>
      </c>
      <c r="D970" s="67">
        <f t="shared" si="89"/>
        <v>5</v>
      </c>
      <c r="E970" s="67">
        <f ca="1" t="shared" si="90"/>
        <v>939</v>
      </c>
      <c r="F970" s="67">
        <f ca="1" t="shared" si="91"/>
        <v>0</v>
      </c>
      <c r="G970" s="67">
        <f ca="1" t="shared" si="92"/>
        <v>0</v>
      </c>
      <c r="H970" s="67" cm="1">
        <f ca="1" t="array" ref="H970">MIN(30-SUM(I970:L970),_xlfn.XLOOKUP($D970&amp;"_"&amp;H$61,$B$23:$B$45&amp;"_"&amp;$C$23:$C$45,$D$23:$D$45)*$E970,18)</f>
        <v>12.2143967704729</v>
      </c>
      <c r="I970" s="67" cm="1">
        <f ca="1" t="array" ref="I970">MIN(30-SUM(J970:L970),6-L970,_xlfn.XLOOKUP($D970&amp;"_"&amp;I$61,$B$23:$B$45&amp;"_"&amp;$C$23:$C$45,$D$23:$D$45)*$E970)</f>
        <v>0.321595155709341</v>
      </c>
      <c r="J970" s="67" cm="1">
        <f ca="1" t="array" ref="J970">MIN(8,_xlfn.XLOOKUP($D970&amp;"_"&amp;J$61,$B$23:$B$45&amp;"_"&amp;$C$23:$C$45,$D$23:$D$45)*$E970)</f>
        <v>8</v>
      </c>
      <c r="K970" s="67" cm="1">
        <f ca="1" t="array" ref="K970">MIN(18,_xlfn.XLOOKUP($D970&amp;"_"&amp;K$61,$B$23:$B$45&amp;"_"&amp;$C$23:$C$45,$D$23:$D$45)*$E970)</f>
        <v>3.78560322952711</v>
      </c>
      <c r="L970" s="67" cm="1">
        <f ca="1" t="array" ref="L970">MIN(6,_xlfn.XLOOKUP($D970&amp;"_"&amp;L$61,$B$23:$B$45&amp;"_"&amp;$C$23:$C$45,$D$23:$D$45)*$E970)</f>
        <v>5.67840484429066</v>
      </c>
      <c r="M970" s="67" cm="1">
        <f ca="1" t="array" ref="M970">(1+SUMPRODUCT(G970:H970,OFFSET($H$49:$I$49,D970,0)))*(1+OFFSET($J$49,D970,0))^I970*(1+OFFSET($K$49,D970,0))^J970*(1+OFFSET($L$49,D970,0))^K970*(1+OFFSET($M$49,D970,0))^L970</f>
        <v>328.923892091063</v>
      </c>
      <c r="N970" s="67">
        <f ca="1">MAX(MAX($N$62:N969),OFFSET($C$61,MATCH(M970*1.07,$M$62:$M$2061,1),0)-C970)</f>
        <v>36000</v>
      </c>
    </row>
    <row r="971" spans="2:14">
      <c r="B971" s="67">
        <v>910</v>
      </c>
      <c r="C971" s="67">
        <f t="shared" si="88"/>
        <v>327600</v>
      </c>
      <c r="D971" s="67">
        <f t="shared" si="89"/>
        <v>5</v>
      </c>
      <c r="E971" s="67">
        <f ca="1" t="shared" si="90"/>
        <v>940</v>
      </c>
      <c r="F971" s="67">
        <f ca="1" t="shared" si="91"/>
        <v>0</v>
      </c>
      <c r="G971" s="67">
        <f ca="1" t="shared" si="92"/>
        <v>0</v>
      </c>
      <c r="H971" s="67" cm="1">
        <f ca="1" t="array" ref="H971">MIN(30-SUM(I971:L971),_xlfn.XLOOKUP($D971&amp;"_"&amp;H$61,$B$23:$B$45&amp;"_"&amp;$C$23:$C$45,$D$23:$D$45)*$E971,18)</f>
        <v>12.2103652441369</v>
      </c>
      <c r="I971" s="67" cm="1">
        <f ca="1" t="array" ref="I971">MIN(30-SUM(J971:L971),6-L971,_xlfn.XLOOKUP($D971&amp;"_"&amp;I$61,$B$23:$B$45&amp;"_"&amp;$C$23:$C$45,$D$23:$D$45)*$E971)</f>
        <v>0.315547866205304</v>
      </c>
      <c r="J971" s="67" cm="1">
        <f ca="1" t="array" ref="J971">MIN(8,_xlfn.XLOOKUP($D971&amp;"_"&amp;J$61,$B$23:$B$45&amp;"_"&amp;$C$23:$C$45,$D$23:$D$45)*$E971)</f>
        <v>8</v>
      </c>
      <c r="K971" s="67" cm="1">
        <f ca="1" t="array" ref="K971">MIN(18,_xlfn.XLOOKUP($D971&amp;"_"&amp;K$61,$B$23:$B$45&amp;"_"&amp;$C$23:$C$45,$D$23:$D$45)*$E971)</f>
        <v>3.78963475586313</v>
      </c>
      <c r="L971" s="67" cm="1">
        <f ca="1" t="array" ref="L971">MIN(6,_xlfn.XLOOKUP($D971&amp;"_"&amp;L$61,$B$23:$B$45&amp;"_"&amp;$C$23:$C$45,$D$23:$D$45)*$E971)</f>
        <v>5.6844521337947</v>
      </c>
      <c r="M971" s="67" cm="1">
        <f ca="1" t="array" ref="M971">(1+SUMPRODUCT(G971:H971,OFFSET($H$49:$I$49,D971,0)))*(1+OFFSET($J$49,D971,0))^I971*(1+OFFSET($K$49,D971,0))^J971*(1+OFFSET($L$49,D971,0))^K971*(1+OFFSET($M$49,D971,0))^L971</f>
        <v>329.197116777702</v>
      </c>
      <c r="N971" s="67">
        <f ca="1">MAX(MAX($N$62:N970),OFFSET($C$61,MATCH(M971*1.07,$M$62:$M$2061,1),0)-C971)</f>
        <v>36360</v>
      </c>
    </row>
    <row r="972" spans="2:14">
      <c r="B972" s="67">
        <v>911</v>
      </c>
      <c r="C972" s="67">
        <f t="shared" si="88"/>
        <v>327960</v>
      </c>
      <c r="D972" s="67">
        <f t="shared" si="89"/>
        <v>5</v>
      </c>
      <c r="E972" s="67">
        <f ca="1" t="shared" si="90"/>
        <v>941</v>
      </c>
      <c r="F972" s="67">
        <f ca="1" t="shared" si="91"/>
        <v>0</v>
      </c>
      <c r="G972" s="67">
        <f ca="1" t="shared" si="92"/>
        <v>0</v>
      </c>
      <c r="H972" s="67" cm="1">
        <f ca="1" t="array" ref="H972">MIN(30-SUM(I972:L972),_xlfn.XLOOKUP($D972&amp;"_"&amp;H$61,$B$23:$B$45&amp;"_"&amp;$C$23:$C$45,$D$23:$D$45)*$E972,18)</f>
        <v>12.2063337178008</v>
      </c>
      <c r="I972" s="67" cm="1">
        <f ca="1" t="array" ref="I972">MIN(30-SUM(J972:L972),6-L972,_xlfn.XLOOKUP($D972&amp;"_"&amp;I$61,$B$23:$B$45&amp;"_"&amp;$C$23:$C$45,$D$23:$D$45)*$E972)</f>
        <v>0.309500576701267</v>
      </c>
      <c r="J972" s="67" cm="1">
        <f ca="1" t="array" ref="J972">MIN(8,_xlfn.XLOOKUP($D972&amp;"_"&amp;J$61,$B$23:$B$45&amp;"_"&amp;$C$23:$C$45,$D$23:$D$45)*$E972)</f>
        <v>8</v>
      </c>
      <c r="K972" s="67" cm="1">
        <f ca="1" t="array" ref="K972">MIN(18,_xlfn.XLOOKUP($D972&amp;"_"&amp;K$61,$B$23:$B$45&amp;"_"&amp;$C$23:$C$45,$D$23:$D$45)*$E972)</f>
        <v>3.79366628219916</v>
      </c>
      <c r="L972" s="67" cm="1">
        <f ca="1" t="array" ref="L972">MIN(6,_xlfn.XLOOKUP($D972&amp;"_"&amp;L$61,$B$23:$B$45&amp;"_"&amp;$C$23:$C$45,$D$23:$D$45)*$E972)</f>
        <v>5.69049942329873</v>
      </c>
      <c r="M972" s="67" cm="1">
        <f ca="1" t="array" ref="M972">(1+SUMPRODUCT(G972:H972,OFFSET($H$49:$I$49,D972,0)))*(1+OFFSET($J$49,D972,0))^I972*(1+OFFSET($K$49,D972,0))^J972*(1+OFFSET($L$49,D972,0))^K972*(1+OFFSET($M$49,D972,0))^L972</f>
        <v>329.470550342752</v>
      </c>
      <c r="N972" s="67">
        <f ca="1">MAX(MAX($N$62:N971),OFFSET($C$61,MATCH(M972*1.07,$M$62:$M$2061,1),0)-C972)</f>
        <v>36720</v>
      </c>
    </row>
    <row r="973" spans="2:14">
      <c r="B973" s="67">
        <v>912</v>
      </c>
      <c r="C973" s="67">
        <f t="shared" si="88"/>
        <v>328320</v>
      </c>
      <c r="D973" s="67">
        <f t="shared" si="89"/>
        <v>5</v>
      </c>
      <c r="E973" s="67">
        <f ca="1" t="shared" si="90"/>
        <v>942</v>
      </c>
      <c r="F973" s="67">
        <f ca="1" t="shared" si="91"/>
        <v>0</v>
      </c>
      <c r="G973" s="67">
        <f ca="1" t="shared" si="92"/>
        <v>0</v>
      </c>
      <c r="H973" s="67" cm="1">
        <f ca="1" t="array" ref="H973">MIN(30-SUM(I973:L973),_xlfn.XLOOKUP($D973&amp;"_"&amp;H$61,$B$23:$B$45&amp;"_"&amp;$C$23:$C$45,$D$23:$D$45)*$E973,18)</f>
        <v>12.2023021914648</v>
      </c>
      <c r="I973" s="67" cm="1">
        <f ca="1" t="array" ref="I973">MIN(30-SUM(J973:L973),6-L973,_xlfn.XLOOKUP($D973&amp;"_"&amp;I$61,$B$23:$B$45&amp;"_"&amp;$C$23:$C$45,$D$23:$D$45)*$E973)</f>
        <v>0.303453287197231</v>
      </c>
      <c r="J973" s="67" cm="1">
        <f ca="1" t="array" ref="J973">MIN(8,_xlfn.XLOOKUP($D973&amp;"_"&amp;J$61,$B$23:$B$45&amp;"_"&amp;$C$23:$C$45,$D$23:$D$45)*$E973)</f>
        <v>8</v>
      </c>
      <c r="K973" s="67" cm="1">
        <f ca="1" t="array" ref="K973">MIN(18,_xlfn.XLOOKUP($D973&amp;"_"&amp;K$61,$B$23:$B$45&amp;"_"&amp;$C$23:$C$45,$D$23:$D$45)*$E973)</f>
        <v>3.79769780853518</v>
      </c>
      <c r="L973" s="67" cm="1">
        <f ca="1" t="array" ref="L973">MIN(6,_xlfn.XLOOKUP($D973&amp;"_"&amp;L$61,$B$23:$B$45&amp;"_"&amp;$C$23:$C$45,$D$23:$D$45)*$E973)</f>
        <v>5.69654671280277</v>
      </c>
      <c r="M973" s="67" cm="1">
        <f ca="1" t="array" ref="M973">(1+SUMPRODUCT(G973:H973,OFFSET($H$49:$I$49,D973,0)))*(1+OFFSET($J$49,D973,0))^I973*(1+OFFSET($K$49,D973,0))^J973*(1+OFFSET($L$49,D973,0))^K973*(1+OFFSET($M$49,D973,0))^L973</f>
        <v>329.744192921208</v>
      </c>
      <c r="N973" s="67">
        <f ca="1">MAX(MAX($N$62:N972),OFFSET($C$61,MATCH(M973*1.07,$M$62:$M$2061,1),0)-C973)</f>
        <v>36720</v>
      </c>
    </row>
    <row r="974" spans="2:14">
      <c r="B974" s="67">
        <v>913</v>
      </c>
      <c r="C974" s="67">
        <f t="shared" si="88"/>
        <v>328680</v>
      </c>
      <c r="D974" s="67">
        <f t="shared" si="89"/>
        <v>5</v>
      </c>
      <c r="E974" s="67">
        <f ca="1" t="shared" si="90"/>
        <v>943</v>
      </c>
      <c r="F974" s="67">
        <f ca="1" t="shared" si="91"/>
        <v>0</v>
      </c>
      <c r="G974" s="67">
        <f ca="1" t="shared" si="92"/>
        <v>0</v>
      </c>
      <c r="H974" s="67" cm="1">
        <f ca="1" t="array" ref="H974">MIN(30-SUM(I974:L974),_xlfn.XLOOKUP($D974&amp;"_"&amp;H$61,$B$23:$B$45&amp;"_"&amp;$C$23:$C$45,$D$23:$D$45)*$E974,18)</f>
        <v>12.1982706651288</v>
      </c>
      <c r="I974" s="67" cm="1">
        <f ca="1" t="array" ref="I974">MIN(30-SUM(J974:L974),6-L974,_xlfn.XLOOKUP($D974&amp;"_"&amp;I$61,$B$23:$B$45&amp;"_"&amp;$C$23:$C$45,$D$23:$D$45)*$E974)</f>
        <v>0.297405997693193</v>
      </c>
      <c r="J974" s="67" cm="1">
        <f ca="1" t="array" ref="J974">MIN(8,_xlfn.XLOOKUP($D974&amp;"_"&amp;J$61,$B$23:$B$45&amp;"_"&amp;$C$23:$C$45,$D$23:$D$45)*$E974)</f>
        <v>8</v>
      </c>
      <c r="K974" s="67" cm="1">
        <f ca="1" t="array" ref="K974">MIN(18,_xlfn.XLOOKUP($D974&amp;"_"&amp;K$61,$B$23:$B$45&amp;"_"&amp;$C$23:$C$45,$D$23:$D$45)*$E974)</f>
        <v>3.80172933487121</v>
      </c>
      <c r="L974" s="67" cm="1">
        <f ca="1" t="array" ref="L974">MIN(6,_xlfn.XLOOKUP($D974&amp;"_"&amp;L$61,$B$23:$B$45&amp;"_"&amp;$C$23:$C$45,$D$23:$D$45)*$E974)</f>
        <v>5.70259400230681</v>
      </c>
      <c r="M974" s="67" cm="1">
        <f ca="1" t="array" ref="M974">(1+SUMPRODUCT(G974:H974,OFFSET($H$49:$I$49,D974,0)))*(1+OFFSET($J$49,D974,0))^I974*(1+OFFSET($K$49,D974,0))^J974*(1+OFFSET($L$49,D974,0))^K974*(1+OFFSET($M$49,D974,0))^L974</f>
        <v>330.018044648116</v>
      </c>
      <c r="N974" s="67">
        <f ca="1">MAX(MAX($N$62:N973),OFFSET($C$61,MATCH(M974*1.07,$M$62:$M$2061,1),0)-C974)</f>
        <v>37080</v>
      </c>
    </row>
    <row r="975" spans="2:14">
      <c r="B975" s="67">
        <v>914</v>
      </c>
      <c r="C975" s="67">
        <f t="shared" si="88"/>
        <v>329040</v>
      </c>
      <c r="D975" s="67">
        <f t="shared" si="89"/>
        <v>5</v>
      </c>
      <c r="E975" s="67">
        <f ca="1" t="shared" si="90"/>
        <v>944</v>
      </c>
      <c r="F975" s="67">
        <f ca="1" t="shared" si="91"/>
        <v>0</v>
      </c>
      <c r="G975" s="67">
        <f ca="1" t="shared" si="92"/>
        <v>0</v>
      </c>
      <c r="H975" s="67" cm="1">
        <f ca="1" t="array" ref="H975">MIN(30-SUM(I975:L975),_xlfn.XLOOKUP($D975&amp;"_"&amp;H$61,$B$23:$B$45&amp;"_"&amp;$C$23:$C$45,$D$23:$D$45)*$E975,18)</f>
        <v>12.1942391387928</v>
      </c>
      <c r="I975" s="67" cm="1">
        <f ca="1" t="array" ref="I975">MIN(30-SUM(J975:L975),6-L975,_xlfn.XLOOKUP($D975&amp;"_"&amp;I$61,$B$23:$B$45&amp;"_"&amp;$C$23:$C$45,$D$23:$D$45)*$E975)</f>
        <v>0.291358708189157</v>
      </c>
      <c r="J975" s="67" cm="1">
        <f ca="1" t="array" ref="J975">MIN(8,_xlfn.XLOOKUP($D975&amp;"_"&amp;J$61,$B$23:$B$45&amp;"_"&amp;$C$23:$C$45,$D$23:$D$45)*$E975)</f>
        <v>8</v>
      </c>
      <c r="K975" s="67" cm="1">
        <f ca="1" t="array" ref="K975">MIN(18,_xlfn.XLOOKUP($D975&amp;"_"&amp;K$61,$B$23:$B$45&amp;"_"&amp;$C$23:$C$45,$D$23:$D$45)*$E975)</f>
        <v>3.80576086120723</v>
      </c>
      <c r="L975" s="67" cm="1">
        <f ca="1" t="array" ref="L975">MIN(6,_xlfn.XLOOKUP($D975&amp;"_"&amp;L$61,$B$23:$B$45&amp;"_"&amp;$C$23:$C$45,$D$23:$D$45)*$E975)</f>
        <v>5.70864129181084</v>
      </c>
      <c r="M975" s="67" cm="1">
        <f ca="1" t="array" ref="M975">(1+SUMPRODUCT(G975:H975,OFFSET($H$49:$I$49,D975,0)))*(1+OFFSET($J$49,D975,0))^I975*(1+OFFSET($K$49,D975,0))^J975*(1+OFFSET($L$49,D975,0))^K975*(1+OFFSET($M$49,D975,0))^L975</f>
        <v>330.292105658573</v>
      </c>
      <c r="N975" s="67">
        <f ca="1">MAX(MAX($N$62:N974),OFFSET($C$61,MATCH(M975*1.07,$M$62:$M$2061,1),0)-C975)</f>
        <v>37440</v>
      </c>
    </row>
    <row r="976" spans="2:14">
      <c r="B976" s="67">
        <v>915</v>
      </c>
      <c r="C976" s="67">
        <f t="shared" si="88"/>
        <v>329400</v>
      </c>
      <c r="D976" s="67">
        <f t="shared" si="89"/>
        <v>5</v>
      </c>
      <c r="E976" s="67">
        <f ca="1" t="shared" si="90"/>
        <v>945</v>
      </c>
      <c r="F976" s="67">
        <f ca="1" t="shared" si="91"/>
        <v>0</v>
      </c>
      <c r="G976" s="67">
        <f ca="1" t="shared" si="92"/>
        <v>0</v>
      </c>
      <c r="H976" s="67" cm="1">
        <f ca="1" t="array" ref="H976">MIN(30-SUM(I976:L976),_xlfn.XLOOKUP($D976&amp;"_"&amp;H$61,$B$23:$B$45&amp;"_"&amp;$C$23:$C$45,$D$23:$D$45)*$E976,18)</f>
        <v>12.1902076124567</v>
      </c>
      <c r="I976" s="67" cm="1">
        <f ca="1" t="array" ref="I976">MIN(30-SUM(J976:L976),6-L976,_xlfn.XLOOKUP($D976&amp;"_"&amp;I$61,$B$23:$B$45&amp;"_"&amp;$C$23:$C$45,$D$23:$D$45)*$E976)</f>
        <v>0.28531141868512</v>
      </c>
      <c r="J976" s="67" cm="1">
        <f ca="1" t="array" ref="J976">MIN(8,_xlfn.XLOOKUP($D976&amp;"_"&amp;J$61,$B$23:$B$45&amp;"_"&amp;$C$23:$C$45,$D$23:$D$45)*$E976)</f>
        <v>8</v>
      </c>
      <c r="K976" s="67" cm="1">
        <f ca="1" t="array" ref="K976">MIN(18,_xlfn.XLOOKUP($D976&amp;"_"&amp;K$61,$B$23:$B$45&amp;"_"&amp;$C$23:$C$45,$D$23:$D$45)*$E976)</f>
        <v>3.80979238754326</v>
      </c>
      <c r="L976" s="67" cm="1">
        <f ca="1" t="array" ref="L976">MIN(6,_xlfn.XLOOKUP($D976&amp;"_"&amp;L$61,$B$23:$B$45&amp;"_"&amp;$C$23:$C$45,$D$23:$D$45)*$E976)</f>
        <v>5.71468858131488</v>
      </c>
      <c r="M976" s="67" cm="1">
        <f ca="1" t="array" ref="M976">(1+SUMPRODUCT(G976:H976,OFFSET($H$49:$I$49,D976,0)))*(1+OFFSET($J$49,D976,0))^I976*(1+OFFSET($K$49,D976,0))^J976*(1+OFFSET($L$49,D976,0))^K976*(1+OFFSET($M$49,D976,0))^L976</f>
        <v>330.566376087726</v>
      </c>
      <c r="N976" s="67">
        <f ca="1">MAX(MAX($N$62:N975),OFFSET($C$61,MATCH(M976*1.07,$M$62:$M$2061,1),0)-C976)</f>
        <v>37440</v>
      </c>
    </row>
    <row r="977" spans="2:14">
      <c r="B977" s="67">
        <v>916</v>
      </c>
      <c r="C977" s="67">
        <f t="shared" ref="C977:C1007" si="93">C976+360</f>
        <v>329760</v>
      </c>
      <c r="D977" s="67">
        <f t="shared" si="89"/>
        <v>5</v>
      </c>
      <c r="E977" s="67">
        <f ca="1" t="shared" si="90"/>
        <v>946</v>
      </c>
      <c r="F977" s="67">
        <f ca="1" t="shared" si="91"/>
        <v>0</v>
      </c>
      <c r="G977" s="67">
        <f ca="1" t="shared" si="92"/>
        <v>0</v>
      </c>
      <c r="H977" s="67" cm="1">
        <f ca="1" t="array" ref="H977">MIN(30-SUM(I977:L977),_xlfn.XLOOKUP($D977&amp;"_"&amp;H$61,$B$23:$B$45&amp;"_"&amp;$C$23:$C$45,$D$23:$D$45)*$E977,18)</f>
        <v>12.1861760861207</v>
      </c>
      <c r="I977" s="67" cm="1">
        <f ca="1" t="array" ref="I977">MIN(30-SUM(J977:L977),6-L977,_xlfn.XLOOKUP($D977&amp;"_"&amp;I$61,$B$23:$B$45&amp;"_"&amp;$C$23:$C$45,$D$23:$D$45)*$E977)</f>
        <v>0.279264129181083</v>
      </c>
      <c r="J977" s="67" cm="1">
        <f ca="1" t="array" ref="J977">MIN(8,_xlfn.XLOOKUP($D977&amp;"_"&amp;J$61,$B$23:$B$45&amp;"_"&amp;$C$23:$C$45,$D$23:$D$45)*$E977)</f>
        <v>8</v>
      </c>
      <c r="K977" s="67" cm="1">
        <f ca="1" t="array" ref="K977">MIN(18,_xlfn.XLOOKUP($D977&amp;"_"&amp;K$61,$B$23:$B$45&amp;"_"&amp;$C$23:$C$45,$D$23:$D$45)*$E977)</f>
        <v>3.81382391387928</v>
      </c>
      <c r="L977" s="67" cm="1">
        <f ca="1" t="array" ref="L977">MIN(6,_xlfn.XLOOKUP($D977&amp;"_"&amp;L$61,$B$23:$B$45&amp;"_"&amp;$C$23:$C$45,$D$23:$D$45)*$E977)</f>
        <v>5.72073587081892</v>
      </c>
      <c r="M977" s="67" cm="1">
        <f ca="1" t="array" ref="M977">(1+SUMPRODUCT(G977:H977,OFFSET($H$49:$I$49,D977,0)))*(1+OFFSET($J$49,D977,0))^I977*(1+OFFSET($K$49,D977,0))^J977*(1+OFFSET($L$49,D977,0))^K977*(1+OFFSET($M$49,D977,0))^L977</f>
        <v>330.840856070771</v>
      </c>
      <c r="N977" s="67">
        <f ca="1">MAX(MAX($N$62:N976),OFFSET($C$61,MATCH(M977*1.07,$M$62:$M$2061,1),0)-C977)</f>
        <v>37800</v>
      </c>
    </row>
    <row r="978" spans="2:14">
      <c r="B978" s="67">
        <v>917</v>
      </c>
      <c r="C978" s="67">
        <f t="shared" si="93"/>
        <v>330120</v>
      </c>
      <c r="D978" s="67">
        <f t="shared" si="89"/>
        <v>5</v>
      </c>
      <c r="E978" s="67">
        <f ca="1" t="shared" si="90"/>
        <v>947</v>
      </c>
      <c r="F978" s="67">
        <f ca="1" t="shared" si="91"/>
        <v>0</v>
      </c>
      <c r="G978" s="67">
        <f ca="1" t="shared" si="92"/>
        <v>0</v>
      </c>
      <c r="H978" s="67" cm="1">
        <f ca="1" t="array" ref="H978">MIN(30-SUM(I978:L978),_xlfn.XLOOKUP($D978&amp;"_"&amp;H$61,$B$23:$B$45&amp;"_"&amp;$C$23:$C$45,$D$23:$D$45)*$E978,18)</f>
        <v>12.1821445597847</v>
      </c>
      <c r="I978" s="67" cm="1">
        <f ca="1" t="array" ref="I978">MIN(30-SUM(J978:L978),6-L978,_xlfn.XLOOKUP($D978&amp;"_"&amp;I$61,$B$23:$B$45&amp;"_"&amp;$C$23:$C$45,$D$23:$D$45)*$E978)</f>
        <v>0.273216839677046</v>
      </c>
      <c r="J978" s="67" cm="1">
        <f ca="1" t="array" ref="J978">MIN(8,_xlfn.XLOOKUP($D978&amp;"_"&amp;J$61,$B$23:$B$45&amp;"_"&amp;$C$23:$C$45,$D$23:$D$45)*$E978)</f>
        <v>8</v>
      </c>
      <c r="K978" s="67" cm="1">
        <f ca="1" t="array" ref="K978">MIN(18,_xlfn.XLOOKUP($D978&amp;"_"&amp;K$61,$B$23:$B$45&amp;"_"&amp;$C$23:$C$45,$D$23:$D$45)*$E978)</f>
        <v>3.81785544021531</v>
      </c>
      <c r="L978" s="67" cm="1">
        <f ca="1" t="array" ref="L978">MIN(6,_xlfn.XLOOKUP($D978&amp;"_"&amp;L$61,$B$23:$B$45&amp;"_"&amp;$C$23:$C$45,$D$23:$D$45)*$E978)</f>
        <v>5.72678316032295</v>
      </c>
      <c r="M978" s="67" cm="1">
        <f ca="1" t="array" ref="M978">(1+SUMPRODUCT(G978:H978,OFFSET($H$49:$I$49,D978,0)))*(1+OFFSET($J$49,D978,0))^I978*(1+OFFSET($K$49,D978,0))^J978*(1+OFFSET($L$49,D978,0))^K978*(1+OFFSET($M$49,D978,0))^L978</f>
        <v>331.115545742957</v>
      </c>
      <c r="N978" s="67">
        <f ca="1">MAX(MAX($N$62:N977),OFFSET($C$61,MATCH(M978*1.07,$M$62:$M$2061,1),0)-C978)</f>
        <v>38160</v>
      </c>
    </row>
    <row r="979" spans="2:14">
      <c r="B979" s="67">
        <v>918</v>
      </c>
      <c r="C979" s="67">
        <f t="shared" si="93"/>
        <v>330480</v>
      </c>
      <c r="D979" s="67">
        <f t="shared" si="89"/>
        <v>5</v>
      </c>
      <c r="E979" s="67">
        <f ca="1" t="shared" si="90"/>
        <v>948</v>
      </c>
      <c r="F979" s="67">
        <f ca="1" t="shared" si="91"/>
        <v>0</v>
      </c>
      <c r="G979" s="67">
        <f ca="1" t="shared" si="92"/>
        <v>0</v>
      </c>
      <c r="H979" s="67" cm="1">
        <f ca="1" t="array" ref="H979">MIN(30-SUM(I979:L979),_xlfn.XLOOKUP($D979&amp;"_"&amp;H$61,$B$23:$B$45&amp;"_"&amp;$C$23:$C$45,$D$23:$D$45)*$E979,18)</f>
        <v>12.1781130334487</v>
      </c>
      <c r="I979" s="67" cm="1">
        <f ca="1" t="array" ref="I979">MIN(30-SUM(J979:L979),6-L979,_xlfn.XLOOKUP($D979&amp;"_"&amp;I$61,$B$23:$B$45&amp;"_"&amp;$C$23:$C$45,$D$23:$D$45)*$E979)</f>
        <v>0.267169550173009</v>
      </c>
      <c r="J979" s="67" cm="1">
        <f ca="1" t="array" ref="J979">MIN(8,_xlfn.XLOOKUP($D979&amp;"_"&amp;J$61,$B$23:$B$45&amp;"_"&amp;$C$23:$C$45,$D$23:$D$45)*$E979)</f>
        <v>8</v>
      </c>
      <c r="K979" s="67" cm="1">
        <f ca="1" t="array" ref="K979">MIN(18,_xlfn.XLOOKUP($D979&amp;"_"&amp;K$61,$B$23:$B$45&amp;"_"&amp;$C$23:$C$45,$D$23:$D$45)*$E979)</f>
        <v>3.82188696655133</v>
      </c>
      <c r="L979" s="67" cm="1">
        <f ca="1" t="array" ref="L979">MIN(6,_xlfn.XLOOKUP($D979&amp;"_"&amp;L$61,$B$23:$B$45&amp;"_"&amp;$C$23:$C$45,$D$23:$D$45)*$E979)</f>
        <v>5.73283044982699</v>
      </c>
      <c r="M979" s="67" cm="1">
        <f ca="1" t="array" ref="M979">(1+SUMPRODUCT(G979:H979,OFFSET($H$49:$I$49,D979,0)))*(1+OFFSET($J$49,D979,0))^I979*(1+OFFSET($K$49,D979,0))^J979*(1+OFFSET($L$49,D979,0))^K979*(1+OFFSET($M$49,D979,0))^L979</f>
        <v>331.390445239581</v>
      </c>
      <c r="N979" s="67">
        <f ca="1">MAX(MAX($N$62:N978),OFFSET($C$61,MATCH(M979*1.07,$M$62:$M$2061,1),0)-C979)</f>
        <v>38160</v>
      </c>
    </row>
    <row r="980" spans="2:14">
      <c r="B980" s="67">
        <v>919</v>
      </c>
      <c r="C980" s="67">
        <f t="shared" si="93"/>
        <v>330840</v>
      </c>
      <c r="D980" s="67">
        <f t="shared" si="89"/>
        <v>5</v>
      </c>
      <c r="E980" s="67">
        <f ca="1" t="shared" si="90"/>
        <v>949</v>
      </c>
      <c r="F980" s="67">
        <f ca="1" t="shared" si="91"/>
        <v>0</v>
      </c>
      <c r="G980" s="67">
        <f ca="1" t="shared" si="92"/>
        <v>0</v>
      </c>
      <c r="H980" s="67" cm="1">
        <f ca="1" t="array" ref="H980">MIN(30-SUM(I980:L980),_xlfn.XLOOKUP($D980&amp;"_"&amp;H$61,$B$23:$B$45&amp;"_"&amp;$C$23:$C$45,$D$23:$D$45)*$E980,18)</f>
        <v>12.1740815071126</v>
      </c>
      <c r="I980" s="67" cm="1">
        <f ca="1" t="array" ref="I980">MIN(30-SUM(J980:L980),6-L980,_xlfn.XLOOKUP($D980&amp;"_"&amp;I$61,$B$23:$B$45&amp;"_"&amp;$C$23:$C$45,$D$23:$D$45)*$E980)</f>
        <v>0.261122260668972</v>
      </c>
      <c r="J980" s="67" cm="1">
        <f ca="1" t="array" ref="J980">MIN(8,_xlfn.XLOOKUP($D980&amp;"_"&amp;J$61,$B$23:$B$45&amp;"_"&amp;$C$23:$C$45,$D$23:$D$45)*$E980)</f>
        <v>8</v>
      </c>
      <c r="K980" s="67" cm="1">
        <f ca="1" t="array" ref="K980">MIN(18,_xlfn.XLOOKUP($D980&amp;"_"&amp;K$61,$B$23:$B$45&amp;"_"&amp;$C$23:$C$45,$D$23:$D$45)*$E980)</f>
        <v>3.82591849288735</v>
      </c>
      <c r="L980" s="67" cm="1">
        <f ca="1" t="array" ref="L980">MIN(6,_xlfn.XLOOKUP($D980&amp;"_"&amp;L$61,$B$23:$B$45&amp;"_"&amp;$C$23:$C$45,$D$23:$D$45)*$E980)</f>
        <v>5.73887773933103</v>
      </c>
      <c r="M980" s="67" cm="1">
        <f ca="1" t="array" ref="M980">(1+SUMPRODUCT(G980:H980,OFFSET($H$49:$I$49,D980,0)))*(1+OFFSET($J$49,D980,0))^I980*(1+OFFSET($K$49,D980,0))^J980*(1+OFFSET($L$49,D980,0))^K980*(1+OFFSET($M$49,D980,0))^L980</f>
        <v>331.665554695993</v>
      </c>
      <c r="N980" s="67">
        <f ca="1">MAX(MAX($N$62:N979),OFFSET($C$61,MATCH(M980*1.07,$M$62:$M$2061,1),0)-C980)</f>
        <v>38520</v>
      </c>
    </row>
    <row r="981" spans="2:14">
      <c r="B981" s="67">
        <v>920</v>
      </c>
      <c r="C981" s="67">
        <f t="shared" si="93"/>
        <v>331200</v>
      </c>
      <c r="D981" s="67">
        <f t="shared" si="89"/>
        <v>5</v>
      </c>
      <c r="E981" s="67">
        <f ca="1" t="shared" si="90"/>
        <v>950</v>
      </c>
      <c r="F981" s="67">
        <f ca="1" t="shared" si="91"/>
        <v>0</v>
      </c>
      <c r="G981" s="67">
        <f ca="1" t="shared" si="92"/>
        <v>0</v>
      </c>
      <c r="H981" s="67" cm="1">
        <f ca="1" t="array" ref="H981">MIN(30-SUM(I981:L981),_xlfn.XLOOKUP($D981&amp;"_"&amp;H$61,$B$23:$B$45&amp;"_"&amp;$C$23:$C$45,$D$23:$D$45)*$E981,18)</f>
        <v>12.1700499807766</v>
      </c>
      <c r="I981" s="67" cm="1">
        <f ca="1" t="array" ref="I981">MIN(30-SUM(J981:L981),6-L981,_xlfn.XLOOKUP($D981&amp;"_"&amp;I$61,$B$23:$B$45&amp;"_"&amp;$C$23:$C$45,$D$23:$D$45)*$E981)</f>
        <v>0.255074971164936</v>
      </c>
      <c r="J981" s="67" cm="1">
        <f ca="1" t="array" ref="J981">MIN(8,_xlfn.XLOOKUP($D981&amp;"_"&amp;J$61,$B$23:$B$45&amp;"_"&amp;$C$23:$C$45,$D$23:$D$45)*$E981)</f>
        <v>8</v>
      </c>
      <c r="K981" s="67" cm="1">
        <f ca="1" t="array" ref="K981">MIN(18,_xlfn.XLOOKUP($D981&amp;"_"&amp;K$61,$B$23:$B$45&amp;"_"&amp;$C$23:$C$45,$D$23:$D$45)*$E981)</f>
        <v>3.82995001922338</v>
      </c>
      <c r="L981" s="67" cm="1">
        <f ca="1" t="array" ref="L981">MIN(6,_xlfn.XLOOKUP($D981&amp;"_"&amp;L$61,$B$23:$B$45&amp;"_"&amp;$C$23:$C$45,$D$23:$D$45)*$E981)</f>
        <v>5.74492502883506</v>
      </c>
      <c r="M981" s="67" cm="1">
        <f ca="1" t="array" ref="M981">(1+SUMPRODUCT(G981:H981,OFFSET($H$49:$I$49,D981,0)))*(1+OFFSET($J$49,D981,0))^I981*(1+OFFSET($K$49,D981,0))^J981*(1+OFFSET($L$49,D981,0))^K981*(1+OFFSET($M$49,D981,0))^L981</f>
        <v>331.940874247591</v>
      </c>
      <c r="N981" s="67">
        <f ca="1">MAX(MAX($N$62:N980),OFFSET($C$61,MATCH(M981*1.07,$M$62:$M$2061,1),0)-C981)</f>
        <v>38880</v>
      </c>
    </row>
    <row r="982" spans="2:14">
      <c r="B982" s="67">
        <v>921</v>
      </c>
      <c r="C982" s="67">
        <f t="shared" si="93"/>
        <v>331560</v>
      </c>
      <c r="D982" s="67">
        <f t="shared" si="89"/>
        <v>5</v>
      </c>
      <c r="E982" s="67">
        <f ca="1" t="shared" si="90"/>
        <v>951</v>
      </c>
      <c r="F982" s="67">
        <f ca="1" t="shared" si="91"/>
        <v>0</v>
      </c>
      <c r="G982" s="67">
        <f ca="1" t="shared" si="92"/>
        <v>0</v>
      </c>
      <c r="H982" s="67" cm="1">
        <f ca="1" t="array" ref="H982">MIN(30-SUM(I982:L982),_xlfn.XLOOKUP($D982&amp;"_"&amp;H$61,$B$23:$B$45&amp;"_"&amp;$C$23:$C$45,$D$23:$D$45)*$E982,18)</f>
        <v>12.1660184544406</v>
      </c>
      <c r="I982" s="67" cm="1">
        <f ca="1" t="array" ref="I982">MIN(30-SUM(J982:L982),6-L982,_xlfn.XLOOKUP($D982&amp;"_"&amp;I$61,$B$23:$B$45&amp;"_"&amp;$C$23:$C$45,$D$23:$D$45)*$E982)</f>
        <v>0.249027681660898</v>
      </c>
      <c r="J982" s="67" cm="1">
        <f ca="1" t="array" ref="J982">MIN(8,_xlfn.XLOOKUP($D982&amp;"_"&amp;J$61,$B$23:$B$45&amp;"_"&amp;$C$23:$C$45,$D$23:$D$45)*$E982)</f>
        <v>8</v>
      </c>
      <c r="K982" s="67" cm="1">
        <f ca="1" t="array" ref="K982">MIN(18,_xlfn.XLOOKUP($D982&amp;"_"&amp;K$61,$B$23:$B$45&amp;"_"&amp;$C$23:$C$45,$D$23:$D$45)*$E982)</f>
        <v>3.8339815455594</v>
      </c>
      <c r="L982" s="67" cm="1">
        <f ca="1" t="array" ref="L982">MIN(6,_xlfn.XLOOKUP($D982&amp;"_"&amp;L$61,$B$23:$B$45&amp;"_"&amp;$C$23:$C$45,$D$23:$D$45)*$E982)</f>
        <v>5.7509723183391</v>
      </c>
      <c r="M982" s="67" cm="1">
        <f ca="1" t="array" ref="M982">(1+SUMPRODUCT(G982:H982,OFFSET($H$49:$I$49,D982,0)))*(1+OFFSET($J$49,D982,0))^I982*(1+OFFSET($K$49,D982,0))^J982*(1+OFFSET($L$49,D982,0))^K982*(1+OFFSET($M$49,D982,0))^L982</f>
        <v>332.216404029824</v>
      </c>
      <c r="N982" s="67">
        <f ca="1">MAX(MAX($N$62:N981),OFFSET($C$61,MATCH(M982*1.07,$M$62:$M$2061,1),0)-C982)</f>
        <v>38880</v>
      </c>
    </row>
    <row r="983" spans="2:14">
      <c r="B983" s="67">
        <v>922</v>
      </c>
      <c r="C983" s="67">
        <f t="shared" si="93"/>
        <v>331920</v>
      </c>
      <c r="D983" s="67">
        <f t="shared" si="89"/>
        <v>5</v>
      </c>
      <c r="E983" s="67">
        <f ca="1" t="shared" si="90"/>
        <v>952</v>
      </c>
      <c r="F983" s="67">
        <f ca="1" t="shared" si="91"/>
        <v>0</v>
      </c>
      <c r="G983" s="67">
        <f ca="1" t="shared" si="92"/>
        <v>0</v>
      </c>
      <c r="H983" s="67" cm="1">
        <f ca="1" t="array" ref="H983">MIN(30-SUM(I983:L983),_xlfn.XLOOKUP($D983&amp;"_"&amp;H$61,$B$23:$B$45&amp;"_"&amp;$C$23:$C$45,$D$23:$D$45)*$E983,18)</f>
        <v>12.1619869281046</v>
      </c>
      <c r="I983" s="67" cm="1">
        <f ca="1" t="array" ref="I983">MIN(30-SUM(J983:L983),6-L983,_xlfn.XLOOKUP($D983&amp;"_"&amp;I$61,$B$23:$B$45&amp;"_"&amp;$C$23:$C$45,$D$23:$D$45)*$E983)</f>
        <v>0.242980392156862</v>
      </c>
      <c r="J983" s="67" cm="1">
        <f ca="1" t="array" ref="J983">MIN(8,_xlfn.XLOOKUP($D983&amp;"_"&amp;J$61,$B$23:$B$45&amp;"_"&amp;$C$23:$C$45,$D$23:$D$45)*$E983)</f>
        <v>8</v>
      </c>
      <c r="K983" s="67" cm="1">
        <f ca="1" t="array" ref="K983">MIN(18,_xlfn.XLOOKUP($D983&amp;"_"&amp;K$61,$B$23:$B$45&amp;"_"&amp;$C$23:$C$45,$D$23:$D$45)*$E983)</f>
        <v>3.83801307189543</v>
      </c>
      <c r="L983" s="67" cm="1">
        <f ca="1" t="array" ref="L983">MIN(6,_xlfn.XLOOKUP($D983&amp;"_"&amp;L$61,$B$23:$B$45&amp;"_"&amp;$C$23:$C$45,$D$23:$D$45)*$E983)</f>
        <v>5.75701960784314</v>
      </c>
      <c r="M983" s="67" cm="1">
        <f ca="1" t="array" ref="M983">(1+SUMPRODUCT(G983:H983,OFFSET($H$49:$I$49,D983,0)))*(1+OFFSET($J$49,D983,0))^I983*(1+OFFSET($K$49,D983,0))^J983*(1+OFFSET($L$49,D983,0))^K983*(1+OFFSET($M$49,D983,0))^L983</f>
        <v>332.492144178191</v>
      </c>
      <c r="N983" s="67">
        <f ca="1">MAX(MAX($N$62:N982),OFFSET($C$61,MATCH(M983*1.07,$M$62:$M$2061,1),0)-C983)</f>
        <v>39240</v>
      </c>
    </row>
    <row r="984" spans="2:14">
      <c r="B984" s="67">
        <v>923</v>
      </c>
      <c r="C984" s="67">
        <f t="shared" si="93"/>
        <v>332280</v>
      </c>
      <c r="D984" s="67">
        <f t="shared" si="89"/>
        <v>5</v>
      </c>
      <c r="E984" s="67">
        <f ca="1" t="shared" si="90"/>
        <v>953</v>
      </c>
      <c r="F984" s="67">
        <f ca="1" t="shared" si="91"/>
        <v>0</v>
      </c>
      <c r="G984" s="67">
        <f ca="1" t="shared" si="92"/>
        <v>0</v>
      </c>
      <c r="H984" s="67" cm="1">
        <f ca="1" t="array" ref="H984">MIN(30-SUM(I984:L984),_xlfn.XLOOKUP($D984&amp;"_"&amp;H$61,$B$23:$B$45&amp;"_"&amp;$C$23:$C$45,$D$23:$D$45)*$E984,18)</f>
        <v>12.1579554017685</v>
      </c>
      <c r="I984" s="67" cm="1">
        <f ca="1" t="array" ref="I984">MIN(30-SUM(J984:L984),6-L984,_xlfn.XLOOKUP($D984&amp;"_"&amp;I$61,$B$23:$B$45&amp;"_"&amp;$C$23:$C$45,$D$23:$D$45)*$E984)</f>
        <v>0.236933102652825</v>
      </c>
      <c r="J984" s="67" cm="1">
        <f ca="1" t="array" ref="J984">MIN(8,_xlfn.XLOOKUP($D984&amp;"_"&amp;J$61,$B$23:$B$45&amp;"_"&amp;$C$23:$C$45,$D$23:$D$45)*$E984)</f>
        <v>8</v>
      </c>
      <c r="K984" s="67" cm="1">
        <f ca="1" t="array" ref="K984">MIN(18,_xlfn.XLOOKUP($D984&amp;"_"&amp;K$61,$B$23:$B$45&amp;"_"&amp;$C$23:$C$45,$D$23:$D$45)*$E984)</f>
        <v>3.84204459823145</v>
      </c>
      <c r="L984" s="67" cm="1">
        <f ca="1" t="array" ref="L984">MIN(6,_xlfn.XLOOKUP($D984&amp;"_"&amp;L$61,$B$23:$B$45&amp;"_"&amp;$C$23:$C$45,$D$23:$D$45)*$E984)</f>
        <v>5.76306689734718</v>
      </c>
      <c r="M984" s="67" cm="1">
        <f ca="1" t="array" ref="M984">(1+SUMPRODUCT(G984:H984,OFFSET($H$49:$I$49,D984,0)))*(1+OFFSET($J$49,D984,0))^I984*(1+OFFSET($K$49,D984,0))^J984*(1+OFFSET($L$49,D984,0))^K984*(1+OFFSET($M$49,D984,0))^L984</f>
        <v>332.768094828242</v>
      </c>
      <c r="N984" s="67">
        <f ca="1">MAX(MAX($N$62:N983),OFFSET($C$61,MATCH(M984*1.07,$M$62:$M$2061,1),0)-C984)</f>
        <v>39600</v>
      </c>
    </row>
    <row r="985" spans="2:14">
      <c r="B985" s="67">
        <v>924</v>
      </c>
      <c r="C985" s="67">
        <f t="shared" si="93"/>
        <v>332640</v>
      </c>
      <c r="D985" s="67">
        <f t="shared" si="89"/>
        <v>5</v>
      </c>
      <c r="E985" s="67">
        <f ca="1" t="shared" si="90"/>
        <v>954</v>
      </c>
      <c r="F985" s="67">
        <f ca="1" t="shared" si="91"/>
        <v>0</v>
      </c>
      <c r="G985" s="67">
        <f ca="1" t="shared" si="92"/>
        <v>0</v>
      </c>
      <c r="H985" s="67" cm="1">
        <f ca="1" t="array" ref="H985">MIN(30-SUM(I985:L985),_xlfn.XLOOKUP($D985&amp;"_"&amp;H$61,$B$23:$B$45&amp;"_"&amp;$C$23:$C$45,$D$23:$D$45)*$E985,18)</f>
        <v>12.1539238754325</v>
      </c>
      <c r="I985" s="67" cm="1">
        <f ca="1" t="array" ref="I985">MIN(30-SUM(J985:L985),6-L985,_xlfn.XLOOKUP($D985&amp;"_"&amp;I$61,$B$23:$B$45&amp;"_"&amp;$C$23:$C$45,$D$23:$D$45)*$E985)</f>
        <v>0.230885813148787</v>
      </c>
      <c r="J985" s="67" cm="1">
        <f ca="1" t="array" ref="J985">MIN(8,_xlfn.XLOOKUP($D985&amp;"_"&amp;J$61,$B$23:$B$45&amp;"_"&amp;$C$23:$C$45,$D$23:$D$45)*$E985)</f>
        <v>8</v>
      </c>
      <c r="K985" s="67" cm="1">
        <f ca="1" t="array" ref="K985">MIN(18,_xlfn.XLOOKUP($D985&amp;"_"&amp;K$61,$B$23:$B$45&amp;"_"&amp;$C$23:$C$45,$D$23:$D$45)*$E985)</f>
        <v>3.84607612456748</v>
      </c>
      <c r="L985" s="67" cm="1">
        <f ca="1" t="array" ref="L985">MIN(6,_xlfn.XLOOKUP($D985&amp;"_"&amp;L$61,$B$23:$B$45&amp;"_"&amp;$C$23:$C$45,$D$23:$D$45)*$E985)</f>
        <v>5.76911418685121</v>
      </c>
      <c r="M985" s="67" cm="1">
        <f ca="1" t="array" ref="M985">(1+SUMPRODUCT(G985:H985,OFFSET($H$49:$I$49,D985,0)))*(1+OFFSET($J$49,D985,0))^I985*(1+OFFSET($K$49,D985,0))^J985*(1+OFFSET($L$49,D985,0))^K985*(1+OFFSET($M$49,D985,0))^L985</f>
        <v>333.044256115575</v>
      </c>
      <c r="N985" s="67">
        <f ca="1">MAX(MAX($N$62:N984),OFFSET($C$61,MATCH(M985*1.07,$M$62:$M$2061,1),0)-C985)</f>
        <v>39600</v>
      </c>
    </row>
    <row r="986" spans="2:14">
      <c r="B986" s="67">
        <v>925</v>
      </c>
      <c r="C986" s="67">
        <f t="shared" si="93"/>
        <v>333000</v>
      </c>
      <c r="D986" s="67">
        <f t="shared" si="89"/>
        <v>5</v>
      </c>
      <c r="E986" s="67">
        <f ca="1" t="shared" si="90"/>
        <v>955</v>
      </c>
      <c r="F986" s="67">
        <f ca="1" t="shared" si="91"/>
        <v>0</v>
      </c>
      <c r="G986" s="67">
        <f ca="1" t="shared" si="92"/>
        <v>0</v>
      </c>
      <c r="H986" s="67" cm="1">
        <f ca="1" t="array" ref="H986">MIN(30-SUM(I986:L986),_xlfn.XLOOKUP($D986&amp;"_"&amp;H$61,$B$23:$B$45&amp;"_"&amp;$C$23:$C$45,$D$23:$D$45)*$E986,18)</f>
        <v>12.1498923490965</v>
      </c>
      <c r="I986" s="67" cm="1">
        <f ca="1" t="array" ref="I986">MIN(30-SUM(J986:L986),6-L986,_xlfn.XLOOKUP($D986&amp;"_"&amp;I$61,$B$23:$B$45&amp;"_"&amp;$C$23:$C$45,$D$23:$D$45)*$E986)</f>
        <v>0.224838523644751</v>
      </c>
      <c r="J986" s="67" cm="1">
        <f ca="1" t="array" ref="J986">MIN(8,_xlfn.XLOOKUP($D986&amp;"_"&amp;J$61,$B$23:$B$45&amp;"_"&amp;$C$23:$C$45,$D$23:$D$45)*$E986)</f>
        <v>8</v>
      </c>
      <c r="K986" s="67" cm="1">
        <f ca="1" t="array" ref="K986">MIN(18,_xlfn.XLOOKUP($D986&amp;"_"&amp;K$61,$B$23:$B$45&amp;"_"&amp;$C$23:$C$45,$D$23:$D$45)*$E986)</f>
        <v>3.8501076509035</v>
      </c>
      <c r="L986" s="67" cm="1">
        <f ca="1" t="array" ref="L986">MIN(6,_xlfn.XLOOKUP($D986&amp;"_"&amp;L$61,$B$23:$B$45&amp;"_"&amp;$C$23:$C$45,$D$23:$D$45)*$E986)</f>
        <v>5.77516147635525</v>
      </c>
      <c r="M986" s="67" cm="1">
        <f ca="1" t="array" ref="M986">(1+SUMPRODUCT(G986:H986,OFFSET($H$49:$I$49,D986,0)))*(1+OFFSET($J$49,D986,0))^I986*(1+OFFSET($K$49,D986,0))^J986*(1+OFFSET($L$49,D986,0))^K986*(1+OFFSET($M$49,D986,0))^L986</f>
        <v>333.320628175842</v>
      </c>
      <c r="N986" s="67">
        <f ca="1">MAX(MAX($N$62:N985),OFFSET($C$61,MATCH(M986*1.07,$M$62:$M$2061,1),0)-C986)</f>
        <v>39960</v>
      </c>
    </row>
    <row r="987" spans="2:14">
      <c r="B987" s="67">
        <v>926</v>
      </c>
      <c r="C987" s="67">
        <f t="shared" si="93"/>
        <v>333360</v>
      </c>
      <c r="D987" s="67">
        <f t="shared" si="89"/>
        <v>5</v>
      </c>
      <c r="E987" s="67">
        <f ca="1" t="shared" si="90"/>
        <v>956</v>
      </c>
      <c r="F987" s="67">
        <f ca="1" t="shared" si="91"/>
        <v>0</v>
      </c>
      <c r="G987" s="67">
        <f ca="1" t="shared" si="92"/>
        <v>0</v>
      </c>
      <c r="H987" s="67" cm="1">
        <f ca="1" t="array" ref="H987">MIN(30-SUM(I987:L987),_xlfn.XLOOKUP($D987&amp;"_"&amp;H$61,$B$23:$B$45&amp;"_"&amp;$C$23:$C$45,$D$23:$D$45)*$E987,18)</f>
        <v>12.1458608227605</v>
      </c>
      <c r="I987" s="67" cm="1">
        <f ca="1" t="array" ref="I987">MIN(30-SUM(J987:L987),6-L987,_xlfn.XLOOKUP($D987&amp;"_"&amp;I$61,$B$23:$B$45&amp;"_"&amp;$C$23:$C$45,$D$23:$D$45)*$E987)</f>
        <v>0.218791234140713</v>
      </c>
      <c r="J987" s="67" cm="1">
        <f ca="1" t="array" ref="J987">MIN(8,_xlfn.XLOOKUP($D987&amp;"_"&amp;J$61,$B$23:$B$45&amp;"_"&amp;$C$23:$C$45,$D$23:$D$45)*$E987)</f>
        <v>8</v>
      </c>
      <c r="K987" s="67" cm="1">
        <f ca="1" t="array" ref="K987">MIN(18,_xlfn.XLOOKUP($D987&amp;"_"&amp;K$61,$B$23:$B$45&amp;"_"&amp;$C$23:$C$45,$D$23:$D$45)*$E987)</f>
        <v>3.85413917723953</v>
      </c>
      <c r="L987" s="67" cm="1">
        <f ca="1" t="array" ref="L987">MIN(6,_xlfn.XLOOKUP($D987&amp;"_"&amp;L$61,$B$23:$B$45&amp;"_"&amp;$C$23:$C$45,$D$23:$D$45)*$E987)</f>
        <v>5.78120876585929</v>
      </c>
      <c r="M987" s="67" cm="1">
        <f ca="1" t="array" ref="M987">(1+SUMPRODUCT(G987:H987,OFFSET($H$49:$I$49,D987,0)))*(1+OFFSET($J$49,D987,0))^I987*(1+OFFSET($K$49,D987,0))^J987*(1+OFFSET($L$49,D987,0))^K987*(1+OFFSET($M$49,D987,0))^L987</f>
        <v>333.59721114474</v>
      </c>
      <c r="N987" s="67">
        <f ca="1">MAX(MAX($N$62:N986),OFFSET($C$61,MATCH(M987*1.07,$M$62:$M$2061,1),0)-C987)</f>
        <v>40320</v>
      </c>
    </row>
    <row r="988" spans="2:14">
      <c r="B988" s="67">
        <v>927</v>
      </c>
      <c r="C988" s="67">
        <f t="shared" si="93"/>
        <v>333720</v>
      </c>
      <c r="D988" s="67">
        <f t="shared" si="89"/>
        <v>5</v>
      </c>
      <c r="E988" s="67">
        <f ca="1" t="shared" si="90"/>
        <v>957</v>
      </c>
      <c r="F988" s="67">
        <f ca="1" t="shared" si="91"/>
        <v>0</v>
      </c>
      <c r="G988" s="67">
        <f ca="1" t="shared" si="92"/>
        <v>0</v>
      </c>
      <c r="H988" s="67" cm="1">
        <f ca="1" t="array" ref="H988">MIN(30-SUM(I988:L988),_xlfn.XLOOKUP($D988&amp;"_"&amp;H$61,$B$23:$B$45&amp;"_"&amp;$C$23:$C$45,$D$23:$D$45)*$E988,18)</f>
        <v>12.1418292964244</v>
      </c>
      <c r="I988" s="67" cm="1">
        <f ca="1" t="array" ref="I988">MIN(30-SUM(J988:L988),6-L988,_xlfn.XLOOKUP($D988&amp;"_"&amp;I$61,$B$23:$B$45&amp;"_"&amp;$C$23:$C$45,$D$23:$D$45)*$E988)</f>
        <v>0.212743944636677</v>
      </c>
      <c r="J988" s="67" cm="1">
        <f ca="1" t="array" ref="J988">MIN(8,_xlfn.XLOOKUP($D988&amp;"_"&amp;J$61,$B$23:$B$45&amp;"_"&amp;$C$23:$C$45,$D$23:$D$45)*$E988)</f>
        <v>8</v>
      </c>
      <c r="K988" s="67" cm="1">
        <f ca="1" t="array" ref="K988">MIN(18,_xlfn.XLOOKUP($D988&amp;"_"&amp;K$61,$B$23:$B$45&amp;"_"&amp;$C$23:$C$45,$D$23:$D$45)*$E988)</f>
        <v>3.85817070357555</v>
      </c>
      <c r="L988" s="67" cm="1">
        <f ca="1" t="array" ref="L988">MIN(6,_xlfn.XLOOKUP($D988&amp;"_"&amp;L$61,$B$23:$B$45&amp;"_"&amp;$C$23:$C$45,$D$23:$D$45)*$E988)</f>
        <v>5.78725605536332</v>
      </c>
      <c r="M988" s="67" cm="1">
        <f ca="1" t="array" ref="M988">(1+SUMPRODUCT(G988:H988,OFFSET($H$49:$I$49,D988,0)))*(1+OFFSET($J$49,D988,0))^I988*(1+OFFSET($K$49,D988,0))^J988*(1+OFFSET($L$49,D988,0))^K988*(1+OFFSET($M$49,D988,0))^L988</f>
        <v>333.87400515802</v>
      </c>
      <c r="N988" s="67">
        <f ca="1">MAX(MAX($N$62:N987),OFFSET($C$61,MATCH(M988*1.07,$M$62:$M$2061,1),0)-C988)</f>
        <v>40320</v>
      </c>
    </row>
    <row r="989" spans="2:14">
      <c r="B989" s="67">
        <v>928</v>
      </c>
      <c r="C989" s="67">
        <f t="shared" si="93"/>
        <v>334080</v>
      </c>
      <c r="D989" s="67">
        <f t="shared" si="89"/>
        <v>5</v>
      </c>
      <c r="E989" s="67">
        <f ca="1" t="shared" si="90"/>
        <v>958</v>
      </c>
      <c r="F989" s="67">
        <f ca="1" t="shared" si="91"/>
        <v>0</v>
      </c>
      <c r="G989" s="67">
        <f ca="1" t="shared" si="92"/>
        <v>0</v>
      </c>
      <c r="H989" s="67" cm="1">
        <f ca="1" t="array" ref="H989">MIN(30-SUM(I989:L989),_xlfn.XLOOKUP($D989&amp;"_"&amp;H$61,$B$23:$B$45&amp;"_"&amp;$C$23:$C$45,$D$23:$D$45)*$E989,18)</f>
        <v>12.1377977700884</v>
      </c>
      <c r="I989" s="67" cm="1">
        <f ca="1" t="array" ref="I989">MIN(30-SUM(J989:L989),6-L989,_xlfn.XLOOKUP($D989&amp;"_"&amp;I$61,$B$23:$B$45&amp;"_"&amp;$C$23:$C$45,$D$23:$D$45)*$E989)</f>
        <v>0.20669665513264</v>
      </c>
      <c r="J989" s="67" cm="1">
        <f ca="1" t="array" ref="J989">MIN(8,_xlfn.XLOOKUP($D989&amp;"_"&amp;J$61,$B$23:$B$45&amp;"_"&amp;$C$23:$C$45,$D$23:$D$45)*$E989)</f>
        <v>8</v>
      </c>
      <c r="K989" s="67" cm="1">
        <f ca="1" t="array" ref="K989">MIN(18,_xlfn.XLOOKUP($D989&amp;"_"&amp;K$61,$B$23:$B$45&amp;"_"&amp;$C$23:$C$45,$D$23:$D$45)*$E989)</f>
        <v>3.86220222991158</v>
      </c>
      <c r="L989" s="67" cm="1">
        <f ca="1" t="array" ref="L989">MIN(6,_xlfn.XLOOKUP($D989&amp;"_"&amp;L$61,$B$23:$B$45&amp;"_"&amp;$C$23:$C$45,$D$23:$D$45)*$E989)</f>
        <v>5.79330334486736</v>
      </c>
      <c r="M989" s="67" cm="1">
        <f ca="1" t="array" ref="M989">(1+SUMPRODUCT(G989:H989,OFFSET($H$49:$I$49,D989,0)))*(1+OFFSET($J$49,D989,0))^I989*(1+OFFSET($K$49,D989,0))^J989*(1+OFFSET($L$49,D989,0))^K989*(1+OFFSET($M$49,D989,0))^L989</f>
        <v>334.15101035148</v>
      </c>
      <c r="N989" s="67">
        <f ca="1">MAX(MAX($N$62:N988),OFFSET($C$61,MATCH(M989*1.07,$M$62:$M$2061,1),0)-C989)</f>
        <v>40680</v>
      </c>
    </row>
    <row r="990" spans="2:14">
      <c r="B990" s="67">
        <v>929</v>
      </c>
      <c r="C990" s="67">
        <f t="shared" si="93"/>
        <v>334440</v>
      </c>
      <c r="D990" s="67">
        <f t="shared" si="89"/>
        <v>5</v>
      </c>
      <c r="E990" s="67">
        <f ca="1" t="shared" si="90"/>
        <v>959</v>
      </c>
      <c r="F990" s="67">
        <f ca="1" t="shared" si="91"/>
        <v>0</v>
      </c>
      <c r="G990" s="67">
        <f ca="1" t="shared" si="92"/>
        <v>0</v>
      </c>
      <c r="H990" s="67" cm="1">
        <f ca="1" t="array" ref="H990">MIN(30-SUM(I990:L990),_xlfn.XLOOKUP($D990&amp;"_"&amp;H$61,$B$23:$B$45&amp;"_"&amp;$C$23:$C$45,$D$23:$D$45)*$E990,18)</f>
        <v>12.1337662437524</v>
      </c>
      <c r="I990" s="67" cm="1">
        <f ca="1" t="array" ref="I990">MIN(30-SUM(J990:L990),6-L990,_xlfn.XLOOKUP($D990&amp;"_"&amp;I$61,$B$23:$B$45&amp;"_"&amp;$C$23:$C$45,$D$23:$D$45)*$E990)</f>
        <v>0.200649365628603</v>
      </c>
      <c r="J990" s="67" cm="1">
        <f ca="1" t="array" ref="J990">MIN(8,_xlfn.XLOOKUP($D990&amp;"_"&amp;J$61,$B$23:$B$45&amp;"_"&amp;$C$23:$C$45,$D$23:$D$45)*$E990)</f>
        <v>8</v>
      </c>
      <c r="K990" s="67" cm="1">
        <f ca="1" t="array" ref="K990">MIN(18,_xlfn.XLOOKUP($D990&amp;"_"&amp;K$61,$B$23:$B$45&amp;"_"&amp;$C$23:$C$45,$D$23:$D$45)*$E990)</f>
        <v>3.8662337562476</v>
      </c>
      <c r="L990" s="67" cm="1">
        <f ca="1" t="array" ref="L990">MIN(6,_xlfn.XLOOKUP($D990&amp;"_"&amp;L$61,$B$23:$B$45&amp;"_"&amp;$C$23:$C$45,$D$23:$D$45)*$E990)</f>
        <v>5.7993506343714</v>
      </c>
      <c r="M990" s="67" cm="1">
        <f ca="1" t="array" ref="M990">(1+SUMPRODUCT(G990:H990,OFFSET($H$49:$I$49,D990,0)))*(1+OFFSET($J$49,D990,0))^I990*(1+OFFSET($K$49,D990,0))^J990*(1+OFFSET($L$49,D990,0))^K990*(1+OFFSET($M$49,D990,0))^L990</f>
        <v>334.428226860971</v>
      </c>
      <c r="N990" s="67">
        <f ca="1">MAX(MAX($N$62:N989),OFFSET($C$61,MATCH(M990*1.07,$M$62:$M$2061,1),0)-C990)</f>
        <v>41040</v>
      </c>
    </row>
    <row r="991" spans="2:14">
      <c r="B991" s="67">
        <v>930</v>
      </c>
      <c r="C991" s="67">
        <f t="shared" si="93"/>
        <v>334800</v>
      </c>
      <c r="D991" s="67">
        <f t="shared" si="89"/>
        <v>5</v>
      </c>
      <c r="E991" s="67">
        <f ca="1" t="shared" si="90"/>
        <v>960</v>
      </c>
      <c r="F991" s="67">
        <f ca="1" t="shared" si="91"/>
        <v>0</v>
      </c>
      <c r="G991" s="67">
        <f ca="1" t="shared" si="92"/>
        <v>0</v>
      </c>
      <c r="H991" s="67" cm="1">
        <f ca="1" t="array" ref="H991">MIN(30-SUM(I991:L991),_xlfn.XLOOKUP($D991&amp;"_"&amp;H$61,$B$23:$B$45&amp;"_"&amp;$C$23:$C$45,$D$23:$D$45)*$E991,18)</f>
        <v>12.1297347174164</v>
      </c>
      <c r="I991" s="67" cm="1">
        <f ca="1" t="array" ref="I991">MIN(30-SUM(J991:L991),6-L991,_xlfn.XLOOKUP($D991&amp;"_"&amp;I$61,$B$23:$B$45&amp;"_"&amp;$C$23:$C$45,$D$23:$D$45)*$E991)</f>
        <v>0.194602076124566</v>
      </c>
      <c r="J991" s="67" cm="1">
        <f ca="1" t="array" ref="J991">MIN(8,_xlfn.XLOOKUP($D991&amp;"_"&amp;J$61,$B$23:$B$45&amp;"_"&amp;$C$23:$C$45,$D$23:$D$45)*$E991)</f>
        <v>8</v>
      </c>
      <c r="K991" s="67" cm="1">
        <f ca="1" t="array" ref="K991">MIN(18,_xlfn.XLOOKUP($D991&amp;"_"&amp;K$61,$B$23:$B$45&amp;"_"&amp;$C$23:$C$45,$D$23:$D$45)*$E991)</f>
        <v>3.87026528258363</v>
      </c>
      <c r="L991" s="67" cm="1">
        <f ca="1" t="array" ref="L991">MIN(6,_xlfn.XLOOKUP($D991&amp;"_"&amp;L$61,$B$23:$B$45&amp;"_"&amp;$C$23:$C$45,$D$23:$D$45)*$E991)</f>
        <v>5.80539792387543</v>
      </c>
      <c r="M991" s="67" cm="1">
        <f ca="1" t="array" ref="M991">(1+SUMPRODUCT(G991:H991,OFFSET($H$49:$I$49,D991,0)))*(1+OFFSET($J$49,D991,0))^I991*(1+OFFSET($K$49,D991,0))^J991*(1+OFFSET($L$49,D991,0))^K991*(1+OFFSET($M$49,D991,0))^L991</f>
        <v>334.705654822391</v>
      </c>
      <c r="N991" s="67">
        <f ca="1">MAX(MAX($N$62:N990),OFFSET($C$61,MATCH(M991*1.07,$M$62:$M$2061,1),0)-C991)</f>
        <v>41040</v>
      </c>
    </row>
    <row r="992" spans="2:14">
      <c r="B992" s="67">
        <v>931</v>
      </c>
      <c r="C992" s="67">
        <f t="shared" si="93"/>
        <v>335160</v>
      </c>
      <c r="D992" s="67">
        <f t="shared" si="89"/>
        <v>5</v>
      </c>
      <c r="E992" s="67">
        <f ca="1" t="shared" si="90"/>
        <v>961</v>
      </c>
      <c r="F992" s="67">
        <f ca="1" t="shared" si="91"/>
        <v>0</v>
      </c>
      <c r="G992" s="67">
        <f ca="1" t="shared" si="92"/>
        <v>0</v>
      </c>
      <c r="H992" s="67" cm="1">
        <f ca="1" t="array" ref="H992">MIN(30-SUM(I992:L992),_xlfn.XLOOKUP($D992&amp;"_"&amp;H$61,$B$23:$B$45&amp;"_"&amp;$C$23:$C$45,$D$23:$D$45)*$E992,18)</f>
        <v>12.1257031910804</v>
      </c>
      <c r="I992" s="67" cm="1">
        <f ca="1" t="array" ref="I992">MIN(30-SUM(J992:L992),6-L992,_xlfn.XLOOKUP($D992&amp;"_"&amp;I$61,$B$23:$B$45&amp;"_"&amp;$C$23:$C$45,$D$23:$D$45)*$E992)</f>
        <v>0.188554786620529</v>
      </c>
      <c r="J992" s="67" cm="1">
        <f ca="1" t="array" ref="J992">MIN(8,_xlfn.XLOOKUP($D992&amp;"_"&amp;J$61,$B$23:$B$45&amp;"_"&amp;$C$23:$C$45,$D$23:$D$45)*$E992)</f>
        <v>8</v>
      </c>
      <c r="K992" s="67" cm="1">
        <f ca="1" t="array" ref="K992">MIN(18,_xlfn.XLOOKUP($D992&amp;"_"&amp;K$61,$B$23:$B$45&amp;"_"&amp;$C$23:$C$45,$D$23:$D$45)*$E992)</f>
        <v>3.87429680891965</v>
      </c>
      <c r="L992" s="67" cm="1">
        <f ca="1" t="array" ref="L992">MIN(6,_xlfn.XLOOKUP($D992&amp;"_"&amp;L$61,$B$23:$B$45&amp;"_"&amp;$C$23:$C$45,$D$23:$D$45)*$E992)</f>
        <v>5.81144521337947</v>
      </c>
      <c r="M992" s="67" cm="1">
        <f ca="1" t="array" ref="M992">(1+SUMPRODUCT(G992:H992,OFFSET($H$49:$I$49,D992,0)))*(1+OFFSET($J$49,D992,0))^I992*(1+OFFSET($K$49,D992,0))^J992*(1+OFFSET($L$49,D992,0))^K992*(1+OFFSET($M$49,D992,0))^L992</f>
        <v>334.983294371689</v>
      </c>
      <c r="N992" s="67">
        <f ca="1">MAX(MAX($N$62:N991),OFFSET($C$61,MATCH(M992*1.07,$M$62:$M$2061,1),0)-C992)</f>
        <v>41400</v>
      </c>
    </row>
    <row r="993" spans="2:14">
      <c r="B993" s="67">
        <v>932</v>
      </c>
      <c r="C993" s="67">
        <f t="shared" si="93"/>
        <v>335520</v>
      </c>
      <c r="D993" s="67">
        <f t="shared" si="89"/>
        <v>5</v>
      </c>
      <c r="E993" s="67">
        <f ca="1" t="shared" si="90"/>
        <v>962</v>
      </c>
      <c r="F993" s="67">
        <f ca="1" t="shared" si="91"/>
        <v>0</v>
      </c>
      <c r="G993" s="67">
        <f ca="1" t="shared" si="92"/>
        <v>0</v>
      </c>
      <c r="H993" s="67" cm="1">
        <f ca="1" t="array" ref="H993">MIN(30-SUM(I993:L993),_xlfn.XLOOKUP($D993&amp;"_"&amp;H$61,$B$23:$B$45&amp;"_"&amp;$C$23:$C$45,$D$23:$D$45)*$E993,18)</f>
        <v>12.1216716647443</v>
      </c>
      <c r="I993" s="67" cm="1">
        <f ca="1" t="array" ref="I993">MIN(30-SUM(J993:L993),6-L993,_xlfn.XLOOKUP($D993&amp;"_"&amp;I$61,$B$23:$B$45&amp;"_"&amp;$C$23:$C$45,$D$23:$D$45)*$E993)</f>
        <v>0.182507497116492</v>
      </c>
      <c r="J993" s="67" cm="1">
        <f ca="1" t="array" ref="J993">MIN(8,_xlfn.XLOOKUP($D993&amp;"_"&amp;J$61,$B$23:$B$45&amp;"_"&amp;$C$23:$C$45,$D$23:$D$45)*$E993)</f>
        <v>8</v>
      </c>
      <c r="K993" s="67" cm="1">
        <f ca="1" t="array" ref="K993">MIN(18,_xlfn.XLOOKUP($D993&amp;"_"&amp;K$61,$B$23:$B$45&amp;"_"&amp;$C$23:$C$45,$D$23:$D$45)*$E993)</f>
        <v>3.87832833525567</v>
      </c>
      <c r="L993" s="67" cm="1">
        <f ca="1" t="array" ref="L993">MIN(6,_xlfn.XLOOKUP($D993&amp;"_"&amp;L$61,$B$23:$B$45&amp;"_"&amp;$C$23:$C$45,$D$23:$D$45)*$E993)</f>
        <v>5.81749250288351</v>
      </c>
      <c r="M993" s="67" cm="1">
        <f ca="1" t="array" ref="M993">(1+SUMPRODUCT(G993:H993,OFFSET($H$49:$I$49,D993,0)))*(1+OFFSET($J$49,D993,0))^I993*(1+OFFSET($K$49,D993,0))^J993*(1+OFFSET($L$49,D993,0))^K993*(1+OFFSET($M$49,D993,0))^L993</f>
        <v>335.261145644863</v>
      </c>
      <c r="N993" s="67">
        <f ca="1">MAX(MAX($N$62:N992),OFFSET($C$61,MATCH(M993*1.07,$M$62:$M$2061,1),0)-C993)</f>
        <v>41760</v>
      </c>
    </row>
    <row r="994" spans="2:14">
      <c r="B994" s="67">
        <v>933</v>
      </c>
      <c r="C994" s="67">
        <f t="shared" si="93"/>
        <v>335880</v>
      </c>
      <c r="D994" s="67">
        <f t="shared" si="89"/>
        <v>5</v>
      </c>
      <c r="E994" s="67">
        <f ca="1" t="shared" si="90"/>
        <v>963</v>
      </c>
      <c r="F994" s="67">
        <f ca="1" t="shared" si="91"/>
        <v>0</v>
      </c>
      <c r="G994" s="67">
        <f ca="1" t="shared" si="92"/>
        <v>0</v>
      </c>
      <c r="H994" s="67" cm="1">
        <f ca="1" t="array" ref="H994">MIN(30-SUM(I994:L994),_xlfn.XLOOKUP($D994&amp;"_"&amp;H$61,$B$23:$B$45&amp;"_"&amp;$C$23:$C$45,$D$23:$D$45)*$E994,18)</f>
        <v>12.1176401384083</v>
      </c>
      <c r="I994" s="67" cm="1">
        <f ca="1" t="array" ref="I994">MIN(30-SUM(J994:L994),6-L994,_xlfn.XLOOKUP($D994&amp;"_"&amp;I$61,$B$23:$B$45&amp;"_"&amp;$C$23:$C$45,$D$23:$D$45)*$E994)</f>
        <v>0.176460207612456</v>
      </c>
      <c r="J994" s="67" cm="1">
        <f ca="1" t="array" ref="J994">MIN(8,_xlfn.XLOOKUP($D994&amp;"_"&amp;J$61,$B$23:$B$45&amp;"_"&amp;$C$23:$C$45,$D$23:$D$45)*$E994)</f>
        <v>8</v>
      </c>
      <c r="K994" s="67" cm="1">
        <f ca="1" t="array" ref="K994">MIN(18,_xlfn.XLOOKUP($D994&amp;"_"&amp;K$61,$B$23:$B$45&amp;"_"&amp;$C$23:$C$45,$D$23:$D$45)*$E994)</f>
        <v>3.8823598615917</v>
      </c>
      <c r="L994" s="67" cm="1">
        <f ca="1" t="array" ref="L994">MIN(6,_xlfn.XLOOKUP($D994&amp;"_"&amp;L$61,$B$23:$B$45&amp;"_"&amp;$C$23:$C$45,$D$23:$D$45)*$E994)</f>
        <v>5.82353979238754</v>
      </c>
      <c r="M994" s="67" cm="1">
        <f ca="1" t="array" ref="M994">(1+SUMPRODUCT(G994:H994,OFFSET($H$49:$I$49,D994,0)))*(1+OFFSET($J$49,D994,0))^I994*(1+OFFSET($K$49,D994,0))^J994*(1+OFFSET($L$49,D994,0))^K994*(1+OFFSET($M$49,D994,0))^L994</f>
        <v>335.539208777962</v>
      </c>
      <c r="N994" s="67">
        <f ca="1">MAX(MAX($N$62:N993),OFFSET($C$61,MATCH(M994*1.07,$M$62:$M$2061,1),0)-C994)</f>
        <v>41760</v>
      </c>
    </row>
    <row r="995" spans="2:14">
      <c r="B995" s="67">
        <v>934</v>
      </c>
      <c r="C995" s="67">
        <f t="shared" si="93"/>
        <v>336240</v>
      </c>
      <c r="D995" s="67">
        <f t="shared" si="89"/>
        <v>5</v>
      </c>
      <c r="E995" s="67">
        <f ca="1" t="shared" si="90"/>
        <v>964</v>
      </c>
      <c r="F995" s="67">
        <f ca="1" t="shared" si="91"/>
        <v>0</v>
      </c>
      <c r="G995" s="67">
        <f ca="1" t="shared" si="92"/>
        <v>0</v>
      </c>
      <c r="H995" s="67" cm="1">
        <f ca="1" t="array" ref="H995">MIN(30-SUM(I995:L995),_xlfn.XLOOKUP($D995&amp;"_"&amp;H$61,$B$23:$B$45&amp;"_"&amp;$C$23:$C$45,$D$23:$D$45)*$E995,18)</f>
        <v>12.1136086120723</v>
      </c>
      <c r="I995" s="67" cm="1">
        <f ca="1" t="array" ref="I995">MIN(30-SUM(J995:L995),6-L995,_xlfn.XLOOKUP($D995&amp;"_"&amp;I$61,$B$23:$B$45&amp;"_"&amp;$C$23:$C$45,$D$23:$D$45)*$E995)</f>
        <v>0.170412918108418</v>
      </c>
      <c r="J995" s="67" cm="1">
        <f ca="1" t="array" ref="J995">MIN(8,_xlfn.XLOOKUP($D995&amp;"_"&amp;J$61,$B$23:$B$45&amp;"_"&amp;$C$23:$C$45,$D$23:$D$45)*$E995)</f>
        <v>8</v>
      </c>
      <c r="K995" s="67" cm="1">
        <f ca="1" t="array" ref="K995">MIN(18,_xlfn.XLOOKUP($D995&amp;"_"&amp;K$61,$B$23:$B$45&amp;"_"&amp;$C$23:$C$45,$D$23:$D$45)*$E995)</f>
        <v>3.88639138792772</v>
      </c>
      <c r="L995" s="67" cm="1">
        <f ca="1" t="array" ref="L995">MIN(6,_xlfn.XLOOKUP($D995&amp;"_"&amp;L$61,$B$23:$B$45&amp;"_"&amp;$C$23:$C$45,$D$23:$D$45)*$E995)</f>
        <v>5.82958708189158</v>
      </c>
      <c r="M995" s="67" cm="1">
        <f ca="1" t="array" ref="M995">(1+SUMPRODUCT(G995:H995,OFFSET($H$49:$I$49,D995,0)))*(1+OFFSET($J$49,D995,0))^I995*(1+OFFSET($K$49,D995,0))^J995*(1+OFFSET($L$49,D995,0))^K995*(1+OFFSET($M$49,D995,0))^L995</f>
        <v>335.817483907084</v>
      </c>
      <c r="N995" s="67">
        <f ca="1">MAX(MAX($N$62:N994),OFFSET($C$61,MATCH(M995*1.07,$M$62:$M$2061,1),0)-C995)</f>
        <v>42120</v>
      </c>
    </row>
    <row r="996" spans="2:14">
      <c r="B996" s="67">
        <v>935</v>
      </c>
      <c r="C996" s="67">
        <f t="shared" si="93"/>
        <v>336600</v>
      </c>
      <c r="D996" s="67">
        <f t="shared" si="89"/>
        <v>5</v>
      </c>
      <c r="E996" s="67">
        <f ca="1" t="shared" si="90"/>
        <v>965</v>
      </c>
      <c r="F996" s="67">
        <f ca="1" t="shared" si="91"/>
        <v>0</v>
      </c>
      <c r="G996" s="67">
        <f ca="1" t="shared" si="92"/>
        <v>0</v>
      </c>
      <c r="H996" s="67" cm="1">
        <f ca="1" t="array" ref="H996">MIN(30-SUM(I996:L996),_xlfn.XLOOKUP($D996&amp;"_"&amp;H$61,$B$23:$B$45&amp;"_"&amp;$C$23:$C$45,$D$23:$D$45)*$E996,18)</f>
        <v>12.1095770857363</v>
      </c>
      <c r="I996" s="67" cm="1">
        <f ca="1" t="array" ref="I996">MIN(30-SUM(J996:L996),6-L996,_xlfn.XLOOKUP($D996&amp;"_"&amp;I$61,$B$23:$B$45&amp;"_"&amp;$C$23:$C$45,$D$23:$D$45)*$E996)</f>
        <v>0.164365628604382</v>
      </c>
      <c r="J996" s="67" cm="1">
        <f ca="1" t="array" ref="J996">MIN(8,_xlfn.XLOOKUP($D996&amp;"_"&amp;J$61,$B$23:$B$45&amp;"_"&amp;$C$23:$C$45,$D$23:$D$45)*$E996)</f>
        <v>8</v>
      </c>
      <c r="K996" s="67" cm="1">
        <f ca="1" t="array" ref="K996">MIN(18,_xlfn.XLOOKUP($D996&amp;"_"&amp;K$61,$B$23:$B$45&amp;"_"&amp;$C$23:$C$45,$D$23:$D$45)*$E996)</f>
        <v>3.89042291426375</v>
      </c>
      <c r="L996" s="67" cm="1">
        <f ca="1" t="array" ref="L996">MIN(6,_xlfn.XLOOKUP($D996&amp;"_"&amp;L$61,$B$23:$B$45&amp;"_"&amp;$C$23:$C$45,$D$23:$D$45)*$E996)</f>
        <v>5.83563437139562</v>
      </c>
      <c r="M996" s="67" cm="1">
        <f ca="1" t="array" ref="M996">(1+SUMPRODUCT(G996:H996,OFFSET($H$49:$I$49,D996,0)))*(1+OFFSET($J$49,D996,0))^I996*(1+OFFSET($K$49,D996,0))^J996*(1+OFFSET($L$49,D996,0))^K996*(1+OFFSET($M$49,D996,0))^L996</f>
        <v>336.095971168375</v>
      </c>
      <c r="N996" s="67">
        <f ca="1">MAX(MAX($N$62:N995),OFFSET($C$61,MATCH(M996*1.07,$M$62:$M$2061,1),0)-C996)</f>
        <v>42480</v>
      </c>
    </row>
    <row r="997" spans="2:14">
      <c r="B997" s="67">
        <v>936</v>
      </c>
      <c r="C997" s="67">
        <f t="shared" si="93"/>
        <v>336960</v>
      </c>
      <c r="D997" s="67">
        <f t="shared" si="89"/>
        <v>5</v>
      </c>
      <c r="E997" s="67">
        <f ca="1" t="shared" si="90"/>
        <v>966</v>
      </c>
      <c r="F997" s="67">
        <f ca="1" t="shared" si="91"/>
        <v>0</v>
      </c>
      <c r="G997" s="67">
        <f ca="1" t="shared" si="92"/>
        <v>0</v>
      </c>
      <c r="H997" s="67" cm="1">
        <f ca="1" t="array" ref="H997">MIN(30-SUM(I997:L997),_xlfn.XLOOKUP($D997&amp;"_"&amp;H$61,$B$23:$B$45&amp;"_"&amp;$C$23:$C$45,$D$23:$D$45)*$E997,18)</f>
        <v>12.1055455594002</v>
      </c>
      <c r="I997" s="67" cm="1">
        <f ca="1" t="array" ref="I997">MIN(30-SUM(J997:L997),6-L997,_xlfn.XLOOKUP($D997&amp;"_"&amp;I$61,$B$23:$B$45&amp;"_"&amp;$C$23:$C$45,$D$23:$D$45)*$E997)</f>
        <v>0.158318339100345</v>
      </c>
      <c r="J997" s="67" cm="1">
        <f ca="1" t="array" ref="J997">MIN(8,_xlfn.XLOOKUP($D997&amp;"_"&amp;J$61,$B$23:$B$45&amp;"_"&amp;$C$23:$C$45,$D$23:$D$45)*$E997)</f>
        <v>8</v>
      </c>
      <c r="K997" s="67" cm="1">
        <f ca="1" t="array" ref="K997">MIN(18,_xlfn.XLOOKUP($D997&amp;"_"&amp;K$61,$B$23:$B$45&amp;"_"&amp;$C$23:$C$45,$D$23:$D$45)*$E997)</f>
        <v>3.89445444059977</v>
      </c>
      <c r="L997" s="67" cm="1">
        <f ca="1" t="array" ref="L997">MIN(6,_xlfn.XLOOKUP($D997&amp;"_"&amp;L$61,$B$23:$B$45&amp;"_"&amp;$C$23:$C$45,$D$23:$D$45)*$E997)</f>
        <v>5.84168166089966</v>
      </c>
      <c r="M997" s="67" cm="1">
        <f ca="1" t="array" ref="M997">(1+SUMPRODUCT(G997:H997,OFFSET($H$49:$I$49,D997,0)))*(1+OFFSET($J$49,D997,0))^I997*(1+OFFSET($K$49,D997,0))^J997*(1+OFFSET($L$49,D997,0))^K997*(1+OFFSET($M$49,D997,0))^L997</f>
        <v>336.374670698033</v>
      </c>
      <c r="N997" s="67">
        <f ca="1">MAX(MAX($N$62:N996),OFFSET($C$61,MATCH(M997*1.07,$M$62:$M$2061,1),0)-C997)</f>
        <v>42840</v>
      </c>
    </row>
    <row r="998" spans="2:14">
      <c r="B998" s="67">
        <v>937</v>
      </c>
      <c r="C998" s="67">
        <f t="shared" si="93"/>
        <v>337320</v>
      </c>
      <c r="D998" s="67">
        <f t="shared" si="89"/>
        <v>5</v>
      </c>
      <c r="E998" s="67">
        <f ca="1" t="shared" si="90"/>
        <v>967</v>
      </c>
      <c r="F998" s="67">
        <f ca="1" t="shared" si="91"/>
        <v>0</v>
      </c>
      <c r="G998" s="67">
        <f ca="1" t="shared" si="92"/>
        <v>0</v>
      </c>
      <c r="H998" s="67" cm="1">
        <f ca="1" t="array" ref="H998">MIN(30-SUM(I998:L998),_xlfn.XLOOKUP($D998&amp;"_"&amp;H$61,$B$23:$B$45&amp;"_"&amp;$C$23:$C$45,$D$23:$D$45)*$E998,18)</f>
        <v>12.1015140330642</v>
      </c>
      <c r="I998" s="67" cm="1">
        <f ca="1" t="array" ref="I998">MIN(30-SUM(J998:L998),6-L998,_xlfn.XLOOKUP($D998&amp;"_"&amp;I$61,$B$23:$B$45&amp;"_"&amp;$C$23:$C$45,$D$23:$D$45)*$E998)</f>
        <v>0.152271049596308</v>
      </c>
      <c r="J998" s="67" cm="1">
        <f ca="1" t="array" ref="J998">MIN(8,_xlfn.XLOOKUP($D998&amp;"_"&amp;J$61,$B$23:$B$45&amp;"_"&amp;$C$23:$C$45,$D$23:$D$45)*$E998)</f>
        <v>8</v>
      </c>
      <c r="K998" s="67" cm="1">
        <f ca="1" t="array" ref="K998">MIN(18,_xlfn.XLOOKUP($D998&amp;"_"&amp;K$61,$B$23:$B$45&amp;"_"&amp;$C$23:$C$45,$D$23:$D$45)*$E998)</f>
        <v>3.8984859669358</v>
      </c>
      <c r="L998" s="67" cm="1">
        <f ca="1" t="array" ref="L998">MIN(6,_xlfn.XLOOKUP($D998&amp;"_"&amp;L$61,$B$23:$B$45&amp;"_"&amp;$C$23:$C$45,$D$23:$D$45)*$E998)</f>
        <v>5.84772895040369</v>
      </c>
      <c r="M998" s="67" cm="1">
        <f ca="1" t="array" ref="M998">(1+SUMPRODUCT(G998:H998,OFFSET($H$49:$I$49,D998,0)))*(1+OFFSET($J$49,D998,0))^I998*(1+OFFSET($K$49,D998,0))^J998*(1+OFFSET($L$49,D998,0))^K998*(1+OFFSET($M$49,D998,0))^L998</f>
        <v>336.653582632305</v>
      </c>
      <c r="N998" s="67">
        <f ca="1">MAX(MAX($N$62:N997),OFFSET($C$61,MATCH(M998*1.07,$M$62:$M$2061,1),0)-C998)</f>
        <v>42840</v>
      </c>
    </row>
    <row r="999" spans="2:14">
      <c r="B999" s="67">
        <v>938</v>
      </c>
      <c r="C999" s="67">
        <f t="shared" si="93"/>
        <v>337680</v>
      </c>
      <c r="D999" s="67">
        <f t="shared" si="89"/>
        <v>5</v>
      </c>
      <c r="E999" s="67">
        <f ca="1" t="shared" si="90"/>
        <v>968</v>
      </c>
      <c r="F999" s="67">
        <f ca="1" t="shared" si="91"/>
        <v>0</v>
      </c>
      <c r="G999" s="67">
        <f ca="1" t="shared" si="92"/>
        <v>0</v>
      </c>
      <c r="H999" s="67" cm="1">
        <f ca="1" t="array" ref="H999">MIN(30-SUM(I999:L999),_xlfn.XLOOKUP($D999&amp;"_"&amp;H$61,$B$23:$B$45&amp;"_"&amp;$C$23:$C$45,$D$23:$D$45)*$E999,18)</f>
        <v>12.0974825067282</v>
      </c>
      <c r="I999" s="67" cm="1">
        <f ca="1" t="array" ref="I999">MIN(30-SUM(J999:L999),6-L999,_xlfn.XLOOKUP($D999&amp;"_"&amp;I$61,$B$23:$B$45&amp;"_"&amp;$C$23:$C$45,$D$23:$D$45)*$E999)</f>
        <v>0.146223760092271</v>
      </c>
      <c r="J999" s="67" cm="1">
        <f ca="1" t="array" ref="J999">MIN(8,_xlfn.XLOOKUP($D999&amp;"_"&amp;J$61,$B$23:$B$45&amp;"_"&amp;$C$23:$C$45,$D$23:$D$45)*$E999)</f>
        <v>8</v>
      </c>
      <c r="K999" s="67" cm="1">
        <f ca="1" t="array" ref="K999">MIN(18,_xlfn.XLOOKUP($D999&amp;"_"&amp;K$61,$B$23:$B$45&amp;"_"&amp;$C$23:$C$45,$D$23:$D$45)*$E999)</f>
        <v>3.90251749327182</v>
      </c>
      <c r="L999" s="67" cm="1">
        <f ca="1" t="array" ref="L999">MIN(6,_xlfn.XLOOKUP($D999&amp;"_"&amp;L$61,$B$23:$B$45&amp;"_"&amp;$C$23:$C$45,$D$23:$D$45)*$E999)</f>
        <v>5.85377623990773</v>
      </c>
      <c r="M999" s="67" cm="1">
        <f ca="1" t="array" ref="M999">(1+SUMPRODUCT(G999:H999,OFFSET($H$49:$I$49,D999,0)))*(1+OFFSET($J$49,D999,0))^I999*(1+OFFSET($K$49,D999,0))^J999*(1+OFFSET($L$49,D999,0))^K999*(1+OFFSET($M$49,D999,0))^L999</f>
        <v>336.932707107485</v>
      </c>
      <c r="N999" s="67">
        <f ca="1">MAX(MAX($N$62:N998),OFFSET($C$61,MATCH(M999*1.07,$M$62:$M$2061,1),0)-C999)</f>
        <v>43200</v>
      </c>
    </row>
    <row r="1000" spans="2:14">
      <c r="B1000" s="67">
        <v>939</v>
      </c>
      <c r="C1000" s="67">
        <f t="shared" si="93"/>
        <v>338040</v>
      </c>
      <c r="D1000" s="67">
        <f t="shared" si="89"/>
        <v>5</v>
      </c>
      <c r="E1000" s="67">
        <f ca="1" t="shared" si="90"/>
        <v>969</v>
      </c>
      <c r="F1000" s="67">
        <f ca="1" t="shared" si="91"/>
        <v>0</v>
      </c>
      <c r="G1000" s="67">
        <f ca="1" t="shared" si="92"/>
        <v>0</v>
      </c>
      <c r="H1000" s="67" cm="1">
        <f ca="1" t="array" ref="H1000">MIN(30-SUM(I1000:L1000),_xlfn.XLOOKUP($D1000&amp;"_"&amp;H$61,$B$23:$B$45&amp;"_"&amp;$C$23:$C$45,$D$23:$D$45)*$E1000,18)</f>
        <v>12.0934509803922</v>
      </c>
      <c r="I1000" s="67" cm="1">
        <f ca="1" t="array" ref="I1000">MIN(30-SUM(J1000:L1000),6-L1000,_xlfn.XLOOKUP($D1000&amp;"_"&amp;I$61,$B$23:$B$45&amp;"_"&amp;$C$23:$C$45,$D$23:$D$45)*$E1000)</f>
        <v>0.140176470588234</v>
      </c>
      <c r="J1000" s="67" cm="1">
        <f ca="1" t="array" ref="J1000">MIN(8,_xlfn.XLOOKUP($D1000&amp;"_"&amp;J$61,$B$23:$B$45&amp;"_"&amp;$C$23:$C$45,$D$23:$D$45)*$E1000)</f>
        <v>8</v>
      </c>
      <c r="K1000" s="67" cm="1">
        <f ca="1" t="array" ref="K1000">MIN(18,_xlfn.XLOOKUP($D1000&amp;"_"&amp;K$61,$B$23:$B$45&amp;"_"&amp;$C$23:$C$45,$D$23:$D$45)*$E1000)</f>
        <v>3.90654901960785</v>
      </c>
      <c r="L1000" s="67" cm="1">
        <f ca="1" t="array" ref="L1000">MIN(6,_xlfn.XLOOKUP($D1000&amp;"_"&amp;L$61,$B$23:$B$45&amp;"_"&amp;$C$23:$C$45,$D$23:$D$45)*$E1000)</f>
        <v>5.85982352941177</v>
      </c>
      <c r="M1000" s="67" cm="1">
        <f ca="1" t="array" ref="M1000">(1+SUMPRODUCT(G1000:H1000,OFFSET($H$49:$I$49,D1000,0)))*(1+OFFSET($J$49,D1000,0))^I1000*(1+OFFSET($K$49,D1000,0))^J1000*(1+OFFSET($L$49,D1000,0))^K1000*(1+OFFSET($M$49,D1000,0))^L1000</f>
        <v>337.21204425992</v>
      </c>
      <c r="N1000" s="67">
        <f ca="1">MAX(MAX($N$62:N999),OFFSET($C$61,MATCH(M1000*1.07,$M$62:$M$2061,1),0)-C1000)</f>
        <v>43560</v>
      </c>
    </row>
    <row r="1001" spans="2:14">
      <c r="B1001" s="67">
        <v>940</v>
      </c>
      <c r="C1001" s="67">
        <f t="shared" si="93"/>
        <v>338400</v>
      </c>
      <c r="D1001" s="67">
        <f t="shared" si="89"/>
        <v>5</v>
      </c>
      <c r="E1001" s="67">
        <f ca="1" t="shared" si="90"/>
        <v>970</v>
      </c>
      <c r="F1001" s="67">
        <f ca="1" t="shared" si="91"/>
        <v>0</v>
      </c>
      <c r="G1001" s="67">
        <f ca="1" t="shared" si="92"/>
        <v>0</v>
      </c>
      <c r="H1001" s="67" cm="1">
        <f ca="1" t="array" ref="H1001">MIN(30-SUM(I1001:L1001),_xlfn.XLOOKUP($D1001&amp;"_"&amp;H$61,$B$23:$B$45&amp;"_"&amp;$C$23:$C$45,$D$23:$D$45)*$E1001,18)</f>
        <v>12.0894194540561</v>
      </c>
      <c r="I1001" s="67" cm="1">
        <f ca="1" t="array" ref="I1001">MIN(30-SUM(J1001:L1001),6-L1001,_xlfn.XLOOKUP($D1001&amp;"_"&amp;I$61,$B$23:$B$45&amp;"_"&amp;$C$23:$C$45,$D$23:$D$45)*$E1001)</f>
        <v>0.134129181084197</v>
      </c>
      <c r="J1001" s="67" cm="1">
        <f ca="1" t="array" ref="J1001">MIN(8,_xlfn.XLOOKUP($D1001&amp;"_"&amp;J$61,$B$23:$B$45&amp;"_"&amp;$C$23:$C$45,$D$23:$D$45)*$E1001)</f>
        <v>8</v>
      </c>
      <c r="K1001" s="67" cm="1">
        <f ca="1" t="array" ref="K1001">MIN(18,_xlfn.XLOOKUP($D1001&amp;"_"&amp;K$61,$B$23:$B$45&amp;"_"&amp;$C$23:$C$45,$D$23:$D$45)*$E1001)</f>
        <v>3.91058054594387</v>
      </c>
      <c r="L1001" s="67" cm="1">
        <f ca="1" t="array" ref="L1001">MIN(6,_xlfn.XLOOKUP($D1001&amp;"_"&amp;L$61,$B$23:$B$45&amp;"_"&amp;$C$23:$C$45,$D$23:$D$45)*$E1001)</f>
        <v>5.8658708189158</v>
      </c>
      <c r="M1001" s="67" cm="1">
        <f ca="1" t="array" ref="M1001">(1+SUMPRODUCT(G1001:H1001,OFFSET($H$49:$I$49,D1001,0)))*(1+OFFSET($J$49,D1001,0))^I1001*(1+OFFSET($K$49,D1001,0))^J1001*(1+OFFSET($L$49,D1001,0))^K1001*(1+OFFSET($M$49,D1001,0))^L1001</f>
        <v>337.491594226003</v>
      </c>
      <c r="N1001" s="67">
        <f ca="1">MAX(MAX($N$62:N1000),OFFSET($C$61,MATCH(M1001*1.07,$M$62:$M$2061,1),0)-C1001)</f>
        <v>43560</v>
      </c>
    </row>
    <row r="1002" spans="2:14">
      <c r="B1002" s="67">
        <v>941</v>
      </c>
      <c r="C1002" s="67">
        <f t="shared" si="93"/>
        <v>338760</v>
      </c>
      <c r="D1002" s="67">
        <f t="shared" si="89"/>
        <v>5</v>
      </c>
      <c r="E1002" s="67">
        <f ca="1" t="shared" si="90"/>
        <v>971</v>
      </c>
      <c r="F1002" s="67">
        <f ca="1" t="shared" si="91"/>
        <v>0</v>
      </c>
      <c r="G1002" s="67">
        <f ca="1" t="shared" si="92"/>
        <v>0</v>
      </c>
      <c r="H1002" s="67" cm="1">
        <f ca="1" t="array" ref="H1002">MIN(30-SUM(I1002:L1002),_xlfn.XLOOKUP($D1002&amp;"_"&amp;H$61,$B$23:$B$45&amp;"_"&amp;$C$23:$C$45,$D$23:$D$45)*$E1002,18)</f>
        <v>12.0853879277201</v>
      </c>
      <c r="I1002" s="67" cm="1">
        <f ca="1" t="array" ref="I1002">MIN(30-SUM(J1002:L1002),6-L1002,_xlfn.XLOOKUP($D1002&amp;"_"&amp;I$61,$B$23:$B$45&amp;"_"&amp;$C$23:$C$45,$D$23:$D$45)*$E1002)</f>
        <v>0.12808189158016</v>
      </c>
      <c r="J1002" s="67" cm="1">
        <f ca="1" t="array" ref="J1002">MIN(8,_xlfn.XLOOKUP($D1002&amp;"_"&amp;J$61,$B$23:$B$45&amp;"_"&amp;$C$23:$C$45,$D$23:$D$45)*$E1002)</f>
        <v>8</v>
      </c>
      <c r="K1002" s="67" cm="1">
        <f ca="1" t="array" ref="K1002">MIN(18,_xlfn.XLOOKUP($D1002&amp;"_"&amp;K$61,$B$23:$B$45&amp;"_"&amp;$C$23:$C$45,$D$23:$D$45)*$E1002)</f>
        <v>3.9146120722799</v>
      </c>
      <c r="L1002" s="67" cm="1">
        <f ca="1" t="array" ref="L1002">MIN(6,_xlfn.XLOOKUP($D1002&amp;"_"&amp;L$61,$B$23:$B$45&amp;"_"&amp;$C$23:$C$45,$D$23:$D$45)*$E1002)</f>
        <v>5.87191810841984</v>
      </c>
      <c r="M1002" s="67" cm="1">
        <f ca="1" t="array" ref="M1002">(1+SUMPRODUCT(G1002:H1002,OFFSET($H$49:$I$49,D1002,0)))*(1+OFFSET($J$49,D1002,0))^I1002*(1+OFFSET($K$49,D1002,0))^J1002*(1+OFFSET($L$49,D1002,0))^K1002*(1+OFFSET($M$49,D1002,0))^L1002</f>
        <v>337.771357142179</v>
      </c>
      <c r="N1002" s="67">
        <f ca="1">MAX(MAX($N$62:N1001),OFFSET($C$61,MATCH(M1002*1.07,$M$62:$M$2061,1),0)-C1002)</f>
        <v>43920</v>
      </c>
    </row>
    <row r="1003" spans="2:14">
      <c r="B1003" s="67">
        <v>942</v>
      </c>
      <c r="C1003" s="67">
        <f t="shared" si="93"/>
        <v>339120</v>
      </c>
      <c r="D1003" s="67">
        <f t="shared" si="89"/>
        <v>5</v>
      </c>
      <c r="E1003" s="67">
        <f ca="1" t="shared" si="90"/>
        <v>972</v>
      </c>
      <c r="F1003" s="67">
        <f ca="1" t="shared" si="91"/>
        <v>0</v>
      </c>
      <c r="G1003" s="67">
        <f ca="1" t="shared" si="92"/>
        <v>0</v>
      </c>
      <c r="H1003" s="67" cm="1">
        <f ca="1" t="array" ref="H1003">MIN(30-SUM(I1003:L1003),_xlfn.XLOOKUP($D1003&amp;"_"&amp;H$61,$B$23:$B$45&amp;"_"&amp;$C$23:$C$45,$D$23:$D$45)*$E1003,18)</f>
        <v>12.0813564013841</v>
      </c>
      <c r="I1003" s="67" cm="1">
        <f ca="1" t="array" ref="I1003">MIN(30-SUM(J1003:L1003),6-L1003,_xlfn.XLOOKUP($D1003&amp;"_"&amp;I$61,$B$23:$B$45&amp;"_"&amp;$C$23:$C$45,$D$23:$D$45)*$E1003)</f>
        <v>0.122034602076123</v>
      </c>
      <c r="J1003" s="67" cm="1">
        <f ca="1" t="array" ref="J1003">MIN(8,_xlfn.XLOOKUP($D1003&amp;"_"&amp;J$61,$B$23:$B$45&amp;"_"&amp;$C$23:$C$45,$D$23:$D$45)*$E1003)</f>
        <v>8</v>
      </c>
      <c r="K1003" s="67" cm="1">
        <f ca="1" t="array" ref="K1003">MIN(18,_xlfn.XLOOKUP($D1003&amp;"_"&amp;K$61,$B$23:$B$45&amp;"_"&amp;$C$23:$C$45,$D$23:$D$45)*$E1003)</f>
        <v>3.91864359861592</v>
      </c>
      <c r="L1003" s="67" cm="1">
        <f ca="1" t="array" ref="L1003">MIN(6,_xlfn.XLOOKUP($D1003&amp;"_"&amp;L$61,$B$23:$B$45&amp;"_"&amp;$C$23:$C$45,$D$23:$D$45)*$E1003)</f>
        <v>5.87796539792388</v>
      </c>
      <c r="M1003" s="67" cm="1">
        <f ca="1" t="array" ref="M1003">(1+SUMPRODUCT(G1003:H1003,OFFSET($H$49:$I$49,D1003,0)))*(1+OFFSET($J$49,D1003,0))^I1003*(1+OFFSET($K$49,D1003,0))^J1003*(1+OFFSET($L$49,D1003,0))^K1003*(1+OFFSET($M$49,D1003,0))^L1003</f>
        <v>338.05133314494</v>
      </c>
      <c r="N1003" s="67">
        <f ca="1">MAX(MAX($N$62:N1002),OFFSET($C$61,MATCH(M1003*1.07,$M$62:$M$2061,1),0)-C1003)</f>
        <v>44280</v>
      </c>
    </row>
    <row r="1004" spans="2:14">
      <c r="B1004" s="67">
        <v>943</v>
      </c>
      <c r="C1004" s="67">
        <f t="shared" si="93"/>
        <v>339480</v>
      </c>
      <c r="D1004" s="67">
        <f t="shared" si="89"/>
        <v>5</v>
      </c>
      <c r="E1004" s="67">
        <f ca="1" t="shared" si="90"/>
        <v>973</v>
      </c>
      <c r="F1004" s="67">
        <f ca="1" t="shared" si="91"/>
        <v>0</v>
      </c>
      <c r="G1004" s="67">
        <f ca="1" t="shared" si="92"/>
        <v>0</v>
      </c>
      <c r="H1004" s="67" cm="1">
        <f ca="1" t="array" ref="H1004">MIN(30-SUM(I1004:L1004),_xlfn.XLOOKUP($D1004&amp;"_"&amp;H$61,$B$23:$B$45&amp;"_"&amp;$C$23:$C$45,$D$23:$D$45)*$E1004,18)</f>
        <v>12.0773248750481</v>
      </c>
      <c r="I1004" s="67" cm="1">
        <f ca="1" t="array" ref="I1004">MIN(30-SUM(J1004:L1004),6-L1004,_xlfn.XLOOKUP($D1004&amp;"_"&amp;I$61,$B$23:$B$45&amp;"_"&amp;$C$23:$C$45,$D$23:$D$45)*$E1004)</f>
        <v>0.115987312572086</v>
      </c>
      <c r="J1004" s="67" cm="1">
        <f ca="1" t="array" ref="J1004">MIN(8,_xlfn.XLOOKUP($D1004&amp;"_"&amp;J$61,$B$23:$B$45&amp;"_"&amp;$C$23:$C$45,$D$23:$D$45)*$E1004)</f>
        <v>8</v>
      </c>
      <c r="K1004" s="67" cm="1">
        <f ca="1" t="array" ref="K1004">MIN(18,_xlfn.XLOOKUP($D1004&amp;"_"&amp;K$61,$B$23:$B$45&amp;"_"&amp;$C$23:$C$45,$D$23:$D$45)*$E1004)</f>
        <v>3.92267512495194</v>
      </c>
      <c r="L1004" s="67" cm="1">
        <f ca="1" t="array" ref="L1004">MIN(6,_xlfn.XLOOKUP($D1004&amp;"_"&amp;L$61,$B$23:$B$45&amp;"_"&amp;$C$23:$C$45,$D$23:$D$45)*$E1004)</f>
        <v>5.88401268742791</v>
      </c>
      <c r="M1004" s="67" cm="1">
        <f ca="1" t="array" ref="M1004">(1+SUMPRODUCT(G1004:H1004,OFFSET($H$49:$I$49,D1004,0)))*(1+OFFSET($J$49,D1004,0))^I1004*(1+OFFSET($K$49,D1004,0))^J1004*(1+OFFSET($L$49,D1004,0))^K1004*(1+OFFSET($M$49,D1004,0))^L1004</f>
        <v>338.33152237083</v>
      </c>
      <c r="N1004" s="67">
        <f ca="1">MAX(MAX($N$62:N1003),OFFSET($C$61,MATCH(M1004*1.07,$M$62:$M$2061,1),0)-C1004)</f>
        <v>44280</v>
      </c>
    </row>
    <row r="1005" spans="2:14">
      <c r="B1005" s="67">
        <v>944</v>
      </c>
      <c r="C1005" s="67">
        <f t="shared" si="93"/>
        <v>339840</v>
      </c>
      <c r="D1005" s="67">
        <f t="shared" si="89"/>
        <v>5</v>
      </c>
      <c r="E1005" s="67">
        <f ca="1" t="shared" si="90"/>
        <v>974</v>
      </c>
      <c r="F1005" s="67">
        <f ca="1" t="shared" si="91"/>
        <v>0</v>
      </c>
      <c r="G1005" s="67">
        <f ca="1" t="shared" si="92"/>
        <v>0</v>
      </c>
      <c r="H1005" s="67" cm="1">
        <f ca="1" t="array" ref="H1005">MIN(30-SUM(I1005:L1005),_xlfn.XLOOKUP($D1005&amp;"_"&amp;H$61,$B$23:$B$45&amp;"_"&amp;$C$23:$C$45,$D$23:$D$45)*$E1005,18)</f>
        <v>12.073293348712</v>
      </c>
      <c r="I1005" s="67" cm="1">
        <f ca="1" t="array" ref="I1005">MIN(30-SUM(J1005:L1005),6-L1005,_xlfn.XLOOKUP($D1005&amp;"_"&amp;I$61,$B$23:$B$45&amp;"_"&amp;$C$23:$C$45,$D$23:$D$45)*$E1005)</f>
        <v>0.10994002306805</v>
      </c>
      <c r="J1005" s="67" cm="1">
        <f ca="1" t="array" ref="J1005">MIN(8,_xlfn.XLOOKUP($D1005&amp;"_"&amp;J$61,$B$23:$B$45&amp;"_"&amp;$C$23:$C$45,$D$23:$D$45)*$E1005)</f>
        <v>8</v>
      </c>
      <c r="K1005" s="67" cm="1">
        <f ca="1" t="array" ref="K1005">MIN(18,_xlfn.XLOOKUP($D1005&amp;"_"&amp;K$61,$B$23:$B$45&amp;"_"&amp;$C$23:$C$45,$D$23:$D$45)*$E1005)</f>
        <v>3.92670665128797</v>
      </c>
      <c r="L1005" s="67" cm="1">
        <f ca="1" t="array" ref="L1005">MIN(6,_xlfn.XLOOKUP($D1005&amp;"_"&amp;L$61,$B$23:$B$45&amp;"_"&amp;$C$23:$C$45,$D$23:$D$45)*$E1005)</f>
        <v>5.89005997693195</v>
      </c>
      <c r="M1005" s="67" cm="1">
        <f ca="1" t="array" ref="M1005">(1+SUMPRODUCT(G1005:H1005,OFFSET($H$49:$I$49,D1005,0)))*(1+OFFSET($J$49,D1005,0))^I1005*(1+OFFSET($K$49,D1005,0))^J1005*(1+OFFSET($L$49,D1005,0))^K1005*(1+OFFSET($M$49,D1005,0))^L1005</f>
        <v>338.611924956438</v>
      </c>
      <c r="N1005" s="67">
        <f ca="1">MAX(MAX($N$62:N1004),OFFSET($C$61,MATCH(M1005*1.07,$M$62:$M$2061,1),0)-C1005)</f>
        <v>44640</v>
      </c>
    </row>
    <row r="1006" spans="2:14">
      <c r="B1006" s="67">
        <v>945</v>
      </c>
      <c r="C1006" s="67">
        <f t="shared" si="93"/>
        <v>340200</v>
      </c>
      <c r="D1006" s="67">
        <f t="shared" si="89"/>
        <v>5</v>
      </c>
      <c r="E1006" s="67">
        <f ca="1" t="shared" si="90"/>
        <v>975</v>
      </c>
      <c r="F1006" s="67">
        <f ca="1" t="shared" si="91"/>
        <v>0</v>
      </c>
      <c r="G1006" s="67">
        <f ca="1" t="shared" si="92"/>
        <v>0</v>
      </c>
      <c r="H1006" s="67" cm="1">
        <f ca="1" t="array" ref="H1006">MIN(30-SUM(I1006:L1006),_xlfn.XLOOKUP($D1006&amp;"_"&amp;H$61,$B$23:$B$45&amp;"_"&amp;$C$23:$C$45,$D$23:$D$45)*$E1006,18)</f>
        <v>12.069261822376</v>
      </c>
      <c r="I1006" s="67" cm="1">
        <f ca="1" t="array" ref="I1006">MIN(30-SUM(J1006:L1006),6-L1006,_xlfn.XLOOKUP($D1006&amp;"_"&amp;I$61,$B$23:$B$45&amp;"_"&amp;$C$23:$C$45,$D$23:$D$45)*$E1006)</f>
        <v>0.103892733564012</v>
      </c>
      <c r="J1006" s="67" cm="1">
        <f ca="1" t="array" ref="J1006">MIN(8,_xlfn.XLOOKUP($D1006&amp;"_"&amp;J$61,$B$23:$B$45&amp;"_"&amp;$C$23:$C$45,$D$23:$D$45)*$E1006)</f>
        <v>8</v>
      </c>
      <c r="K1006" s="67" cm="1">
        <f ca="1" t="array" ref="K1006">MIN(18,_xlfn.XLOOKUP($D1006&amp;"_"&amp;K$61,$B$23:$B$45&amp;"_"&amp;$C$23:$C$45,$D$23:$D$45)*$E1006)</f>
        <v>3.93073817762399</v>
      </c>
      <c r="L1006" s="67" cm="1">
        <f ca="1" t="array" ref="L1006">MIN(6,_xlfn.XLOOKUP($D1006&amp;"_"&amp;L$61,$B$23:$B$45&amp;"_"&amp;$C$23:$C$45,$D$23:$D$45)*$E1006)</f>
        <v>5.89610726643599</v>
      </c>
      <c r="M1006" s="67" cm="1">
        <f ca="1" t="array" ref="M1006">(1+SUMPRODUCT(G1006:H1006,OFFSET($H$49:$I$49,D1006,0)))*(1+OFFSET($J$49,D1006,0))^I1006*(1+OFFSET($K$49,D1006,0))^J1006*(1+OFFSET($L$49,D1006,0))^K1006*(1+OFFSET($M$49,D1006,0))^L1006</f>
        <v>338.892541038406</v>
      </c>
      <c r="N1006" s="67">
        <f ca="1">MAX(MAX($N$62:N1005),OFFSET($C$61,MATCH(M1006*1.07,$M$62:$M$2061,1),0)-C1006)</f>
        <v>45000</v>
      </c>
    </row>
    <row r="1007" spans="2:14">
      <c r="B1007" s="67">
        <v>946</v>
      </c>
      <c r="C1007" s="67">
        <f t="shared" si="93"/>
        <v>340560</v>
      </c>
      <c r="D1007" s="67">
        <f t="shared" si="89"/>
        <v>5</v>
      </c>
      <c r="E1007" s="67">
        <f ca="1" t="shared" si="90"/>
        <v>976</v>
      </c>
      <c r="F1007" s="67">
        <f ca="1" t="shared" si="91"/>
        <v>0</v>
      </c>
      <c r="G1007" s="67">
        <f ca="1" t="shared" si="92"/>
        <v>0</v>
      </c>
      <c r="H1007" s="67" cm="1">
        <f ca="1" t="array" ref="H1007">MIN(30-SUM(I1007:L1007),_xlfn.XLOOKUP($D1007&amp;"_"&amp;H$61,$B$23:$B$45&amp;"_"&amp;$C$23:$C$45,$D$23:$D$45)*$E1007,18)</f>
        <v>12.06523029604</v>
      </c>
      <c r="I1007" s="67" cm="1">
        <f ca="1" t="array" ref="I1007">MIN(30-SUM(J1007:L1007),6-L1007,_xlfn.XLOOKUP($D1007&amp;"_"&amp;I$61,$B$23:$B$45&amp;"_"&amp;$C$23:$C$45,$D$23:$D$45)*$E1007)</f>
        <v>0.0978454440599759</v>
      </c>
      <c r="J1007" s="67" cm="1">
        <f ca="1" t="array" ref="J1007">MIN(8,_xlfn.XLOOKUP($D1007&amp;"_"&amp;J$61,$B$23:$B$45&amp;"_"&amp;$C$23:$C$45,$D$23:$D$45)*$E1007)</f>
        <v>8</v>
      </c>
      <c r="K1007" s="67" cm="1">
        <f ca="1" t="array" ref="K1007">MIN(18,_xlfn.XLOOKUP($D1007&amp;"_"&amp;K$61,$B$23:$B$45&amp;"_"&amp;$C$23:$C$45,$D$23:$D$45)*$E1007)</f>
        <v>3.93476970396002</v>
      </c>
      <c r="L1007" s="67" cm="1">
        <f ca="1" t="array" ref="L1007">MIN(6,_xlfn.XLOOKUP($D1007&amp;"_"&amp;L$61,$B$23:$B$45&amp;"_"&amp;$C$23:$C$45,$D$23:$D$45)*$E1007)</f>
        <v>5.90215455594002</v>
      </c>
      <c r="M1007" s="67" cm="1">
        <f ca="1" t="array" ref="M1007">(1+SUMPRODUCT(G1007:H1007,OFFSET($H$49:$I$49,D1007,0)))*(1+OFFSET($J$49,D1007,0))^I1007*(1+OFFSET($K$49,D1007,0))^J1007*(1+OFFSET($L$49,D1007,0))^K1007*(1+OFFSET($M$49,D1007,0))^L1007</f>
        <v>339.173370753422</v>
      </c>
      <c r="N1007" s="67">
        <f ca="1">MAX(MAX($N$62:N1006),OFFSET($C$61,MATCH(M1007*1.07,$M$62:$M$2061,1),0)-C1007)</f>
        <v>45000</v>
      </c>
    </row>
    <row r="1008" spans="2:14">
      <c r="B1008" s="67">
        <v>947</v>
      </c>
      <c r="C1008" s="67">
        <f t="shared" ref="C1008:C1025" si="94">C1007+360</f>
        <v>340920</v>
      </c>
      <c r="D1008" s="67">
        <f t="shared" si="89"/>
        <v>5</v>
      </c>
      <c r="E1008" s="67">
        <f ca="1" t="shared" si="90"/>
        <v>977</v>
      </c>
      <c r="F1008" s="67">
        <f ca="1" t="shared" si="91"/>
        <v>0</v>
      </c>
      <c r="G1008" s="67">
        <f ca="1" t="shared" si="92"/>
        <v>0</v>
      </c>
      <c r="H1008" s="67" cm="1">
        <f ca="1" t="array" ref="H1008">MIN(30-SUM(I1008:L1008),_xlfn.XLOOKUP($D1008&amp;"_"&amp;H$61,$B$23:$B$45&amp;"_"&amp;$C$23:$C$45,$D$23:$D$45)*$E1008,18)</f>
        <v>12.061198769704</v>
      </c>
      <c r="I1008" s="67" cm="1">
        <f ca="1" t="array" ref="I1008">MIN(30-SUM(J1008:L1008),6-L1008,_xlfn.XLOOKUP($D1008&amp;"_"&amp;I$61,$B$23:$B$45&amp;"_"&amp;$C$23:$C$45,$D$23:$D$45)*$E1008)</f>
        <v>0.0917981545559385</v>
      </c>
      <c r="J1008" s="67" cm="1">
        <f ca="1" t="array" ref="J1008">MIN(8,_xlfn.XLOOKUP($D1008&amp;"_"&amp;J$61,$B$23:$B$45&amp;"_"&amp;$C$23:$C$45,$D$23:$D$45)*$E1008)</f>
        <v>8</v>
      </c>
      <c r="K1008" s="67" cm="1">
        <f ca="1" t="array" ref="K1008">MIN(18,_xlfn.XLOOKUP($D1008&amp;"_"&amp;K$61,$B$23:$B$45&amp;"_"&amp;$C$23:$C$45,$D$23:$D$45)*$E1008)</f>
        <v>3.93880123029604</v>
      </c>
      <c r="L1008" s="67" cm="1">
        <f ca="1" t="array" ref="L1008">MIN(6,_xlfn.XLOOKUP($D1008&amp;"_"&amp;L$61,$B$23:$B$45&amp;"_"&amp;$C$23:$C$45,$D$23:$D$45)*$E1008)</f>
        <v>5.90820184544406</v>
      </c>
      <c r="M1008" s="67" cm="1">
        <f ca="1" t="array" ref="M1008">(1+SUMPRODUCT(G1008:H1008,OFFSET($H$49:$I$49,D1008,0)))*(1+OFFSET($J$49,D1008,0))^I1008*(1+OFFSET($K$49,D1008,0))^J1008*(1+OFFSET($L$49,D1008,0))^K1008*(1+OFFSET($M$49,D1008,0))^L1008</f>
        <v>339.454414238227</v>
      </c>
      <c r="N1008" s="67">
        <f ca="1">MAX(MAX($N$62:N1007),OFFSET($C$61,MATCH(M1008*1.07,$M$62:$M$2061,1),0)-C1008)</f>
        <v>45360</v>
      </c>
    </row>
    <row r="1009" spans="2:14">
      <c r="B1009" s="67">
        <v>948</v>
      </c>
      <c r="C1009" s="67">
        <f t="shared" si="94"/>
        <v>341280</v>
      </c>
      <c r="D1009" s="67">
        <f t="shared" si="89"/>
        <v>5</v>
      </c>
      <c r="E1009" s="67">
        <f ca="1" t="shared" si="90"/>
        <v>978</v>
      </c>
      <c r="F1009" s="67">
        <f ca="1" t="shared" si="91"/>
        <v>0</v>
      </c>
      <c r="G1009" s="67">
        <f ca="1" t="shared" si="92"/>
        <v>0</v>
      </c>
      <c r="H1009" s="67" cm="1">
        <f ca="1" t="array" ref="H1009">MIN(30-SUM(I1009:L1009),_xlfn.XLOOKUP($D1009&amp;"_"&amp;H$61,$B$23:$B$45&amp;"_"&amp;$C$23:$C$45,$D$23:$D$45)*$E1009,18)</f>
        <v>12.0571672433679</v>
      </c>
      <c r="I1009" s="67" cm="1">
        <f ca="1" t="array" ref="I1009">MIN(30-SUM(J1009:L1009),6-L1009,_xlfn.XLOOKUP($D1009&amp;"_"&amp;I$61,$B$23:$B$45&amp;"_"&amp;$C$23:$C$45,$D$23:$D$45)*$E1009)</f>
        <v>0.0857508650519021</v>
      </c>
      <c r="J1009" s="67" cm="1">
        <f ca="1" t="array" ref="J1009">MIN(8,_xlfn.XLOOKUP($D1009&amp;"_"&amp;J$61,$B$23:$B$45&amp;"_"&amp;$C$23:$C$45,$D$23:$D$45)*$E1009)</f>
        <v>8</v>
      </c>
      <c r="K1009" s="67" cm="1">
        <f ca="1" t="array" ref="K1009">MIN(18,_xlfn.XLOOKUP($D1009&amp;"_"&amp;K$61,$B$23:$B$45&amp;"_"&amp;$C$23:$C$45,$D$23:$D$45)*$E1009)</f>
        <v>3.94283275663207</v>
      </c>
      <c r="L1009" s="67" cm="1">
        <f ca="1" t="array" ref="L1009">MIN(6,_xlfn.XLOOKUP($D1009&amp;"_"&amp;L$61,$B$23:$B$45&amp;"_"&amp;$C$23:$C$45,$D$23:$D$45)*$E1009)</f>
        <v>5.9142491349481</v>
      </c>
      <c r="M1009" s="67" cm="1">
        <f ca="1" t="array" ref="M1009">(1+SUMPRODUCT(G1009:H1009,OFFSET($H$49:$I$49,D1009,0)))*(1+OFFSET($J$49,D1009,0))^I1009*(1+OFFSET($K$49,D1009,0))^J1009*(1+OFFSET($L$49,D1009,0))^K1009*(1+OFFSET($M$49,D1009,0))^L1009</f>
        <v>339.735671629605</v>
      </c>
      <c r="N1009" s="67">
        <f ca="1">MAX(MAX($N$62:N1008),OFFSET($C$61,MATCH(M1009*1.07,$M$62:$M$2061,1),0)-C1009)</f>
        <v>45720</v>
      </c>
    </row>
    <row r="1010" spans="2:14">
      <c r="B1010" s="67">
        <v>949</v>
      </c>
      <c r="C1010" s="67">
        <f t="shared" si="94"/>
        <v>341640</v>
      </c>
      <c r="D1010" s="67">
        <f t="shared" si="89"/>
        <v>5</v>
      </c>
      <c r="E1010" s="67">
        <f ca="1" t="shared" si="90"/>
        <v>979</v>
      </c>
      <c r="F1010" s="67">
        <f ca="1" t="shared" si="91"/>
        <v>0</v>
      </c>
      <c r="G1010" s="67">
        <f ca="1" t="shared" si="92"/>
        <v>0</v>
      </c>
      <c r="H1010" s="67" cm="1">
        <f ca="1" t="array" ref="H1010">MIN(30-SUM(I1010:L1010),_xlfn.XLOOKUP($D1010&amp;"_"&amp;H$61,$B$23:$B$45&amp;"_"&amp;$C$23:$C$45,$D$23:$D$45)*$E1010,18)</f>
        <v>12.0531357170319</v>
      </c>
      <c r="I1010" s="67" cm="1">
        <f ca="1" t="array" ref="I1010">MIN(30-SUM(J1010:L1010),6-L1010,_xlfn.XLOOKUP($D1010&amp;"_"&amp;I$61,$B$23:$B$45&amp;"_"&amp;$C$23:$C$45,$D$23:$D$45)*$E1010)</f>
        <v>0.0797035755478648</v>
      </c>
      <c r="J1010" s="67" cm="1">
        <f ca="1" t="array" ref="J1010">MIN(8,_xlfn.XLOOKUP($D1010&amp;"_"&amp;J$61,$B$23:$B$45&amp;"_"&amp;$C$23:$C$45,$D$23:$D$45)*$E1010)</f>
        <v>8</v>
      </c>
      <c r="K1010" s="67" cm="1">
        <f ca="1" t="array" ref="K1010">MIN(18,_xlfn.XLOOKUP($D1010&amp;"_"&amp;K$61,$B$23:$B$45&amp;"_"&amp;$C$23:$C$45,$D$23:$D$45)*$E1010)</f>
        <v>3.94686428296809</v>
      </c>
      <c r="L1010" s="67" cm="1">
        <f ca="1" t="array" ref="L1010">MIN(6,_xlfn.XLOOKUP($D1010&amp;"_"&amp;L$61,$B$23:$B$45&amp;"_"&amp;$C$23:$C$45,$D$23:$D$45)*$E1010)</f>
        <v>5.92029642445214</v>
      </c>
      <c r="M1010" s="67" cm="1">
        <f ca="1" t="array" ref="M1010">(1+SUMPRODUCT(G1010:H1010,OFFSET($H$49:$I$49,D1010,0)))*(1+OFFSET($J$49,D1010,0))^I1010*(1+OFFSET($K$49,D1010,0))^J1010*(1+OFFSET($L$49,D1010,0))^K1010*(1+OFFSET($M$49,D1010,0))^L1010</f>
        <v>340.017143064395</v>
      </c>
      <c r="N1010" s="67">
        <f ca="1">MAX(MAX($N$62:N1009),OFFSET($C$61,MATCH(M1010*1.07,$M$62:$M$2061,1),0)-C1010)</f>
        <v>45720</v>
      </c>
    </row>
    <row r="1011" spans="2:14">
      <c r="B1011" s="67">
        <v>950</v>
      </c>
      <c r="C1011" s="67">
        <f t="shared" si="94"/>
        <v>342000</v>
      </c>
      <c r="D1011" s="67">
        <f t="shared" si="89"/>
        <v>5</v>
      </c>
      <c r="E1011" s="67">
        <f ca="1" t="shared" si="90"/>
        <v>980</v>
      </c>
      <c r="F1011" s="67">
        <f ca="1" t="shared" si="91"/>
        <v>0</v>
      </c>
      <c r="G1011" s="67">
        <f ca="1" t="shared" si="92"/>
        <v>0</v>
      </c>
      <c r="H1011" s="67" cm="1">
        <f ca="1" t="array" ref="H1011">MIN(30-SUM(I1011:L1011),_xlfn.XLOOKUP($D1011&amp;"_"&amp;H$61,$B$23:$B$45&amp;"_"&amp;$C$23:$C$45,$D$23:$D$45)*$E1011,18)</f>
        <v>12.0491041906959</v>
      </c>
      <c r="I1011" s="67" cm="1">
        <f ca="1" t="array" ref="I1011">MIN(30-SUM(J1011:L1011),6-L1011,_xlfn.XLOOKUP($D1011&amp;"_"&amp;I$61,$B$23:$B$45&amp;"_"&amp;$C$23:$C$45,$D$23:$D$45)*$E1011)</f>
        <v>0.0736562860438283</v>
      </c>
      <c r="J1011" s="67" cm="1">
        <f ca="1" t="array" ref="J1011">MIN(8,_xlfn.XLOOKUP($D1011&amp;"_"&amp;J$61,$B$23:$B$45&amp;"_"&amp;$C$23:$C$45,$D$23:$D$45)*$E1011)</f>
        <v>8</v>
      </c>
      <c r="K1011" s="67" cm="1">
        <f ca="1" t="array" ref="K1011">MIN(18,_xlfn.XLOOKUP($D1011&amp;"_"&amp;K$61,$B$23:$B$45&amp;"_"&amp;$C$23:$C$45,$D$23:$D$45)*$E1011)</f>
        <v>3.95089580930412</v>
      </c>
      <c r="L1011" s="67" cm="1">
        <f ca="1" t="array" ref="L1011">MIN(6,_xlfn.XLOOKUP($D1011&amp;"_"&amp;L$61,$B$23:$B$45&amp;"_"&amp;$C$23:$C$45,$D$23:$D$45)*$E1011)</f>
        <v>5.92634371395617</v>
      </c>
      <c r="M1011" s="67" cm="1">
        <f ca="1" t="array" ref="M1011">(1+SUMPRODUCT(G1011:H1011,OFFSET($H$49:$I$49,D1011,0)))*(1+OFFSET($J$49,D1011,0))^I1011*(1+OFFSET($K$49,D1011,0))^J1011*(1+OFFSET($L$49,D1011,0))^K1011*(1+OFFSET($M$49,D1011,0))^L1011</f>
        <v>340.29882867948</v>
      </c>
      <c r="N1011" s="67">
        <f ca="1">MAX(MAX($N$62:N1010),OFFSET($C$61,MATCH(M1011*1.07,$M$62:$M$2061,1),0)-C1011)</f>
        <v>46080</v>
      </c>
    </row>
    <row r="1012" spans="2:14">
      <c r="B1012" s="67">
        <v>951</v>
      </c>
      <c r="C1012" s="67">
        <f t="shared" si="94"/>
        <v>342360</v>
      </c>
      <c r="D1012" s="67">
        <f t="shared" si="89"/>
        <v>5</v>
      </c>
      <c r="E1012" s="67">
        <f ca="1" t="shared" si="90"/>
        <v>981</v>
      </c>
      <c r="F1012" s="67">
        <f ca="1" t="shared" si="91"/>
        <v>0</v>
      </c>
      <c r="G1012" s="67">
        <f ca="1" t="shared" si="92"/>
        <v>0</v>
      </c>
      <c r="H1012" s="67" cm="1">
        <f ca="1" t="array" ref="H1012">MIN(30-SUM(I1012:L1012),_xlfn.XLOOKUP($D1012&amp;"_"&amp;H$61,$B$23:$B$45&amp;"_"&amp;$C$23:$C$45,$D$23:$D$45)*$E1012,18)</f>
        <v>12.0450726643599</v>
      </c>
      <c r="I1012" s="67" cm="1">
        <f ca="1" t="array" ref="I1012">MIN(30-SUM(J1012:L1012),6-L1012,_xlfn.XLOOKUP($D1012&amp;"_"&amp;I$61,$B$23:$B$45&amp;"_"&amp;$C$23:$C$45,$D$23:$D$45)*$E1012)</f>
        <v>0.067608996539791</v>
      </c>
      <c r="J1012" s="67" cm="1">
        <f ca="1" t="array" ref="J1012">MIN(8,_xlfn.XLOOKUP($D1012&amp;"_"&amp;J$61,$B$23:$B$45&amp;"_"&amp;$C$23:$C$45,$D$23:$D$45)*$E1012)</f>
        <v>8</v>
      </c>
      <c r="K1012" s="67" cm="1">
        <f ca="1" t="array" ref="K1012">MIN(18,_xlfn.XLOOKUP($D1012&amp;"_"&amp;K$61,$B$23:$B$45&amp;"_"&amp;$C$23:$C$45,$D$23:$D$45)*$E1012)</f>
        <v>3.95492733564014</v>
      </c>
      <c r="L1012" s="67" cm="1">
        <f ca="1" t="array" ref="L1012">MIN(6,_xlfn.XLOOKUP($D1012&amp;"_"&amp;L$61,$B$23:$B$45&amp;"_"&amp;$C$23:$C$45,$D$23:$D$45)*$E1012)</f>
        <v>5.93239100346021</v>
      </c>
      <c r="M1012" s="67" cm="1">
        <f ca="1" t="array" ref="M1012">(1+SUMPRODUCT(G1012:H1012,OFFSET($H$49:$I$49,D1012,0)))*(1+OFFSET($J$49,D1012,0))^I1012*(1+OFFSET($K$49,D1012,0))^J1012*(1+OFFSET($L$49,D1012,0))^K1012*(1+OFFSET($M$49,D1012,0))^L1012</f>
        <v>340.580728611796</v>
      </c>
      <c r="N1012" s="67">
        <f ca="1">MAX(MAX($N$62:N1011),OFFSET($C$61,MATCH(M1012*1.07,$M$62:$M$2061,1),0)-C1012)</f>
        <v>46440</v>
      </c>
    </row>
    <row r="1013" spans="2:14">
      <c r="B1013" s="67">
        <v>952</v>
      </c>
      <c r="C1013" s="67">
        <f t="shared" si="94"/>
        <v>342720</v>
      </c>
      <c r="D1013" s="67">
        <f t="shared" si="89"/>
        <v>5</v>
      </c>
      <c r="E1013" s="67">
        <f ca="1" t="shared" si="90"/>
        <v>982</v>
      </c>
      <c r="F1013" s="67">
        <f ca="1" t="shared" si="91"/>
        <v>0</v>
      </c>
      <c r="G1013" s="67">
        <f ca="1" t="shared" si="92"/>
        <v>0</v>
      </c>
      <c r="H1013" s="67" cm="1">
        <f ca="1" t="array" ref="H1013">MIN(30-SUM(I1013:L1013),_xlfn.XLOOKUP($D1013&amp;"_"&amp;H$61,$B$23:$B$45&amp;"_"&amp;$C$23:$C$45,$D$23:$D$45)*$E1013,18)</f>
        <v>12.0410411380238</v>
      </c>
      <c r="I1013" s="67" cm="1">
        <f ca="1" t="array" ref="I1013">MIN(30-SUM(J1013:L1013),6-L1013,_xlfn.XLOOKUP($D1013&amp;"_"&amp;I$61,$B$23:$B$45&amp;"_"&amp;$C$23:$C$45,$D$23:$D$45)*$E1013)</f>
        <v>0.0615617070357537</v>
      </c>
      <c r="J1013" s="67" cm="1">
        <f ca="1" t="array" ref="J1013">MIN(8,_xlfn.XLOOKUP($D1013&amp;"_"&amp;J$61,$B$23:$B$45&amp;"_"&amp;$C$23:$C$45,$D$23:$D$45)*$E1013)</f>
        <v>8</v>
      </c>
      <c r="K1013" s="67" cm="1">
        <f ca="1" t="array" ref="K1013">MIN(18,_xlfn.XLOOKUP($D1013&amp;"_"&amp;K$61,$B$23:$B$45&amp;"_"&amp;$C$23:$C$45,$D$23:$D$45)*$E1013)</f>
        <v>3.95895886197617</v>
      </c>
      <c r="L1013" s="67" cm="1">
        <f ca="1" t="array" ref="L1013">MIN(6,_xlfn.XLOOKUP($D1013&amp;"_"&amp;L$61,$B$23:$B$45&amp;"_"&amp;$C$23:$C$45,$D$23:$D$45)*$E1013)</f>
        <v>5.93843829296425</v>
      </c>
      <c r="M1013" s="67" cm="1">
        <f ca="1" t="array" ref="M1013">(1+SUMPRODUCT(G1013:H1013,OFFSET($H$49:$I$49,D1013,0)))*(1+OFFSET($J$49,D1013,0))^I1013*(1+OFFSET($K$49,D1013,0))^J1013*(1+OFFSET($L$49,D1013,0))^K1013*(1+OFFSET($M$49,D1013,0))^L1013</f>
        <v>340.862842998323</v>
      </c>
      <c r="N1013" s="67">
        <f ca="1">MAX(MAX($N$62:N1012),OFFSET($C$61,MATCH(M1013*1.07,$M$62:$M$2061,1),0)-C1013)</f>
        <v>46440</v>
      </c>
    </row>
    <row r="1014" spans="2:14">
      <c r="B1014" s="67">
        <v>953</v>
      </c>
      <c r="C1014" s="67">
        <f t="shared" si="94"/>
        <v>343080</v>
      </c>
      <c r="D1014" s="67">
        <f t="shared" si="89"/>
        <v>5</v>
      </c>
      <c r="E1014" s="67">
        <f ca="1" t="shared" si="90"/>
        <v>983</v>
      </c>
      <c r="F1014" s="67">
        <f ca="1" t="shared" si="91"/>
        <v>0</v>
      </c>
      <c r="G1014" s="67">
        <f ca="1" t="shared" si="92"/>
        <v>0</v>
      </c>
      <c r="H1014" s="67" cm="1">
        <f ca="1" t="array" ref="H1014">MIN(30-SUM(I1014:L1014),_xlfn.XLOOKUP($D1014&amp;"_"&amp;H$61,$B$23:$B$45&amp;"_"&amp;$C$23:$C$45,$D$23:$D$45)*$E1014,18)</f>
        <v>12.0370096116878</v>
      </c>
      <c r="I1014" s="67" cm="1">
        <f ca="1" t="array" ref="I1014">MIN(30-SUM(J1014:L1014),6-L1014,_xlfn.XLOOKUP($D1014&amp;"_"&amp;I$61,$B$23:$B$45&amp;"_"&amp;$C$23:$C$45,$D$23:$D$45)*$E1014)</f>
        <v>0.0555144175317173</v>
      </c>
      <c r="J1014" s="67" cm="1">
        <f ca="1" t="array" ref="J1014">MIN(8,_xlfn.XLOOKUP($D1014&amp;"_"&amp;J$61,$B$23:$B$45&amp;"_"&amp;$C$23:$C$45,$D$23:$D$45)*$E1014)</f>
        <v>8</v>
      </c>
      <c r="K1014" s="67" cm="1">
        <f ca="1" t="array" ref="K1014">MIN(18,_xlfn.XLOOKUP($D1014&amp;"_"&amp;K$61,$B$23:$B$45&amp;"_"&amp;$C$23:$C$45,$D$23:$D$45)*$E1014)</f>
        <v>3.96299038831219</v>
      </c>
      <c r="L1014" s="67" cm="1">
        <f ca="1" t="array" ref="L1014">MIN(6,_xlfn.XLOOKUP($D1014&amp;"_"&amp;L$61,$B$23:$B$45&amp;"_"&amp;$C$23:$C$45,$D$23:$D$45)*$E1014)</f>
        <v>5.94448558246828</v>
      </c>
      <c r="M1014" s="67" cm="1">
        <f ca="1" t="array" ref="M1014">(1+SUMPRODUCT(G1014:H1014,OFFSET($H$49:$I$49,D1014,0)))*(1+OFFSET($J$49,D1014,0))^I1014*(1+OFFSET($K$49,D1014,0))^J1014*(1+OFFSET($L$49,D1014,0))^K1014*(1+OFFSET($M$49,D1014,0))^L1014</f>
        <v>341.145171976094</v>
      </c>
      <c r="N1014" s="67">
        <f ca="1">MAX(MAX($N$62:N1013),OFFSET($C$61,MATCH(M1014*1.07,$M$62:$M$2061,1),0)-C1014)</f>
        <v>46800</v>
      </c>
    </row>
    <row r="1015" spans="2:14">
      <c r="B1015" s="67">
        <v>954</v>
      </c>
      <c r="C1015" s="67">
        <f t="shared" si="94"/>
        <v>343440</v>
      </c>
      <c r="D1015" s="67">
        <f t="shared" si="89"/>
        <v>5</v>
      </c>
      <c r="E1015" s="67">
        <f ca="1" t="shared" si="90"/>
        <v>984</v>
      </c>
      <c r="F1015" s="67">
        <f ca="1" t="shared" si="91"/>
        <v>0</v>
      </c>
      <c r="G1015" s="67">
        <f ca="1" t="shared" si="92"/>
        <v>0</v>
      </c>
      <c r="H1015" s="67" cm="1">
        <f ca="1" t="array" ref="H1015">MIN(30-SUM(I1015:L1015),_xlfn.XLOOKUP($D1015&amp;"_"&amp;H$61,$B$23:$B$45&amp;"_"&amp;$C$23:$C$45,$D$23:$D$45)*$E1015,18)</f>
        <v>12.0329780853518</v>
      </c>
      <c r="I1015" s="67" cm="1">
        <f ca="1" t="array" ref="I1015">MIN(30-SUM(J1015:L1015),6-L1015,_xlfn.XLOOKUP($D1015&amp;"_"&amp;I$61,$B$23:$B$45&amp;"_"&amp;$C$23:$C$45,$D$23:$D$45)*$E1015)</f>
        <v>0.0494671280276799</v>
      </c>
      <c r="J1015" s="67" cm="1">
        <f ca="1" t="array" ref="J1015">MIN(8,_xlfn.XLOOKUP($D1015&amp;"_"&amp;J$61,$B$23:$B$45&amp;"_"&amp;$C$23:$C$45,$D$23:$D$45)*$E1015)</f>
        <v>8</v>
      </c>
      <c r="K1015" s="67" cm="1">
        <f ca="1" t="array" ref="K1015">MIN(18,_xlfn.XLOOKUP($D1015&amp;"_"&amp;K$61,$B$23:$B$45&amp;"_"&amp;$C$23:$C$45,$D$23:$D$45)*$E1015)</f>
        <v>3.96702191464822</v>
      </c>
      <c r="L1015" s="67" cm="1">
        <f ca="1" t="array" ref="L1015">MIN(6,_xlfn.XLOOKUP($D1015&amp;"_"&amp;L$61,$B$23:$B$45&amp;"_"&amp;$C$23:$C$45,$D$23:$D$45)*$E1015)</f>
        <v>5.95053287197232</v>
      </c>
      <c r="M1015" s="67" cm="1">
        <f ca="1" t="array" ref="M1015">(1+SUMPRODUCT(G1015:H1015,OFFSET($H$49:$I$49,D1015,0)))*(1+OFFSET($J$49,D1015,0))^I1015*(1+OFFSET($K$49,D1015,0))^J1015*(1+OFFSET($L$49,D1015,0))^K1015*(1+OFFSET($M$49,D1015,0))^L1015</f>
        <v>341.427715682188</v>
      </c>
      <c r="N1015" s="67">
        <f ca="1">MAX(MAX($N$62:N1014),OFFSET($C$61,MATCH(M1015*1.07,$M$62:$M$2061,1),0)-C1015)</f>
        <v>47160</v>
      </c>
    </row>
    <row r="1016" spans="2:14">
      <c r="B1016" s="67">
        <v>955</v>
      </c>
      <c r="C1016" s="67">
        <f t="shared" si="94"/>
        <v>343800</v>
      </c>
      <c r="D1016" s="67">
        <f t="shared" si="89"/>
        <v>5</v>
      </c>
      <c r="E1016" s="67">
        <f ca="1" t="shared" si="90"/>
        <v>985</v>
      </c>
      <c r="F1016" s="67">
        <f ca="1" t="shared" si="91"/>
        <v>0</v>
      </c>
      <c r="G1016" s="67">
        <f ca="1" t="shared" si="92"/>
        <v>0</v>
      </c>
      <c r="H1016" s="67" cm="1">
        <f ca="1" t="array" ref="H1016">MIN(30-SUM(I1016:L1016),_xlfn.XLOOKUP($D1016&amp;"_"&amp;H$61,$B$23:$B$45&amp;"_"&amp;$C$23:$C$45,$D$23:$D$45)*$E1016,18)</f>
        <v>12.0289465590158</v>
      </c>
      <c r="I1016" s="67" cm="1">
        <f ca="1" t="array" ref="I1016">MIN(30-SUM(J1016:L1016),6-L1016,_xlfn.XLOOKUP($D1016&amp;"_"&amp;I$61,$B$23:$B$45&amp;"_"&amp;$C$23:$C$45,$D$23:$D$45)*$E1016)</f>
        <v>0.0434198385236435</v>
      </c>
      <c r="J1016" s="67" cm="1">
        <f ca="1" t="array" ref="J1016">MIN(8,_xlfn.XLOOKUP($D1016&amp;"_"&amp;J$61,$B$23:$B$45&amp;"_"&amp;$C$23:$C$45,$D$23:$D$45)*$E1016)</f>
        <v>8</v>
      </c>
      <c r="K1016" s="67" cm="1">
        <f ca="1" t="array" ref="K1016">MIN(18,_xlfn.XLOOKUP($D1016&amp;"_"&amp;K$61,$B$23:$B$45&amp;"_"&amp;$C$23:$C$45,$D$23:$D$45)*$E1016)</f>
        <v>3.97105344098424</v>
      </c>
      <c r="L1016" s="67" cm="1">
        <f ca="1" t="array" ref="L1016">MIN(6,_xlfn.XLOOKUP($D1016&amp;"_"&amp;L$61,$B$23:$B$45&amp;"_"&amp;$C$23:$C$45,$D$23:$D$45)*$E1016)</f>
        <v>5.95658016147636</v>
      </c>
      <c r="M1016" s="67" cm="1">
        <f ca="1" t="array" ref="M1016">(1+SUMPRODUCT(G1016:H1016,OFFSET($H$49:$I$49,D1016,0)))*(1+OFFSET($J$49,D1016,0))^I1016*(1+OFFSET($K$49,D1016,0))^J1016*(1+OFFSET($L$49,D1016,0))^K1016*(1+OFFSET($M$49,D1016,0))^L1016</f>
        <v>341.710474253734</v>
      </c>
      <c r="N1016" s="67">
        <f ca="1">MAX(MAX($N$62:N1015),OFFSET($C$61,MATCH(M1016*1.07,$M$62:$M$2061,1),0)-C1016)</f>
        <v>47520</v>
      </c>
    </row>
    <row r="1017" spans="2:14">
      <c r="B1017" s="67">
        <v>956</v>
      </c>
      <c r="C1017" s="67">
        <f t="shared" si="94"/>
        <v>344160</v>
      </c>
      <c r="D1017" s="67">
        <f t="shared" si="89"/>
        <v>5</v>
      </c>
      <c r="E1017" s="67">
        <f ca="1" t="shared" si="90"/>
        <v>986</v>
      </c>
      <c r="F1017" s="67">
        <f ca="1" t="shared" si="91"/>
        <v>0</v>
      </c>
      <c r="G1017" s="67">
        <f ca="1" t="shared" si="92"/>
        <v>0</v>
      </c>
      <c r="H1017" s="67" cm="1">
        <f ca="1" t="array" ref="H1017">MIN(30-SUM(I1017:L1017),_xlfn.XLOOKUP($D1017&amp;"_"&amp;H$61,$B$23:$B$45&amp;"_"&amp;$C$23:$C$45,$D$23:$D$45)*$E1017,18)</f>
        <v>12.0249150326797</v>
      </c>
      <c r="I1017" s="67" cm="1">
        <f ca="1" t="array" ref="I1017">MIN(30-SUM(J1017:L1017),6-L1017,_xlfn.XLOOKUP($D1017&amp;"_"&amp;I$61,$B$23:$B$45&amp;"_"&amp;$C$23:$C$45,$D$23:$D$45)*$E1017)</f>
        <v>0.0373725490196062</v>
      </c>
      <c r="J1017" s="67" cm="1">
        <f ca="1" t="array" ref="J1017">MIN(8,_xlfn.XLOOKUP($D1017&amp;"_"&amp;J$61,$B$23:$B$45&amp;"_"&amp;$C$23:$C$45,$D$23:$D$45)*$E1017)</f>
        <v>8</v>
      </c>
      <c r="K1017" s="67" cm="1">
        <f ca="1" t="array" ref="K1017">MIN(18,_xlfn.XLOOKUP($D1017&amp;"_"&amp;K$61,$B$23:$B$45&amp;"_"&amp;$C$23:$C$45,$D$23:$D$45)*$E1017)</f>
        <v>3.97508496732026</v>
      </c>
      <c r="L1017" s="67" cm="1">
        <f ca="1" t="array" ref="L1017">MIN(6,_xlfn.XLOOKUP($D1017&amp;"_"&amp;L$61,$B$23:$B$45&amp;"_"&amp;$C$23:$C$45,$D$23:$D$45)*$E1017)</f>
        <v>5.96262745098039</v>
      </c>
      <c r="M1017" s="67" cm="1">
        <f ca="1" t="array" ref="M1017">(1+SUMPRODUCT(G1017:H1017,OFFSET($H$49:$I$49,D1017,0)))*(1+OFFSET($J$49,D1017,0))^I1017*(1+OFFSET($K$49,D1017,0))^J1017*(1+OFFSET($L$49,D1017,0))^K1017*(1+OFFSET($M$49,D1017,0))^L1017</f>
        <v>341.993447827909</v>
      </c>
      <c r="N1017" s="67">
        <f ca="1">MAX(MAX($N$62:N1016),OFFSET($C$61,MATCH(M1017*1.07,$M$62:$M$2061,1),0)-C1017)</f>
        <v>47520</v>
      </c>
    </row>
    <row r="1018" spans="2:14">
      <c r="B1018" s="67">
        <v>957</v>
      </c>
      <c r="C1018" s="67">
        <f t="shared" si="94"/>
        <v>344520</v>
      </c>
      <c r="D1018" s="67">
        <f t="shared" si="89"/>
        <v>5</v>
      </c>
      <c r="E1018" s="67">
        <f ca="1" t="shared" si="90"/>
        <v>987</v>
      </c>
      <c r="F1018" s="67">
        <f ca="1" t="shared" si="91"/>
        <v>0</v>
      </c>
      <c r="G1018" s="67">
        <f ca="1" t="shared" si="92"/>
        <v>0</v>
      </c>
      <c r="H1018" s="67" cm="1">
        <f ca="1" t="array" ref="H1018">MIN(30-SUM(I1018:L1018),_xlfn.XLOOKUP($D1018&amp;"_"&amp;H$61,$B$23:$B$45&amp;"_"&amp;$C$23:$C$45,$D$23:$D$45)*$E1018,18)</f>
        <v>12.0208835063437</v>
      </c>
      <c r="I1018" s="67" cm="1">
        <f ca="1" t="array" ref="I1018">MIN(30-SUM(J1018:L1018),6-L1018,_xlfn.XLOOKUP($D1018&amp;"_"&amp;I$61,$B$23:$B$45&amp;"_"&amp;$C$23:$C$45,$D$23:$D$45)*$E1018)</f>
        <v>0.0313252595155697</v>
      </c>
      <c r="J1018" s="67" cm="1">
        <f ca="1" t="array" ref="J1018">MIN(8,_xlfn.XLOOKUP($D1018&amp;"_"&amp;J$61,$B$23:$B$45&amp;"_"&amp;$C$23:$C$45,$D$23:$D$45)*$E1018)</f>
        <v>8</v>
      </c>
      <c r="K1018" s="67" cm="1">
        <f ca="1" t="array" ref="K1018">MIN(18,_xlfn.XLOOKUP($D1018&amp;"_"&amp;K$61,$B$23:$B$45&amp;"_"&amp;$C$23:$C$45,$D$23:$D$45)*$E1018)</f>
        <v>3.97911649365629</v>
      </c>
      <c r="L1018" s="67" cm="1">
        <f ca="1" t="array" ref="L1018">MIN(6,_xlfn.XLOOKUP($D1018&amp;"_"&amp;L$61,$B$23:$B$45&amp;"_"&amp;$C$23:$C$45,$D$23:$D$45)*$E1018)</f>
        <v>5.96867474048443</v>
      </c>
      <c r="M1018" s="67" cm="1">
        <f ca="1" t="array" ref="M1018">(1+SUMPRODUCT(G1018:H1018,OFFSET($H$49:$I$49,D1018,0)))*(1+OFFSET($J$49,D1018,0))^I1018*(1+OFFSET($K$49,D1018,0))^J1018*(1+OFFSET($L$49,D1018,0))^K1018*(1+OFFSET($M$49,D1018,0))^L1018</f>
        <v>342.276636541937</v>
      </c>
      <c r="N1018" s="67">
        <f ca="1">MAX(MAX($N$62:N1017),OFFSET($C$61,MATCH(M1018*1.07,$M$62:$M$2061,1),0)-C1018)</f>
        <v>47880</v>
      </c>
    </row>
    <row r="1019" spans="2:14">
      <c r="B1019" s="67">
        <v>958</v>
      </c>
      <c r="C1019" s="67">
        <f t="shared" si="94"/>
        <v>344880</v>
      </c>
      <c r="D1019" s="67">
        <f t="shared" si="89"/>
        <v>5</v>
      </c>
      <c r="E1019" s="67">
        <f ca="1" t="shared" si="90"/>
        <v>988</v>
      </c>
      <c r="F1019" s="67">
        <f ca="1" t="shared" si="91"/>
        <v>0</v>
      </c>
      <c r="G1019" s="67">
        <f ca="1" t="shared" si="92"/>
        <v>0</v>
      </c>
      <c r="H1019" s="67" cm="1">
        <f ca="1" t="array" ref="H1019">MIN(30-SUM(I1019:L1019),_xlfn.XLOOKUP($D1019&amp;"_"&amp;H$61,$B$23:$B$45&amp;"_"&amp;$C$23:$C$45,$D$23:$D$45)*$E1019,18)</f>
        <v>12.0168519800077</v>
      </c>
      <c r="I1019" s="67" cm="1">
        <f ca="1" t="array" ref="I1019">MIN(30-SUM(J1019:L1019),6-L1019,_xlfn.XLOOKUP($D1019&amp;"_"&amp;I$61,$B$23:$B$45&amp;"_"&amp;$C$23:$C$45,$D$23:$D$45)*$E1019)</f>
        <v>0.0252779700115324</v>
      </c>
      <c r="J1019" s="67" cm="1">
        <f ca="1" t="array" ref="J1019">MIN(8,_xlfn.XLOOKUP($D1019&amp;"_"&amp;J$61,$B$23:$B$45&amp;"_"&amp;$C$23:$C$45,$D$23:$D$45)*$E1019)</f>
        <v>8</v>
      </c>
      <c r="K1019" s="67" cm="1">
        <f ca="1" t="array" ref="K1019">MIN(18,_xlfn.XLOOKUP($D1019&amp;"_"&amp;K$61,$B$23:$B$45&amp;"_"&amp;$C$23:$C$45,$D$23:$D$45)*$E1019)</f>
        <v>3.98314801999231</v>
      </c>
      <c r="L1019" s="67" cm="1">
        <f ca="1" t="array" ref="L1019">MIN(6,_xlfn.XLOOKUP($D1019&amp;"_"&amp;L$61,$B$23:$B$45&amp;"_"&amp;$C$23:$C$45,$D$23:$D$45)*$E1019)</f>
        <v>5.97472202998847</v>
      </c>
      <c r="M1019" s="67" cm="1">
        <f ca="1" t="array" ref="M1019">(1+SUMPRODUCT(G1019:H1019,OFFSET($H$49:$I$49,D1019,0)))*(1+OFFSET($J$49,D1019,0))^I1019*(1+OFFSET($K$49,D1019,0))^J1019*(1+OFFSET($L$49,D1019,0))^K1019*(1+OFFSET($M$49,D1019,0))^L1019</f>
        <v>342.560040533093</v>
      </c>
      <c r="N1019" s="67">
        <f ca="1">MAX(MAX($N$62:N1018),OFFSET($C$61,MATCH(M1019*1.07,$M$62:$M$2061,1),0)-C1019)</f>
        <v>48240</v>
      </c>
    </row>
    <row r="1020" spans="2:14">
      <c r="B1020" s="67">
        <v>959</v>
      </c>
      <c r="C1020" s="67">
        <f t="shared" si="94"/>
        <v>345240</v>
      </c>
      <c r="D1020" s="67">
        <f t="shared" si="89"/>
        <v>5</v>
      </c>
      <c r="E1020" s="67">
        <f ca="1" t="shared" si="90"/>
        <v>989</v>
      </c>
      <c r="F1020" s="67">
        <f ca="1" t="shared" si="91"/>
        <v>0</v>
      </c>
      <c r="G1020" s="67">
        <f ca="1" t="shared" si="92"/>
        <v>0</v>
      </c>
      <c r="H1020" s="67" cm="1">
        <f ca="1" t="array" ref="H1020">MIN(30-SUM(I1020:L1020),_xlfn.XLOOKUP($D1020&amp;"_"&amp;H$61,$B$23:$B$45&amp;"_"&amp;$C$23:$C$45,$D$23:$D$45)*$E1020,18)</f>
        <v>12.0128204536717</v>
      </c>
      <c r="I1020" s="67" cm="1">
        <f ca="1" t="array" ref="I1020">MIN(30-SUM(J1020:L1020),6-L1020,_xlfn.XLOOKUP($D1020&amp;"_"&amp;I$61,$B$23:$B$45&amp;"_"&amp;$C$23:$C$45,$D$23:$D$45)*$E1020)</f>
        <v>0.019230680507496</v>
      </c>
      <c r="J1020" s="67" cm="1">
        <f ca="1" t="array" ref="J1020">MIN(8,_xlfn.XLOOKUP($D1020&amp;"_"&amp;J$61,$B$23:$B$45&amp;"_"&amp;$C$23:$C$45,$D$23:$D$45)*$E1020)</f>
        <v>8</v>
      </c>
      <c r="K1020" s="67" cm="1">
        <f ca="1" t="array" ref="K1020">MIN(18,_xlfn.XLOOKUP($D1020&amp;"_"&amp;K$61,$B$23:$B$45&amp;"_"&amp;$C$23:$C$45,$D$23:$D$45)*$E1020)</f>
        <v>3.98717954632834</v>
      </c>
      <c r="L1020" s="67" cm="1">
        <f ca="1" t="array" ref="L1020">MIN(6,_xlfn.XLOOKUP($D1020&amp;"_"&amp;L$61,$B$23:$B$45&amp;"_"&amp;$C$23:$C$45,$D$23:$D$45)*$E1020)</f>
        <v>5.9807693194925</v>
      </c>
      <c r="M1020" s="67" cm="1">
        <f ca="1" t="array" ref="M1020">(1+SUMPRODUCT(G1020:H1020,OFFSET($H$49:$I$49,D1020,0)))*(1+OFFSET($J$49,D1020,0))^I1020*(1+OFFSET($K$49,D1020,0))^J1020*(1+OFFSET($L$49,D1020,0))^K1020*(1+OFFSET($M$49,D1020,0))^L1020</f>
        <v>342.843659938698</v>
      </c>
      <c r="N1020" s="67">
        <f ca="1">MAX(MAX($N$62:N1019),OFFSET($C$61,MATCH(M1020*1.07,$M$62:$M$2061,1),0)-C1020)</f>
        <v>48240</v>
      </c>
    </row>
    <row r="1021" spans="2:14">
      <c r="B1021" s="67">
        <v>960</v>
      </c>
      <c r="C1021" s="67">
        <f t="shared" si="94"/>
        <v>345600</v>
      </c>
      <c r="D1021" s="67">
        <f t="shared" si="89"/>
        <v>5</v>
      </c>
      <c r="E1021" s="67">
        <f ca="1" t="shared" si="90"/>
        <v>990</v>
      </c>
      <c r="F1021" s="67">
        <f ca="1" t="shared" si="91"/>
        <v>0</v>
      </c>
      <c r="G1021" s="67">
        <f ca="1" t="shared" si="92"/>
        <v>0</v>
      </c>
      <c r="H1021" s="67" cm="1">
        <f ca="1" t="array" ref="H1021">MIN(30-SUM(I1021:L1021),_xlfn.XLOOKUP($D1021&amp;"_"&amp;H$61,$B$23:$B$45&amp;"_"&amp;$C$23:$C$45,$D$23:$D$45)*$E1021,18)</f>
        <v>12.0087889273356</v>
      </c>
      <c r="I1021" s="67" cm="1">
        <f ca="1" t="array" ref="I1021">MIN(30-SUM(J1021:L1021),6-L1021,_xlfn.XLOOKUP($D1021&amp;"_"&amp;I$61,$B$23:$B$45&amp;"_"&amp;$C$23:$C$45,$D$23:$D$45)*$E1021)</f>
        <v>0.0131833910034587</v>
      </c>
      <c r="J1021" s="67" cm="1">
        <f ca="1" t="array" ref="J1021">MIN(8,_xlfn.XLOOKUP($D1021&amp;"_"&amp;J$61,$B$23:$B$45&amp;"_"&amp;$C$23:$C$45,$D$23:$D$45)*$E1021)</f>
        <v>8</v>
      </c>
      <c r="K1021" s="67" cm="1">
        <f ca="1" t="array" ref="K1021">MIN(18,_xlfn.XLOOKUP($D1021&amp;"_"&amp;K$61,$B$23:$B$45&amp;"_"&amp;$C$23:$C$45,$D$23:$D$45)*$E1021)</f>
        <v>3.99121107266436</v>
      </c>
      <c r="L1021" s="67" cm="1">
        <f ca="1" t="array" ref="L1021">MIN(6,_xlfn.XLOOKUP($D1021&amp;"_"&amp;L$61,$B$23:$B$45&amp;"_"&amp;$C$23:$C$45,$D$23:$D$45)*$E1021)</f>
        <v>5.98681660899654</v>
      </c>
      <c r="M1021" s="67" cm="1">
        <f ca="1" t="array" ref="M1021">(1+SUMPRODUCT(G1021:H1021,OFFSET($H$49:$I$49,D1021,0)))*(1+OFFSET($J$49,D1021,0))^I1021*(1+OFFSET($K$49,D1021,0))^J1021*(1+OFFSET($L$49,D1021,0))^K1021*(1+OFFSET($M$49,D1021,0))^L1021</f>
        <v>343.127494896124</v>
      </c>
      <c r="N1021" s="67">
        <f ca="1">MAX(MAX($N$62:N1020),OFFSET($C$61,MATCH(M1021*1.07,$M$62:$M$2061,1),0)-C1021)</f>
        <v>48600</v>
      </c>
    </row>
    <row r="1022" spans="2:14">
      <c r="B1022" s="67">
        <v>961</v>
      </c>
      <c r="C1022" s="67">
        <f t="shared" si="94"/>
        <v>345960</v>
      </c>
      <c r="D1022" s="67">
        <f t="shared" si="89"/>
        <v>5</v>
      </c>
      <c r="E1022" s="67">
        <f ca="1" t="shared" si="90"/>
        <v>991</v>
      </c>
      <c r="F1022" s="67">
        <f ca="1" t="shared" si="91"/>
        <v>0</v>
      </c>
      <c r="G1022" s="67">
        <f ca="1" t="shared" si="92"/>
        <v>0</v>
      </c>
      <c r="H1022" s="67" cm="1">
        <f ca="1" t="array" ref="H1022">MIN(30-SUM(I1022:L1022),_xlfn.XLOOKUP($D1022&amp;"_"&amp;H$61,$B$23:$B$45&amp;"_"&amp;$C$23:$C$45,$D$23:$D$45)*$E1022,18)</f>
        <v>12.0047574009996</v>
      </c>
      <c r="I1022" s="67" cm="1">
        <f ca="1" t="array" ref="I1022">MIN(30-SUM(J1022:L1022),6-L1022,_xlfn.XLOOKUP($D1022&amp;"_"&amp;I$61,$B$23:$B$45&amp;"_"&amp;$C$23:$C$45,$D$23:$D$45)*$E1022)</f>
        <v>0.00713610149942223</v>
      </c>
      <c r="J1022" s="67" cm="1">
        <f ca="1" t="array" ref="J1022">MIN(8,_xlfn.XLOOKUP($D1022&amp;"_"&amp;J$61,$B$23:$B$45&amp;"_"&amp;$C$23:$C$45,$D$23:$D$45)*$E1022)</f>
        <v>8</v>
      </c>
      <c r="K1022" s="67" cm="1">
        <f ca="1" t="array" ref="K1022">MIN(18,_xlfn.XLOOKUP($D1022&amp;"_"&amp;K$61,$B$23:$B$45&amp;"_"&amp;$C$23:$C$45,$D$23:$D$45)*$E1022)</f>
        <v>3.99524259900039</v>
      </c>
      <c r="L1022" s="67" cm="1">
        <f ca="1" t="array" ref="L1022">MIN(6,_xlfn.XLOOKUP($D1022&amp;"_"&amp;L$61,$B$23:$B$45&amp;"_"&amp;$C$23:$C$45,$D$23:$D$45)*$E1022)</f>
        <v>5.99286389850058</v>
      </c>
      <c r="M1022" s="67" cm="1">
        <f ca="1" t="array" ref="M1022">(1+SUMPRODUCT(G1022:H1022,OFFSET($H$49:$I$49,D1022,0)))*(1+OFFSET($J$49,D1022,0))^I1022*(1+OFFSET($K$49,D1022,0))^J1022*(1+OFFSET($L$49,D1022,0))^K1022*(1+OFFSET($M$49,D1022,0))^L1022</f>
        <v>343.411545542789</v>
      </c>
      <c r="N1022" s="67">
        <f ca="1">MAX(MAX($N$62:N1021),OFFSET($C$61,MATCH(M1022*1.07,$M$62:$M$2061,1),0)-C1022)</f>
        <v>48960</v>
      </c>
    </row>
    <row r="1023" spans="2:14">
      <c r="B1023" s="67">
        <v>962</v>
      </c>
      <c r="C1023" s="67">
        <f t="shared" si="94"/>
        <v>346320</v>
      </c>
      <c r="D1023" s="67">
        <f t="shared" ref="D1023:D1086" si="95">_xlfn.XLOOKUP("非R",$B$49:$B$54,$C$49:$C$54)</f>
        <v>5</v>
      </c>
      <c r="E1023" s="67">
        <f ca="1" t="shared" ref="E1023:E1086" si="96">INT(C1023/_xlfn.XLOOKUP(D1023,$R$14:$R$21,$S$14:$S$21))+OFFSET($R$49,D1023,0)</f>
        <v>992</v>
      </c>
      <c r="F1023" s="67">
        <f ca="1" t="shared" si="91"/>
        <v>0</v>
      </c>
      <c r="G1023" s="67">
        <f ca="1" t="shared" si="92"/>
        <v>0</v>
      </c>
      <c r="H1023" s="67" cm="1">
        <f ca="1" t="array" ref="H1023">MIN(30-SUM(I1023:L1023),_xlfn.XLOOKUP($D1023&amp;"_"&amp;H$61,$B$23:$B$45&amp;"_"&amp;$C$23:$C$45,$D$23:$D$45)*$E1023,18)</f>
        <v>12.0007258746636</v>
      </c>
      <c r="I1023" s="67" cm="1">
        <f ca="1" t="array" ref="I1023">MIN(30-SUM(J1023:L1023),6-L1023,_xlfn.XLOOKUP($D1023&amp;"_"&amp;I$61,$B$23:$B$45&amp;"_"&amp;$C$23:$C$45,$D$23:$D$45)*$E1023)</f>
        <v>0.00108881199538491</v>
      </c>
      <c r="J1023" s="67" cm="1">
        <f ca="1" t="array" ref="J1023">MIN(8,_xlfn.XLOOKUP($D1023&amp;"_"&amp;J$61,$B$23:$B$45&amp;"_"&amp;$C$23:$C$45,$D$23:$D$45)*$E1023)</f>
        <v>8</v>
      </c>
      <c r="K1023" s="67" cm="1">
        <f ca="1" t="array" ref="K1023">MIN(18,_xlfn.XLOOKUP($D1023&amp;"_"&amp;K$61,$B$23:$B$45&amp;"_"&amp;$C$23:$C$45,$D$23:$D$45)*$E1023)</f>
        <v>3.99927412533641</v>
      </c>
      <c r="L1023" s="67" cm="1">
        <f ca="1" t="array" ref="L1023">MIN(6,_xlfn.XLOOKUP($D1023&amp;"_"&amp;L$61,$B$23:$B$45&amp;"_"&amp;$C$23:$C$45,$D$23:$D$45)*$E1023)</f>
        <v>5.99891118800462</v>
      </c>
      <c r="M1023" s="67" cm="1">
        <f ca="1" t="array" ref="M1023">(1+SUMPRODUCT(G1023:H1023,OFFSET($H$49:$I$49,D1023,0)))*(1+OFFSET($J$49,D1023,0))^I1023*(1+OFFSET($K$49,D1023,0))^J1023*(1+OFFSET($L$49,D1023,0))^K1023*(1+OFFSET($M$49,D1023,0))^L1023</f>
        <v>343.695812016159</v>
      </c>
      <c r="N1023" s="67">
        <f ca="1">MAX(MAX($N$62:N1022),OFFSET($C$61,MATCH(M1023*1.07,$M$62:$M$2061,1),0)-C1023)</f>
        <v>48960</v>
      </c>
    </row>
    <row r="1024" spans="2:14">
      <c r="B1024" s="67">
        <v>963</v>
      </c>
      <c r="C1024" s="67">
        <f t="shared" si="94"/>
        <v>346680</v>
      </c>
      <c r="D1024" s="67">
        <f t="shared" si="95"/>
        <v>5</v>
      </c>
      <c r="E1024" s="67">
        <f ca="1" t="shared" si="96"/>
        <v>993</v>
      </c>
      <c r="F1024" s="67">
        <f ca="1" t="shared" ref="F1024:F1061" si="97">30-SUM(G1024:L1024)</f>
        <v>0</v>
      </c>
      <c r="G1024" s="67">
        <f ca="1" t="shared" ref="G1024:G1061" si="98">30-SUM(H1024:L1024)</f>
        <v>0</v>
      </c>
      <c r="H1024" s="67" cm="1">
        <f ca="1" t="array" ref="H1024">MIN(30-SUM(I1024:L1024),_xlfn.XLOOKUP($D1024&amp;"_"&amp;H$61,$B$23:$B$45&amp;"_"&amp;$C$23:$C$45,$D$23:$D$45)*$E1024,18)</f>
        <v>11.9966943483276</v>
      </c>
      <c r="I1024" s="67" cm="1">
        <f ca="1" t="array" ref="I1024">MIN(30-SUM(J1024:L1024),6-L1024,_xlfn.XLOOKUP($D1024&amp;"_"&amp;I$61,$B$23:$B$45&amp;"_"&amp;$C$23:$C$45,$D$23:$D$45)*$E1024)</f>
        <v>0</v>
      </c>
      <c r="J1024" s="67" cm="1">
        <f ca="1" t="array" ref="J1024">MIN(8,_xlfn.XLOOKUP($D1024&amp;"_"&amp;J$61,$B$23:$B$45&amp;"_"&amp;$C$23:$C$45,$D$23:$D$45)*$E1024)</f>
        <v>8</v>
      </c>
      <c r="K1024" s="67" cm="1">
        <f ca="1" t="array" ref="K1024">MIN(18,_xlfn.XLOOKUP($D1024&amp;"_"&amp;K$61,$B$23:$B$45&amp;"_"&amp;$C$23:$C$45,$D$23:$D$45)*$E1024)</f>
        <v>4.00330565167244</v>
      </c>
      <c r="L1024" s="67" cm="1">
        <f ca="1" t="array" ref="L1024">MIN(6,_xlfn.XLOOKUP($D1024&amp;"_"&amp;L$61,$B$23:$B$45&amp;"_"&amp;$C$23:$C$45,$D$23:$D$45)*$E1024)</f>
        <v>6</v>
      </c>
      <c r="M1024" s="67" cm="1">
        <f ca="1" t="array" ref="M1024">(1+SUMPRODUCT(G1024:H1024,OFFSET($H$49:$I$49,D1024,0)))*(1+OFFSET($J$49,D1024,0))^I1024*(1+OFFSET($K$49,D1024,0))^J1024*(1+OFFSET($L$49,D1024,0))^K1024*(1+OFFSET($M$49,D1024,0))^L1024</f>
        <v>343.887370947514</v>
      </c>
      <c r="N1024" s="67">
        <f ca="1">MAX(MAX($N$62:N1023),OFFSET($C$61,MATCH(M1024*1.07,$M$62:$M$2061,1),0)-C1024)</f>
        <v>48960</v>
      </c>
    </row>
    <row r="1025" spans="2:14">
      <c r="B1025" s="67">
        <v>964</v>
      </c>
      <c r="C1025" s="67">
        <f t="shared" si="94"/>
        <v>347040</v>
      </c>
      <c r="D1025" s="67">
        <f t="shared" si="95"/>
        <v>5</v>
      </c>
      <c r="E1025" s="67">
        <f ca="1" t="shared" si="96"/>
        <v>994</v>
      </c>
      <c r="F1025" s="67">
        <f ca="1" t="shared" si="97"/>
        <v>0</v>
      </c>
      <c r="G1025" s="67">
        <f ca="1" t="shared" si="98"/>
        <v>0</v>
      </c>
      <c r="H1025" s="67" cm="1">
        <f ca="1" t="array" ref="H1025">MIN(30-SUM(I1025:L1025),_xlfn.XLOOKUP($D1025&amp;"_"&amp;H$61,$B$23:$B$45&amp;"_"&amp;$C$23:$C$45,$D$23:$D$45)*$E1025,18)</f>
        <v>11.9926628219915</v>
      </c>
      <c r="I1025" s="67" cm="1">
        <f ca="1" t="array" ref="I1025">MIN(30-SUM(J1025:L1025),6-L1025,_xlfn.XLOOKUP($D1025&amp;"_"&amp;I$61,$B$23:$B$45&amp;"_"&amp;$C$23:$C$45,$D$23:$D$45)*$E1025)</f>
        <v>0</v>
      </c>
      <c r="J1025" s="67" cm="1">
        <f ca="1" t="array" ref="J1025">MIN(8,_xlfn.XLOOKUP($D1025&amp;"_"&amp;J$61,$B$23:$B$45&amp;"_"&amp;$C$23:$C$45,$D$23:$D$45)*$E1025)</f>
        <v>8</v>
      </c>
      <c r="K1025" s="67" cm="1">
        <f ca="1" t="array" ref="K1025">MIN(18,_xlfn.XLOOKUP($D1025&amp;"_"&amp;K$61,$B$23:$B$45&amp;"_"&amp;$C$23:$C$45,$D$23:$D$45)*$E1025)</f>
        <v>4.00733717800846</v>
      </c>
      <c r="L1025" s="67" cm="1">
        <f ca="1" t="array" ref="L1025">MIN(6,_xlfn.XLOOKUP($D1025&amp;"_"&amp;L$61,$B$23:$B$45&amp;"_"&amp;$C$23:$C$45,$D$23:$D$45)*$E1025)</f>
        <v>6</v>
      </c>
      <c r="M1025" s="67" cm="1">
        <f ca="1" t="array" ref="M1025">(1+SUMPRODUCT(G1025:H1025,OFFSET($H$49:$I$49,D1025,0)))*(1+OFFSET($J$49,D1025,0))^I1025*(1+OFFSET($K$49,D1025,0))^J1025*(1+OFFSET($L$49,D1025,0))^K1025*(1+OFFSET($M$49,D1025,0))^L1025</f>
        <v>344.058604581492</v>
      </c>
      <c r="N1025" s="67">
        <f ca="1">MAX(MAX($N$62:N1024),OFFSET($C$61,MATCH(M1025*1.07,$M$62:$M$2061,1),0)-C1025)</f>
        <v>49320</v>
      </c>
    </row>
    <row r="1026" spans="2:14">
      <c r="B1026" s="67">
        <v>965</v>
      </c>
      <c r="C1026" s="67">
        <f t="shared" ref="C1026:C1066" si="99">C1025+360</f>
        <v>347400</v>
      </c>
      <c r="D1026" s="67">
        <f t="shared" si="95"/>
        <v>5</v>
      </c>
      <c r="E1026" s="67">
        <f ca="1" t="shared" si="96"/>
        <v>995</v>
      </c>
      <c r="F1026" s="67">
        <f ca="1" t="shared" si="97"/>
        <v>0</v>
      </c>
      <c r="G1026" s="67">
        <f ca="1" t="shared" si="98"/>
        <v>0</v>
      </c>
      <c r="H1026" s="67" cm="1">
        <f ca="1" t="array" ref="H1026">MIN(30-SUM(I1026:L1026),_xlfn.XLOOKUP($D1026&amp;"_"&amp;H$61,$B$23:$B$45&amp;"_"&amp;$C$23:$C$45,$D$23:$D$45)*$E1026,18)</f>
        <v>11.9886312956555</v>
      </c>
      <c r="I1026" s="67" cm="1">
        <f ca="1" t="array" ref="I1026">MIN(30-SUM(J1026:L1026),6-L1026,_xlfn.XLOOKUP($D1026&amp;"_"&amp;I$61,$B$23:$B$45&amp;"_"&amp;$C$23:$C$45,$D$23:$D$45)*$E1026)</f>
        <v>0</v>
      </c>
      <c r="J1026" s="67" cm="1">
        <f ca="1" t="array" ref="J1026">MIN(8,_xlfn.XLOOKUP($D1026&amp;"_"&amp;J$61,$B$23:$B$45&amp;"_"&amp;$C$23:$C$45,$D$23:$D$45)*$E1026)</f>
        <v>8</v>
      </c>
      <c r="K1026" s="67" cm="1">
        <f ca="1" t="array" ref="K1026">MIN(18,_xlfn.XLOOKUP($D1026&amp;"_"&amp;K$61,$B$23:$B$45&amp;"_"&amp;$C$23:$C$45,$D$23:$D$45)*$E1026)</f>
        <v>4.01136870434449</v>
      </c>
      <c r="L1026" s="67" cm="1">
        <f ca="1" t="array" ref="L1026">MIN(6,_xlfn.XLOOKUP($D1026&amp;"_"&amp;L$61,$B$23:$B$45&amp;"_"&amp;$C$23:$C$45,$D$23:$D$45)*$E1026)</f>
        <v>6</v>
      </c>
      <c r="M1026" s="67" cm="1">
        <f ca="1" t="array" ref="M1026">(1+SUMPRODUCT(G1026:H1026,OFFSET($H$49:$I$49,D1026,0)))*(1+OFFSET($J$49,D1026,0))^I1026*(1+OFFSET($K$49,D1026,0))^J1026*(1+OFFSET($L$49,D1026,0))^K1026*(1+OFFSET($M$49,D1026,0))^L1026</f>
        <v>344.2299041027</v>
      </c>
      <c r="N1026" s="67">
        <f ca="1">MAX(MAX($N$62:N1025),OFFSET($C$61,MATCH(M1026*1.07,$M$62:$M$2061,1),0)-C1026)</f>
        <v>49320</v>
      </c>
    </row>
    <row r="1027" spans="2:14">
      <c r="B1027" s="67">
        <v>966</v>
      </c>
      <c r="C1027" s="67">
        <f t="shared" si="99"/>
        <v>347760</v>
      </c>
      <c r="D1027" s="67">
        <f t="shared" si="95"/>
        <v>5</v>
      </c>
      <c r="E1027" s="67">
        <f ca="1" t="shared" si="96"/>
        <v>996</v>
      </c>
      <c r="F1027" s="67">
        <f ca="1" t="shared" si="97"/>
        <v>0</v>
      </c>
      <c r="G1027" s="67">
        <f ca="1" t="shared" si="98"/>
        <v>0</v>
      </c>
      <c r="H1027" s="67" cm="1">
        <f ca="1" t="array" ref="H1027">MIN(30-SUM(I1027:L1027),_xlfn.XLOOKUP($D1027&amp;"_"&amp;H$61,$B$23:$B$45&amp;"_"&amp;$C$23:$C$45,$D$23:$D$45)*$E1027,18)</f>
        <v>11.9845997693195</v>
      </c>
      <c r="I1027" s="67" cm="1">
        <f ca="1" t="array" ref="I1027">MIN(30-SUM(J1027:L1027),6-L1027,_xlfn.XLOOKUP($D1027&amp;"_"&amp;I$61,$B$23:$B$45&amp;"_"&amp;$C$23:$C$45,$D$23:$D$45)*$E1027)</f>
        <v>0</v>
      </c>
      <c r="J1027" s="67" cm="1">
        <f ca="1" t="array" ref="J1027">MIN(8,_xlfn.XLOOKUP($D1027&amp;"_"&amp;J$61,$B$23:$B$45&amp;"_"&amp;$C$23:$C$45,$D$23:$D$45)*$E1027)</f>
        <v>8</v>
      </c>
      <c r="K1027" s="67" cm="1">
        <f ca="1" t="array" ref="K1027">MIN(18,_xlfn.XLOOKUP($D1027&amp;"_"&amp;K$61,$B$23:$B$45&amp;"_"&amp;$C$23:$C$45,$D$23:$D$45)*$E1027)</f>
        <v>4.01540023068051</v>
      </c>
      <c r="L1027" s="67" cm="1">
        <f ca="1" t="array" ref="L1027">MIN(6,_xlfn.XLOOKUP($D1027&amp;"_"&amp;L$61,$B$23:$B$45&amp;"_"&amp;$C$23:$C$45,$D$23:$D$45)*$E1027)</f>
        <v>6</v>
      </c>
      <c r="M1027" s="67" cm="1">
        <f ca="1" t="array" ref="M1027">(1+SUMPRODUCT(G1027:H1027,OFFSET($H$49:$I$49,D1027,0)))*(1+OFFSET($J$49,D1027,0))^I1027*(1+OFFSET($K$49,D1027,0))^J1027*(1+OFFSET($L$49,D1027,0))^K1027*(1+OFFSET($M$49,D1027,0))^L1027</f>
        <v>344.401269515451</v>
      </c>
      <c r="N1027" s="67">
        <f ca="1">MAX(MAX($N$62:N1026),OFFSET($C$61,MATCH(M1027*1.07,$M$62:$M$2061,1),0)-C1027)</f>
        <v>49320</v>
      </c>
    </row>
    <row r="1028" spans="2:14">
      <c r="B1028" s="67">
        <v>967</v>
      </c>
      <c r="C1028" s="67">
        <f t="shared" si="99"/>
        <v>348120</v>
      </c>
      <c r="D1028" s="67">
        <f t="shared" si="95"/>
        <v>5</v>
      </c>
      <c r="E1028" s="67">
        <f ca="1" t="shared" si="96"/>
        <v>997</v>
      </c>
      <c r="F1028" s="67">
        <f ca="1" t="shared" si="97"/>
        <v>0</v>
      </c>
      <c r="G1028" s="67">
        <f ca="1" t="shared" si="98"/>
        <v>0</v>
      </c>
      <c r="H1028" s="67" cm="1">
        <f ca="1" t="array" ref="H1028">MIN(30-SUM(I1028:L1028),_xlfn.XLOOKUP($D1028&amp;"_"&amp;H$61,$B$23:$B$45&amp;"_"&amp;$C$23:$C$45,$D$23:$D$45)*$E1028,18)</f>
        <v>11.9805682429835</v>
      </c>
      <c r="I1028" s="67" cm="1">
        <f ca="1" t="array" ref="I1028">MIN(30-SUM(J1028:L1028),6-L1028,_xlfn.XLOOKUP($D1028&amp;"_"&amp;I$61,$B$23:$B$45&amp;"_"&amp;$C$23:$C$45,$D$23:$D$45)*$E1028)</f>
        <v>0</v>
      </c>
      <c r="J1028" s="67" cm="1">
        <f ca="1" t="array" ref="J1028">MIN(8,_xlfn.XLOOKUP($D1028&amp;"_"&amp;J$61,$B$23:$B$45&amp;"_"&amp;$C$23:$C$45,$D$23:$D$45)*$E1028)</f>
        <v>8</v>
      </c>
      <c r="K1028" s="67" cm="1">
        <f ca="1" t="array" ref="K1028">MIN(18,_xlfn.XLOOKUP($D1028&amp;"_"&amp;K$61,$B$23:$B$45&amp;"_"&amp;$C$23:$C$45,$D$23:$D$45)*$E1028)</f>
        <v>4.01943175701654</v>
      </c>
      <c r="L1028" s="67" cm="1">
        <f ca="1" t="array" ref="L1028">MIN(6,_xlfn.XLOOKUP($D1028&amp;"_"&amp;L$61,$B$23:$B$45&amp;"_"&amp;$C$23:$C$45,$D$23:$D$45)*$E1028)</f>
        <v>6</v>
      </c>
      <c r="M1028" s="67" cm="1">
        <f ca="1" t="array" ref="M1028">(1+SUMPRODUCT(G1028:H1028,OFFSET($H$49:$I$49,D1028,0)))*(1+OFFSET($J$49,D1028,0))^I1028*(1+OFFSET($K$49,D1028,0))^J1028*(1+OFFSET($L$49,D1028,0))^K1028*(1+OFFSET($M$49,D1028,0))^L1028</f>
        <v>344.572700824028</v>
      </c>
      <c r="N1028" s="67">
        <f ca="1">MAX(MAX($N$62:N1027),OFFSET($C$61,MATCH(M1028*1.07,$M$62:$M$2061,1),0)-C1028)</f>
        <v>49320</v>
      </c>
    </row>
    <row r="1029" spans="2:14">
      <c r="B1029" s="67">
        <v>968</v>
      </c>
      <c r="C1029" s="67">
        <f t="shared" si="99"/>
        <v>348480</v>
      </c>
      <c r="D1029" s="67">
        <f t="shared" si="95"/>
        <v>5</v>
      </c>
      <c r="E1029" s="67">
        <f ca="1" t="shared" si="96"/>
        <v>998</v>
      </c>
      <c r="F1029" s="67">
        <f ca="1" t="shared" si="97"/>
        <v>0</v>
      </c>
      <c r="G1029" s="67">
        <f ca="1" t="shared" si="98"/>
        <v>0</v>
      </c>
      <c r="H1029" s="67" cm="1">
        <f ca="1" t="array" ref="H1029">MIN(30-SUM(I1029:L1029),_xlfn.XLOOKUP($D1029&amp;"_"&amp;H$61,$B$23:$B$45&amp;"_"&amp;$C$23:$C$45,$D$23:$D$45)*$E1029,18)</f>
        <v>11.9765367166474</v>
      </c>
      <c r="I1029" s="67" cm="1">
        <f ca="1" t="array" ref="I1029">MIN(30-SUM(J1029:L1029),6-L1029,_xlfn.XLOOKUP($D1029&amp;"_"&amp;I$61,$B$23:$B$45&amp;"_"&amp;$C$23:$C$45,$D$23:$D$45)*$E1029)</f>
        <v>0</v>
      </c>
      <c r="J1029" s="67" cm="1">
        <f ca="1" t="array" ref="J1029">MIN(8,_xlfn.XLOOKUP($D1029&amp;"_"&amp;J$61,$B$23:$B$45&amp;"_"&amp;$C$23:$C$45,$D$23:$D$45)*$E1029)</f>
        <v>8</v>
      </c>
      <c r="K1029" s="67" cm="1">
        <f ca="1" t="array" ref="K1029">MIN(18,_xlfn.XLOOKUP($D1029&amp;"_"&amp;K$61,$B$23:$B$45&amp;"_"&amp;$C$23:$C$45,$D$23:$D$45)*$E1029)</f>
        <v>4.02346328335256</v>
      </c>
      <c r="L1029" s="67" cm="1">
        <f ca="1" t="array" ref="L1029">MIN(6,_xlfn.XLOOKUP($D1029&amp;"_"&amp;L$61,$B$23:$B$45&amp;"_"&amp;$C$23:$C$45,$D$23:$D$45)*$E1029)</f>
        <v>6</v>
      </c>
      <c r="M1029" s="67" cm="1">
        <f ca="1" t="array" ref="M1029">(1+SUMPRODUCT(G1029:H1029,OFFSET($H$49:$I$49,D1029,0)))*(1+OFFSET($J$49,D1029,0))^I1029*(1+OFFSET($K$49,D1029,0))^J1029*(1+OFFSET($L$49,D1029,0))^K1029*(1+OFFSET($M$49,D1029,0))^L1029</f>
        <v>344.744198032686</v>
      </c>
      <c r="N1029" s="67">
        <f ca="1">MAX(MAX($N$62:N1028),OFFSET($C$61,MATCH(M1029*1.07,$M$62:$M$2061,1),0)-C1029)</f>
        <v>49320</v>
      </c>
    </row>
    <row r="1030" spans="2:14">
      <c r="B1030" s="67">
        <v>969</v>
      </c>
      <c r="C1030" s="67">
        <f t="shared" si="99"/>
        <v>348840</v>
      </c>
      <c r="D1030" s="67">
        <f t="shared" si="95"/>
        <v>5</v>
      </c>
      <c r="E1030" s="67">
        <f ca="1" t="shared" si="96"/>
        <v>999</v>
      </c>
      <c r="F1030" s="67">
        <f ca="1" t="shared" si="97"/>
        <v>0</v>
      </c>
      <c r="G1030" s="67">
        <f ca="1" t="shared" si="98"/>
        <v>0</v>
      </c>
      <c r="H1030" s="67" cm="1">
        <f ca="1" t="array" ref="H1030">MIN(30-SUM(I1030:L1030),_xlfn.XLOOKUP($D1030&amp;"_"&amp;H$61,$B$23:$B$45&amp;"_"&amp;$C$23:$C$45,$D$23:$D$45)*$E1030,18)</f>
        <v>11.9725051903114</v>
      </c>
      <c r="I1030" s="67" cm="1">
        <f ca="1" t="array" ref="I1030">MIN(30-SUM(J1030:L1030),6-L1030,_xlfn.XLOOKUP($D1030&amp;"_"&amp;I$61,$B$23:$B$45&amp;"_"&amp;$C$23:$C$45,$D$23:$D$45)*$E1030)</f>
        <v>0</v>
      </c>
      <c r="J1030" s="67" cm="1">
        <f ca="1" t="array" ref="J1030">MIN(8,_xlfn.XLOOKUP($D1030&amp;"_"&amp;J$61,$B$23:$B$45&amp;"_"&amp;$C$23:$C$45,$D$23:$D$45)*$E1030)</f>
        <v>8</v>
      </c>
      <c r="K1030" s="67" cm="1">
        <f ca="1" t="array" ref="K1030">MIN(18,_xlfn.XLOOKUP($D1030&amp;"_"&amp;K$61,$B$23:$B$45&amp;"_"&amp;$C$23:$C$45,$D$23:$D$45)*$E1030)</f>
        <v>4.02749480968859</v>
      </c>
      <c r="L1030" s="67" cm="1">
        <f ca="1" t="array" ref="L1030">MIN(6,_xlfn.XLOOKUP($D1030&amp;"_"&amp;L$61,$B$23:$B$45&amp;"_"&amp;$C$23:$C$45,$D$23:$D$45)*$E1030)</f>
        <v>6</v>
      </c>
      <c r="M1030" s="67" cm="1">
        <f ca="1" t="array" ref="M1030">(1+SUMPRODUCT(G1030:H1030,OFFSET($H$49:$I$49,D1030,0)))*(1+OFFSET($J$49,D1030,0))^I1030*(1+OFFSET($K$49,D1030,0))^J1030*(1+OFFSET($L$49,D1030,0))^K1030*(1+OFFSET($M$49,D1030,0))^L1030</f>
        <v>344.915761145651</v>
      </c>
      <c r="N1030" s="67">
        <f ca="1">MAX(MAX($N$62:N1029),OFFSET($C$61,MATCH(M1030*1.07,$M$62:$M$2061,1),0)-C1030)</f>
        <v>49320</v>
      </c>
    </row>
    <row r="1031" spans="2:14">
      <c r="B1031" s="67">
        <v>970</v>
      </c>
      <c r="C1031" s="67">
        <f t="shared" si="99"/>
        <v>349200</v>
      </c>
      <c r="D1031" s="67">
        <f t="shared" si="95"/>
        <v>5</v>
      </c>
      <c r="E1031" s="67">
        <f ca="1" t="shared" si="96"/>
        <v>1000</v>
      </c>
      <c r="F1031" s="67">
        <f ca="1" t="shared" si="97"/>
        <v>0</v>
      </c>
      <c r="G1031" s="67">
        <f ca="1" t="shared" si="98"/>
        <v>0</v>
      </c>
      <c r="H1031" s="67" cm="1">
        <f ca="1" t="array" ref="H1031">MIN(30-SUM(I1031:L1031),_xlfn.XLOOKUP($D1031&amp;"_"&amp;H$61,$B$23:$B$45&amp;"_"&amp;$C$23:$C$45,$D$23:$D$45)*$E1031,18)</f>
        <v>11.9684736639754</v>
      </c>
      <c r="I1031" s="67" cm="1">
        <f ca="1" t="array" ref="I1031">MIN(30-SUM(J1031:L1031),6-L1031,_xlfn.XLOOKUP($D1031&amp;"_"&amp;I$61,$B$23:$B$45&amp;"_"&amp;$C$23:$C$45,$D$23:$D$45)*$E1031)</f>
        <v>0</v>
      </c>
      <c r="J1031" s="67" cm="1">
        <f ca="1" t="array" ref="J1031">MIN(8,_xlfn.XLOOKUP($D1031&amp;"_"&amp;J$61,$B$23:$B$45&amp;"_"&amp;$C$23:$C$45,$D$23:$D$45)*$E1031)</f>
        <v>8</v>
      </c>
      <c r="K1031" s="67" cm="1">
        <f ca="1" t="array" ref="K1031">MIN(18,_xlfn.XLOOKUP($D1031&amp;"_"&amp;K$61,$B$23:$B$45&amp;"_"&amp;$C$23:$C$45,$D$23:$D$45)*$E1031)</f>
        <v>4.03152633602461</v>
      </c>
      <c r="L1031" s="67" cm="1">
        <f ca="1" t="array" ref="L1031">MIN(6,_xlfn.XLOOKUP($D1031&amp;"_"&amp;L$61,$B$23:$B$45&amp;"_"&amp;$C$23:$C$45,$D$23:$D$45)*$E1031)</f>
        <v>6</v>
      </c>
      <c r="M1031" s="67" cm="1">
        <f ca="1" t="array" ref="M1031">(1+SUMPRODUCT(G1031:H1031,OFFSET($H$49:$I$49,D1031,0)))*(1+OFFSET($J$49,D1031,0))^I1031*(1+OFFSET($K$49,D1031,0))^J1031*(1+OFFSET($L$49,D1031,0))^K1031*(1+OFFSET($M$49,D1031,0))^L1031</f>
        <v>345.087390167116</v>
      </c>
      <c r="N1031" s="67">
        <f ca="1">MAX(MAX($N$62:N1030),OFFSET($C$61,MATCH(M1031*1.07,$M$62:$M$2061,1),0)-C1031)</f>
        <v>49320</v>
      </c>
    </row>
    <row r="1032" spans="2:14">
      <c r="B1032" s="67">
        <v>971</v>
      </c>
      <c r="C1032" s="67">
        <f t="shared" si="99"/>
        <v>349560</v>
      </c>
      <c r="D1032" s="67">
        <f t="shared" si="95"/>
        <v>5</v>
      </c>
      <c r="E1032" s="67">
        <f ca="1" t="shared" si="96"/>
        <v>1001</v>
      </c>
      <c r="F1032" s="67">
        <f ca="1" t="shared" si="97"/>
        <v>0</v>
      </c>
      <c r="G1032" s="67">
        <f ca="1" t="shared" si="98"/>
        <v>0</v>
      </c>
      <c r="H1032" s="67" cm="1">
        <f ca="1" t="array" ref="H1032">MIN(30-SUM(I1032:L1032),_xlfn.XLOOKUP($D1032&amp;"_"&amp;H$61,$B$23:$B$45&amp;"_"&amp;$C$23:$C$45,$D$23:$D$45)*$E1032,18)</f>
        <v>11.9644421376394</v>
      </c>
      <c r="I1032" s="67" cm="1">
        <f ca="1" t="array" ref="I1032">MIN(30-SUM(J1032:L1032),6-L1032,_xlfn.XLOOKUP($D1032&amp;"_"&amp;I$61,$B$23:$B$45&amp;"_"&amp;$C$23:$C$45,$D$23:$D$45)*$E1032)</f>
        <v>0</v>
      </c>
      <c r="J1032" s="67" cm="1">
        <f ca="1" t="array" ref="J1032">MIN(8,_xlfn.XLOOKUP($D1032&amp;"_"&amp;J$61,$B$23:$B$45&amp;"_"&amp;$C$23:$C$45,$D$23:$D$45)*$E1032)</f>
        <v>8</v>
      </c>
      <c r="K1032" s="67" cm="1">
        <f ca="1" t="array" ref="K1032">MIN(18,_xlfn.XLOOKUP($D1032&amp;"_"&amp;K$61,$B$23:$B$45&amp;"_"&amp;$C$23:$C$45,$D$23:$D$45)*$E1032)</f>
        <v>4.03555786236063</v>
      </c>
      <c r="L1032" s="67" cm="1">
        <f ca="1" t="array" ref="L1032">MIN(6,_xlfn.XLOOKUP($D1032&amp;"_"&amp;L$61,$B$23:$B$45&amp;"_"&amp;$C$23:$C$45,$D$23:$D$45)*$E1032)</f>
        <v>6</v>
      </c>
      <c r="M1032" s="67" cm="1">
        <f ca="1" t="array" ref="M1032">(1+SUMPRODUCT(G1032:H1032,OFFSET($H$49:$I$49,D1032,0)))*(1+OFFSET($J$49,D1032,0))^I1032*(1+OFFSET($K$49,D1032,0))^J1032*(1+OFFSET($L$49,D1032,0))^K1032*(1+OFFSET($M$49,D1032,0))^L1032</f>
        <v>345.25908510125</v>
      </c>
      <c r="N1032" s="67">
        <f ca="1">MAX(MAX($N$62:N1031),OFFSET($C$61,MATCH(M1032*1.07,$M$62:$M$2061,1),0)-C1032)</f>
        <v>49320</v>
      </c>
    </row>
    <row r="1033" spans="2:14">
      <c r="B1033" s="67">
        <v>972</v>
      </c>
      <c r="C1033" s="67">
        <f t="shared" si="99"/>
        <v>349920</v>
      </c>
      <c r="D1033" s="67">
        <f t="shared" si="95"/>
        <v>5</v>
      </c>
      <c r="E1033" s="67">
        <f ca="1" t="shared" si="96"/>
        <v>1002</v>
      </c>
      <c r="F1033" s="67">
        <f ca="1" t="shared" si="97"/>
        <v>0</v>
      </c>
      <c r="G1033" s="67">
        <f ca="1" t="shared" si="98"/>
        <v>0</v>
      </c>
      <c r="H1033" s="67" cm="1">
        <f ca="1" t="array" ref="H1033">MIN(30-SUM(I1033:L1033),_xlfn.XLOOKUP($D1033&amp;"_"&amp;H$61,$B$23:$B$45&amp;"_"&amp;$C$23:$C$45,$D$23:$D$45)*$E1033,18)</f>
        <v>11.9604106113033</v>
      </c>
      <c r="I1033" s="67" cm="1">
        <f ca="1" t="array" ref="I1033">MIN(30-SUM(J1033:L1033),6-L1033,_xlfn.XLOOKUP($D1033&amp;"_"&amp;I$61,$B$23:$B$45&amp;"_"&amp;$C$23:$C$45,$D$23:$D$45)*$E1033)</f>
        <v>0</v>
      </c>
      <c r="J1033" s="67" cm="1">
        <f ca="1" t="array" ref="J1033">MIN(8,_xlfn.XLOOKUP($D1033&amp;"_"&amp;J$61,$B$23:$B$45&amp;"_"&amp;$C$23:$C$45,$D$23:$D$45)*$E1033)</f>
        <v>8</v>
      </c>
      <c r="K1033" s="67" cm="1">
        <f ca="1" t="array" ref="K1033">MIN(18,_xlfn.XLOOKUP($D1033&amp;"_"&amp;K$61,$B$23:$B$45&amp;"_"&amp;$C$23:$C$45,$D$23:$D$45)*$E1033)</f>
        <v>4.03958938869666</v>
      </c>
      <c r="L1033" s="67" cm="1">
        <f ca="1" t="array" ref="L1033">MIN(6,_xlfn.XLOOKUP($D1033&amp;"_"&amp;L$61,$B$23:$B$45&amp;"_"&amp;$C$23:$C$45,$D$23:$D$45)*$E1033)</f>
        <v>6</v>
      </c>
      <c r="M1033" s="67" cm="1">
        <f ca="1" t="array" ref="M1033">(1+SUMPRODUCT(G1033:H1033,OFFSET($H$49:$I$49,D1033,0)))*(1+OFFSET($J$49,D1033,0))^I1033*(1+OFFSET($K$49,D1033,0))^J1033*(1+OFFSET($L$49,D1033,0))^K1033*(1+OFFSET($M$49,D1033,0))^L1033</f>
        <v>345.430845952188</v>
      </c>
      <c r="N1033" s="67">
        <f ca="1">MAX(MAX($N$62:N1032),OFFSET($C$61,MATCH(M1033*1.07,$M$62:$M$2061,1),0)-C1033)</f>
        <v>49320</v>
      </c>
    </row>
    <row r="1034" spans="2:14">
      <c r="B1034" s="67">
        <v>973</v>
      </c>
      <c r="C1034" s="67">
        <f t="shared" si="99"/>
        <v>350280</v>
      </c>
      <c r="D1034" s="67">
        <f t="shared" si="95"/>
        <v>5</v>
      </c>
      <c r="E1034" s="67">
        <f ca="1" t="shared" si="96"/>
        <v>1003</v>
      </c>
      <c r="F1034" s="67">
        <f ca="1" t="shared" si="97"/>
        <v>0</v>
      </c>
      <c r="G1034" s="67">
        <f ca="1" t="shared" si="98"/>
        <v>0</v>
      </c>
      <c r="H1034" s="67" cm="1">
        <f ca="1" t="array" ref="H1034">MIN(30-SUM(I1034:L1034),_xlfn.XLOOKUP($D1034&amp;"_"&amp;H$61,$B$23:$B$45&amp;"_"&amp;$C$23:$C$45,$D$23:$D$45)*$E1034,18)</f>
        <v>11.9563790849673</v>
      </c>
      <c r="I1034" s="67" cm="1">
        <f ca="1" t="array" ref="I1034">MIN(30-SUM(J1034:L1034),6-L1034,_xlfn.XLOOKUP($D1034&amp;"_"&amp;I$61,$B$23:$B$45&amp;"_"&amp;$C$23:$C$45,$D$23:$D$45)*$E1034)</f>
        <v>0</v>
      </c>
      <c r="J1034" s="67" cm="1">
        <f ca="1" t="array" ref="J1034">MIN(8,_xlfn.XLOOKUP($D1034&amp;"_"&amp;J$61,$B$23:$B$45&amp;"_"&amp;$C$23:$C$45,$D$23:$D$45)*$E1034)</f>
        <v>8</v>
      </c>
      <c r="K1034" s="67" cm="1">
        <f ca="1" t="array" ref="K1034">MIN(18,_xlfn.XLOOKUP($D1034&amp;"_"&amp;K$61,$B$23:$B$45&amp;"_"&amp;$C$23:$C$45,$D$23:$D$45)*$E1034)</f>
        <v>4.04362091503268</v>
      </c>
      <c r="L1034" s="67" cm="1">
        <f ca="1" t="array" ref="L1034">MIN(6,_xlfn.XLOOKUP($D1034&amp;"_"&amp;L$61,$B$23:$B$45&amp;"_"&amp;$C$23:$C$45,$D$23:$D$45)*$E1034)</f>
        <v>6</v>
      </c>
      <c r="M1034" s="67" cm="1">
        <f ca="1" t="array" ref="M1034">(1+SUMPRODUCT(G1034:H1034,OFFSET($H$49:$I$49,D1034,0)))*(1+OFFSET($J$49,D1034,0))^I1034*(1+OFFSET($K$49,D1034,0))^J1034*(1+OFFSET($L$49,D1034,0))^K1034*(1+OFFSET($M$49,D1034,0))^L1034</f>
        <v>345.602672724038</v>
      </c>
      <c r="N1034" s="67">
        <f ca="1">MAX(MAX($N$62:N1033),OFFSET($C$61,MATCH(M1034*1.07,$M$62:$M$2061,1),0)-C1034)</f>
        <v>49320</v>
      </c>
    </row>
    <row r="1035" spans="2:14">
      <c r="B1035" s="67">
        <v>974</v>
      </c>
      <c r="C1035" s="67">
        <f t="shared" si="99"/>
        <v>350640</v>
      </c>
      <c r="D1035" s="67">
        <f t="shared" si="95"/>
        <v>5</v>
      </c>
      <c r="E1035" s="67">
        <f ca="1" t="shared" si="96"/>
        <v>1004</v>
      </c>
      <c r="F1035" s="67">
        <f ca="1" t="shared" si="97"/>
        <v>0</v>
      </c>
      <c r="G1035" s="67">
        <f ca="1" t="shared" si="98"/>
        <v>0</v>
      </c>
      <c r="H1035" s="67" cm="1">
        <f ca="1" t="array" ref="H1035">MIN(30-SUM(I1035:L1035),_xlfn.XLOOKUP($D1035&amp;"_"&amp;H$61,$B$23:$B$45&amp;"_"&amp;$C$23:$C$45,$D$23:$D$45)*$E1035,18)</f>
        <v>11.9523475586313</v>
      </c>
      <c r="I1035" s="67" cm="1">
        <f ca="1" t="array" ref="I1035">MIN(30-SUM(J1035:L1035),6-L1035,_xlfn.XLOOKUP($D1035&amp;"_"&amp;I$61,$B$23:$B$45&amp;"_"&amp;$C$23:$C$45,$D$23:$D$45)*$E1035)</f>
        <v>0</v>
      </c>
      <c r="J1035" s="67" cm="1">
        <f ca="1" t="array" ref="J1035">MIN(8,_xlfn.XLOOKUP($D1035&amp;"_"&amp;J$61,$B$23:$B$45&amp;"_"&amp;$C$23:$C$45,$D$23:$D$45)*$E1035)</f>
        <v>8</v>
      </c>
      <c r="K1035" s="67" cm="1">
        <f ca="1" t="array" ref="K1035">MIN(18,_xlfn.XLOOKUP($D1035&amp;"_"&amp;K$61,$B$23:$B$45&amp;"_"&amp;$C$23:$C$45,$D$23:$D$45)*$E1035)</f>
        <v>4.04765244136871</v>
      </c>
      <c r="L1035" s="67" cm="1">
        <f ca="1" t="array" ref="L1035">MIN(6,_xlfn.XLOOKUP($D1035&amp;"_"&amp;L$61,$B$23:$B$45&amp;"_"&amp;$C$23:$C$45,$D$23:$D$45)*$E1035)</f>
        <v>6</v>
      </c>
      <c r="M1035" s="67" cm="1">
        <f ca="1" t="array" ref="M1035">(1+SUMPRODUCT(G1035:H1035,OFFSET($H$49:$I$49,D1035,0)))*(1+OFFSET($J$49,D1035,0))^I1035*(1+OFFSET($K$49,D1035,0))^J1035*(1+OFFSET($L$49,D1035,0))^K1035*(1+OFFSET($M$49,D1035,0))^L1035</f>
        <v>345.774565420877</v>
      </c>
      <c r="N1035" s="67">
        <f ca="1">MAX(MAX($N$62:N1034),OFFSET($C$61,MATCH(M1035*1.07,$M$62:$M$2061,1),0)-C1035)</f>
        <v>49320</v>
      </c>
    </row>
    <row r="1036" spans="2:14">
      <c r="B1036" s="67">
        <v>975</v>
      </c>
      <c r="C1036" s="67">
        <f t="shared" si="99"/>
        <v>351000</v>
      </c>
      <c r="D1036" s="67">
        <f t="shared" si="95"/>
        <v>5</v>
      </c>
      <c r="E1036" s="67">
        <f ca="1" t="shared" si="96"/>
        <v>1005</v>
      </c>
      <c r="F1036" s="67">
        <f ca="1" t="shared" si="97"/>
        <v>0</v>
      </c>
      <c r="G1036" s="67">
        <f ca="1" t="shared" si="98"/>
        <v>0</v>
      </c>
      <c r="H1036" s="67" cm="1">
        <f ca="1" t="array" ref="H1036">MIN(30-SUM(I1036:L1036),_xlfn.XLOOKUP($D1036&amp;"_"&amp;H$61,$B$23:$B$45&amp;"_"&amp;$C$23:$C$45,$D$23:$D$45)*$E1036,18)</f>
        <v>11.9483160322953</v>
      </c>
      <c r="I1036" s="67" cm="1">
        <f ca="1" t="array" ref="I1036">MIN(30-SUM(J1036:L1036),6-L1036,_xlfn.XLOOKUP($D1036&amp;"_"&amp;I$61,$B$23:$B$45&amp;"_"&amp;$C$23:$C$45,$D$23:$D$45)*$E1036)</f>
        <v>0</v>
      </c>
      <c r="J1036" s="67" cm="1">
        <f ca="1" t="array" ref="J1036">MIN(8,_xlfn.XLOOKUP($D1036&amp;"_"&amp;J$61,$B$23:$B$45&amp;"_"&amp;$C$23:$C$45,$D$23:$D$45)*$E1036)</f>
        <v>8</v>
      </c>
      <c r="K1036" s="67" cm="1">
        <f ca="1" t="array" ref="K1036">MIN(18,_xlfn.XLOOKUP($D1036&amp;"_"&amp;K$61,$B$23:$B$45&amp;"_"&amp;$C$23:$C$45,$D$23:$D$45)*$E1036)</f>
        <v>4.05168396770473</v>
      </c>
      <c r="L1036" s="67" cm="1">
        <f ca="1" t="array" ref="L1036">MIN(6,_xlfn.XLOOKUP($D1036&amp;"_"&amp;L$61,$B$23:$B$45&amp;"_"&amp;$C$23:$C$45,$D$23:$D$45)*$E1036)</f>
        <v>6</v>
      </c>
      <c r="M1036" s="67" cm="1">
        <f ca="1" t="array" ref="M1036">(1+SUMPRODUCT(G1036:H1036,OFFSET($H$49:$I$49,D1036,0)))*(1+OFFSET($J$49,D1036,0))^I1036*(1+OFFSET($K$49,D1036,0))^J1036*(1+OFFSET($L$49,D1036,0))^K1036*(1+OFFSET($M$49,D1036,0))^L1036</f>
        <v>345.946524046753</v>
      </c>
      <c r="N1036" s="67">
        <f ca="1">MAX(MAX($N$62:N1035),OFFSET($C$61,MATCH(M1036*1.07,$M$62:$M$2061,1),0)-C1036)</f>
        <v>49320</v>
      </c>
    </row>
    <row r="1037" spans="2:14">
      <c r="B1037" s="67">
        <v>976</v>
      </c>
      <c r="C1037" s="67">
        <f t="shared" si="99"/>
        <v>351360</v>
      </c>
      <c r="D1037" s="67">
        <f t="shared" si="95"/>
        <v>5</v>
      </c>
      <c r="E1037" s="67">
        <f ca="1" t="shared" si="96"/>
        <v>1006</v>
      </c>
      <c r="F1037" s="67">
        <f ca="1" t="shared" si="97"/>
        <v>0</v>
      </c>
      <c r="G1037" s="67">
        <f ca="1" t="shared" si="98"/>
        <v>0</v>
      </c>
      <c r="H1037" s="67" cm="1">
        <f ca="1" t="array" ref="H1037">MIN(30-SUM(I1037:L1037),_xlfn.XLOOKUP($D1037&amp;"_"&amp;H$61,$B$23:$B$45&amp;"_"&amp;$C$23:$C$45,$D$23:$D$45)*$E1037,18)</f>
        <v>11.9442845059592</v>
      </c>
      <c r="I1037" s="67" cm="1">
        <f ca="1" t="array" ref="I1037">MIN(30-SUM(J1037:L1037),6-L1037,_xlfn.XLOOKUP($D1037&amp;"_"&amp;I$61,$B$23:$B$45&amp;"_"&amp;$C$23:$C$45,$D$23:$D$45)*$E1037)</f>
        <v>0</v>
      </c>
      <c r="J1037" s="67" cm="1">
        <f ca="1" t="array" ref="J1037">MIN(8,_xlfn.XLOOKUP($D1037&amp;"_"&amp;J$61,$B$23:$B$45&amp;"_"&amp;$C$23:$C$45,$D$23:$D$45)*$E1037)</f>
        <v>8</v>
      </c>
      <c r="K1037" s="67" cm="1">
        <f ca="1" t="array" ref="K1037">MIN(18,_xlfn.XLOOKUP($D1037&amp;"_"&amp;K$61,$B$23:$B$45&amp;"_"&amp;$C$23:$C$45,$D$23:$D$45)*$E1037)</f>
        <v>4.05571549404076</v>
      </c>
      <c r="L1037" s="67" cm="1">
        <f ca="1" t="array" ref="L1037">MIN(6,_xlfn.XLOOKUP($D1037&amp;"_"&amp;L$61,$B$23:$B$45&amp;"_"&amp;$C$23:$C$45,$D$23:$D$45)*$E1037)</f>
        <v>6</v>
      </c>
      <c r="M1037" s="67" cm="1">
        <f ca="1" t="array" ref="M1037">(1+SUMPRODUCT(G1037:H1037,OFFSET($H$49:$I$49,D1037,0)))*(1+OFFSET($J$49,D1037,0))^I1037*(1+OFFSET($K$49,D1037,0))^J1037*(1+OFFSET($L$49,D1037,0))^K1037*(1+OFFSET($M$49,D1037,0))^L1037</f>
        <v>346.118548605683</v>
      </c>
      <c r="N1037" s="67">
        <f ca="1">MAX(MAX($N$62:N1036),OFFSET($C$61,MATCH(M1037*1.07,$M$62:$M$2061,1),0)-C1037)</f>
        <v>49320</v>
      </c>
    </row>
    <row r="1038" spans="2:14">
      <c r="B1038" s="67">
        <v>977</v>
      </c>
      <c r="C1038" s="67">
        <f t="shared" si="99"/>
        <v>351720</v>
      </c>
      <c r="D1038" s="67">
        <f t="shared" si="95"/>
        <v>5</v>
      </c>
      <c r="E1038" s="67">
        <f ca="1" t="shared" si="96"/>
        <v>1007</v>
      </c>
      <c r="F1038" s="67">
        <f ca="1" t="shared" si="97"/>
        <v>0</v>
      </c>
      <c r="G1038" s="67">
        <f ca="1" t="shared" si="98"/>
        <v>0</v>
      </c>
      <c r="H1038" s="67" cm="1">
        <f ca="1" t="array" ref="H1038">MIN(30-SUM(I1038:L1038),_xlfn.XLOOKUP($D1038&amp;"_"&amp;H$61,$B$23:$B$45&amp;"_"&amp;$C$23:$C$45,$D$23:$D$45)*$E1038,18)</f>
        <v>11.9402529796232</v>
      </c>
      <c r="I1038" s="67" cm="1">
        <f ca="1" t="array" ref="I1038">MIN(30-SUM(J1038:L1038),6-L1038,_xlfn.XLOOKUP($D1038&amp;"_"&amp;I$61,$B$23:$B$45&amp;"_"&amp;$C$23:$C$45,$D$23:$D$45)*$E1038)</f>
        <v>0</v>
      </c>
      <c r="J1038" s="67" cm="1">
        <f ca="1" t="array" ref="J1038">MIN(8,_xlfn.XLOOKUP($D1038&amp;"_"&amp;J$61,$B$23:$B$45&amp;"_"&amp;$C$23:$C$45,$D$23:$D$45)*$E1038)</f>
        <v>8</v>
      </c>
      <c r="K1038" s="67" cm="1">
        <f ca="1" t="array" ref="K1038">MIN(18,_xlfn.XLOOKUP($D1038&amp;"_"&amp;K$61,$B$23:$B$45&amp;"_"&amp;$C$23:$C$45,$D$23:$D$45)*$E1038)</f>
        <v>4.05974702037678</v>
      </c>
      <c r="L1038" s="67" cm="1">
        <f ca="1" t="array" ref="L1038">MIN(6,_xlfn.XLOOKUP($D1038&amp;"_"&amp;L$61,$B$23:$B$45&amp;"_"&amp;$C$23:$C$45,$D$23:$D$45)*$E1038)</f>
        <v>6</v>
      </c>
      <c r="M1038" s="67" cm="1">
        <f ca="1" t="array" ref="M1038">(1+SUMPRODUCT(G1038:H1038,OFFSET($H$49:$I$49,D1038,0)))*(1+OFFSET($J$49,D1038,0))^I1038*(1+OFFSET($K$49,D1038,0))^J1038*(1+OFFSET($L$49,D1038,0))^K1038*(1+OFFSET($M$49,D1038,0))^L1038</f>
        <v>346.290639101657</v>
      </c>
      <c r="N1038" s="67">
        <f ca="1">MAX(MAX($N$62:N1037),OFFSET($C$61,MATCH(M1038*1.07,$M$62:$M$2061,1),0)-C1038)</f>
        <v>49320</v>
      </c>
    </row>
    <row r="1039" spans="2:14">
      <c r="B1039" s="67">
        <v>978</v>
      </c>
      <c r="C1039" s="67">
        <f t="shared" si="99"/>
        <v>352080</v>
      </c>
      <c r="D1039" s="67">
        <f t="shared" si="95"/>
        <v>5</v>
      </c>
      <c r="E1039" s="67">
        <f ca="1" t="shared" si="96"/>
        <v>1008</v>
      </c>
      <c r="F1039" s="67">
        <f ca="1" t="shared" si="97"/>
        <v>0</v>
      </c>
      <c r="G1039" s="67">
        <f ca="1" t="shared" si="98"/>
        <v>0</v>
      </c>
      <c r="H1039" s="67" cm="1">
        <f ca="1" t="array" ref="H1039">MIN(30-SUM(I1039:L1039),_xlfn.XLOOKUP($D1039&amp;"_"&amp;H$61,$B$23:$B$45&amp;"_"&amp;$C$23:$C$45,$D$23:$D$45)*$E1039,18)</f>
        <v>11.9362214532872</v>
      </c>
      <c r="I1039" s="67" cm="1">
        <f ca="1" t="array" ref="I1039">MIN(30-SUM(J1039:L1039),6-L1039,_xlfn.XLOOKUP($D1039&amp;"_"&amp;I$61,$B$23:$B$45&amp;"_"&amp;$C$23:$C$45,$D$23:$D$45)*$E1039)</f>
        <v>0</v>
      </c>
      <c r="J1039" s="67" cm="1">
        <f ca="1" t="array" ref="J1039">MIN(8,_xlfn.XLOOKUP($D1039&amp;"_"&amp;J$61,$B$23:$B$45&amp;"_"&amp;$C$23:$C$45,$D$23:$D$45)*$E1039)</f>
        <v>8</v>
      </c>
      <c r="K1039" s="67" cm="1">
        <f ca="1" t="array" ref="K1039">MIN(18,_xlfn.XLOOKUP($D1039&amp;"_"&amp;K$61,$B$23:$B$45&amp;"_"&amp;$C$23:$C$45,$D$23:$D$45)*$E1039)</f>
        <v>4.06377854671281</v>
      </c>
      <c r="L1039" s="67" cm="1">
        <f ca="1" t="array" ref="L1039">MIN(6,_xlfn.XLOOKUP($D1039&amp;"_"&amp;L$61,$B$23:$B$45&amp;"_"&amp;$C$23:$C$45,$D$23:$D$45)*$E1039)</f>
        <v>6</v>
      </c>
      <c r="M1039" s="67" cm="1">
        <f ca="1" t="array" ref="M1039">(1+SUMPRODUCT(G1039:H1039,OFFSET($H$49:$I$49,D1039,0)))*(1+OFFSET($J$49,D1039,0))^I1039*(1+OFFSET($K$49,D1039,0))^J1039*(1+OFFSET($L$49,D1039,0))^K1039*(1+OFFSET($M$49,D1039,0))^L1039</f>
        <v>346.462795538634</v>
      </c>
      <c r="N1039" s="67">
        <f ca="1">MAX(MAX($N$62:N1038),OFFSET($C$61,MATCH(M1039*1.07,$M$62:$M$2061,1),0)-C1039)</f>
        <v>49320</v>
      </c>
    </row>
    <row r="1040" spans="2:14">
      <c r="B1040" s="67">
        <v>979</v>
      </c>
      <c r="C1040" s="67">
        <f t="shared" si="99"/>
        <v>352440</v>
      </c>
      <c r="D1040" s="67">
        <f t="shared" si="95"/>
        <v>5</v>
      </c>
      <c r="E1040" s="67">
        <f ca="1" t="shared" si="96"/>
        <v>1009</v>
      </c>
      <c r="F1040" s="67">
        <f ca="1" t="shared" si="97"/>
        <v>0</v>
      </c>
      <c r="G1040" s="67">
        <f ca="1" t="shared" si="98"/>
        <v>0</v>
      </c>
      <c r="H1040" s="67" cm="1">
        <f ca="1" t="array" ref="H1040">MIN(30-SUM(I1040:L1040),_xlfn.XLOOKUP($D1040&amp;"_"&amp;H$61,$B$23:$B$45&amp;"_"&amp;$C$23:$C$45,$D$23:$D$45)*$E1040,18)</f>
        <v>11.9321899269512</v>
      </c>
      <c r="I1040" s="67" cm="1">
        <f ca="1" t="array" ref="I1040">MIN(30-SUM(J1040:L1040),6-L1040,_xlfn.XLOOKUP($D1040&amp;"_"&amp;I$61,$B$23:$B$45&amp;"_"&amp;$C$23:$C$45,$D$23:$D$45)*$E1040)</f>
        <v>0</v>
      </c>
      <c r="J1040" s="67" cm="1">
        <f ca="1" t="array" ref="J1040">MIN(8,_xlfn.XLOOKUP($D1040&amp;"_"&amp;J$61,$B$23:$B$45&amp;"_"&amp;$C$23:$C$45,$D$23:$D$45)*$E1040)</f>
        <v>8</v>
      </c>
      <c r="K1040" s="67" cm="1">
        <f ca="1" t="array" ref="K1040">MIN(18,_xlfn.XLOOKUP($D1040&amp;"_"&amp;K$61,$B$23:$B$45&amp;"_"&amp;$C$23:$C$45,$D$23:$D$45)*$E1040)</f>
        <v>4.06781007304883</v>
      </c>
      <c r="L1040" s="67" cm="1">
        <f ca="1" t="array" ref="L1040">MIN(6,_xlfn.XLOOKUP($D1040&amp;"_"&amp;L$61,$B$23:$B$45&amp;"_"&amp;$C$23:$C$45,$D$23:$D$45)*$E1040)</f>
        <v>6</v>
      </c>
      <c r="M1040" s="67" cm="1">
        <f ca="1" t="array" ref="M1040">(1+SUMPRODUCT(G1040:H1040,OFFSET($H$49:$I$49,D1040,0)))*(1+OFFSET($J$49,D1040,0))^I1040*(1+OFFSET($K$49,D1040,0))^J1040*(1+OFFSET($L$49,D1040,0))^K1040*(1+OFFSET($M$49,D1040,0))^L1040</f>
        <v>346.635017920541</v>
      </c>
      <c r="N1040" s="67">
        <f ca="1">MAX(MAX($N$62:N1039),OFFSET($C$61,MATCH(M1040*1.07,$M$62:$M$2061,1),0)-C1040)</f>
        <v>49320</v>
      </c>
    </row>
    <row r="1041" spans="2:14">
      <c r="B1041" s="67">
        <v>980</v>
      </c>
      <c r="C1041" s="67">
        <f t="shared" si="99"/>
        <v>352800</v>
      </c>
      <c r="D1041" s="67">
        <f t="shared" si="95"/>
        <v>5</v>
      </c>
      <c r="E1041" s="67">
        <f ca="1" t="shared" si="96"/>
        <v>1010</v>
      </c>
      <c r="F1041" s="67">
        <f ca="1" t="shared" si="97"/>
        <v>0</v>
      </c>
      <c r="G1041" s="67">
        <f ca="1" t="shared" si="98"/>
        <v>0</v>
      </c>
      <c r="H1041" s="67" cm="1">
        <f ca="1" t="array" ref="H1041">MIN(30-SUM(I1041:L1041),_xlfn.XLOOKUP($D1041&amp;"_"&amp;H$61,$B$23:$B$45&amp;"_"&amp;$C$23:$C$45,$D$23:$D$45)*$E1041,18)</f>
        <v>11.9281584006151</v>
      </c>
      <c r="I1041" s="67" cm="1">
        <f ca="1" t="array" ref="I1041">MIN(30-SUM(J1041:L1041),6-L1041,_xlfn.XLOOKUP($D1041&amp;"_"&amp;I$61,$B$23:$B$45&amp;"_"&amp;$C$23:$C$45,$D$23:$D$45)*$E1041)</f>
        <v>0</v>
      </c>
      <c r="J1041" s="67" cm="1">
        <f ca="1" t="array" ref="J1041">MIN(8,_xlfn.XLOOKUP($D1041&amp;"_"&amp;J$61,$B$23:$B$45&amp;"_"&amp;$C$23:$C$45,$D$23:$D$45)*$E1041)</f>
        <v>8</v>
      </c>
      <c r="K1041" s="67" cm="1">
        <f ca="1" t="array" ref="K1041">MIN(18,_xlfn.XLOOKUP($D1041&amp;"_"&amp;K$61,$B$23:$B$45&amp;"_"&amp;$C$23:$C$45,$D$23:$D$45)*$E1041)</f>
        <v>4.07184159938486</v>
      </c>
      <c r="L1041" s="67" cm="1">
        <f ca="1" t="array" ref="L1041">MIN(6,_xlfn.XLOOKUP($D1041&amp;"_"&amp;L$61,$B$23:$B$45&amp;"_"&amp;$C$23:$C$45,$D$23:$D$45)*$E1041)</f>
        <v>6</v>
      </c>
      <c r="M1041" s="67" cm="1">
        <f ca="1" t="array" ref="M1041">(1+SUMPRODUCT(G1041:H1041,OFFSET($H$49:$I$49,D1041,0)))*(1+OFFSET($J$49,D1041,0))^I1041*(1+OFFSET($K$49,D1041,0))^J1041*(1+OFFSET($L$49,D1041,0))^K1041*(1+OFFSET($M$49,D1041,0))^L1041</f>
        <v>346.807306251278</v>
      </c>
      <c r="N1041" s="67">
        <f ca="1">MAX(MAX($N$62:N1040),OFFSET($C$61,MATCH(M1041*1.07,$M$62:$M$2061,1),0)-C1041)</f>
        <v>49320</v>
      </c>
    </row>
    <row r="1042" spans="2:14">
      <c r="B1042" s="67">
        <v>981</v>
      </c>
      <c r="C1042" s="67">
        <f t="shared" si="99"/>
        <v>353160</v>
      </c>
      <c r="D1042" s="67">
        <f t="shared" si="95"/>
        <v>5</v>
      </c>
      <c r="E1042" s="67">
        <f ca="1" t="shared" si="96"/>
        <v>1011</v>
      </c>
      <c r="F1042" s="67">
        <f ca="1" t="shared" si="97"/>
        <v>0</v>
      </c>
      <c r="G1042" s="67">
        <f ca="1" t="shared" si="98"/>
        <v>0</v>
      </c>
      <c r="H1042" s="67" cm="1">
        <f ca="1" t="array" ref="H1042">MIN(30-SUM(I1042:L1042),_xlfn.XLOOKUP($D1042&amp;"_"&amp;H$61,$B$23:$B$45&amp;"_"&amp;$C$23:$C$45,$D$23:$D$45)*$E1042,18)</f>
        <v>11.9241268742791</v>
      </c>
      <c r="I1042" s="67" cm="1">
        <f ca="1" t="array" ref="I1042">MIN(30-SUM(J1042:L1042),6-L1042,_xlfn.XLOOKUP($D1042&amp;"_"&amp;I$61,$B$23:$B$45&amp;"_"&amp;$C$23:$C$45,$D$23:$D$45)*$E1042)</f>
        <v>0</v>
      </c>
      <c r="J1042" s="67" cm="1">
        <f ca="1" t="array" ref="J1042">MIN(8,_xlfn.XLOOKUP($D1042&amp;"_"&amp;J$61,$B$23:$B$45&amp;"_"&amp;$C$23:$C$45,$D$23:$D$45)*$E1042)</f>
        <v>8</v>
      </c>
      <c r="K1042" s="67" cm="1">
        <f ca="1" t="array" ref="K1042">MIN(18,_xlfn.XLOOKUP($D1042&amp;"_"&amp;K$61,$B$23:$B$45&amp;"_"&amp;$C$23:$C$45,$D$23:$D$45)*$E1042)</f>
        <v>4.07587312572088</v>
      </c>
      <c r="L1042" s="67" cm="1">
        <f ca="1" t="array" ref="L1042">MIN(6,_xlfn.XLOOKUP($D1042&amp;"_"&amp;L$61,$B$23:$B$45&amp;"_"&amp;$C$23:$C$45,$D$23:$D$45)*$E1042)</f>
        <v>6</v>
      </c>
      <c r="M1042" s="67" cm="1">
        <f ca="1" t="array" ref="M1042">(1+SUMPRODUCT(G1042:H1042,OFFSET($H$49:$I$49,D1042,0)))*(1+OFFSET($J$49,D1042,0))^I1042*(1+OFFSET($K$49,D1042,0))^J1042*(1+OFFSET($L$49,D1042,0))^K1042*(1+OFFSET($M$49,D1042,0))^L1042</f>
        <v>346.979660534714</v>
      </c>
      <c r="N1042" s="67">
        <f ca="1">MAX(MAX($N$62:N1041),OFFSET($C$61,MATCH(M1042*1.07,$M$62:$M$2061,1),0)-C1042)</f>
        <v>49320</v>
      </c>
    </row>
    <row r="1043" spans="2:14">
      <c r="B1043" s="67">
        <v>982</v>
      </c>
      <c r="C1043" s="67">
        <f t="shared" si="99"/>
        <v>353520</v>
      </c>
      <c r="D1043" s="67">
        <f t="shared" si="95"/>
        <v>5</v>
      </c>
      <c r="E1043" s="67">
        <f ca="1" t="shared" si="96"/>
        <v>1012</v>
      </c>
      <c r="F1043" s="67">
        <f ca="1" t="shared" si="97"/>
        <v>0</v>
      </c>
      <c r="G1043" s="67">
        <f ca="1" t="shared" si="98"/>
        <v>0</v>
      </c>
      <c r="H1043" s="67" cm="1">
        <f ca="1" t="array" ref="H1043">MIN(30-SUM(I1043:L1043),_xlfn.XLOOKUP($D1043&amp;"_"&amp;H$61,$B$23:$B$45&amp;"_"&amp;$C$23:$C$45,$D$23:$D$45)*$E1043,18)</f>
        <v>11.9200953479431</v>
      </c>
      <c r="I1043" s="67" cm="1">
        <f ca="1" t="array" ref="I1043">MIN(30-SUM(J1043:L1043),6-L1043,_xlfn.XLOOKUP($D1043&amp;"_"&amp;I$61,$B$23:$B$45&amp;"_"&amp;$C$23:$C$45,$D$23:$D$45)*$E1043)</f>
        <v>0</v>
      </c>
      <c r="J1043" s="67" cm="1">
        <f ca="1" t="array" ref="J1043">MIN(8,_xlfn.XLOOKUP($D1043&amp;"_"&amp;J$61,$B$23:$B$45&amp;"_"&amp;$C$23:$C$45,$D$23:$D$45)*$E1043)</f>
        <v>8</v>
      </c>
      <c r="K1043" s="67" cm="1">
        <f ca="1" t="array" ref="K1043">MIN(18,_xlfn.XLOOKUP($D1043&amp;"_"&amp;K$61,$B$23:$B$45&amp;"_"&amp;$C$23:$C$45,$D$23:$D$45)*$E1043)</f>
        <v>4.07990465205691</v>
      </c>
      <c r="L1043" s="67" cm="1">
        <f ca="1" t="array" ref="L1043">MIN(6,_xlfn.XLOOKUP($D1043&amp;"_"&amp;L$61,$B$23:$B$45&amp;"_"&amp;$C$23:$C$45,$D$23:$D$45)*$E1043)</f>
        <v>6</v>
      </c>
      <c r="M1043" s="67" cm="1">
        <f ca="1" t="array" ref="M1043">(1+SUMPRODUCT(G1043:H1043,OFFSET($H$49:$I$49,D1043,0)))*(1+OFFSET($J$49,D1043,0))^I1043*(1+OFFSET($K$49,D1043,0))^J1043*(1+OFFSET($L$49,D1043,0))^K1043*(1+OFFSET($M$49,D1043,0))^L1043</f>
        <v>347.152080774688</v>
      </c>
      <c r="N1043" s="67">
        <f ca="1">MAX(MAX($N$62:N1042),OFFSET($C$61,MATCH(M1043*1.07,$M$62:$M$2061,1),0)-C1043)</f>
        <v>49320</v>
      </c>
    </row>
    <row r="1044" spans="2:14">
      <c r="B1044" s="67">
        <v>983</v>
      </c>
      <c r="C1044" s="67">
        <f t="shared" si="99"/>
        <v>353880</v>
      </c>
      <c r="D1044" s="67">
        <f t="shared" si="95"/>
        <v>5</v>
      </c>
      <c r="E1044" s="67">
        <f ca="1" t="shared" si="96"/>
        <v>1013</v>
      </c>
      <c r="F1044" s="67">
        <f ca="1" t="shared" si="97"/>
        <v>0</v>
      </c>
      <c r="G1044" s="67">
        <f ca="1" t="shared" si="98"/>
        <v>0</v>
      </c>
      <c r="H1044" s="67" cm="1">
        <f ca="1" t="array" ref="H1044">MIN(30-SUM(I1044:L1044),_xlfn.XLOOKUP($D1044&amp;"_"&amp;H$61,$B$23:$B$45&amp;"_"&amp;$C$23:$C$45,$D$23:$D$45)*$E1044,18)</f>
        <v>11.9160638216071</v>
      </c>
      <c r="I1044" s="67" cm="1">
        <f ca="1" t="array" ref="I1044">MIN(30-SUM(J1044:L1044),6-L1044,_xlfn.XLOOKUP($D1044&amp;"_"&amp;I$61,$B$23:$B$45&amp;"_"&amp;$C$23:$C$45,$D$23:$D$45)*$E1044)</f>
        <v>0</v>
      </c>
      <c r="J1044" s="67" cm="1">
        <f ca="1" t="array" ref="J1044">MIN(8,_xlfn.XLOOKUP($D1044&amp;"_"&amp;J$61,$B$23:$B$45&amp;"_"&amp;$C$23:$C$45,$D$23:$D$45)*$E1044)</f>
        <v>8</v>
      </c>
      <c r="K1044" s="67" cm="1">
        <f ca="1" t="array" ref="K1044">MIN(18,_xlfn.XLOOKUP($D1044&amp;"_"&amp;K$61,$B$23:$B$45&amp;"_"&amp;$C$23:$C$45,$D$23:$D$45)*$E1044)</f>
        <v>4.08393617839293</v>
      </c>
      <c r="L1044" s="67" cm="1">
        <f ca="1" t="array" ref="L1044">MIN(6,_xlfn.XLOOKUP($D1044&amp;"_"&amp;L$61,$B$23:$B$45&amp;"_"&amp;$C$23:$C$45,$D$23:$D$45)*$E1044)</f>
        <v>6</v>
      </c>
      <c r="M1044" s="67" cm="1">
        <f ca="1" t="array" ref="M1044">(1+SUMPRODUCT(G1044:H1044,OFFSET($H$49:$I$49,D1044,0)))*(1+OFFSET($J$49,D1044,0))^I1044*(1+OFFSET($K$49,D1044,0))^J1044*(1+OFFSET($L$49,D1044,0))^K1044*(1+OFFSET($M$49,D1044,0))^L1044</f>
        <v>347.324566975009</v>
      </c>
      <c r="N1044" s="67">
        <f ca="1">MAX(MAX($N$62:N1043),OFFSET($C$61,MATCH(M1044*1.07,$M$62:$M$2061,1),0)-C1044)</f>
        <v>49320</v>
      </c>
    </row>
    <row r="1045" spans="2:14">
      <c r="B1045" s="67">
        <v>984</v>
      </c>
      <c r="C1045" s="67">
        <f t="shared" si="99"/>
        <v>354240</v>
      </c>
      <c r="D1045" s="67">
        <f t="shared" si="95"/>
        <v>5</v>
      </c>
      <c r="E1045" s="67">
        <f ca="1" t="shared" si="96"/>
        <v>1014</v>
      </c>
      <c r="F1045" s="67">
        <f ca="1" t="shared" si="97"/>
        <v>0</v>
      </c>
      <c r="G1045" s="67">
        <f ca="1" t="shared" si="98"/>
        <v>0</v>
      </c>
      <c r="H1045" s="67" cm="1">
        <f ca="1" t="array" ref="H1045">MIN(30-SUM(I1045:L1045),_xlfn.XLOOKUP($D1045&amp;"_"&amp;H$61,$B$23:$B$45&amp;"_"&amp;$C$23:$C$45,$D$23:$D$45)*$E1045,18)</f>
        <v>11.912032295271</v>
      </c>
      <c r="I1045" s="67" cm="1">
        <f ca="1" t="array" ref="I1045">MIN(30-SUM(J1045:L1045),6-L1045,_xlfn.XLOOKUP($D1045&amp;"_"&amp;I$61,$B$23:$B$45&amp;"_"&amp;$C$23:$C$45,$D$23:$D$45)*$E1045)</f>
        <v>0</v>
      </c>
      <c r="J1045" s="67" cm="1">
        <f ca="1" t="array" ref="J1045">MIN(8,_xlfn.XLOOKUP($D1045&amp;"_"&amp;J$61,$B$23:$B$45&amp;"_"&amp;$C$23:$C$45,$D$23:$D$45)*$E1045)</f>
        <v>8</v>
      </c>
      <c r="K1045" s="67" cm="1">
        <f ca="1" t="array" ref="K1045">MIN(18,_xlfn.XLOOKUP($D1045&amp;"_"&amp;K$61,$B$23:$B$45&amp;"_"&amp;$C$23:$C$45,$D$23:$D$45)*$E1045)</f>
        <v>4.08796770472895</v>
      </c>
      <c r="L1045" s="67" cm="1">
        <f ca="1" t="array" ref="L1045">MIN(6,_xlfn.XLOOKUP($D1045&amp;"_"&amp;L$61,$B$23:$B$45&amp;"_"&amp;$C$23:$C$45,$D$23:$D$45)*$E1045)</f>
        <v>6</v>
      </c>
      <c r="M1045" s="67" cm="1">
        <f ca="1" t="array" ref="M1045">(1+SUMPRODUCT(G1045:H1045,OFFSET($H$49:$I$49,D1045,0)))*(1+OFFSET($J$49,D1045,0))^I1045*(1+OFFSET($K$49,D1045,0))^J1045*(1+OFFSET($L$49,D1045,0))^K1045*(1+OFFSET($M$49,D1045,0))^L1045</f>
        <v>347.497119139456</v>
      </c>
      <c r="N1045" s="67">
        <f ca="1">MAX(MAX($N$62:N1044),OFFSET($C$61,MATCH(M1045*1.07,$M$62:$M$2061,1),0)-C1045)</f>
        <v>49320</v>
      </c>
    </row>
    <row r="1046" spans="2:14">
      <c r="B1046" s="67">
        <v>985</v>
      </c>
      <c r="C1046" s="67">
        <f t="shared" si="99"/>
        <v>354600</v>
      </c>
      <c r="D1046" s="67">
        <f t="shared" si="95"/>
        <v>5</v>
      </c>
      <c r="E1046" s="67">
        <f ca="1" t="shared" si="96"/>
        <v>1015</v>
      </c>
      <c r="F1046" s="67">
        <f ca="1" t="shared" si="97"/>
        <v>0</v>
      </c>
      <c r="G1046" s="67">
        <f ca="1" t="shared" si="98"/>
        <v>0</v>
      </c>
      <c r="H1046" s="67" cm="1">
        <f ca="1" t="array" ref="H1046">MIN(30-SUM(I1046:L1046),_xlfn.XLOOKUP($D1046&amp;"_"&amp;H$61,$B$23:$B$45&amp;"_"&amp;$C$23:$C$45,$D$23:$D$45)*$E1046,18)</f>
        <v>11.908000768935</v>
      </c>
      <c r="I1046" s="67" cm="1">
        <f ca="1" t="array" ref="I1046">MIN(30-SUM(J1046:L1046),6-L1046,_xlfn.XLOOKUP($D1046&amp;"_"&amp;I$61,$B$23:$B$45&amp;"_"&amp;$C$23:$C$45,$D$23:$D$45)*$E1046)</f>
        <v>0</v>
      </c>
      <c r="J1046" s="67" cm="1">
        <f ca="1" t="array" ref="J1046">MIN(8,_xlfn.XLOOKUP($D1046&amp;"_"&amp;J$61,$B$23:$B$45&amp;"_"&amp;$C$23:$C$45,$D$23:$D$45)*$E1046)</f>
        <v>8</v>
      </c>
      <c r="K1046" s="67" cm="1">
        <f ca="1" t="array" ref="K1046">MIN(18,_xlfn.XLOOKUP($D1046&amp;"_"&amp;K$61,$B$23:$B$45&amp;"_"&amp;$C$23:$C$45,$D$23:$D$45)*$E1046)</f>
        <v>4.09199923106498</v>
      </c>
      <c r="L1046" s="67" cm="1">
        <f ca="1" t="array" ref="L1046">MIN(6,_xlfn.XLOOKUP($D1046&amp;"_"&amp;L$61,$B$23:$B$45&amp;"_"&amp;$C$23:$C$45,$D$23:$D$45)*$E1046)</f>
        <v>6</v>
      </c>
      <c r="M1046" s="67" cm="1">
        <f ca="1" t="array" ref="M1046">(1+SUMPRODUCT(G1046:H1046,OFFSET($H$49:$I$49,D1046,0)))*(1+OFFSET($J$49,D1046,0))^I1046*(1+OFFSET($K$49,D1046,0))^J1046*(1+OFFSET($L$49,D1046,0))^K1046*(1+OFFSET($M$49,D1046,0))^L1046</f>
        <v>347.669737271778</v>
      </c>
      <c r="N1046" s="67">
        <f ca="1">MAX(MAX($N$62:N1045),OFFSET($C$61,MATCH(M1046*1.07,$M$62:$M$2061,1),0)-C1046)</f>
        <v>49320</v>
      </c>
    </row>
    <row r="1047" spans="2:14">
      <c r="B1047" s="67">
        <v>986</v>
      </c>
      <c r="C1047" s="67">
        <f t="shared" si="99"/>
        <v>354960</v>
      </c>
      <c r="D1047" s="67">
        <f t="shared" si="95"/>
        <v>5</v>
      </c>
      <c r="E1047" s="67">
        <f ca="1" t="shared" si="96"/>
        <v>1016</v>
      </c>
      <c r="F1047" s="67">
        <f ca="1" t="shared" si="97"/>
        <v>0</v>
      </c>
      <c r="G1047" s="67">
        <f ca="1" t="shared" si="98"/>
        <v>0</v>
      </c>
      <c r="H1047" s="67" cm="1">
        <f ca="1" t="array" ref="H1047">MIN(30-SUM(I1047:L1047),_xlfn.XLOOKUP($D1047&amp;"_"&amp;H$61,$B$23:$B$45&amp;"_"&amp;$C$23:$C$45,$D$23:$D$45)*$E1047,18)</f>
        <v>11.903969242599</v>
      </c>
      <c r="I1047" s="67" cm="1">
        <f ca="1" t="array" ref="I1047">MIN(30-SUM(J1047:L1047),6-L1047,_xlfn.XLOOKUP($D1047&amp;"_"&amp;I$61,$B$23:$B$45&amp;"_"&amp;$C$23:$C$45,$D$23:$D$45)*$E1047)</f>
        <v>0</v>
      </c>
      <c r="J1047" s="67" cm="1">
        <f ca="1" t="array" ref="J1047">MIN(8,_xlfn.XLOOKUP($D1047&amp;"_"&amp;J$61,$B$23:$B$45&amp;"_"&amp;$C$23:$C$45,$D$23:$D$45)*$E1047)</f>
        <v>8</v>
      </c>
      <c r="K1047" s="67" cm="1">
        <f ca="1" t="array" ref="K1047">MIN(18,_xlfn.XLOOKUP($D1047&amp;"_"&amp;K$61,$B$23:$B$45&amp;"_"&amp;$C$23:$C$45,$D$23:$D$45)*$E1047)</f>
        <v>4.096030757401</v>
      </c>
      <c r="L1047" s="67" cm="1">
        <f ca="1" t="array" ref="L1047">MIN(6,_xlfn.XLOOKUP($D1047&amp;"_"&amp;L$61,$B$23:$B$45&amp;"_"&amp;$C$23:$C$45,$D$23:$D$45)*$E1047)</f>
        <v>6</v>
      </c>
      <c r="M1047" s="67" cm="1">
        <f ca="1" t="array" ref="M1047">(1+SUMPRODUCT(G1047:H1047,OFFSET($H$49:$I$49,D1047,0)))*(1+OFFSET($J$49,D1047,0))^I1047*(1+OFFSET($K$49,D1047,0))^J1047*(1+OFFSET($L$49,D1047,0))^K1047*(1+OFFSET($M$49,D1047,0))^L1047</f>
        <v>347.842421375694</v>
      </c>
      <c r="N1047" s="67">
        <f ca="1">MAX(MAX($N$62:N1046),OFFSET($C$61,MATCH(M1047*1.07,$M$62:$M$2061,1),0)-C1047)</f>
        <v>49320</v>
      </c>
    </row>
    <row r="1048" spans="2:14">
      <c r="B1048" s="67">
        <v>987</v>
      </c>
      <c r="C1048" s="67">
        <f t="shared" si="99"/>
        <v>355320</v>
      </c>
      <c r="D1048" s="67">
        <f t="shared" si="95"/>
        <v>5</v>
      </c>
      <c r="E1048" s="67">
        <f ca="1" t="shared" si="96"/>
        <v>1017</v>
      </c>
      <c r="F1048" s="67">
        <f ca="1" t="shared" si="97"/>
        <v>0</v>
      </c>
      <c r="G1048" s="67">
        <f ca="1" t="shared" si="98"/>
        <v>0</v>
      </c>
      <c r="H1048" s="67" cm="1">
        <f ca="1" t="array" ref="H1048">MIN(30-SUM(I1048:L1048),_xlfn.XLOOKUP($D1048&amp;"_"&amp;H$61,$B$23:$B$45&amp;"_"&amp;$C$23:$C$45,$D$23:$D$45)*$E1048,18)</f>
        <v>11.899937716263</v>
      </c>
      <c r="I1048" s="67" cm="1">
        <f ca="1" t="array" ref="I1048">MIN(30-SUM(J1048:L1048),6-L1048,_xlfn.XLOOKUP($D1048&amp;"_"&amp;I$61,$B$23:$B$45&amp;"_"&amp;$C$23:$C$45,$D$23:$D$45)*$E1048)</f>
        <v>0</v>
      </c>
      <c r="J1048" s="67" cm="1">
        <f ca="1" t="array" ref="J1048">MIN(8,_xlfn.XLOOKUP($D1048&amp;"_"&amp;J$61,$B$23:$B$45&amp;"_"&amp;$C$23:$C$45,$D$23:$D$45)*$E1048)</f>
        <v>8</v>
      </c>
      <c r="K1048" s="67" cm="1">
        <f ca="1" t="array" ref="K1048">MIN(18,_xlfn.XLOOKUP($D1048&amp;"_"&amp;K$61,$B$23:$B$45&amp;"_"&amp;$C$23:$C$45,$D$23:$D$45)*$E1048)</f>
        <v>4.10006228373703</v>
      </c>
      <c r="L1048" s="67" cm="1">
        <f ca="1" t="array" ref="L1048">MIN(6,_xlfn.XLOOKUP($D1048&amp;"_"&amp;L$61,$B$23:$B$45&amp;"_"&amp;$C$23:$C$45,$D$23:$D$45)*$E1048)</f>
        <v>6</v>
      </c>
      <c r="M1048" s="67" cm="1">
        <f ca="1" t="array" ref="M1048">(1+SUMPRODUCT(G1048:H1048,OFFSET($H$49:$I$49,D1048,0)))*(1+OFFSET($J$49,D1048,0))^I1048*(1+OFFSET($K$49,D1048,0))^J1048*(1+OFFSET($L$49,D1048,0))^K1048*(1+OFFSET($M$49,D1048,0))^L1048</f>
        <v>348.015171454891</v>
      </c>
      <c r="N1048" s="67">
        <f ca="1">MAX(MAX($N$62:N1047),OFFSET($C$61,MATCH(M1048*1.07,$M$62:$M$2061,1),0)-C1048)</f>
        <v>49320</v>
      </c>
    </row>
    <row r="1049" spans="2:14">
      <c r="B1049" s="67">
        <v>988</v>
      </c>
      <c r="C1049" s="67">
        <f t="shared" si="99"/>
        <v>355680</v>
      </c>
      <c r="D1049" s="67">
        <f t="shared" si="95"/>
        <v>5</v>
      </c>
      <c r="E1049" s="67">
        <f ca="1" t="shared" si="96"/>
        <v>1018</v>
      </c>
      <c r="F1049" s="67">
        <f ca="1" t="shared" si="97"/>
        <v>0</v>
      </c>
      <c r="G1049" s="67">
        <f ca="1" t="shared" si="98"/>
        <v>0</v>
      </c>
      <c r="H1049" s="67" cm="1">
        <f ca="1" t="array" ref="H1049">MIN(30-SUM(I1049:L1049),_xlfn.XLOOKUP($D1049&amp;"_"&amp;H$61,$B$23:$B$45&amp;"_"&amp;$C$23:$C$45,$D$23:$D$45)*$E1049,18)</f>
        <v>11.8959061899269</v>
      </c>
      <c r="I1049" s="67" cm="1">
        <f ca="1" t="array" ref="I1049">MIN(30-SUM(J1049:L1049),6-L1049,_xlfn.XLOOKUP($D1049&amp;"_"&amp;I$61,$B$23:$B$45&amp;"_"&amp;$C$23:$C$45,$D$23:$D$45)*$E1049)</f>
        <v>0</v>
      </c>
      <c r="J1049" s="67" cm="1">
        <f ca="1" t="array" ref="J1049">MIN(8,_xlfn.XLOOKUP($D1049&amp;"_"&amp;J$61,$B$23:$B$45&amp;"_"&amp;$C$23:$C$45,$D$23:$D$45)*$E1049)</f>
        <v>8</v>
      </c>
      <c r="K1049" s="67" cm="1">
        <f ca="1" t="array" ref="K1049">MIN(18,_xlfn.XLOOKUP($D1049&amp;"_"&amp;K$61,$B$23:$B$45&amp;"_"&amp;$C$23:$C$45,$D$23:$D$45)*$E1049)</f>
        <v>4.10409381007305</v>
      </c>
      <c r="L1049" s="67" cm="1">
        <f ca="1" t="array" ref="L1049">MIN(6,_xlfn.XLOOKUP($D1049&amp;"_"&amp;L$61,$B$23:$B$45&amp;"_"&amp;$C$23:$C$45,$D$23:$D$45)*$E1049)</f>
        <v>6</v>
      </c>
      <c r="M1049" s="67" cm="1">
        <f ca="1" t="array" ref="M1049">(1+SUMPRODUCT(G1049:H1049,OFFSET($H$49:$I$49,D1049,0)))*(1+OFFSET($J$49,D1049,0))^I1049*(1+OFFSET($K$49,D1049,0))^J1049*(1+OFFSET($L$49,D1049,0))^K1049*(1+OFFSET($M$49,D1049,0))^L1049</f>
        <v>348.187987513029</v>
      </c>
      <c r="N1049" s="67">
        <f ca="1">MAX(MAX($N$62:N1048),OFFSET($C$61,MATCH(M1049*1.07,$M$62:$M$2061,1),0)-C1049)</f>
        <v>49320</v>
      </c>
    </row>
    <row r="1050" spans="2:14">
      <c r="B1050" s="67">
        <v>989</v>
      </c>
      <c r="C1050" s="67">
        <f t="shared" si="99"/>
        <v>356040</v>
      </c>
      <c r="D1050" s="67">
        <f t="shared" si="95"/>
        <v>5</v>
      </c>
      <c r="E1050" s="67">
        <f ca="1" t="shared" si="96"/>
        <v>1019</v>
      </c>
      <c r="F1050" s="67">
        <f ca="1" t="shared" si="97"/>
        <v>0</v>
      </c>
      <c r="G1050" s="67">
        <f ca="1" t="shared" si="98"/>
        <v>0</v>
      </c>
      <c r="H1050" s="67" cm="1">
        <f ca="1" t="array" ref="H1050">MIN(30-SUM(I1050:L1050),_xlfn.XLOOKUP($D1050&amp;"_"&amp;H$61,$B$23:$B$45&amp;"_"&amp;$C$23:$C$45,$D$23:$D$45)*$E1050,18)</f>
        <v>11.8918746635909</v>
      </c>
      <c r="I1050" s="67" cm="1">
        <f ca="1" t="array" ref="I1050">MIN(30-SUM(J1050:L1050),6-L1050,_xlfn.XLOOKUP($D1050&amp;"_"&amp;I$61,$B$23:$B$45&amp;"_"&amp;$C$23:$C$45,$D$23:$D$45)*$E1050)</f>
        <v>0</v>
      </c>
      <c r="J1050" s="67" cm="1">
        <f ca="1" t="array" ref="J1050">MIN(8,_xlfn.XLOOKUP($D1050&amp;"_"&amp;J$61,$B$23:$B$45&amp;"_"&amp;$C$23:$C$45,$D$23:$D$45)*$E1050)</f>
        <v>8</v>
      </c>
      <c r="K1050" s="67" cm="1">
        <f ca="1" t="array" ref="K1050">MIN(18,_xlfn.XLOOKUP($D1050&amp;"_"&amp;K$61,$B$23:$B$45&amp;"_"&amp;$C$23:$C$45,$D$23:$D$45)*$E1050)</f>
        <v>4.10812533640908</v>
      </c>
      <c r="L1050" s="67" cm="1">
        <f ca="1" t="array" ref="L1050">MIN(6,_xlfn.XLOOKUP($D1050&amp;"_"&amp;L$61,$B$23:$B$45&amp;"_"&amp;$C$23:$C$45,$D$23:$D$45)*$E1050)</f>
        <v>6</v>
      </c>
      <c r="M1050" s="67" cm="1">
        <f ca="1" t="array" ref="M1050">(1+SUMPRODUCT(G1050:H1050,OFFSET($H$49:$I$49,D1050,0)))*(1+OFFSET($J$49,D1050,0))^I1050*(1+OFFSET($K$49,D1050,0))^J1050*(1+OFFSET($L$49,D1050,0))^K1050*(1+OFFSET($M$49,D1050,0))^L1050</f>
        <v>348.360869553735</v>
      </c>
      <c r="N1050" s="67">
        <f ca="1">MAX(MAX($N$62:N1049),OFFSET($C$61,MATCH(M1050*1.07,$M$62:$M$2061,1),0)-C1050)</f>
        <v>49320</v>
      </c>
    </row>
    <row r="1051" spans="2:14">
      <c r="B1051" s="67">
        <v>990</v>
      </c>
      <c r="C1051" s="67">
        <f t="shared" si="99"/>
        <v>356400</v>
      </c>
      <c r="D1051" s="67">
        <f t="shared" si="95"/>
        <v>5</v>
      </c>
      <c r="E1051" s="67">
        <f ca="1" t="shared" si="96"/>
        <v>1020</v>
      </c>
      <c r="F1051" s="67">
        <f ca="1" t="shared" si="97"/>
        <v>0</v>
      </c>
      <c r="G1051" s="67">
        <f ca="1" t="shared" si="98"/>
        <v>0</v>
      </c>
      <c r="H1051" s="67" cm="1">
        <f ca="1" t="array" ref="H1051">MIN(30-SUM(I1051:L1051),_xlfn.XLOOKUP($D1051&amp;"_"&amp;H$61,$B$23:$B$45&amp;"_"&amp;$C$23:$C$45,$D$23:$D$45)*$E1051,18)</f>
        <v>11.8878431372549</v>
      </c>
      <c r="I1051" s="67" cm="1">
        <f ca="1" t="array" ref="I1051">MIN(30-SUM(J1051:L1051),6-L1051,_xlfn.XLOOKUP($D1051&amp;"_"&amp;I$61,$B$23:$B$45&amp;"_"&amp;$C$23:$C$45,$D$23:$D$45)*$E1051)</f>
        <v>0</v>
      </c>
      <c r="J1051" s="67" cm="1">
        <f ca="1" t="array" ref="J1051">MIN(8,_xlfn.XLOOKUP($D1051&amp;"_"&amp;J$61,$B$23:$B$45&amp;"_"&amp;$C$23:$C$45,$D$23:$D$45)*$E1051)</f>
        <v>8</v>
      </c>
      <c r="K1051" s="67" cm="1">
        <f ca="1" t="array" ref="K1051">MIN(18,_xlfn.XLOOKUP($D1051&amp;"_"&amp;K$61,$B$23:$B$45&amp;"_"&amp;$C$23:$C$45,$D$23:$D$45)*$E1051)</f>
        <v>4.1121568627451</v>
      </c>
      <c r="L1051" s="67" cm="1">
        <f ca="1" t="array" ref="L1051">MIN(6,_xlfn.XLOOKUP($D1051&amp;"_"&amp;L$61,$B$23:$B$45&amp;"_"&amp;$C$23:$C$45,$D$23:$D$45)*$E1051)</f>
        <v>6</v>
      </c>
      <c r="M1051" s="67" cm="1">
        <f ca="1" t="array" ref="M1051">(1+SUMPRODUCT(G1051:H1051,OFFSET($H$49:$I$49,D1051,0)))*(1+OFFSET($J$49,D1051,0))^I1051*(1+OFFSET($K$49,D1051,0))^J1051*(1+OFFSET($L$49,D1051,0))^K1051*(1+OFFSET($M$49,D1051,0))^L1051</f>
        <v>348.533817580607</v>
      </c>
      <c r="N1051" s="67">
        <f ca="1">MAX(MAX($N$62:N1050),OFFSET($C$61,MATCH(M1051*1.07,$M$62:$M$2061,1),0)-C1051)</f>
        <v>49320</v>
      </c>
    </row>
    <row r="1052" spans="2:14">
      <c r="B1052" s="67">
        <v>991</v>
      </c>
      <c r="C1052" s="67">
        <f t="shared" si="99"/>
        <v>356760</v>
      </c>
      <c r="D1052" s="67">
        <f t="shared" si="95"/>
        <v>5</v>
      </c>
      <c r="E1052" s="67">
        <f ca="1" t="shared" si="96"/>
        <v>1021</v>
      </c>
      <c r="F1052" s="67">
        <f ca="1" t="shared" si="97"/>
        <v>0</v>
      </c>
      <c r="G1052" s="67">
        <f ca="1" t="shared" si="98"/>
        <v>0</v>
      </c>
      <c r="H1052" s="67" cm="1">
        <f ca="1" t="array" ref="H1052">MIN(30-SUM(I1052:L1052),_xlfn.XLOOKUP($D1052&amp;"_"&amp;H$61,$B$23:$B$45&amp;"_"&amp;$C$23:$C$45,$D$23:$D$45)*$E1052,18)</f>
        <v>11.8838116109189</v>
      </c>
      <c r="I1052" s="67" cm="1">
        <f ca="1" t="array" ref="I1052">MIN(30-SUM(J1052:L1052),6-L1052,_xlfn.XLOOKUP($D1052&amp;"_"&amp;I$61,$B$23:$B$45&amp;"_"&amp;$C$23:$C$45,$D$23:$D$45)*$E1052)</f>
        <v>0</v>
      </c>
      <c r="J1052" s="67" cm="1">
        <f ca="1" t="array" ref="J1052">MIN(8,_xlfn.XLOOKUP($D1052&amp;"_"&amp;J$61,$B$23:$B$45&amp;"_"&amp;$C$23:$C$45,$D$23:$D$45)*$E1052)</f>
        <v>8</v>
      </c>
      <c r="K1052" s="67" cm="1">
        <f ca="1" t="array" ref="K1052">MIN(18,_xlfn.XLOOKUP($D1052&amp;"_"&amp;K$61,$B$23:$B$45&amp;"_"&amp;$C$23:$C$45,$D$23:$D$45)*$E1052)</f>
        <v>4.11618838908113</v>
      </c>
      <c r="L1052" s="67" cm="1">
        <f ca="1" t="array" ref="L1052">MIN(6,_xlfn.XLOOKUP($D1052&amp;"_"&amp;L$61,$B$23:$B$45&amp;"_"&amp;$C$23:$C$45,$D$23:$D$45)*$E1052)</f>
        <v>6</v>
      </c>
      <c r="M1052" s="67" cm="1">
        <f ca="1" t="array" ref="M1052">(1+SUMPRODUCT(G1052:H1052,OFFSET($H$49:$I$49,D1052,0)))*(1+OFFSET($J$49,D1052,0))^I1052*(1+OFFSET($K$49,D1052,0))^J1052*(1+OFFSET($L$49,D1052,0))^K1052*(1+OFFSET($M$49,D1052,0))^L1052</f>
        <v>348.706831597213</v>
      </c>
      <c r="N1052" s="67">
        <f ca="1">MAX(MAX($N$62:N1051),OFFSET($C$61,MATCH(M1052*1.07,$M$62:$M$2061,1),0)-C1052)</f>
        <v>49320</v>
      </c>
    </row>
    <row r="1053" spans="2:14">
      <c r="B1053" s="67">
        <v>992</v>
      </c>
      <c r="C1053" s="67">
        <f t="shared" si="99"/>
        <v>357120</v>
      </c>
      <c r="D1053" s="67">
        <f t="shared" si="95"/>
        <v>5</v>
      </c>
      <c r="E1053" s="67">
        <f ca="1" t="shared" si="96"/>
        <v>1022</v>
      </c>
      <c r="F1053" s="67">
        <f ca="1" t="shared" si="97"/>
        <v>0</v>
      </c>
      <c r="G1053" s="67">
        <f ca="1" t="shared" si="98"/>
        <v>0</v>
      </c>
      <c r="H1053" s="67" cm="1">
        <f ca="1" t="array" ref="H1053">MIN(30-SUM(I1053:L1053),_xlfn.XLOOKUP($D1053&amp;"_"&amp;H$61,$B$23:$B$45&amp;"_"&amp;$C$23:$C$45,$D$23:$D$45)*$E1053,18)</f>
        <v>11.8797800845828</v>
      </c>
      <c r="I1053" s="67" cm="1">
        <f ca="1" t="array" ref="I1053">MIN(30-SUM(J1053:L1053),6-L1053,_xlfn.XLOOKUP($D1053&amp;"_"&amp;I$61,$B$23:$B$45&amp;"_"&amp;$C$23:$C$45,$D$23:$D$45)*$E1053)</f>
        <v>0</v>
      </c>
      <c r="J1053" s="67" cm="1">
        <f ca="1" t="array" ref="J1053">MIN(8,_xlfn.XLOOKUP($D1053&amp;"_"&amp;J$61,$B$23:$B$45&amp;"_"&amp;$C$23:$C$45,$D$23:$D$45)*$E1053)</f>
        <v>8</v>
      </c>
      <c r="K1053" s="67" cm="1">
        <f ca="1" t="array" ref="K1053">MIN(18,_xlfn.XLOOKUP($D1053&amp;"_"&amp;K$61,$B$23:$B$45&amp;"_"&amp;$C$23:$C$45,$D$23:$D$45)*$E1053)</f>
        <v>4.12021991541715</v>
      </c>
      <c r="L1053" s="67" cm="1">
        <f ca="1" t="array" ref="L1053">MIN(6,_xlfn.XLOOKUP($D1053&amp;"_"&amp;L$61,$B$23:$B$45&amp;"_"&amp;$C$23:$C$45,$D$23:$D$45)*$E1053)</f>
        <v>6</v>
      </c>
      <c r="M1053" s="67" cm="1">
        <f ca="1" t="array" ref="M1053">(1+SUMPRODUCT(G1053:H1053,OFFSET($H$49:$I$49,D1053,0)))*(1+OFFSET($J$49,D1053,0))^I1053*(1+OFFSET($K$49,D1053,0))^J1053*(1+OFFSET($L$49,D1053,0))^K1053*(1+OFFSET($M$49,D1053,0))^L1053</f>
        <v>348.879911607088</v>
      </c>
      <c r="N1053" s="67">
        <f ca="1">MAX(MAX($N$62:N1052),OFFSET($C$61,MATCH(M1053*1.07,$M$62:$M$2061,1),0)-C1053)</f>
        <v>49320</v>
      </c>
    </row>
    <row r="1054" spans="2:14">
      <c r="B1054" s="67">
        <v>993</v>
      </c>
      <c r="C1054" s="67">
        <f t="shared" si="99"/>
        <v>357480</v>
      </c>
      <c r="D1054" s="67">
        <f t="shared" si="95"/>
        <v>5</v>
      </c>
      <c r="E1054" s="67">
        <f ca="1" t="shared" si="96"/>
        <v>1023</v>
      </c>
      <c r="F1054" s="67">
        <f ca="1" t="shared" si="97"/>
        <v>0</v>
      </c>
      <c r="G1054" s="67">
        <f ca="1" t="shared" si="98"/>
        <v>0</v>
      </c>
      <c r="H1054" s="67" cm="1">
        <f ca="1" t="array" ref="H1054">MIN(30-SUM(I1054:L1054),_xlfn.XLOOKUP($D1054&amp;"_"&amp;H$61,$B$23:$B$45&amp;"_"&amp;$C$23:$C$45,$D$23:$D$45)*$E1054,18)</f>
        <v>11.8757485582468</v>
      </c>
      <c r="I1054" s="67" cm="1">
        <f ca="1" t="array" ref="I1054">MIN(30-SUM(J1054:L1054),6-L1054,_xlfn.XLOOKUP($D1054&amp;"_"&amp;I$61,$B$23:$B$45&amp;"_"&amp;$C$23:$C$45,$D$23:$D$45)*$E1054)</f>
        <v>0</v>
      </c>
      <c r="J1054" s="67" cm="1">
        <f ca="1" t="array" ref="J1054">MIN(8,_xlfn.XLOOKUP($D1054&amp;"_"&amp;J$61,$B$23:$B$45&amp;"_"&amp;$C$23:$C$45,$D$23:$D$45)*$E1054)</f>
        <v>8</v>
      </c>
      <c r="K1054" s="67" cm="1">
        <f ca="1" t="array" ref="K1054">MIN(18,_xlfn.XLOOKUP($D1054&amp;"_"&amp;K$61,$B$23:$B$45&amp;"_"&amp;$C$23:$C$45,$D$23:$D$45)*$E1054)</f>
        <v>4.12425144175318</v>
      </c>
      <c r="L1054" s="67" cm="1">
        <f ca="1" t="array" ref="L1054">MIN(6,_xlfn.XLOOKUP($D1054&amp;"_"&amp;L$61,$B$23:$B$45&amp;"_"&amp;$C$23:$C$45,$D$23:$D$45)*$E1054)</f>
        <v>6</v>
      </c>
      <c r="M1054" s="67" cm="1">
        <f ca="1" t="array" ref="M1054">(1+SUMPRODUCT(G1054:H1054,OFFSET($H$49:$I$49,D1054,0)))*(1+OFFSET($J$49,D1054,0))^I1054*(1+OFFSET($K$49,D1054,0))^J1054*(1+OFFSET($L$49,D1054,0))^K1054*(1+OFFSET($M$49,D1054,0))^L1054</f>
        <v>349.05305761374</v>
      </c>
      <c r="N1054" s="67">
        <f ca="1">MAX(MAX($N$62:N1053),OFFSET($C$61,MATCH(M1054*1.07,$M$62:$M$2061,1),0)-C1054)</f>
        <v>49320</v>
      </c>
    </row>
    <row r="1055" spans="2:14">
      <c r="B1055" s="67">
        <v>994</v>
      </c>
      <c r="C1055" s="67">
        <f t="shared" si="99"/>
        <v>357840</v>
      </c>
      <c r="D1055" s="67">
        <f t="shared" si="95"/>
        <v>5</v>
      </c>
      <c r="E1055" s="67">
        <f ca="1" t="shared" si="96"/>
        <v>1024</v>
      </c>
      <c r="F1055" s="67">
        <f ca="1" t="shared" si="97"/>
        <v>0</v>
      </c>
      <c r="G1055" s="67">
        <f ca="1" t="shared" si="98"/>
        <v>0</v>
      </c>
      <c r="H1055" s="67" cm="1">
        <f ca="1" t="array" ref="H1055">MIN(30-SUM(I1055:L1055),_xlfn.XLOOKUP($D1055&amp;"_"&amp;H$61,$B$23:$B$45&amp;"_"&amp;$C$23:$C$45,$D$23:$D$45)*$E1055,18)</f>
        <v>11.8717170319108</v>
      </c>
      <c r="I1055" s="67" cm="1">
        <f ca="1" t="array" ref="I1055">MIN(30-SUM(J1055:L1055),6-L1055,_xlfn.XLOOKUP($D1055&amp;"_"&amp;I$61,$B$23:$B$45&amp;"_"&amp;$C$23:$C$45,$D$23:$D$45)*$E1055)</f>
        <v>0</v>
      </c>
      <c r="J1055" s="67" cm="1">
        <f ca="1" t="array" ref="J1055">MIN(8,_xlfn.XLOOKUP($D1055&amp;"_"&amp;J$61,$B$23:$B$45&amp;"_"&amp;$C$23:$C$45,$D$23:$D$45)*$E1055)</f>
        <v>8</v>
      </c>
      <c r="K1055" s="67" cm="1">
        <f ca="1" t="array" ref="K1055">MIN(18,_xlfn.XLOOKUP($D1055&amp;"_"&amp;K$61,$B$23:$B$45&amp;"_"&amp;$C$23:$C$45,$D$23:$D$45)*$E1055)</f>
        <v>4.1282829680892</v>
      </c>
      <c r="L1055" s="67" cm="1">
        <f ca="1" t="array" ref="L1055">MIN(6,_xlfn.XLOOKUP($D1055&amp;"_"&amp;L$61,$B$23:$B$45&amp;"_"&amp;$C$23:$C$45,$D$23:$D$45)*$E1055)</f>
        <v>6</v>
      </c>
      <c r="M1055" s="67" cm="1">
        <f ca="1" t="array" ref="M1055">(1+SUMPRODUCT(G1055:H1055,OFFSET($H$49:$I$49,D1055,0)))*(1+OFFSET($J$49,D1055,0))^I1055*(1+OFFSET($K$49,D1055,0))^J1055*(1+OFFSET($L$49,D1055,0))^K1055*(1+OFFSET($M$49,D1055,0))^L1055</f>
        <v>349.226269620645</v>
      </c>
      <c r="N1055" s="67">
        <f ca="1">MAX(MAX($N$62:N1054),OFFSET($C$61,MATCH(M1055*1.07,$M$62:$M$2061,1),0)-C1055)</f>
        <v>49320</v>
      </c>
    </row>
    <row r="1056" spans="2:14">
      <c r="B1056" s="67">
        <v>995</v>
      </c>
      <c r="C1056" s="67">
        <f t="shared" si="99"/>
        <v>358200</v>
      </c>
      <c r="D1056" s="67">
        <f t="shared" si="95"/>
        <v>5</v>
      </c>
      <c r="E1056" s="67">
        <f ca="1" t="shared" si="96"/>
        <v>1025</v>
      </c>
      <c r="F1056" s="67">
        <f ca="1" t="shared" si="97"/>
        <v>0</v>
      </c>
      <c r="G1056" s="67">
        <f ca="1" t="shared" si="98"/>
        <v>0</v>
      </c>
      <c r="H1056" s="67" cm="1">
        <f ca="1" t="array" ref="H1056">MIN(30-SUM(I1056:L1056),_xlfn.XLOOKUP($D1056&amp;"_"&amp;H$61,$B$23:$B$45&amp;"_"&amp;$C$23:$C$45,$D$23:$D$45)*$E1056,18)</f>
        <v>11.8676855055748</v>
      </c>
      <c r="I1056" s="67" cm="1">
        <f ca="1" t="array" ref="I1056">MIN(30-SUM(J1056:L1056),6-L1056,_xlfn.XLOOKUP($D1056&amp;"_"&amp;I$61,$B$23:$B$45&amp;"_"&amp;$C$23:$C$45,$D$23:$D$45)*$E1056)</f>
        <v>0</v>
      </c>
      <c r="J1056" s="67" cm="1">
        <f ca="1" t="array" ref="J1056">MIN(8,_xlfn.XLOOKUP($D1056&amp;"_"&amp;J$61,$B$23:$B$45&amp;"_"&amp;$C$23:$C$45,$D$23:$D$45)*$E1056)</f>
        <v>8</v>
      </c>
      <c r="K1056" s="67" cm="1">
        <f ca="1" t="array" ref="K1056">MIN(18,_xlfn.XLOOKUP($D1056&amp;"_"&amp;K$61,$B$23:$B$45&amp;"_"&amp;$C$23:$C$45,$D$23:$D$45)*$E1056)</f>
        <v>4.13231449442523</v>
      </c>
      <c r="L1056" s="67" cm="1">
        <f ca="1" t="array" ref="L1056">MIN(6,_xlfn.XLOOKUP($D1056&amp;"_"&amp;L$61,$B$23:$B$45&amp;"_"&amp;$C$23:$C$45,$D$23:$D$45)*$E1056)</f>
        <v>6</v>
      </c>
      <c r="M1056" s="67" cm="1">
        <f ca="1" t="array" ref="M1056">(1+SUMPRODUCT(G1056:H1056,OFFSET($H$49:$I$49,D1056,0)))*(1+OFFSET($J$49,D1056,0))^I1056*(1+OFFSET($K$49,D1056,0))^J1056*(1+OFFSET($L$49,D1056,0))^K1056*(1+OFFSET($M$49,D1056,0))^L1056</f>
        <v>349.399547631247</v>
      </c>
      <c r="N1056" s="67">
        <f ca="1">MAX(MAX($N$62:N1055),OFFSET($C$61,MATCH(M1056*1.07,$M$62:$M$2061,1),0)-C1056)</f>
        <v>49320</v>
      </c>
    </row>
    <row r="1057" spans="2:14">
      <c r="B1057" s="67">
        <v>996</v>
      </c>
      <c r="C1057" s="67">
        <f t="shared" si="99"/>
        <v>358560</v>
      </c>
      <c r="D1057" s="67">
        <f t="shared" si="95"/>
        <v>5</v>
      </c>
      <c r="E1057" s="67">
        <f ca="1" t="shared" si="96"/>
        <v>1026</v>
      </c>
      <c r="F1057" s="67">
        <f ca="1" t="shared" si="97"/>
        <v>0</v>
      </c>
      <c r="G1057" s="67">
        <f ca="1" t="shared" si="98"/>
        <v>0</v>
      </c>
      <c r="H1057" s="67" cm="1">
        <f ca="1" t="array" ref="H1057">MIN(30-SUM(I1057:L1057),_xlfn.XLOOKUP($D1057&amp;"_"&amp;H$61,$B$23:$B$45&amp;"_"&amp;$C$23:$C$45,$D$23:$D$45)*$E1057,18)</f>
        <v>11.8636539792388</v>
      </c>
      <c r="I1057" s="67" cm="1">
        <f ca="1" t="array" ref="I1057">MIN(30-SUM(J1057:L1057),6-L1057,_xlfn.XLOOKUP($D1057&amp;"_"&amp;I$61,$B$23:$B$45&amp;"_"&amp;$C$23:$C$45,$D$23:$D$45)*$E1057)</f>
        <v>0</v>
      </c>
      <c r="J1057" s="67" cm="1">
        <f ca="1" t="array" ref="J1057">MIN(8,_xlfn.XLOOKUP($D1057&amp;"_"&amp;J$61,$B$23:$B$45&amp;"_"&amp;$C$23:$C$45,$D$23:$D$45)*$E1057)</f>
        <v>8</v>
      </c>
      <c r="K1057" s="67" cm="1">
        <f ca="1" t="array" ref="K1057">MIN(18,_xlfn.XLOOKUP($D1057&amp;"_"&amp;K$61,$B$23:$B$45&amp;"_"&amp;$C$23:$C$45,$D$23:$D$45)*$E1057)</f>
        <v>4.13634602076125</v>
      </c>
      <c r="L1057" s="67" cm="1">
        <f ca="1" t="array" ref="L1057">MIN(6,_xlfn.XLOOKUP($D1057&amp;"_"&amp;L$61,$B$23:$B$45&amp;"_"&amp;$C$23:$C$45,$D$23:$D$45)*$E1057)</f>
        <v>6</v>
      </c>
      <c r="M1057" s="67" cm="1">
        <f ca="1" t="array" ref="M1057">(1+SUMPRODUCT(G1057:H1057,OFFSET($H$49:$I$49,D1057,0)))*(1+OFFSET($J$49,D1057,0))^I1057*(1+OFFSET($K$49,D1057,0))^J1057*(1+OFFSET($L$49,D1057,0))^K1057*(1+OFFSET($M$49,D1057,0))^L1057</f>
        <v>349.572891648961</v>
      </c>
      <c r="N1057" s="67">
        <f ca="1">MAX(MAX($N$62:N1056),OFFSET($C$61,MATCH(M1057*1.07,$M$62:$M$2061,1),0)-C1057)</f>
        <v>49320</v>
      </c>
    </row>
    <row r="1058" spans="2:14">
      <c r="B1058" s="67">
        <v>997</v>
      </c>
      <c r="C1058" s="67">
        <f t="shared" si="99"/>
        <v>358920</v>
      </c>
      <c r="D1058" s="67">
        <f t="shared" si="95"/>
        <v>5</v>
      </c>
      <c r="E1058" s="67">
        <f ca="1" t="shared" si="96"/>
        <v>1027</v>
      </c>
      <c r="F1058" s="67">
        <f ca="1" t="shared" si="97"/>
        <v>0</v>
      </c>
      <c r="G1058" s="67">
        <f ca="1" t="shared" si="98"/>
        <v>0</v>
      </c>
      <c r="H1058" s="67" cm="1">
        <f ca="1" t="array" ref="H1058">MIN(30-SUM(I1058:L1058),_xlfn.XLOOKUP($D1058&amp;"_"&amp;H$61,$B$23:$B$45&amp;"_"&amp;$C$23:$C$45,$D$23:$D$45)*$E1058,18)</f>
        <v>11.8596224529027</v>
      </c>
      <c r="I1058" s="67" cm="1">
        <f ca="1" t="array" ref="I1058">MIN(30-SUM(J1058:L1058),6-L1058,_xlfn.XLOOKUP($D1058&amp;"_"&amp;I$61,$B$23:$B$45&amp;"_"&amp;$C$23:$C$45,$D$23:$D$45)*$E1058)</f>
        <v>0</v>
      </c>
      <c r="J1058" s="67" cm="1">
        <f ca="1" t="array" ref="J1058">MIN(8,_xlfn.XLOOKUP($D1058&amp;"_"&amp;J$61,$B$23:$B$45&amp;"_"&amp;$C$23:$C$45,$D$23:$D$45)*$E1058)</f>
        <v>8</v>
      </c>
      <c r="K1058" s="67" cm="1">
        <f ca="1" t="array" ref="K1058">MIN(18,_xlfn.XLOOKUP($D1058&amp;"_"&amp;K$61,$B$23:$B$45&amp;"_"&amp;$C$23:$C$45,$D$23:$D$45)*$E1058)</f>
        <v>4.14037754709727</v>
      </c>
      <c r="L1058" s="67" cm="1">
        <f ca="1" t="array" ref="L1058">MIN(6,_xlfn.XLOOKUP($D1058&amp;"_"&amp;L$61,$B$23:$B$45&amp;"_"&amp;$C$23:$C$45,$D$23:$D$45)*$E1058)</f>
        <v>6</v>
      </c>
      <c r="M1058" s="67" cm="1">
        <f ca="1" t="array" ref="M1058">(1+SUMPRODUCT(G1058:H1058,OFFSET($H$49:$I$49,D1058,0)))*(1+OFFSET($J$49,D1058,0))^I1058*(1+OFFSET($K$49,D1058,0))^J1058*(1+OFFSET($L$49,D1058,0))^K1058*(1+OFFSET($M$49,D1058,0))^L1058</f>
        <v>349.746301677171</v>
      </c>
      <c r="N1058" s="67">
        <f ca="1">MAX(MAX($N$62:N1057),OFFSET($C$61,MATCH(M1058*1.07,$M$62:$M$2061,1),0)-C1058)</f>
        <v>49320</v>
      </c>
    </row>
    <row r="1059" spans="2:14">
      <c r="B1059" s="67">
        <v>998</v>
      </c>
      <c r="C1059" s="67">
        <f t="shared" si="99"/>
        <v>359280</v>
      </c>
      <c r="D1059" s="67">
        <f t="shared" si="95"/>
        <v>5</v>
      </c>
      <c r="E1059" s="67">
        <f ca="1" t="shared" si="96"/>
        <v>1028</v>
      </c>
      <c r="F1059" s="67">
        <f ca="1" t="shared" si="97"/>
        <v>0</v>
      </c>
      <c r="G1059" s="67">
        <f ca="1" t="shared" si="98"/>
        <v>0</v>
      </c>
      <c r="H1059" s="67" cm="1">
        <f ca="1" t="array" ref="H1059">MIN(30-SUM(I1059:L1059),_xlfn.XLOOKUP($D1059&amp;"_"&amp;H$61,$B$23:$B$45&amp;"_"&amp;$C$23:$C$45,$D$23:$D$45)*$E1059,18)</f>
        <v>11.8555909265667</v>
      </c>
      <c r="I1059" s="67" cm="1">
        <f ca="1" t="array" ref="I1059">MIN(30-SUM(J1059:L1059),6-L1059,_xlfn.XLOOKUP($D1059&amp;"_"&amp;I$61,$B$23:$B$45&amp;"_"&amp;$C$23:$C$45,$D$23:$D$45)*$E1059)</f>
        <v>0</v>
      </c>
      <c r="J1059" s="67" cm="1">
        <f ca="1" t="array" ref="J1059">MIN(8,_xlfn.XLOOKUP($D1059&amp;"_"&amp;J$61,$B$23:$B$45&amp;"_"&amp;$C$23:$C$45,$D$23:$D$45)*$E1059)</f>
        <v>8</v>
      </c>
      <c r="K1059" s="67" cm="1">
        <f ca="1" t="array" ref="K1059">MIN(18,_xlfn.XLOOKUP($D1059&amp;"_"&amp;K$61,$B$23:$B$45&amp;"_"&amp;$C$23:$C$45,$D$23:$D$45)*$E1059)</f>
        <v>4.1444090734333</v>
      </c>
      <c r="L1059" s="67" cm="1">
        <f ca="1" t="array" ref="L1059">MIN(6,_xlfn.XLOOKUP($D1059&amp;"_"&amp;L$61,$B$23:$B$45&amp;"_"&amp;$C$23:$C$45,$D$23:$D$45)*$E1059)</f>
        <v>6</v>
      </c>
      <c r="M1059" s="67" cm="1">
        <f ca="1" t="array" ref="M1059">(1+SUMPRODUCT(G1059:H1059,OFFSET($H$49:$I$49,D1059,0)))*(1+OFFSET($J$49,D1059,0))^I1059*(1+OFFSET($K$49,D1059,0))^J1059*(1+OFFSET($L$49,D1059,0))^K1059*(1+OFFSET($M$49,D1059,0))^L1059</f>
        <v>349.919777719231</v>
      </c>
      <c r="N1059" s="67">
        <f ca="1">MAX(MAX($N$62:N1058),OFFSET($C$61,MATCH(M1059*1.07,$M$62:$M$2061,1),0)-C1059)</f>
        <v>49320</v>
      </c>
    </row>
    <row r="1060" spans="2:14">
      <c r="B1060" s="67">
        <v>999</v>
      </c>
      <c r="C1060" s="67">
        <f t="shared" si="99"/>
        <v>359640</v>
      </c>
      <c r="D1060" s="67">
        <f t="shared" si="95"/>
        <v>5</v>
      </c>
      <c r="E1060" s="67">
        <f ca="1" t="shared" si="96"/>
        <v>1029</v>
      </c>
      <c r="F1060" s="67">
        <f ca="1" t="shared" si="97"/>
        <v>0</v>
      </c>
      <c r="G1060" s="67">
        <f ca="1" t="shared" si="98"/>
        <v>0</v>
      </c>
      <c r="H1060" s="67" cm="1">
        <f ca="1" t="array" ref="H1060">MIN(30-SUM(I1060:L1060),_xlfn.XLOOKUP($D1060&amp;"_"&amp;H$61,$B$23:$B$45&amp;"_"&amp;$C$23:$C$45,$D$23:$D$45)*$E1060,18)</f>
        <v>11.8515594002307</v>
      </c>
      <c r="I1060" s="67" cm="1">
        <f ca="1" t="array" ref="I1060">MIN(30-SUM(J1060:L1060),6-L1060,_xlfn.XLOOKUP($D1060&amp;"_"&amp;I$61,$B$23:$B$45&amp;"_"&amp;$C$23:$C$45,$D$23:$D$45)*$E1060)</f>
        <v>0</v>
      </c>
      <c r="J1060" s="67" cm="1">
        <f ca="1" t="array" ref="J1060">MIN(8,_xlfn.XLOOKUP($D1060&amp;"_"&amp;J$61,$B$23:$B$45&amp;"_"&amp;$C$23:$C$45,$D$23:$D$45)*$E1060)</f>
        <v>8</v>
      </c>
      <c r="K1060" s="67" cm="1">
        <f ca="1" t="array" ref="K1060">MIN(18,_xlfn.XLOOKUP($D1060&amp;"_"&amp;K$61,$B$23:$B$45&amp;"_"&amp;$C$23:$C$45,$D$23:$D$45)*$E1060)</f>
        <v>4.14844059976932</v>
      </c>
      <c r="L1060" s="67" cm="1">
        <f ca="1" t="array" ref="L1060">MIN(6,_xlfn.XLOOKUP($D1060&amp;"_"&amp;L$61,$B$23:$B$45&amp;"_"&amp;$C$23:$C$45,$D$23:$D$45)*$E1060)</f>
        <v>6</v>
      </c>
      <c r="M1060" s="67" cm="1">
        <f ca="1" t="array" ref="M1060">(1+SUMPRODUCT(G1060:H1060,OFFSET($H$49:$I$49,D1060,0)))*(1+OFFSET($J$49,D1060,0))^I1060*(1+OFFSET($K$49,D1060,0))^J1060*(1+OFFSET($L$49,D1060,0))^K1060*(1+OFFSET($M$49,D1060,0))^L1060</f>
        <v>350.093319778462</v>
      </c>
      <c r="N1060" s="67">
        <f ca="1">MAX(MAX($N$62:N1059),OFFSET($C$61,MATCH(M1060*1.07,$M$62:$M$2061,1),0)-C1060)</f>
        <v>49320</v>
      </c>
    </row>
    <row r="1061" spans="2:14">
      <c r="B1061" s="67">
        <v>1000</v>
      </c>
      <c r="C1061" s="67">
        <f t="shared" si="99"/>
        <v>360000</v>
      </c>
      <c r="D1061" s="67">
        <f t="shared" si="95"/>
        <v>5</v>
      </c>
      <c r="E1061" s="67">
        <f ca="1" t="shared" si="96"/>
        <v>1030</v>
      </c>
      <c r="F1061" s="67">
        <f ca="1" t="shared" si="97"/>
        <v>0</v>
      </c>
      <c r="G1061" s="67">
        <f ca="1" t="shared" si="98"/>
        <v>0</v>
      </c>
      <c r="H1061" s="67" cm="1">
        <f ca="1" t="array" ref="H1061">MIN(30-SUM(I1061:L1061),_xlfn.XLOOKUP($D1061&amp;"_"&amp;H$61,$B$23:$B$45&amp;"_"&amp;$C$23:$C$45,$D$23:$D$45)*$E1061,18)</f>
        <v>11.8475278738947</v>
      </c>
      <c r="I1061" s="67" cm="1">
        <f ca="1" t="array" ref="I1061">MIN(30-SUM(J1061:L1061),6-L1061,_xlfn.XLOOKUP($D1061&amp;"_"&amp;I$61,$B$23:$B$45&amp;"_"&amp;$C$23:$C$45,$D$23:$D$45)*$E1061)</f>
        <v>0</v>
      </c>
      <c r="J1061" s="67" cm="1">
        <f ca="1" t="array" ref="J1061">MIN(8,_xlfn.XLOOKUP($D1061&amp;"_"&amp;J$61,$B$23:$B$45&amp;"_"&amp;$C$23:$C$45,$D$23:$D$45)*$E1061)</f>
        <v>8</v>
      </c>
      <c r="K1061" s="67" cm="1">
        <f ca="1" t="array" ref="K1061">MIN(18,_xlfn.XLOOKUP($D1061&amp;"_"&amp;K$61,$B$23:$B$45&amp;"_"&amp;$C$23:$C$45,$D$23:$D$45)*$E1061)</f>
        <v>4.15247212610535</v>
      </c>
      <c r="L1061" s="67" cm="1">
        <f ca="1" t="array" ref="L1061">MIN(6,_xlfn.XLOOKUP($D1061&amp;"_"&amp;L$61,$B$23:$B$45&amp;"_"&amp;$C$23:$C$45,$D$23:$D$45)*$E1061)</f>
        <v>6</v>
      </c>
      <c r="M1061" s="67" cm="1">
        <f ca="1" t="array" ref="M1061">(1+SUMPRODUCT(G1061:H1061,OFFSET($H$49:$I$49,D1061,0)))*(1+OFFSET($J$49,D1061,0))^I1061*(1+OFFSET($K$49,D1061,0))^J1061*(1+OFFSET($L$49,D1061,0))^K1061*(1+OFFSET($M$49,D1061,0))^L1061</f>
        <v>350.266927858158</v>
      </c>
      <c r="N1061" s="67">
        <f ca="1">MAX(MAX($N$62:N1060),OFFSET($C$61,MATCH(M1061*1.07,$M$62:$M$2061,1),0)-C1061)</f>
        <v>49320</v>
      </c>
    </row>
    <row r="1062" spans="2:14">
      <c r="B1062" s="67">
        <v>1001</v>
      </c>
      <c r="C1062" s="67">
        <f t="shared" ref="C1062:C1093" si="100">C1061+360</f>
        <v>360360</v>
      </c>
      <c r="D1062" s="67">
        <f t="shared" si="95"/>
        <v>5</v>
      </c>
      <c r="E1062" s="67">
        <f ca="1" t="shared" si="96"/>
        <v>1031</v>
      </c>
      <c r="F1062" s="67">
        <f ca="1" t="shared" ref="F1062:F1093" si="101">30-SUM(G1062:L1062)</f>
        <v>0</v>
      </c>
      <c r="G1062" s="67">
        <f ca="1" t="shared" ref="G1062:G1093" si="102">30-SUM(H1062:L1062)</f>
        <v>0</v>
      </c>
      <c r="H1062" s="67" cm="1">
        <f ca="1" t="array" ref="H1062">MIN(30-SUM(I1062:L1062),_xlfn.XLOOKUP($D1062&amp;"_"&amp;H$61,$B$23:$B$45&amp;"_"&amp;$C$23:$C$45,$D$23:$D$45)*$E1062,18)</f>
        <v>11.8434963475586</v>
      </c>
      <c r="I1062" s="67" cm="1">
        <f ca="1" t="array" ref="I1062">MIN(30-SUM(J1062:L1062),6-L1062,_xlfn.XLOOKUP($D1062&amp;"_"&amp;I$61,$B$23:$B$45&amp;"_"&amp;$C$23:$C$45,$D$23:$D$45)*$E1062)</f>
        <v>0</v>
      </c>
      <c r="J1062" s="67" cm="1">
        <f ca="1" t="array" ref="J1062">MIN(8,_xlfn.XLOOKUP($D1062&amp;"_"&amp;J$61,$B$23:$B$45&amp;"_"&amp;$C$23:$C$45,$D$23:$D$45)*$E1062)</f>
        <v>8</v>
      </c>
      <c r="K1062" s="67" cm="1">
        <f ca="1" t="array" ref="K1062">MIN(18,_xlfn.XLOOKUP($D1062&amp;"_"&amp;K$61,$B$23:$B$45&amp;"_"&amp;$C$23:$C$45,$D$23:$D$45)*$E1062)</f>
        <v>4.15650365244137</v>
      </c>
      <c r="L1062" s="67" cm="1">
        <f ca="1" t="array" ref="L1062">MIN(6,_xlfn.XLOOKUP($D1062&amp;"_"&amp;L$61,$B$23:$B$45&amp;"_"&amp;$C$23:$C$45,$D$23:$D$45)*$E1062)</f>
        <v>6</v>
      </c>
      <c r="M1062" s="67" cm="1">
        <f ca="1" t="array" ref="M1062">(1+SUMPRODUCT(G1062:H1062,OFFSET($H$49:$I$49,D1062,0)))*(1+OFFSET($J$49,D1062,0))^I1062*(1+OFFSET($K$49,D1062,0))^J1062*(1+OFFSET($L$49,D1062,0))^K1062*(1+OFFSET($M$49,D1062,0))^L1062</f>
        <v>350.440601961577</v>
      </c>
      <c r="N1062" s="67">
        <f ca="1">MAX(MAX($N$62:N1061),OFFSET($C$61,MATCH(M1062*1.07,$M$62:$M$2061,1),0)-C1062)</f>
        <v>49320</v>
      </c>
    </row>
    <row r="1063" spans="2:14">
      <c r="B1063" s="67">
        <v>1002</v>
      </c>
      <c r="C1063" s="67">
        <f t="shared" si="100"/>
        <v>360720</v>
      </c>
      <c r="D1063" s="67">
        <f t="shared" si="95"/>
        <v>5</v>
      </c>
      <c r="E1063" s="67">
        <f ca="1" t="shared" si="96"/>
        <v>1032</v>
      </c>
      <c r="F1063" s="67">
        <f ca="1" t="shared" si="101"/>
        <v>0</v>
      </c>
      <c r="G1063" s="67">
        <f ca="1" t="shared" si="102"/>
        <v>0</v>
      </c>
      <c r="H1063" s="67" cm="1">
        <f ca="1" t="array" ref="H1063">MIN(30-SUM(I1063:L1063),_xlfn.XLOOKUP($D1063&amp;"_"&amp;H$61,$B$23:$B$45&amp;"_"&amp;$C$23:$C$45,$D$23:$D$45)*$E1063,18)</f>
        <v>11.8394648212226</v>
      </c>
      <c r="I1063" s="67" cm="1">
        <f ca="1" t="array" ref="I1063">MIN(30-SUM(J1063:L1063),6-L1063,_xlfn.XLOOKUP($D1063&amp;"_"&amp;I$61,$B$23:$B$45&amp;"_"&amp;$C$23:$C$45,$D$23:$D$45)*$E1063)</f>
        <v>0</v>
      </c>
      <c r="J1063" s="67" cm="1">
        <f ca="1" t="array" ref="J1063">MIN(8,_xlfn.XLOOKUP($D1063&amp;"_"&amp;J$61,$B$23:$B$45&amp;"_"&amp;$C$23:$C$45,$D$23:$D$45)*$E1063)</f>
        <v>8</v>
      </c>
      <c r="K1063" s="67" cm="1">
        <f ca="1" t="array" ref="K1063">MIN(18,_xlfn.XLOOKUP($D1063&amp;"_"&amp;K$61,$B$23:$B$45&amp;"_"&amp;$C$23:$C$45,$D$23:$D$45)*$E1063)</f>
        <v>4.1605351787774</v>
      </c>
      <c r="L1063" s="67" cm="1">
        <f ca="1" t="array" ref="L1063">MIN(6,_xlfn.XLOOKUP($D1063&amp;"_"&amp;L$61,$B$23:$B$45&amp;"_"&amp;$C$23:$C$45,$D$23:$D$45)*$E1063)</f>
        <v>6</v>
      </c>
      <c r="M1063" s="67" cm="1">
        <f ca="1" t="array" ref="M1063">(1+SUMPRODUCT(G1063:H1063,OFFSET($H$49:$I$49,D1063,0)))*(1+OFFSET($J$49,D1063,0))^I1063*(1+OFFSET($K$49,D1063,0))^J1063*(1+OFFSET($L$49,D1063,0))^K1063*(1+OFFSET($M$49,D1063,0))^L1063</f>
        <v>350.614342091952</v>
      </c>
      <c r="N1063" s="67">
        <f ca="1">MAX(MAX($N$62:N1062),OFFSET($C$61,MATCH(M1063*1.07,$M$62:$M$2061,1),0)-C1063)</f>
        <v>49320</v>
      </c>
    </row>
    <row r="1064" spans="2:14">
      <c r="B1064" s="67">
        <v>1003</v>
      </c>
      <c r="C1064" s="67">
        <f t="shared" si="100"/>
        <v>361080</v>
      </c>
      <c r="D1064" s="67">
        <f t="shared" si="95"/>
        <v>5</v>
      </c>
      <c r="E1064" s="67">
        <f ca="1" t="shared" si="96"/>
        <v>1033</v>
      </c>
      <c r="F1064" s="67">
        <f ca="1" t="shared" si="101"/>
        <v>0</v>
      </c>
      <c r="G1064" s="67">
        <f ca="1" t="shared" si="102"/>
        <v>0</v>
      </c>
      <c r="H1064" s="67" cm="1">
        <f ca="1" t="array" ref="H1064">MIN(30-SUM(I1064:L1064),_xlfn.XLOOKUP($D1064&amp;"_"&amp;H$61,$B$23:$B$45&amp;"_"&amp;$C$23:$C$45,$D$23:$D$45)*$E1064,18)</f>
        <v>11.8354332948866</v>
      </c>
      <c r="I1064" s="67" cm="1">
        <f ca="1" t="array" ref="I1064">MIN(30-SUM(J1064:L1064),6-L1064,_xlfn.XLOOKUP($D1064&amp;"_"&amp;I$61,$B$23:$B$45&amp;"_"&amp;$C$23:$C$45,$D$23:$D$45)*$E1064)</f>
        <v>0</v>
      </c>
      <c r="J1064" s="67" cm="1">
        <f ca="1" t="array" ref="J1064">MIN(8,_xlfn.XLOOKUP($D1064&amp;"_"&amp;J$61,$B$23:$B$45&amp;"_"&amp;$C$23:$C$45,$D$23:$D$45)*$E1064)</f>
        <v>8</v>
      </c>
      <c r="K1064" s="67" cm="1">
        <f ca="1" t="array" ref="K1064">MIN(18,_xlfn.XLOOKUP($D1064&amp;"_"&amp;K$61,$B$23:$B$45&amp;"_"&amp;$C$23:$C$45,$D$23:$D$45)*$E1064)</f>
        <v>4.16456670511342</v>
      </c>
      <c r="L1064" s="67" cm="1">
        <f ca="1" t="array" ref="L1064">MIN(6,_xlfn.XLOOKUP($D1064&amp;"_"&amp;L$61,$B$23:$B$45&amp;"_"&amp;$C$23:$C$45,$D$23:$D$45)*$E1064)</f>
        <v>6</v>
      </c>
      <c r="M1064" s="67" cm="1">
        <f ca="1" t="array" ref="M1064">(1+SUMPRODUCT(G1064:H1064,OFFSET($H$49:$I$49,D1064,0)))*(1+OFFSET($J$49,D1064,0))^I1064*(1+OFFSET($K$49,D1064,0))^J1064*(1+OFFSET($L$49,D1064,0))^K1064*(1+OFFSET($M$49,D1064,0))^L1064</f>
        <v>350.788148252479</v>
      </c>
      <c r="N1064" s="67">
        <f ca="1">MAX(MAX($N$62:N1063),OFFSET($C$61,MATCH(M1064*1.07,$M$62:$M$2061,1),0)-C1064)</f>
        <v>49320</v>
      </c>
    </row>
    <row r="1065" spans="2:14">
      <c r="B1065" s="67">
        <v>1004</v>
      </c>
      <c r="C1065" s="67">
        <f t="shared" si="100"/>
        <v>361440</v>
      </c>
      <c r="D1065" s="67">
        <f t="shared" si="95"/>
        <v>5</v>
      </c>
      <c r="E1065" s="67">
        <f ca="1" t="shared" si="96"/>
        <v>1034</v>
      </c>
      <c r="F1065" s="67">
        <f ca="1" t="shared" si="101"/>
        <v>0</v>
      </c>
      <c r="G1065" s="67">
        <f ca="1" t="shared" si="102"/>
        <v>0</v>
      </c>
      <c r="H1065" s="67" cm="1">
        <f ca="1" t="array" ref="H1065">MIN(30-SUM(I1065:L1065),_xlfn.XLOOKUP($D1065&amp;"_"&amp;H$61,$B$23:$B$45&amp;"_"&amp;$C$23:$C$45,$D$23:$D$45)*$E1065,18)</f>
        <v>11.8314017685506</v>
      </c>
      <c r="I1065" s="67" cm="1">
        <f ca="1" t="array" ref="I1065">MIN(30-SUM(J1065:L1065),6-L1065,_xlfn.XLOOKUP($D1065&amp;"_"&amp;I$61,$B$23:$B$45&amp;"_"&amp;$C$23:$C$45,$D$23:$D$45)*$E1065)</f>
        <v>0</v>
      </c>
      <c r="J1065" s="67" cm="1">
        <f ca="1" t="array" ref="J1065">MIN(8,_xlfn.XLOOKUP($D1065&amp;"_"&amp;J$61,$B$23:$B$45&amp;"_"&amp;$C$23:$C$45,$D$23:$D$45)*$E1065)</f>
        <v>8</v>
      </c>
      <c r="K1065" s="67" cm="1">
        <f ca="1" t="array" ref="K1065">MIN(18,_xlfn.XLOOKUP($D1065&amp;"_"&amp;K$61,$B$23:$B$45&amp;"_"&amp;$C$23:$C$45,$D$23:$D$45)*$E1065)</f>
        <v>4.16859823144945</v>
      </c>
      <c r="L1065" s="67" cm="1">
        <f ca="1" t="array" ref="L1065">MIN(6,_xlfn.XLOOKUP($D1065&amp;"_"&amp;L$61,$B$23:$B$45&amp;"_"&amp;$C$23:$C$45,$D$23:$D$45)*$E1065)</f>
        <v>6</v>
      </c>
      <c r="M1065" s="67" cm="1">
        <f ca="1" t="array" ref="M1065">(1+SUMPRODUCT(G1065:H1065,OFFSET($H$49:$I$49,D1065,0)))*(1+OFFSET($J$49,D1065,0))^I1065*(1+OFFSET($K$49,D1065,0))^J1065*(1+OFFSET($L$49,D1065,0))^K1065*(1+OFFSET($M$49,D1065,0))^L1065</f>
        <v>350.962020446329</v>
      </c>
      <c r="N1065" s="67">
        <f ca="1">MAX(MAX($N$62:N1064),OFFSET($C$61,MATCH(M1065*1.07,$M$62:$M$2061,1),0)-C1065)</f>
        <v>49320</v>
      </c>
    </row>
    <row r="1066" spans="2:14">
      <c r="B1066" s="67">
        <v>1005</v>
      </c>
      <c r="C1066" s="67">
        <f t="shared" si="100"/>
        <v>361800</v>
      </c>
      <c r="D1066" s="67">
        <f t="shared" si="95"/>
        <v>5</v>
      </c>
      <c r="E1066" s="67">
        <f ca="1" t="shared" si="96"/>
        <v>1035</v>
      </c>
      <c r="F1066" s="67">
        <f ca="1" t="shared" si="101"/>
        <v>0</v>
      </c>
      <c r="G1066" s="67">
        <f ca="1" t="shared" si="102"/>
        <v>0</v>
      </c>
      <c r="H1066" s="67" cm="1">
        <f ca="1" t="array" ref="H1066">MIN(30-SUM(I1066:L1066),_xlfn.XLOOKUP($D1066&amp;"_"&amp;H$61,$B$23:$B$45&amp;"_"&amp;$C$23:$C$45,$D$23:$D$45)*$E1066,18)</f>
        <v>11.8273702422145</v>
      </c>
      <c r="I1066" s="67" cm="1">
        <f ca="1" t="array" ref="I1066">MIN(30-SUM(J1066:L1066),6-L1066,_xlfn.XLOOKUP($D1066&amp;"_"&amp;I$61,$B$23:$B$45&amp;"_"&amp;$C$23:$C$45,$D$23:$D$45)*$E1066)</f>
        <v>0</v>
      </c>
      <c r="J1066" s="67" cm="1">
        <f ca="1" t="array" ref="J1066">MIN(8,_xlfn.XLOOKUP($D1066&amp;"_"&amp;J$61,$B$23:$B$45&amp;"_"&amp;$C$23:$C$45,$D$23:$D$45)*$E1066)</f>
        <v>8</v>
      </c>
      <c r="K1066" s="67" cm="1">
        <f ca="1" t="array" ref="K1066">MIN(18,_xlfn.XLOOKUP($D1066&amp;"_"&amp;K$61,$B$23:$B$45&amp;"_"&amp;$C$23:$C$45,$D$23:$D$45)*$E1066)</f>
        <v>4.17262975778547</v>
      </c>
      <c r="L1066" s="67" cm="1">
        <f ca="1" t="array" ref="L1066">MIN(6,_xlfn.XLOOKUP($D1066&amp;"_"&amp;L$61,$B$23:$B$45&amp;"_"&amp;$C$23:$C$45,$D$23:$D$45)*$E1066)</f>
        <v>6</v>
      </c>
      <c r="M1066" s="67" cm="1">
        <f ca="1" t="array" ref="M1066">(1+SUMPRODUCT(G1066:H1066,OFFSET($H$49:$I$49,D1066,0)))*(1+OFFSET($J$49,D1066,0))^I1066*(1+OFFSET($K$49,D1066,0))^J1066*(1+OFFSET($L$49,D1066,0))^K1066*(1+OFFSET($M$49,D1066,0))^L1066</f>
        <v>351.135958676636</v>
      </c>
      <c r="N1066" s="67">
        <f ca="1">MAX(MAX($N$62:N1065),OFFSET($C$61,MATCH(M1066*1.07,$M$62:$M$2061,1),0)-C1066)</f>
        <v>49320</v>
      </c>
    </row>
    <row r="1067" spans="2:14">
      <c r="B1067" s="67">
        <v>1006</v>
      </c>
      <c r="C1067" s="67">
        <f t="shared" si="100"/>
        <v>362160</v>
      </c>
      <c r="D1067" s="67">
        <f t="shared" si="95"/>
        <v>5</v>
      </c>
      <c r="E1067" s="67">
        <f ca="1" t="shared" si="96"/>
        <v>1036</v>
      </c>
      <c r="F1067" s="67">
        <f ca="1" t="shared" si="101"/>
        <v>0</v>
      </c>
      <c r="G1067" s="67">
        <f ca="1" t="shared" si="102"/>
        <v>0</v>
      </c>
      <c r="H1067" s="67" cm="1">
        <f ca="1" t="array" ref="H1067">MIN(30-SUM(I1067:L1067),_xlfn.XLOOKUP($D1067&amp;"_"&amp;H$61,$B$23:$B$45&amp;"_"&amp;$C$23:$C$45,$D$23:$D$45)*$E1067,18)</f>
        <v>11.8233387158785</v>
      </c>
      <c r="I1067" s="67" cm="1">
        <f ca="1" t="array" ref="I1067">MIN(30-SUM(J1067:L1067),6-L1067,_xlfn.XLOOKUP($D1067&amp;"_"&amp;I$61,$B$23:$B$45&amp;"_"&amp;$C$23:$C$45,$D$23:$D$45)*$E1067)</f>
        <v>0</v>
      </c>
      <c r="J1067" s="67" cm="1">
        <f ca="1" t="array" ref="J1067">MIN(8,_xlfn.XLOOKUP($D1067&amp;"_"&amp;J$61,$B$23:$B$45&amp;"_"&amp;$C$23:$C$45,$D$23:$D$45)*$E1067)</f>
        <v>8</v>
      </c>
      <c r="K1067" s="67" cm="1">
        <f ca="1" t="array" ref="K1067">MIN(18,_xlfn.XLOOKUP($D1067&amp;"_"&amp;K$61,$B$23:$B$45&amp;"_"&amp;$C$23:$C$45,$D$23:$D$45)*$E1067)</f>
        <v>4.1766612841215</v>
      </c>
      <c r="L1067" s="67" cm="1">
        <f ca="1" t="array" ref="L1067">MIN(6,_xlfn.XLOOKUP($D1067&amp;"_"&amp;L$61,$B$23:$B$45&amp;"_"&amp;$C$23:$C$45,$D$23:$D$45)*$E1067)</f>
        <v>6</v>
      </c>
      <c r="M1067" s="67" cm="1">
        <f ca="1" t="array" ref="M1067">(1+SUMPRODUCT(G1067:H1067,OFFSET($H$49:$I$49,D1067,0)))*(1+OFFSET($J$49,D1067,0))^I1067*(1+OFFSET($K$49,D1067,0))^J1067*(1+OFFSET($L$49,D1067,0))^K1067*(1+OFFSET($M$49,D1067,0))^L1067</f>
        <v>351.309962946508</v>
      </c>
      <c r="N1067" s="67">
        <f ca="1">MAX(MAX($N$62:N1066),OFFSET($C$61,MATCH(M1067*1.07,$M$62:$M$2061,1),0)-C1067)</f>
        <v>49320</v>
      </c>
    </row>
    <row r="1068" spans="2:14">
      <c r="B1068" s="67">
        <v>1007</v>
      </c>
      <c r="C1068" s="67">
        <f t="shared" si="100"/>
        <v>362520</v>
      </c>
      <c r="D1068" s="67">
        <f t="shared" si="95"/>
        <v>5</v>
      </c>
      <c r="E1068" s="67">
        <f ca="1" t="shared" si="96"/>
        <v>1037</v>
      </c>
      <c r="F1068" s="67">
        <f ca="1" t="shared" si="101"/>
        <v>0</v>
      </c>
      <c r="G1068" s="67">
        <f ca="1" t="shared" si="102"/>
        <v>0</v>
      </c>
      <c r="H1068" s="67" cm="1">
        <f ca="1" t="array" ref="H1068">MIN(30-SUM(I1068:L1068),_xlfn.XLOOKUP($D1068&amp;"_"&amp;H$61,$B$23:$B$45&amp;"_"&amp;$C$23:$C$45,$D$23:$D$45)*$E1068,18)</f>
        <v>11.8193071895425</v>
      </c>
      <c r="I1068" s="67" cm="1">
        <f ca="1" t="array" ref="I1068">MIN(30-SUM(J1068:L1068),6-L1068,_xlfn.XLOOKUP($D1068&amp;"_"&amp;I$61,$B$23:$B$45&amp;"_"&amp;$C$23:$C$45,$D$23:$D$45)*$E1068)</f>
        <v>0</v>
      </c>
      <c r="J1068" s="67" cm="1">
        <f ca="1" t="array" ref="J1068">MIN(8,_xlfn.XLOOKUP($D1068&amp;"_"&amp;J$61,$B$23:$B$45&amp;"_"&amp;$C$23:$C$45,$D$23:$D$45)*$E1068)</f>
        <v>8</v>
      </c>
      <c r="K1068" s="67" cm="1">
        <f ca="1" t="array" ref="K1068">MIN(18,_xlfn.XLOOKUP($D1068&amp;"_"&amp;K$61,$B$23:$B$45&amp;"_"&amp;$C$23:$C$45,$D$23:$D$45)*$E1068)</f>
        <v>4.18069281045752</v>
      </c>
      <c r="L1068" s="67" cm="1">
        <f ca="1" t="array" ref="L1068">MIN(6,_xlfn.XLOOKUP($D1068&amp;"_"&amp;L$61,$B$23:$B$45&amp;"_"&amp;$C$23:$C$45,$D$23:$D$45)*$E1068)</f>
        <v>6</v>
      </c>
      <c r="M1068" s="67" cm="1">
        <f ca="1" t="array" ref="M1068">(1+SUMPRODUCT(G1068:H1068,OFFSET($H$49:$I$49,D1068,0)))*(1+OFFSET($J$49,D1068,0))^I1068*(1+OFFSET($K$49,D1068,0))^J1068*(1+OFFSET($L$49,D1068,0))^K1068*(1+OFFSET($M$49,D1068,0))^L1068</f>
        <v>351.484033259019</v>
      </c>
      <c r="N1068" s="67">
        <f ca="1">MAX(MAX($N$62:N1067),OFFSET($C$61,MATCH(M1068*1.07,$M$62:$M$2061,1),0)-C1068)</f>
        <v>49320</v>
      </c>
    </row>
    <row r="1069" spans="2:14">
      <c r="B1069" s="67">
        <v>1008</v>
      </c>
      <c r="C1069" s="67">
        <f t="shared" si="100"/>
        <v>362880</v>
      </c>
      <c r="D1069" s="67">
        <f t="shared" si="95"/>
        <v>5</v>
      </c>
      <c r="E1069" s="67">
        <f ca="1" t="shared" si="96"/>
        <v>1038</v>
      </c>
      <c r="F1069" s="67">
        <f ca="1" t="shared" si="101"/>
        <v>0</v>
      </c>
      <c r="G1069" s="67">
        <f ca="1" t="shared" si="102"/>
        <v>0</v>
      </c>
      <c r="H1069" s="67" cm="1">
        <f ca="1" t="array" ref="H1069">MIN(30-SUM(I1069:L1069),_xlfn.XLOOKUP($D1069&amp;"_"&amp;H$61,$B$23:$B$45&amp;"_"&amp;$C$23:$C$45,$D$23:$D$45)*$E1069,18)</f>
        <v>11.8152756632065</v>
      </c>
      <c r="I1069" s="67" cm="1">
        <f ca="1" t="array" ref="I1069">MIN(30-SUM(J1069:L1069),6-L1069,_xlfn.XLOOKUP($D1069&amp;"_"&amp;I$61,$B$23:$B$45&amp;"_"&amp;$C$23:$C$45,$D$23:$D$45)*$E1069)</f>
        <v>0</v>
      </c>
      <c r="J1069" s="67" cm="1">
        <f ca="1" t="array" ref="J1069">MIN(8,_xlfn.XLOOKUP($D1069&amp;"_"&amp;J$61,$B$23:$B$45&amp;"_"&amp;$C$23:$C$45,$D$23:$D$45)*$E1069)</f>
        <v>8</v>
      </c>
      <c r="K1069" s="67" cm="1">
        <f ca="1" t="array" ref="K1069">MIN(18,_xlfn.XLOOKUP($D1069&amp;"_"&amp;K$61,$B$23:$B$45&amp;"_"&amp;$C$23:$C$45,$D$23:$D$45)*$E1069)</f>
        <v>4.18472433679355</v>
      </c>
      <c r="L1069" s="67" cm="1">
        <f ca="1" t="array" ref="L1069">MIN(6,_xlfn.XLOOKUP($D1069&amp;"_"&amp;L$61,$B$23:$B$45&amp;"_"&amp;$C$23:$C$45,$D$23:$D$45)*$E1069)</f>
        <v>6</v>
      </c>
      <c r="M1069" s="67" cm="1">
        <f ca="1" t="array" ref="M1069">(1+SUMPRODUCT(G1069:H1069,OFFSET($H$49:$I$49,D1069,0)))*(1+OFFSET($J$49,D1069,0))^I1069*(1+OFFSET($K$49,D1069,0))^J1069*(1+OFFSET($L$49,D1069,0))^K1069*(1+OFFSET($M$49,D1069,0))^L1069</f>
        <v>351.658169617213</v>
      </c>
      <c r="N1069" s="67">
        <f ca="1">MAX(MAX($N$62:N1068),OFFSET($C$61,MATCH(M1069*1.07,$M$62:$M$2061,1),0)-C1069)</f>
        <v>49320</v>
      </c>
    </row>
    <row r="1070" spans="2:14">
      <c r="B1070" s="67">
        <v>1009</v>
      </c>
      <c r="C1070" s="67">
        <f t="shared" si="100"/>
        <v>363240</v>
      </c>
      <c r="D1070" s="67">
        <f t="shared" si="95"/>
        <v>5</v>
      </c>
      <c r="E1070" s="67">
        <f ca="1" t="shared" si="96"/>
        <v>1039</v>
      </c>
      <c r="F1070" s="67">
        <f ca="1" t="shared" si="101"/>
        <v>0</v>
      </c>
      <c r="G1070" s="67">
        <f ca="1" t="shared" si="102"/>
        <v>0</v>
      </c>
      <c r="H1070" s="67" cm="1">
        <f ca="1" t="array" ref="H1070">MIN(30-SUM(I1070:L1070),_xlfn.XLOOKUP($D1070&amp;"_"&amp;H$61,$B$23:$B$45&amp;"_"&amp;$C$23:$C$45,$D$23:$D$45)*$E1070,18)</f>
        <v>11.8112441368704</v>
      </c>
      <c r="I1070" s="67" cm="1">
        <f ca="1" t="array" ref="I1070">MIN(30-SUM(J1070:L1070),6-L1070,_xlfn.XLOOKUP($D1070&amp;"_"&amp;I$61,$B$23:$B$45&amp;"_"&amp;$C$23:$C$45,$D$23:$D$45)*$E1070)</f>
        <v>0</v>
      </c>
      <c r="J1070" s="67" cm="1">
        <f ca="1" t="array" ref="J1070">MIN(8,_xlfn.XLOOKUP($D1070&amp;"_"&amp;J$61,$B$23:$B$45&amp;"_"&amp;$C$23:$C$45,$D$23:$D$45)*$E1070)</f>
        <v>8</v>
      </c>
      <c r="K1070" s="67" cm="1">
        <f ca="1" t="array" ref="K1070">MIN(18,_xlfn.XLOOKUP($D1070&amp;"_"&amp;K$61,$B$23:$B$45&amp;"_"&amp;$C$23:$C$45,$D$23:$D$45)*$E1070)</f>
        <v>4.18875586312957</v>
      </c>
      <c r="L1070" s="67" cm="1">
        <f ca="1" t="array" ref="L1070">MIN(6,_xlfn.XLOOKUP($D1070&amp;"_"&amp;L$61,$B$23:$B$45&amp;"_"&amp;$C$23:$C$45,$D$23:$D$45)*$E1070)</f>
        <v>6</v>
      </c>
      <c r="M1070" s="67" cm="1">
        <f ca="1" t="array" ref="M1070">(1+SUMPRODUCT(G1070:H1070,OFFSET($H$49:$I$49,D1070,0)))*(1+OFFSET($J$49,D1070,0))^I1070*(1+OFFSET($K$49,D1070,0))^J1070*(1+OFFSET($L$49,D1070,0))^K1070*(1+OFFSET($M$49,D1070,0))^L1070</f>
        <v>351.832372024101</v>
      </c>
      <c r="N1070" s="67">
        <f ca="1">MAX(MAX($N$62:N1069),OFFSET($C$61,MATCH(M1070*1.07,$M$62:$M$2061,1),0)-C1070)</f>
        <v>49320</v>
      </c>
    </row>
    <row r="1071" spans="2:14">
      <c r="B1071" s="67">
        <v>1010</v>
      </c>
      <c r="C1071" s="67">
        <f t="shared" si="100"/>
        <v>363600</v>
      </c>
      <c r="D1071" s="67">
        <f t="shared" si="95"/>
        <v>5</v>
      </c>
      <c r="E1071" s="67">
        <f ca="1" t="shared" si="96"/>
        <v>1040</v>
      </c>
      <c r="F1071" s="67">
        <f ca="1" t="shared" si="101"/>
        <v>0</v>
      </c>
      <c r="G1071" s="67">
        <f ca="1" t="shared" si="102"/>
        <v>0</v>
      </c>
      <c r="H1071" s="67" cm="1">
        <f ca="1" t="array" ref="H1071">MIN(30-SUM(I1071:L1071),_xlfn.XLOOKUP($D1071&amp;"_"&amp;H$61,$B$23:$B$45&amp;"_"&amp;$C$23:$C$45,$D$23:$D$45)*$E1071,18)</f>
        <v>11.8072126105344</v>
      </c>
      <c r="I1071" s="67" cm="1">
        <f ca="1" t="array" ref="I1071">MIN(30-SUM(J1071:L1071),6-L1071,_xlfn.XLOOKUP($D1071&amp;"_"&amp;I$61,$B$23:$B$45&amp;"_"&amp;$C$23:$C$45,$D$23:$D$45)*$E1071)</f>
        <v>0</v>
      </c>
      <c r="J1071" s="67" cm="1">
        <f ca="1" t="array" ref="J1071">MIN(8,_xlfn.XLOOKUP($D1071&amp;"_"&amp;J$61,$B$23:$B$45&amp;"_"&amp;$C$23:$C$45,$D$23:$D$45)*$E1071)</f>
        <v>8</v>
      </c>
      <c r="K1071" s="67" cm="1">
        <f ca="1" t="array" ref="K1071">MIN(18,_xlfn.XLOOKUP($D1071&amp;"_"&amp;K$61,$B$23:$B$45&amp;"_"&amp;$C$23:$C$45,$D$23:$D$45)*$E1071)</f>
        <v>4.19278738946559</v>
      </c>
      <c r="L1071" s="67" cm="1">
        <f ca="1" t="array" ref="L1071">MIN(6,_xlfn.XLOOKUP($D1071&amp;"_"&amp;L$61,$B$23:$B$45&amp;"_"&amp;$C$23:$C$45,$D$23:$D$45)*$E1071)</f>
        <v>6</v>
      </c>
      <c r="M1071" s="67" cm="1">
        <f ca="1" t="array" ref="M1071">(1+SUMPRODUCT(G1071:H1071,OFFSET($H$49:$I$49,D1071,0)))*(1+OFFSET($J$49,D1071,0))^I1071*(1+OFFSET($K$49,D1071,0))^J1071*(1+OFFSET($L$49,D1071,0))^K1071*(1+OFFSET($M$49,D1071,0))^L1071</f>
        <v>352.006640482666</v>
      </c>
      <c r="N1071" s="67">
        <f ca="1">MAX(MAX($N$62:N1070),OFFSET($C$61,MATCH(M1071*1.07,$M$62:$M$2061,1),0)-C1071)</f>
        <v>49320</v>
      </c>
    </row>
    <row r="1072" spans="2:14">
      <c r="B1072" s="67">
        <v>1011</v>
      </c>
      <c r="C1072" s="67">
        <f t="shared" si="100"/>
        <v>363960</v>
      </c>
      <c r="D1072" s="67">
        <f t="shared" si="95"/>
        <v>5</v>
      </c>
      <c r="E1072" s="67">
        <f ca="1" t="shared" si="96"/>
        <v>1041</v>
      </c>
      <c r="F1072" s="67">
        <f ca="1" t="shared" si="101"/>
        <v>0</v>
      </c>
      <c r="G1072" s="67">
        <f ca="1" t="shared" si="102"/>
        <v>0</v>
      </c>
      <c r="H1072" s="67" cm="1">
        <f ca="1" t="array" ref="H1072">MIN(30-SUM(I1072:L1072),_xlfn.XLOOKUP($D1072&amp;"_"&amp;H$61,$B$23:$B$45&amp;"_"&amp;$C$23:$C$45,$D$23:$D$45)*$E1072,18)</f>
        <v>11.8031810841984</v>
      </c>
      <c r="I1072" s="67" cm="1">
        <f ca="1" t="array" ref="I1072">MIN(30-SUM(J1072:L1072),6-L1072,_xlfn.XLOOKUP($D1072&amp;"_"&amp;I$61,$B$23:$B$45&amp;"_"&amp;$C$23:$C$45,$D$23:$D$45)*$E1072)</f>
        <v>0</v>
      </c>
      <c r="J1072" s="67" cm="1">
        <f ca="1" t="array" ref="J1072">MIN(8,_xlfn.XLOOKUP($D1072&amp;"_"&amp;J$61,$B$23:$B$45&amp;"_"&amp;$C$23:$C$45,$D$23:$D$45)*$E1072)</f>
        <v>8</v>
      </c>
      <c r="K1072" s="67" cm="1">
        <f ca="1" t="array" ref="K1072">MIN(18,_xlfn.XLOOKUP($D1072&amp;"_"&amp;K$61,$B$23:$B$45&amp;"_"&amp;$C$23:$C$45,$D$23:$D$45)*$E1072)</f>
        <v>4.19681891580162</v>
      </c>
      <c r="L1072" s="67" cm="1">
        <f ca="1" t="array" ref="L1072">MIN(6,_xlfn.XLOOKUP($D1072&amp;"_"&amp;L$61,$B$23:$B$45&amp;"_"&amp;$C$23:$C$45,$D$23:$D$45)*$E1072)</f>
        <v>6</v>
      </c>
      <c r="M1072" s="67" cm="1">
        <f ca="1" t="array" ref="M1072">(1+SUMPRODUCT(G1072:H1072,OFFSET($H$49:$I$49,D1072,0)))*(1+OFFSET($J$49,D1072,0))^I1072*(1+OFFSET($K$49,D1072,0))^J1072*(1+OFFSET($L$49,D1072,0))^K1072*(1+OFFSET($M$49,D1072,0))^L1072</f>
        <v>352.180974995856</v>
      </c>
      <c r="N1072" s="67">
        <f ca="1">MAX(MAX($N$62:N1071),OFFSET($C$61,MATCH(M1072*1.07,$M$62:$M$2061,1),0)-C1072)</f>
        <v>49320</v>
      </c>
    </row>
    <row r="1073" spans="2:14">
      <c r="B1073" s="67">
        <v>1012</v>
      </c>
      <c r="C1073" s="67">
        <f t="shared" si="100"/>
        <v>364320</v>
      </c>
      <c r="D1073" s="67">
        <f t="shared" si="95"/>
        <v>5</v>
      </c>
      <c r="E1073" s="67">
        <f ca="1" t="shared" si="96"/>
        <v>1042</v>
      </c>
      <c r="F1073" s="67">
        <f ca="1" t="shared" si="101"/>
        <v>0</v>
      </c>
      <c r="G1073" s="67">
        <f ca="1" t="shared" si="102"/>
        <v>0</v>
      </c>
      <c r="H1073" s="67" cm="1">
        <f ca="1" t="array" ref="H1073">MIN(30-SUM(I1073:L1073),_xlfn.XLOOKUP($D1073&amp;"_"&amp;H$61,$B$23:$B$45&amp;"_"&amp;$C$23:$C$45,$D$23:$D$45)*$E1073,18)</f>
        <v>11.7991495578624</v>
      </c>
      <c r="I1073" s="67" cm="1">
        <f ca="1" t="array" ref="I1073">MIN(30-SUM(J1073:L1073),6-L1073,_xlfn.XLOOKUP($D1073&amp;"_"&amp;I$61,$B$23:$B$45&amp;"_"&amp;$C$23:$C$45,$D$23:$D$45)*$E1073)</f>
        <v>0</v>
      </c>
      <c r="J1073" s="67" cm="1">
        <f ca="1" t="array" ref="J1073">MIN(8,_xlfn.XLOOKUP($D1073&amp;"_"&amp;J$61,$B$23:$B$45&amp;"_"&amp;$C$23:$C$45,$D$23:$D$45)*$E1073)</f>
        <v>8</v>
      </c>
      <c r="K1073" s="67" cm="1">
        <f ca="1" t="array" ref="K1073">MIN(18,_xlfn.XLOOKUP($D1073&amp;"_"&amp;K$61,$B$23:$B$45&amp;"_"&amp;$C$23:$C$45,$D$23:$D$45)*$E1073)</f>
        <v>4.20085044213764</v>
      </c>
      <c r="L1073" s="67" cm="1">
        <f ca="1" t="array" ref="L1073">MIN(6,_xlfn.XLOOKUP($D1073&amp;"_"&amp;L$61,$B$23:$B$45&amp;"_"&amp;$C$23:$C$45,$D$23:$D$45)*$E1073)</f>
        <v>6</v>
      </c>
      <c r="M1073" s="67" cm="1">
        <f ca="1" t="array" ref="M1073">(1+SUMPRODUCT(G1073:H1073,OFFSET($H$49:$I$49,D1073,0)))*(1+OFFSET($J$49,D1073,0))^I1073*(1+OFFSET($K$49,D1073,0))^J1073*(1+OFFSET($L$49,D1073,0))^K1073*(1+OFFSET($M$49,D1073,0))^L1073</f>
        <v>352.35537556659</v>
      </c>
      <c r="N1073" s="67">
        <f ca="1">MAX(MAX($N$62:N1072),OFFSET($C$61,MATCH(M1073*1.07,$M$62:$M$2061,1),0)-C1073)</f>
        <v>49320</v>
      </c>
    </row>
    <row r="1074" spans="2:14">
      <c r="B1074" s="67">
        <v>1013</v>
      </c>
      <c r="C1074" s="67">
        <f t="shared" si="100"/>
        <v>364680</v>
      </c>
      <c r="D1074" s="67">
        <f t="shared" si="95"/>
        <v>5</v>
      </c>
      <c r="E1074" s="67">
        <f ca="1" t="shared" si="96"/>
        <v>1043</v>
      </c>
      <c r="F1074" s="67">
        <f ca="1" t="shared" si="101"/>
        <v>0</v>
      </c>
      <c r="G1074" s="67">
        <f ca="1" t="shared" si="102"/>
        <v>0</v>
      </c>
      <c r="H1074" s="67" cm="1">
        <f ca="1" t="array" ref="H1074">MIN(30-SUM(I1074:L1074),_xlfn.XLOOKUP($D1074&amp;"_"&amp;H$61,$B$23:$B$45&amp;"_"&amp;$C$23:$C$45,$D$23:$D$45)*$E1074,18)</f>
        <v>11.7951180315263</v>
      </c>
      <c r="I1074" s="67" cm="1">
        <f ca="1" t="array" ref="I1074">MIN(30-SUM(J1074:L1074),6-L1074,_xlfn.XLOOKUP($D1074&amp;"_"&amp;I$61,$B$23:$B$45&amp;"_"&amp;$C$23:$C$45,$D$23:$D$45)*$E1074)</f>
        <v>0</v>
      </c>
      <c r="J1074" s="67" cm="1">
        <f ca="1" t="array" ref="J1074">MIN(8,_xlfn.XLOOKUP($D1074&amp;"_"&amp;J$61,$B$23:$B$45&amp;"_"&amp;$C$23:$C$45,$D$23:$D$45)*$E1074)</f>
        <v>8</v>
      </c>
      <c r="K1074" s="67" cm="1">
        <f ca="1" t="array" ref="K1074">MIN(18,_xlfn.XLOOKUP($D1074&amp;"_"&amp;K$61,$B$23:$B$45&amp;"_"&amp;$C$23:$C$45,$D$23:$D$45)*$E1074)</f>
        <v>4.20488196847367</v>
      </c>
      <c r="L1074" s="67" cm="1">
        <f ca="1" t="array" ref="L1074">MIN(6,_xlfn.XLOOKUP($D1074&amp;"_"&amp;L$61,$B$23:$B$45&amp;"_"&amp;$C$23:$C$45,$D$23:$D$45)*$E1074)</f>
        <v>6</v>
      </c>
      <c r="M1074" s="67" cm="1">
        <f ca="1" t="array" ref="M1074">(1+SUMPRODUCT(G1074:H1074,OFFSET($H$49:$I$49,D1074,0)))*(1+OFFSET($J$49,D1074,0))^I1074*(1+OFFSET($K$49,D1074,0))^J1074*(1+OFFSET($L$49,D1074,0))^K1074*(1+OFFSET($M$49,D1074,0))^L1074</f>
        <v>352.529842197756</v>
      </c>
      <c r="N1074" s="67">
        <f ca="1">MAX(MAX($N$62:N1073),OFFSET($C$61,MATCH(M1074*1.07,$M$62:$M$2061,1),0)-C1074)</f>
        <v>49320</v>
      </c>
    </row>
    <row r="1075" spans="2:14">
      <c r="B1075" s="67">
        <v>1014</v>
      </c>
      <c r="C1075" s="67">
        <f t="shared" si="100"/>
        <v>365040</v>
      </c>
      <c r="D1075" s="67">
        <f t="shared" si="95"/>
        <v>5</v>
      </c>
      <c r="E1075" s="67">
        <f ca="1" t="shared" si="96"/>
        <v>1044</v>
      </c>
      <c r="F1075" s="67">
        <f ca="1" t="shared" si="101"/>
        <v>0</v>
      </c>
      <c r="G1075" s="67">
        <f ca="1" t="shared" si="102"/>
        <v>0</v>
      </c>
      <c r="H1075" s="67" cm="1">
        <f ca="1" t="array" ref="H1075">MIN(30-SUM(I1075:L1075),_xlfn.XLOOKUP($D1075&amp;"_"&amp;H$61,$B$23:$B$45&amp;"_"&amp;$C$23:$C$45,$D$23:$D$45)*$E1075,18)</f>
        <v>11.7910865051903</v>
      </c>
      <c r="I1075" s="67" cm="1">
        <f ca="1" t="array" ref="I1075">MIN(30-SUM(J1075:L1075),6-L1075,_xlfn.XLOOKUP($D1075&amp;"_"&amp;I$61,$B$23:$B$45&amp;"_"&amp;$C$23:$C$45,$D$23:$D$45)*$E1075)</f>
        <v>0</v>
      </c>
      <c r="J1075" s="67" cm="1">
        <f ca="1" t="array" ref="J1075">MIN(8,_xlfn.XLOOKUP($D1075&amp;"_"&amp;J$61,$B$23:$B$45&amp;"_"&amp;$C$23:$C$45,$D$23:$D$45)*$E1075)</f>
        <v>8</v>
      </c>
      <c r="K1075" s="67" cm="1">
        <f ca="1" t="array" ref="K1075">MIN(18,_xlfn.XLOOKUP($D1075&amp;"_"&amp;K$61,$B$23:$B$45&amp;"_"&amp;$C$23:$C$45,$D$23:$D$45)*$E1075)</f>
        <v>4.20891349480969</v>
      </c>
      <c r="L1075" s="67" cm="1">
        <f ca="1" t="array" ref="L1075">MIN(6,_xlfn.XLOOKUP($D1075&amp;"_"&amp;L$61,$B$23:$B$45&amp;"_"&amp;$C$23:$C$45,$D$23:$D$45)*$E1075)</f>
        <v>6</v>
      </c>
      <c r="M1075" s="67" cm="1">
        <f ca="1" t="array" ref="M1075">(1+SUMPRODUCT(G1075:H1075,OFFSET($H$49:$I$49,D1075,0)))*(1+OFFSET($J$49,D1075,0))^I1075*(1+OFFSET($K$49,D1075,0))^J1075*(1+OFFSET($L$49,D1075,0))^K1075*(1+OFFSET($M$49,D1075,0))^L1075</f>
        <v>352.704374892207</v>
      </c>
      <c r="N1075" s="67">
        <f ca="1">MAX(MAX($N$62:N1074),OFFSET($C$61,MATCH(M1075*1.07,$M$62:$M$2061,1),0)-C1075)</f>
        <v>49320</v>
      </c>
    </row>
    <row r="1076" spans="2:14">
      <c r="B1076" s="67">
        <v>1015</v>
      </c>
      <c r="C1076" s="67">
        <f t="shared" si="100"/>
        <v>365400</v>
      </c>
      <c r="D1076" s="67">
        <f t="shared" si="95"/>
        <v>5</v>
      </c>
      <c r="E1076" s="67">
        <f ca="1" t="shared" si="96"/>
        <v>1045</v>
      </c>
      <c r="F1076" s="67">
        <f ca="1" t="shared" si="101"/>
        <v>0</v>
      </c>
      <c r="G1076" s="67">
        <f ca="1" t="shared" si="102"/>
        <v>0</v>
      </c>
      <c r="H1076" s="67" cm="1">
        <f ca="1" t="array" ref="H1076">MIN(30-SUM(I1076:L1076),_xlfn.XLOOKUP($D1076&amp;"_"&amp;H$61,$B$23:$B$45&amp;"_"&amp;$C$23:$C$45,$D$23:$D$45)*$E1076,18)</f>
        <v>11.7870549788543</v>
      </c>
      <c r="I1076" s="67" cm="1">
        <f ca="1" t="array" ref="I1076">MIN(30-SUM(J1076:L1076),6-L1076,_xlfn.XLOOKUP($D1076&amp;"_"&amp;I$61,$B$23:$B$45&amp;"_"&amp;$C$23:$C$45,$D$23:$D$45)*$E1076)</f>
        <v>0</v>
      </c>
      <c r="J1076" s="67" cm="1">
        <f ca="1" t="array" ref="J1076">MIN(8,_xlfn.XLOOKUP($D1076&amp;"_"&amp;J$61,$B$23:$B$45&amp;"_"&amp;$C$23:$C$45,$D$23:$D$45)*$E1076)</f>
        <v>8</v>
      </c>
      <c r="K1076" s="67" cm="1">
        <f ca="1" t="array" ref="K1076">MIN(18,_xlfn.XLOOKUP($D1076&amp;"_"&amp;K$61,$B$23:$B$45&amp;"_"&amp;$C$23:$C$45,$D$23:$D$45)*$E1076)</f>
        <v>4.21294502114572</v>
      </c>
      <c r="L1076" s="67" cm="1">
        <f ca="1" t="array" ref="L1076">MIN(6,_xlfn.XLOOKUP($D1076&amp;"_"&amp;L$61,$B$23:$B$45&amp;"_"&amp;$C$23:$C$45,$D$23:$D$45)*$E1076)</f>
        <v>6</v>
      </c>
      <c r="M1076" s="67" cm="1">
        <f ca="1" t="array" ref="M1076">(1+SUMPRODUCT(G1076:H1076,OFFSET($H$49:$I$49,D1076,0)))*(1+OFFSET($J$49,D1076,0))^I1076*(1+OFFSET($K$49,D1076,0))^J1076*(1+OFFSET($L$49,D1076,0))^K1076*(1+OFFSET($M$49,D1076,0))^L1076</f>
        <v>352.878973652769</v>
      </c>
      <c r="N1076" s="67">
        <f ca="1">MAX(MAX($N$62:N1075),OFFSET($C$61,MATCH(M1076*1.07,$M$62:$M$2061,1),0)-C1076)</f>
        <v>49320</v>
      </c>
    </row>
    <row r="1077" spans="2:14">
      <c r="B1077" s="67">
        <v>1016</v>
      </c>
      <c r="C1077" s="67">
        <f t="shared" si="100"/>
        <v>365760</v>
      </c>
      <c r="D1077" s="67">
        <f t="shared" si="95"/>
        <v>5</v>
      </c>
      <c r="E1077" s="67">
        <f ca="1" t="shared" si="96"/>
        <v>1046</v>
      </c>
      <c r="F1077" s="67">
        <f ca="1" t="shared" si="101"/>
        <v>0</v>
      </c>
      <c r="G1077" s="67">
        <f ca="1" t="shared" si="102"/>
        <v>0</v>
      </c>
      <c r="H1077" s="67" cm="1">
        <f ca="1" t="array" ref="H1077">MIN(30-SUM(I1077:L1077),_xlfn.XLOOKUP($D1077&amp;"_"&amp;H$61,$B$23:$B$45&amp;"_"&amp;$C$23:$C$45,$D$23:$D$45)*$E1077,18)</f>
        <v>11.7830234525183</v>
      </c>
      <c r="I1077" s="67" cm="1">
        <f ca="1" t="array" ref="I1077">MIN(30-SUM(J1077:L1077),6-L1077,_xlfn.XLOOKUP($D1077&amp;"_"&amp;I$61,$B$23:$B$45&amp;"_"&amp;$C$23:$C$45,$D$23:$D$45)*$E1077)</f>
        <v>0</v>
      </c>
      <c r="J1077" s="67" cm="1">
        <f ca="1" t="array" ref="J1077">MIN(8,_xlfn.XLOOKUP($D1077&amp;"_"&amp;J$61,$B$23:$B$45&amp;"_"&amp;$C$23:$C$45,$D$23:$D$45)*$E1077)</f>
        <v>8</v>
      </c>
      <c r="K1077" s="67" cm="1">
        <f ca="1" t="array" ref="K1077">MIN(18,_xlfn.XLOOKUP($D1077&amp;"_"&amp;K$61,$B$23:$B$45&amp;"_"&amp;$C$23:$C$45,$D$23:$D$45)*$E1077)</f>
        <v>4.21697654748174</v>
      </c>
      <c r="L1077" s="67" cm="1">
        <f ca="1" t="array" ref="L1077">MIN(6,_xlfn.XLOOKUP($D1077&amp;"_"&amp;L$61,$B$23:$B$45&amp;"_"&amp;$C$23:$C$45,$D$23:$D$45)*$E1077)</f>
        <v>6</v>
      </c>
      <c r="M1077" s="67" cm="1">
        <f ca="1" t="array" ref="M1077">(1+SUMPRODUCT(G1077:H1077,OFFSET($H$49:$I$49,D1077,0)))*(1+OFFSET($J$49,D1077,0))^I1077*(1+OFFSET($K$49,D1077,0))^J1077*(1+OFFSET($L$49,D1077,0))^K1077*(1+OFFSET($M$49,D1077,0))^L1077</f>
        <v>353.053638482234</v>
      </c>
      <c r="N1077" s="67">
        <f ca="1">MAX(MAX($N$62:N1076),OFFSET($C$61,MATCH(M1077*1.07,$M$62:$M$2061,1),0)-C1077)</f>
        <v>49320</v>
      </c>
    </row>
    <row r="1078" spans="2:14">
      <c r="B1078" s="67">
        <v>1017</v>
      </c>
      <c r="C1078" s="67">
        <f t="shared" si="100"/>
        <v>366120</v>
      </c>
      <c r="D1078" s="67">
        <f t="shared" si="95"/>
        <v>5</v>
      </c>
      <c r="E1078" s="67">
        <f ca="1" t="shared" si="96"/>
        <v>1047</v>
      </c>
      <c r="F1078" s="67">
        <f ca="1" t="shared" si="101"/>
        <v>0</v>
      </c>
      <c r="G1078" s="67">
        <f ca="1" t="shared" si="102"/>
        <v>0</v>
      </c>
      <c r="H1078" s="67" cm="1">
        <f ca="1" t="array" ref="H1078">MIN(30-SUM(I1078:L1078),_xlfn.XLOOKUP($D1078&amp;"_"&amp;H$61,$B$23:$B$45&amp;"_"&amp;$C$23:$C$45,$D$23:$D$45)*$E1078,18)</f>
        <v>11.7789919261822</v>
      </c>
      <c r="I1078" s="67" cm="1">
        <f ca="1" t="array" ref="I1078">MIN(30-SUM(J1078:L1078),6-L1078,_xlfn.XLOOKUP($D1078&amp;"_"&amp;I$61,$B$23:$B$45&amp;"_"&amp;$C$23:$C$45,$D$23:$D$45)*$E1078)</f>
        <v>0</v>
      </c>
      <c r="J1078" s="67" cm="1">
        <f ca="1" t="array" ref="J1078">MIN(8,_xlfn.XLOOKUP($D1078&amp;"_"&amp;J$61,$B$23:$B$45&amp;"_"&amp;$C$23:$C$45,$D$23:$D$45)*$E1078)</f>
        <v>8</v>
      </c>
      <c r="K1078" s="67" cm="1">
        <f ca="1" t="array" ref="K1078">MIN(18,_xlfn.XLOOKUP($D1078&amp;"_"&amp;K$61,$B$23:$B$45&amp;"_"&amp;$C$23:$C$45,$D$23:$D$45)*$E1078)</f>
        <v>4.22100807381777</v>
      </c>
      <c r="L1078" s="67" cm="1">
        <f ca="1" t="array" ref="L1078">MIN(6,_xlfn.XLOOKUP($D1078&amp;"_"&amp;L$61,$B$23:$B$45&amp;"_"&amp;$C$23:$C$45,$D$23:$D$45)*$E1078)</f>
        <v>6</v>
      </c>
      <c r="M1078" s="67" cm="1">
        <f ca="1" t="array" ref="M1078">(1+SUMPRODUCT(G1078:H1078,OFFSET($H$49:$I$49,D1078,0)))*(1+OFFSET($J$49,D1078,0))^I1078*(1+OFFSET($K$49,D1078,0))^J1078*(1+OFFSET($L$49,D1078,0))^K1078*(1+OFFSET($M$49,D1078,0))^L1078</f>
        <v>353.228369383362</v>
      </c>
      <c r="N1078" s="67">
        <f ca="1">MAX(MAX($N$62:N1077),OFFSET($C$61,MATCH(M1078*1.07,$M$62:$M$2061,1),0)-C1078)</f>
        <v>49320</v>
      </c>
    </row>
    <row r="1079" spans="2:14">
      <c r="B1079" s="67">
        <v>1018</v>
      </c>
      <c r="C1079" s="67">
        <f t="shared" si="100"/>
        <v>366480</v>
      </c>
      <c r="D1079" s="67">
        <f t="shared" si="95"/>
        <v>5</v>
      </c>
      <c r="E1079" s="67">
        <f ca="1" t="shared" si="96"/>
        <v>1048</v>
      </c>
      <c r="F1079" s="67">
        <f ca="1" t="shared" si="101"/>
        <v>0</v>
      </c>
      <c r="G1079" s="67">
        <f ca="1" t="shared" si="102"/>
        <v>0</v>
      </c>
      <c r="H1079" s="67" cm="1">
        <f ca="1" t="array" ref="H1079">MIN(30-SUM(I1079:L1079),_xlfn.XLOOKUP($D1079&amp;"_"&amp;H$61,$B$23:$B$45&amp;"_"&amp;$C$23:$C$45,$D$23:$D$45)*$E1079,18)</f>
        <v>11.7749603998462</v>
      </c>
      <c r="I1079" s="67" cm="1">
        <f ca="1" t="array" ref="I1079">MIN(30-SUM(J1079:L1079),6-L1079,_xlfn.XLOOKUP($D1079&amp;"_"&amp;I$61,$B$23:$B$45&amp;"_"&amp;$C$23:$C$45,$D$23:$D$45)*$E1079)</f>
        <v>0</v>
      </c>
      <c r="J1079" s="67" cm="1">
        <f ca="1" t="array" ref="J1079">MIN(8,_xlfn.XLOOKUP($D1079&amp;"_"&amp;J$61,$B$23:$B$45&amp;"_"&amp;$C$23:$C$45,$D$23:$D$45)*$E1079)</f>
        <v>8</v>
      </c>
      <c r="K1079" s="67" cm="1">
        <f ca="1" t="array" ref="K1079">MIN(18,_xlfn.XLOOKUP($D1079&amp;"_"&amp;K$61,$B$23:$B$45&amp;"_"&amp;$C$23:$C$45,$D$23:$D$45)*$E1079)</f>
        <v>4.22503960015379</v>
      </c>
      <c r="L1079" s="67" cm="1">
        <f ca="1" t="array" ref="L1079">MIN(6,_xlfn.XLOOKUP($D1079&amp;"_"&amp;L$61,$B$23:$B$45&amp;"_"&amp;$C$23:$C$45,$D$23:$D$45)*$E1079)</f>
        <v>6</v>
      </c>
      <c r="M1079" s="67" cm="1">
        <f ca="1" t="array" ref="M1079">(1+SUMPRODUCT(G1079:H1079,OFFSET($H$49:$I$49,D1079,0)))*(1+OFFSET($J$49,D1079,0))^I1079*(1+OFFSET($K$49,D1079,0))^J1079*(1+OFFSET($L$49,D1079,0))^K1079*(1+OFFSET($M$49,D1079,0))^L1079</f>
        <v>353.403166358883</v>
      </c>
      <c r="N1079" s="67">
        <f ca="1">MAX(MAX($N$62:N1078),OFFSET($C$61,MATCH(M1079*1.07,$M$62:$M$2061,1),0)-C1079)</f>
        <v>49320</v>
      </c>
    </row>
    <row r="1080" spans="2:14">
      <c r="B1080" s="67">
        <v>1019</v>
      </c>
      <c r="C1080" s="67">
        <f t="shared" si="100"/>
        <v>366840</v>
      </c>
      <c r="D1080" s="67">
        <f t="shared" si="95"/>
        <v>5</v>
      </c>
      <c r="E1080" s="67">
        <f ca="1" t="shared" si="96"/>
        <v>1049</v>
      </c>
      <c r="F1080" s="67">
        <f ca="1" t="shared" si="101"/>
        <v>0</v>
      </c>
      <c r="G1080" s="67">
        <f ca="1" t="shared" si="102"/>
        <v>0</v>
      </c>
      <c r="H1080" s="67" cm="1">
        <f ca="1" t="array" ref="H1080">MIN(30-SUM(I1080:L1080),_xlfn.XLOOKUP($D1080&amp;"_"&amp;H$61,$B$23:$B$45&amp;"_"&amp;$C$23:$C$45,$D$23:$D$45)*$E1080,18)</f>
        <v>11.7709288735102</v>
      </c>
      <c r="I1080" s="67" cm="1">
        <f ca="1" t="array" ref="I1080">MIN(30-SUM(J1080:L1080),6-L1080,_xlfn.XLOOKUP($D1080&amp;"_"&amp;I$61,$B$23:$B$45&amp;"_"&amp;$C$23:$C$45,$D$23:$D$45)*$E1080)</f>
        <v>0</v>
      </c>
      <c r="J1080" s="67" cm="1">
        <f ca="1" t="array" ref="J1080">MIN(8,_xlfn.XLOOKUP($D1080&amp;"_"&amp;J$61,$B$23:$B$45&amp;"_"&amp;$C$23:$C$45,$D$23:$D$45)*$E1080)</f>
        <v>8</v>
      </c>
      <c r="K1080" s="67" cm="1">
        <f ca="1" t="array" ref="K1080">MIN(18,_xlfn.XLOOKUP($D1080&amp;"_"&amp;K$61,$B$23:$B$45&amp;"_"&amp;$C$23:$C$45,$D$23:$D$45)*$E1080)</f>
        <v>4.22907112648982</v>
      </c>
      <c r="L1080" s="67" cm="1">
        <f ca="1" t="array" ref="L1080">MIN(6,_xlfn.XLOOKUP($D1080&amp;"_"&amp;L$61,$B$23:$B$45&amp;"_"&amp;$C$23:$C$45,$D$23:$D$45)*$E1080)</f>
        <v>6</v>
      </c>
      <c r="M1080" s="67" cm="1">
        <f ca="1" t="array" ref="M1080">(1+SUMPRODUCT(G1080:H1080,OFFSET($H$49:$I$49,D1080,0)))*(1+OFFSET($J$49,D1080,0))^I1080*(1+OFFSET($K$49,D1080,0))^J1080*(1+OFFSET($L$49,D1080,0))^K1080*(1+OFFSET($M$49,D1080,0))^L1080</f>
        <v>353.578029411494</v>
      </c>
      <c r="N1080" s="67">
        <f ca="1">MAX(MAX($N$62:N1079),OFFSET($C$61,MATCH(M1080*1.07,$M$62:$M$2061,1),0)-C1080)</f>
        <v>49320</v>
      </c>
    </row>
    <row r="1081" spans="2:14">
      <c r="B1081" s="67">
        <v>1020</v>
      </c>
      <c r="C1081" s="67">
        <f t="shared" si="100"/>
        <v>367200</v>
      </c>
      <c r="D1081" s="67">
        <f t="shared" si="95"/>
        <v>5</v>
      </c>
      <c r="E1081" s="67">
        <f ca="1" t="shared" si="96"/>
        <v>1050</v>
      </c>
      <c r="F1081" s="67">
        <f ca="1" t="shared" si="101"/>
        <v>0</v>
      </c>
      <c r="G1081" s="67">
        <f ca="1" t="shared" si="102"/>
        <v>0</v>
      </c>
      <c r="H1081" s="67" cm="1">
        <f ca="1" t="array" ref="H1081">MIN(30-SUM(I1081:L1081),_xlfn.XLOOKUP($D1081&amp;"_"&amp;H$61,$B$23:$B$45&amp;"_"&amp;$C$23:$C$45,$D$23:$D$45)*$E1081,18)</f>
        <v>11.7668973471742</v>
      </c>
      <c r="I1081" s="67" cm="1">
        <f ca="1" t="array" ref="I1081">MIN(30-SUM(J1081:L1081),6-L1081,_xlfn.XLOOKUP($D1081&amp;"_"&amp;I$61,$B$23:$B$45&amp;"_"&amp;$C$23:$C$45,$D$23:$D$45)*$E1081)</f>
        <v>0</v>
      </c>
      <c r="J1081" s="67" cm="1">
        <f ca="1" t="array" ref="J1081">MIN(8,_xlfn.XLOOKUP($D1081&amp;"_"&amp;J$61,$B$23:$B$45&amp;"_"&amp;$C$23:$C$45,$D$23:$D$45)*$E1081)</f>
        <v>8</v>
      </c>
      <c r="K1081" s="67" cm="1">
        <f ca="1" t="array" ref="K1081">MIN(18,_xlfn.XLOOKUP($D1081&amp;"_"&amp;K$61,$B$23:$B$45&amp;"_"&amp;$C$23:$C$45,$D$23:$D$45)*$E1081)</f>
        <v>4.23310265282584</v>
      </c>
      <c r="L1081" s="67" cm="1">
        <f ca="1" t="array" ref="L1081">MIN(6,_xlfn.XLOOKUP($D1081&amp;"_"&amp;L$61,$B$23:$B$45&amp;"_"&amp;$C$23:$C$45,$D$23:$D$45)*$E1081)</f>
        <v>6</v>
      </c>
      <c r="M1081" s="67" cm="1">
        <f ca="1" t="array" ref="M1081">(1+SUMPRODUCT(G1081:H1081,OFFSET($H$49:$I$49,D1081,0)))*(1+OFFSET($J$49,D1081,0))^I1081*(1+OFFSET($K$49,D1081,0))^J1081*(1+OFFSET($L$49,D1081,0))^K1081*(1+OFFSET($M$49,D1081,0))^L1081</f>
        <v>353.75295854386</v>
      </c>
      <c r="N1081" s="67">
        <f ca="1">MAX(MAX($N$62:N1080),OFFSET($C$61,MATCH(M1081*1.07,$M$62:$M$2061,1),0)-C1081)</f>
        <v>49320</v>
      </c>
    </row>
    <row r="1082" spans="2:14">
      <c r="B1082" s="67">
        <v>1021</v>
      </c>
      <c r="C1082" s="67">
        <f t="shared" si="100"/>
        <v>367560</v>
      </c>
      <c r="D1082" s="67">
        <f t="shared" si="95"/>
        <v>5</v>
      </c>
      <c r="E1082" s="67">
        <f ca="1" t="shared" si="96"/>
        <v>1051</v>
      </c>
      <c r="F1082" s="67">
        <f ca="1" t="shared" si="101"/>
        <v>0</v>
      </c>
      <c r="G1082" s="67">
        <f ca="1" t="shared" si="102"/>
        <v>0</v>
      </c>
      <c r="H1082" s="67" cm="1">
        <f ca="1" t="array" ref="H1082">MIN(30-SUM(I1082:L1082),_xlfn.XLOOKUP($D1082&amp;"_"&amp;H$61,$B$23:$B$45&amp;"_"&amp;$C$23:$C$45,$D$23:$D$45)*$E1082,18)</f>
        <v>11.7628658208381</v>
      </c>
      <c r="I1082" s="67" cm="1">
        <f ca="1" t="array" ref="I1082">MIN(30-SUM(J1082:L1082),6-L1082,_xlfn.XLOOKUP($D1082&amp;"_"&amp;I$61,$B$23:$B$45&amp;"_"&amp;$C$23:$C$45,$D$23:$D$45)*$E1082)</f>
        <v>0</v>
      </c>
      <c r="J1082" s="67" cm="1">
        <f ca="1" t="array" ref="J1082">MIN(8,_xlfn.XLOOKUP($D1082&amp;"_"&amp;J$61,$B$23:$B$45&amp;"_"&amp;$C$23:$C$45,$D$23:$D$45)*$E1082)</f>
        <v>8</v>
      </c>
      <c r="K1082" s="67" cm="1">
        <f ca="1" t="array" ref="K1082">MIN(18,_xlfn.XLOOKUP($D1082&amp;"_"&amp;K$61,$B$23:$B$45&amp;"_"&amp;$C$23:$C$45,$D$23:$D$45)*$E1082)</f>
        <v>4.23713417916187</v>
      </c>
      <c r="L1082" s="67" cm="1">
        <f ca="1" t="array" ref="L1082">MIN(6,_xlfn.XLOOKUP($D1082&amp;"_"&amp;L$61,$B$23:$B$45&amp;"_"&amp;$C$23:$C$45,$D$23:$D$45)*$E1082)</f>
        <v>6</v>
      </c>
      <c r="M1082" s="67" cm="1">
        <f ca="1" t="array" ref="M1082">(1+SUMPRODUCT(G1082:H1082,OFFSET($H$49:$I$49,D1082,0)))*(1+OFFSET($J$49,D1082,0))^I1082*(1+OFFSET($K$49,D1082,0))^J1082*(1+OFFSET($L$49,D1082,0))^K1082*(1+OFFSET($M$49,D1082,0))^L1082</f>
        <v>353.927953758616</v>
      </c>
      <c r="N1082" s="67">
        <f ca="1">MAX(MAX($N$62:N1081),OFFSET($C$61,MATCH(M1082*1.07,$M$62:$M$2061,1),0)-C1082)</f>
        <v>49320</v>
      </c>
    </row>
    <row r="1083" spans="2:14">
      <c r="B1083" s="67">
        <v>1022</v>
      </c>
      <c r="C1083" s="67">
        <f t="shared" si="100"/>
        <v>367920</v>
      </c>
      <c r="D1083" s="67">
        <f t="shared" si="95"/>
        <v>5</v>
      </c>
      <c r="E1083" s="67">
        <f ca="1" t="shared" si="96"/>
        <v>1052</v>
      </c>
      <c r="F1083" s="67">
        <f ca="1" t="shared" si="101"/>
        <v>0</v>
      </c>
      <c r="G1083" s="67">
        <f ca="1" t="shared" si="102"/>
        <v>0</v>
      </c>
      <c r="H1083" s="67" cm="1">
        <f ca="1" t="array" ref="H1083">MIN(30-SUM(I1083:L1083),_xlfn.XLOOKUP($D1083&amp;"_"&amp;H$61,$B$23:$B$45&amp;"_"&amp;$C$23:$C$45,$D$23:$D$45)*$E1083,18)</f>
        <v>11.7588342945021</v>
      </c>
      <c r="I1083" s="67" cm="1">
        <f ca="1" t="array" ref="I1083">MIN(30-SUM(J1083:L1083),6-L1083,_xlfn.XLOOKUP($D1083&amp;"_"&amp;I$61,$B$23:$B$45&amp;"_"&amp;$C$23:$C$45,$D$23:$D$45)*$E1083)</f>
        <v>0</v>
      </c>
      <c r="J1083" s="67" cm="1">
        <f ca="1" t="array" ref="J1083">MIN(8,_xlfn.XLOOKUP($D1083&amp;"_"&amp;J$61,$B$23:$B$45&amp;"_"&amp;$C$23:$C$45,$D$23:$D$45)*$E1083)</f>
        <v>8</v>
      </c>
      <c r="K1083" s="67" cm="1">
        <f ca="1" t="array" ref="K1083">MIN(18,_xlfn.XLOOKUP($D1083&amp;"_"&amp;K$61,$B$23:$B$45&amp;"_"&amp;$C$23:$C$45,$D$23:$D$45)*$E1083)</f>
        <v>4.24116570549789</v>
      </c>
      <c r="L1083" s="67" cm="1">
        <f ca="1" t="array" ref="L1083">MIN(6,_xlfn.XLOOKUP($D1083&amp;"_"&amp;L$61,$B$23:$B$45&amp;"_"&amp;$C$23:$C$45,$D$23:$D$45)*$E1083)</f>
        <v>6</v>
      </c>
      <c r="M1083" s="67" cm="1">
        <f ca="1" t="array" ref="M1083">(1+SUMPRODUCT(G1083:H1083,OFFSET($H$49:$I$49,D1083,0)))*(1+OFFSET($J$49,D1083,0))^I1083*(1+OFFSET($K$49,D1083,0))^J1083*(1+OFFSET($L$49,D1083,0))^K1083*(1+OFFSET($M$49,D1083,0))^L1083</f>
        <v>354.103015058363</v>
      </c>
      <c r="N1083" s="67">
        <f ca="1">MAX(MAX($N$62:N1082),OFFSET($C$61,MATCH(M1083*1.07,$M$62:$M$2061,1),0)-C1083)</f>
        <v>49320</v>
      </c>
    </row>
    <row r="1084" spans="2:14">
      <c r="B1084" s="67">
        <v>1023</v>
      </c>
      <c r="C1084" s="67">
        <f t="shared" si="100"/>
        <v>368280</v>
      </c>
      <c r="D1084" s="67">
        <f t="shared" si="95"/>
        <v>5</v>
      </c>
      <c r="E1084" s="67">
        <f ca="1" t="shared" si="96"/>
        <v>1053</v>
      </c>
      <c r="F1084" s="67">
        <f ca="1" t="shared" si="101"/>
        <v>0</v>
      </c>
      <c r="G1084" s="67">
        <f ca="1" t="shared" si="102"/>
        <v>0</v>
      </c>
      <c r="H1084" s="67" cm="1">
        <f ca="1" t="array" ref="H1084">MIN(30-SUM(I1084:L1084),_xlfn.XLOOKUP($D1084&amp;"_"&amp;H$61,$B$23:$B$45&amp;"_"&amp;$C$23:$C$45,$D$23:$D$45)*$E1084,18)</f>
        <v>11.7548027681661</v>
      </c>
      <c r="I1084" s="67" cm="1">
        <f ca="1" t="array" ref="I1084">MIN(30-SUM(J1084:L1084),6-L1084,_xlfn.XLOOKUP($D1084&amp;"_"&amp;I$61,$B$23:$B$45&amp;"_"&amp;$C$23:$C$45,$D$23:$D$45)*$E1084)</f>
        <v>0</v>
      </c>
      <c r="J1084" s="67" cm="1">
        <f ca="1" t="array" ref="J1084">MIN(8,_xlfn.XLOOKUP($D1084&amp;"_"&amp;J$61,$B$23:$B$45&amp;"_"&amp;$C$23:$C$45,$D$23:$D$45)*$E1084)</f>
        <v>8</v>
      </c>
      <c r="K1084" s="67" cm="1">
        <f ca="1" t="array" ref="K1084">MIN(18,_xlfn.XLOOKUP($D1084&amp;"_"&amp;K$61,$B$23:$B$45&amp;"_"&amp;$C$23:$C$45,$D$23:$D$45)*$E1084)</f>
        <v>4.24519723183391</v>
      </c>
      <c r="L1084" s="67" cm="1">
        <f ca="1" t="array" ref="L1084">MIN(6,_xlfn.XLOOKUP($D1084&amp;"_"&amp;L$61,$B$23:$B$45&amp;"_"&amp;$C$23:$C$45,$D$23:$D$45)*$E1084)</f>
        <v>6</v>
      </c>
      <c r="M1084" s="67" cm="1">
        <f ca="1" t="array" ref="M1084">(1+SUMPRODUCT(G1084:H1084,OFFSET($H$49:$I$49,D1084,0)))*(1+OFFSET($J$49,D1084,0))^I1084*(1+OFFSET($K$49,D1084,0))^J1084*(1+OFFSET($L$49,D1084,0))^K1084*(1+OFFSET($M$49,D1084,0))^L1084</f>
        <v>354.278142445671</v>
      </c>
      <c r="N1084" s="67">
        <f ca="1">MAX(MAX($N$62:N1083),OFFSET($C$61,MATCH(M1084*1.07,$M$62:$M$2061,1),0)-C1084)</f>
        <v>49320</v>
      </c>
    </row>
    <row r="1085" spans="2:14">
      <c r="B1085" s="67">
        <v>1024</v>
      </c>
      <c r="C1085" s="67">
        <f t="shared" si="100"/>
        <v>368640</v>
      </c>
      <c r="D1085" s="67">
        <f t="shared" si="95"/>
        <v>5</v>
      </c>
      <c r="E1085" s="67">
        <f ca="1" t="shared" si="96"/>
        <v>1054</v>
      </c>
      <c r="F1085" s="67">
        <f ca="1" t="shared" si="101"/>
        <v>0</v>
      </c>
      <c r="G1085" s="67">
        <f ca="1" t="shared" si="102"/>
        <v>0</v>
      </c>
      <c r="H1085" s="67" cm="1">
        <f ca="1" t="array" ref="H1085">MIN(30-SUM(I1085:L1085),_xlfn.XLOOKUP($D1085&amp;"_"&amp;H$61,$B$23:$B$45&amp;"_"&amp;$C$23:$C$45,$D$23:$D$45)*$E1085,18)</f>
        <v>11.7507712418301</v>
      </c>
      <c r="I1085" s="67" cm="1">
        <f ca="1" t="array" ref="I1085">MIN(30-SUM(J1085:L1085),6-L1085,_xlfn.XLOOKUP($D1085&amp;"_"&amp;I$61,$B$23:$B$45&amp;"_"&amp;$C$23:$C$45,$D$23:$D$45)*$E1085)</f>
        <v>0</v>
      </c>
      <c r="J1085" s="67" cm="1">
        <f ca="1" t="array" ref="J1085">MIN(8,_xlfn.XLOOKUP($D1085&amp;"_"&amp;J$61,$B$23:$B$45&amp;"_"&amp;$C$23:$C$45,$D$23:$D$45)*$E1085)</f>
        <v>8</v>
      </c>
      <c r="K1085" s="67" cm="1">
        <f ca="1" t="array" ref="K1085">MIN(18,_xlfn.XLOOKUP($D1085&amp;"_"&amp;K$61,$B$23:$B$45&amp;"_"&amp;$C$23:$C$45,$D$23:$D$45)*$E1085)</f>
        <v>4.24922875816994</v>
      </c>
      <c r="L1085" s="67" cm="1">
        <f ca="1" t="array" ref="L1085">MIN(6,_xlfn.XLOOKUP($D1085&amp;"_"&amp;L$61,$B$23:$B$45&amp;"_"&amp;$C$23:$C$45,$D$23:$D$45)*$E1085)</f>
        <v>6</v>
      </c>
      <c r="M1085" s="67" cm="1">
        <f ca="1" t="array" ref="M1085">(1+SUMPRODUCT(G1085:H1085,OFFSET($H$49:$I$49,D1085,0)))*(1+OFFSET($J$49,D1085,0))^I1085*(1+OFFSET($K$49,D1085,0))^J1085*(1+OFFSET($L$49,D1085,0))^K1085*(1+OFFSET($M$49,D1085,0))^L1085</f>
        <v>354.45333592308</v>
      </c>
      <c r="N1085" s="67">
        <f ca="1">MAX(MAX($N$62:N1084),OFFSET($C$61,MATCH(M1085*1.07,$M$62:$M$2061,1),0)-C1085)</f>
        <v>49680</v>
      </c>
    </row>
    <row r="1086" spans="2:14">
      <c r="B1086" s="67">
        <v>1025</v>
      </c>
      <c r="C1086" s="67">
        <f t="shared" si="100"/>
        <v>369000</v>
      </c>
      <c r="D1086" s="67">
        <f t="shared" si="95"/>
        <v>5</v>
      </c>
      <c r="E1086" s="67">
        <f ca="1" t="shared" si="96"/>
        <v>1055</v>
      </c>
      <c r="F1086" s="67">
        <f ca="1" t="shared" si="101"/>
        <v>0</v>
      </c>
      <c r="G1086" s="67">
        <f ca="1" t="shared" si="102"/>
        <v>0</v>
      </c>
      <c r="H1086" s="67" cm="1">
        <f ca="1" t="array" ref="H1086">MIN(30-SUM(I1086:L1086),_xlfn.XLOOKUP($D1086&amp;"_"&amp;H$61,$B$23:$B$45&amp;"_"&amp;$C$23:$C$45,$D$23:$D$45)*$E1086,18)</f>
        <v>11.746739715494</v>
      </c>
      <c r="I1086" s="67" cm="1">
        <f ca="1" t="array" ref="I1086">MIN(30-SUM(J1086:L1086),6-L1086,_xlfn.XLOOKUP($D1086&amp;"_"&amp;I$61,$B$23:$B$45&amp;"_"&amp;$C$23:$C$45,$D$23:$D$45)*$E1086)</f>
        <v>0</v>
      </c>
      <c r="J1086" s="67" cm="1">
        <f ca="1" t="array" ref="J1086">MIN(8,_xlfn.XLOOKUP($D1086&amp;"_"&amp;J$61,$B$23:$B$45&amp;"_"&amp;$C$23:$C$45,$D$23:$D$45)*$E1086)</f>
        <v>8</v>
      </c>
      <c r="K1086" s="67" cm="1">
        <f ca="1" t="array" ref="K1086">MIN(18,_xlfn.XLOOKUP($D1086&amp;"_"&amp;K$61,$B$23:$B$45&amp;"_"&amp;$C$23:$C$45,$D$23:$D$45)*$E1086)</f>
        <v>4.25326028450596</v>
      </c>
      <c r="L1086" s="67" cm="1">
        <f ca="1" t="array" ref="L1086">MIN(6,_xlfn.XLOOKUP($D1086&amp;"_"&amp;L$61,$B$23:$B$45&amp;"_"&amp;$C$23:$C$45,$D$23:$D$45)*$E1086)</f>
        <v>6</v>
      </c>
      <c r="M1086" s="67" cm="1">
        <f ca="1" t="array" ref="M1086">(1+SUMPRODUCT(G1086:H1086,OFFSET($H$49:$I$49,D1086,0)))*(1+OFFSET($J$49,D1086,0))^I1086*(1+OFFSET($K$49,D1086,0))^J1086*(1+OFFSET($L$49,D1086,0))^K1086*(1+OFFSET($M$49,D1086,0))^L1086</f>
        <v>354.628595493093</v>
      </c>
      <c r="N1086" s="67">
        <f ca="1">MAX(MAX($N$62:N1085),OFFSET($C$61,MATCH(M1086*1.07,$M$62:$M$2061,1),0)-C1086)</f>
        <v>49680</v>
      </c>
    </row>
    <row r="1087" spans="2:14">
      <c r="B1087" s="67">
        <v>1026</v>
      </c>
      <c r="C1087" s="67">
        <f t="shared" si="100"/>
        <v>369360</v>
      </c>
      <c r="D1087" s="67">
        <f t="shared" ref="D1087:D1150" si="103">_xlfn.XLOOKUP("非R",$B$49:$B$54,$C$49:$C$54)</f>
        <v>5</v>
      </c>
      <c r="E1087" s="67">
        <f ca="1" t="shared" ref="E1087:E1150" si="104">INT(C1087/_xlfn.XLOOKUP(D1087,$R$14:$R$21,$S$14:$S$21))+OFFSET($R$49,D1087,0)</f>
        <v>1056</v>
      </c>
      <c r="F1087" s="67">
        <f ca="1" t="shared" si="101"/>
        <v>0</v>
      </c>
      <c r="G1087" s="67">
        <f ca="1" t="shared" si="102"/>
        <v>0</v>
      </c>
      <c r="H1087" s="67" cm="1">
        <f ca="1" t="array" ref="H1087">MIN(30-SUM(I1087:L1087),_xlfn.XLOOKUP($D1087&amp;"_"&amp;H$61,$B$23:$B$45&amp;"_"&amp;$C$23:$C$45,$D$23:$D$45)*$E1087,18)</f>
        <v>11.742708189158</v>
      </c>
      <c r="I1087" s="67" cm="1">
        <f ca="1" t="array" ref="I1087">MIN(30-SUM(J1087:L1087),6-L1087,_xlfn.XLOOKUP($D1087&amp;"_"&amp;I$61,$B$23:$B$45&amp;"_"&amp;$C$23:$C$45,$D$23:$D$45)*$E1087)</f>
        <v>0</v>
      </c>
      <c r="J1087" s="67" cm="1">
        <f ca="1" t="array" ref="J1087">MIN(8,_xlfn.XLOOKUP($D1087&amp;"_"&amp;J$61,$B$23:$B$45&amp;"_"&amp;$C$23:$C$45,$D$23:$D$45)*$E1087)</f>
        <v>8</v>
      </c>
      <c r="K1087" s="67" cm="1">
        <f ca="1" t="array" ref="K1087">MIN(18,_xlfn.XLOOKUP($D1087&amp;"_"&amp;K$61,$B$23:$B$45&amp;"_"&amp;$C$23:$C$45,$D$23:$D$45)*$E1087)</f>
        <v>4.25729181084199</v>
      </c>
      <c r="L1087" s="67" cm="1">
        <f ca="1" t="array" ref="L1087">MIN(6,_xlfn.XLOOKUP($D1087&amp;"_"&amp;L$61,$B$23:$B$45&amp;"_"&amp;$C$23:$C$45,$D$23:$D$45)*$E1087)</f>
        <v>6</v>
      </c>
      <c r="M1087" s="67" cm="1">
        <f ca="1" t="array" ref="M1087">(1+SUMPRODUCT(G1087:H1087,OFFSET($H$49:$I$49,D1087,0)))*(1+OFFSET($J$49,D1087,0))^I1087*(1+OFFSET($K$49,D1087,0))^J1087*(1+OFFSET($L$49,D1087,0))^K1087*(1+OFFSET($M$49,D1087,0))^L1087</f>
        <v>354.803921158187</v>
      </c>
      <c r="N1087" s="67">
        <f ca="1">MAX(MAX($N$62:N1086),OFFSET($C$61,MATCH(M1087*1.07,$M$62:$M$2061,1),0)-C1087)</f>
        <v>49680</v>
      </c>
    </row>
    <row r="1088" spans="2:14">
      <c r="B1088" s="67">
        <v>1027</v>
      </c>
      <c r="C1088" s="67">
        <f t="shared" si="100"/>
        <v>369720</v>
      </c>
      <c r="D1088" s="67">
        <f t="shared" si="103"/>
        <v>5</v>
      </c>
      <c r="E1088" s="67">
        <f ca="1" t="shared" si="104"/>
        <v>1057</v>
      </c>
      <c r="F1088" s="67">
        <f ca="1" t="shared" si="101"/>
        <v>0</v>
      </c>
      <c r="G1088" s="67">
        <f ca="1" t="shared" si="102"/>
        <v>0</v>
      </c>
      <c r="H1088" s="67" cm="1">
        <f ca="1" t="array" ref="H1088">MIN(30-SUM(I1088:L1088),_xlfn.XLOOKUP($D1088&amp;"_"&amp;H$61,$B$23:$B$45&amp;"_"&amp;$C$23:$C$45,$D$23:$D$45)*$E1088,18)</f>
        <v>11.738676662822</v>
      </c>
      <c r="I1088" s="67" cm="1">
        <f ca="1" t="array" ref="I1088">MIN(30-SUM(J1088:L1088),6-L1088,_xlfn.XLOOKUP($D1088&amp;"_"&amp;I$61,$B$23:$B$45&amp;"_"&amp;$C$23:$C$45,$D$23:$D$45)*$E1088)</f>
        <v>0</v>
      </c>
      <c r="J1088" s="67" cm="1">
        <f ca="1" t="array" ref="J1088">MIN(8,_xlfn.XLOOKUP($D1088&amp;"_"&amp;J$61,$B$23:$B$45&amp;"_"&amp;$C$23:$C$45,$D$23:$D$45)*$E1088)</f>
        <v>8</v>
      </c>
      <c r="K1088" s="67" cm="1">
        <f ca="1" t="array" ref="K1088">MIN(18,_xlfn.XLOOKUP($D1088&amp;"_"&amp;K$61,$B$23:$B$45&amp;"_"&amp;$C$23:$C$45,$D$23:$D$45)*$E1088)</f>
        <v>4.26132333717801</v>
      </c>
      <c r="L1088" s="67" cm="1">
        <f ca="1" t="array" ref="L1088">MIN(6,_xlfn.XLOOKUP($D1088&amp;"_"&amp;L$61,$B$23:$B$45&amp;"_"&amp;$C$23:$C$45,$D$23:$D$45)*$E1088)</f>
        <v>6</v>
      </c>
      <c r="M1088" s="67" cm="1">
        <f ca="1" t="array" ref="M1088">(1+SUMPRODUCT(G1088:H1088,OFFSET($H$49:$I$49,D1088,0)))*(1+OFFSET($J$49,D1088,0))^I1088*(1+OFFSET($K$49,D1088,0))^J1088*(1+OFFSET($L$49,D1088,0))^K1088*(1+OFFSET($M$49,D1088,0))^L1088</f>
        <v>354.979312920802</v>
      </c>
      <c r="N1088" s="67">
        <f ca="1">MAX(MAX($N$62:N1087),OFFSET($C$61,MATCH(M1088*1.07,$M$62:$M$2061,1),0)-C1088)</f>
        <v>49680</v>
      </c>
    </row>
    <row r="1089" spans="2:14">
      <c r="B1089" s="67">
        <v>1028</v>
      </c>
      <c r="C1089" s="67">
        <f t="shared" si="100"/>
        <v>370080</v>
      </c>
      <c r="D1089" s="67">
        <f t="shared" si="103"/>
        <v>5</v>
      </c>
      <c r="E1089" s="67">
        <f ca="1" t="shared" si="104"/>
        <v>1058</v>
      </c>
      <c r="F1089" s="67">
        <f ca="1" t="shared" si="101"/>
        <v>0</v>
      </c>
      <c r="G1089" s="67">
        <f ca="1" t="shared" si="102"/>
        <v>0</v>
      </c>
      <c r="H1089" s="67" cm="1">
        <f ca="1" t="array" ref="H1089">MIN(30-SUM(I1089:L1089),_xlfn.XLOOKUP($D1089&amp;"_"&amp;H$61,$B$23:$B$45&amp;"_"&amp;$C$23:$C$45,$D$23:$D$45)*$E1089,18)</f>
        <v>11.734645136486</v>
      </c>
      <c r="I1089" s="67" cm="1">
        <f ca="1" t="array" ref="I1089">MIN(30-SUM(J1089:L1089),6-L1089,_xlfn.XLOOKUP($D1089&amp;"_"&amp;I$61,$B$23:$B$45&amp;"_"&amp;$C$23:$C$45,$D$23:$D$45)*$E1089)</f>
        <v>0</v>
      </c>
      <c r="J1089" s="67" cm="1">
        <f ca="1" t="array" ref="J1089">MIN(8,_xlfn.XLOOKUP($D1089&amp;"_"&amp;J$61,$B$23:$B$45&amp;"_"&amp;$C$23:$C$45,$D$23:$D$45)*$E1089)</f>
        <v>8</v>
      </c>
      <c r="K1089" s="67" cm="1">
        <f ca="1" t="array" ref="K1089">MIN(18,_xlfn.XLOOKUP($D1089&amp;"_"&amp;K$61,$B$23:$B$45&amp;"_"&amp;$C$23:$C$45,$D$23:$D$45)*$E1089)</f>
        <v>4.26535486351404</v>
      </c>
      <c r="L1089" s="67" cm="1">
        <f ca="1" t="array" ref="L1089">MIN(6,_xlfn.XLOOKUP($D1089&amp;"_"&amp;L$61,$B$23:$B$45&amp;"_"&amp;$C$23:$C$45,$D$23:$D$45)*$E1089)</f>
        <v>6</v>
      </c>
      <c r="M1089" s="67" cm="1">
        <f ca="1" t="array" ref="M1089">(1+SUMPRODUCT(G1089:H1089,OFFSET($H$49:$I$49,D1089,0)))*(1+OFFSET($J$49,D1089,0))^I1089*(1+OFFSET($K$49,D1089,0))^J1089*(1+OFFSET($L$49,D1089,0))^K1089*(1+OFFSET($M$49,D1089,0))^L1089</f>
        <v>355.154770783349</v>
      </c>
      <c r="N1089" s="67">
        <f ca="1">MAX(MAX($N$62:N1088),OFFSET($C$61,MATCH(M1089*1.07,$M$62:$M$2061,1),0)-C1089)</f>
        <v>49680</v>
      </c>
    </row>
    <row r="1090" spans="2:14">
      <c r="B1090" s="67">
        <v>1029</v>
      </c>
      <c r="C1090" s="67">
        <f t="shared" si="100"/>
        <v>370440</v>
      </c>
      <c r="D1090" s="67">
        <f t="shared" si="103"/>
        <v>5</v>
      </c>
      <c r="E1090" s="67">
        <f ca="1" t="shared" si="104"/>
        <v>1059</v>
      </c>
      <c r="F1090" s="67">
        <f ca="1" t="shared" si="101"/>
        <v>0</v>
      </c>
      <c r="G1090" s="67">
        <f ca="1" t="shared" si="102"/>
        <v>0</v>
      </c>
      <c r="H1090" s="67" cm="1">
        <f ca="1" t="array" ref="H1090">MIN(30-SUM(I1090:L1090),_xlfn.XLOOKUP($D1090&amp;"_"&amp;H$61,$B$23:$B$45&amp;"_"&amp;$C$23:$C$45,$D$23:$D$45)*$E1090,18)</f>
        <v>11.7306136101499</v>
      </c>
      <c r="I1090" s="67" cm="1">
        <f ca="1" t="array" ref="I1090">MIN(30-SUM(J1090:L1090),6-L1090,_xlfn.XLOOKUP($D1090&amp;"_"&amp;I$61,$B$23:$B$45&amp;"_"&amp;$C$23:$C$45,$D$23:$D$45)*$E1090)</f>
        <v>0</v>
      </c>
      <c r="J1090" s="67" cm="1">
        <f ca="1" t="array" ref="J1090">MIN(8,_xlfn.XLOOKUP($D1090&amp;"_"&amp;J$61,$B$23:$B$45&amp;"_"&amp;$C$23:$C$45,$D$23:$D$45)*$E1090)</f>
        <v>8</v>
      </c>
      <c r="K1090" s="67" cm="1">
        <f ca="1" t="array" ref="K1090">MIN(18,_xlfn.XLOOKUP($D1090&amp;"_"&amp;K$61,$B$23:$B$45&amp;"_"&amp;$C$23:$C$45,$D$23:$D$45)*$E1090)</f>
        <v>4.26938638985006</v>
      </c>
      <c r="L1090" s="67" cm="1">
        <f ca="1" t="array" ref="L1090">MIN(6,_xlfn.XLOOKUP($D1090&amp;"_"&amp;L$61,$B$23:$B$45&amp;"_"&amp;$C$23:$C$45,$D$23:$D$45)*$E1090)</f>
        <v>6</v>
      </c>
      <c r="M1090" s="67" cm="1">
        <f ca="1" t="array" ref="M1090">(1+SUMPRODUCT(G1090:H1090,OFFSET($H$49:$I$49,D1090,0)))*(1+OFFSET($J$49,D1090,0))^I1090*(1+OFFSET($K$49,D1090,0))^J1090*(1+OFFSET($L$49,D1090,0))^K1090*(1+OFFSET($M$49,D1090,0))^L1090</f>
        <v>355.330294748204</v>
      </c>
      <c r="N1090" s="67">
        <f ca="1">MAX(MAX($N$62:N1089),OFFSET($C$61,MATCH(M1090*1.07,$M$62:$M$2061,1),0)-C1090)</f>
        <v>49680</v>
      </c>
    </row>
    <row r="1091" spans="2:14">
      <c r="B1091" s="67">
        <v>1030</v>
      </c>
      <c r="C1091" s="67">
        <f t="shared" si="100"/>
        <v>370800</v>
      </c>
      <c r="D1091" s="67">
        <f t="shared" si="103"/>
        <v>5</v>
      </c>
      <c r="E1091" s="67">
        <f ca="1" t="shared" si="104"/>
        <v>1060</v>
      </c>
      <c r="F1091" s="67">
        <f ca="1" t="shared" si="101"/>
        <v>0</v>
      </c>
      <c r="G1091" s="67">
        <f ca="1" t="shared" si="102"/>
        <v>0</v>
      </c>
      <c r="H1091" s="67" cm="1">
        <f ca="1" t="array" ref="H1091">MIN(30-SUM(I1091:L1091),_xlfn.XLOOKUP($D1091&amp;"_"&amp;H$61,$B$23:$B$45&amp;"_"&amp;$C$23:$C$45,$D$23:$D$45)*$E1091,18)</f>
        <v>11.7265820838139</v>
      </c>
      <c r="I1091" s="67" cm="1">
        <f ca="1" t="array" ref="I1091">MIN(30-SUM(J1091:L1091),6-L1091,_xlfn.XLOOKUP($D1091&amp;"_"&amp;I$61,$B$23:$B$45&amp;"_"&amp;$C$23:$C$45,$D$23:$D$45)*$E1091)</f>
        <v>0</v>
      </c>
      <c r="J1091" s="67" cm="1">
        <f ca="1" t="array" ref="J1091">MIN(8,_xlfn.XLOOKUP($D1091&amp;"_"&amp;J$61,$B$23:$B$45&amp;"_"&amp;$C$23:$C$45,$D$23:$D$45)*$E1091)</f>
        <v>8</v>
      </c>
      <c r="K1091" s="67" cm="1">
        <f ca="1" t="array" ref="K1091">MIN(18,_xlfn.XLOOKUP($D1091&amp;"_"&amp;K$61,$B$23:$B$45&amp;"_"&amp;$C$23:$C$45,$D$23:$D$45)*$E1091)</f>
        <v>4.27341791618609</v>
      </c>
      <c r="L1091" s="67" cm="1">
        <f ca="1" t="array" ref="L1091">MIN(6,_xlfn.XLOOKUP($D1091&amp;"_"&amp;L$61,$B$23:$B$45&amp;"_"&amp;$C$23:$C$45,$D$23:$D$45)*$E1091)</f>
        <v>6</v>
      </c>
      <c r="M1091" s="67" cm="1">
        <f ca="1" t="array" ref="M1091">(1+SUMPRODUCT(G1091:H1091,OFFSET($H$49:$I$49,D1091,0)))*(1+OFFSET($J$49,D1091,0))^I1091*(1+OFFSET($K$49,D1091,0))^J1091*(1+OFFSET($L$49,D1091,0))^K1091*(1+OFFSET($M$49,D1091,0))^L1091</f>
        <v>355.505884817715</v>
      </c>
      <c r="N1091" s="67">
        <f ca="1">MAX(MAX($N$62:N1090),OFFSET($C$61,MATCH(M1091*1.07,$M$62:$M$2061,1),0)-C1091)</f>
        <v>49680</v>
      </c>
    </row>
    <row r="1092" spans="2:14">
      <c r="B1092" s="67">
        <v>1031</v>
      </c>
      <c r="C1092" s="67">
        <f t="shared" si="100"/>
        <v>371160</v>
      </c>
      <c r="D1092" s="67">
        <f t="shared" si="103"/>
        <v>5</v>
      </c>
      <c r="E1092" s="67">
        <f ca="1" t="shared" si="104"/>
        <v>1061</v>
      </c>
      <c r="F1092" s="67">
        <f ca="1" t="shared" si="101"/>
        <v>0</v>
      </c>
      <c r="G1092" s="67">
        <f ca="1" t="shared" si="102"/>
        <v>0</v>
      </c>
      <c r="H1092" s="67" cm="1">
        <f ca="1" t="array" ref="H1092">MIN(30-SUM(I1092:L1092),_xlfn.XLOOKUP($D1092&amp;"_"&amp;H$61,$B$23:$B$45&amp;"_"&amp;$C$23:$C$45,$D$23:$D$45)*$E1092,18)</f>
        <v>11.7225505574779</v>
      </c>
      <c r="I1092" s="67" cm="1">
        <f ca="1" t="array" ref="I1092">MIN(30-SUM(J1092:L1092),6-L1092,_xlfn.XLOOKUP($D1092&amp;"_"&amp;I$61,$B$23:$B$45&amp;"_"&amp;$C$23:$C$45,$D$23:$D$45)*$E1092)</f>
        <v>0</v>
      </c>
      <c r="J1092" s="67" cm="1">
        <f ca="1" t="array" ref="J1092">MIN(8,_xlfn.XLOOKUP($D1092&amp;"_"&amp;J$61,$B$23:$B$45&amp;"_"&amp;$C$23:$C$45,$D$23:$D$45)*$E1092)</f>
        <v>8</v>
      </c>
      <c r="K1092" s="67" cm="1">
        <f ca="1" t="array" ref="K1092">MIN(18,_xlfn.XLOOKUP($D1092&amp;"_"&amp;K$61,$B$23:$B$45&amp;"_"&amp;$C$23:$C$45,$D$23:$D$45)*$E1092)</f>
        <v>4.27744944252211</v>
      </c>
      <c r="L1092" s="67" cm="1">
        <f ca="1" t="array" ref="L1092">MIN(6,_xlfn.XLOOKUP($D1092&amp;"_"&amp;L$61,$B$23:$B$45&amp;"_"&amp;$C$23:$C$45,$D$23:$D$45)*$E1092)</f>
        <v>6</v>
      </c>
      <c r="M1092" s="67" cm="1">
        <f ca="1" t="array" ref="M1092">(1+SUMPRODUCT(G1092:H1092,OFFSET($H$49:$I$49,D1092,0)))*(1+OFFSET($J$49,D1092,0))^I1092*(1+OFFSET($K$49,D1092,0))^J1092*(1+OFFSET($L$49,D1092,0))^K1092*(1+OFFSET($M$49,D1092,0))^L1092</f>
        <v>355.681540994193</v>
      </c>
      <c r="N1092" s="67">
        <f ca="1">MAX(MAX($N$62:N1091),OFFSET($C$61,MATCH(M1092*1.07,$M$62:$M$2061,1),0)-C1092)</f>
        <v>49680</v>
      </c>
    </row>
    <row r="1093" spans="2:14">
      <c r="B1093" s="67">
        <v>1032</v>
      </c>
      <c r="C1093" s="67">
        <f t="shared" si="100"/>
        <v>371520</v>
      </c>
      <c r="D1093" s="67">
        <f t="shared" si="103"/>
        <v>5</v>
      </c>
      <c r="E1093" s="67">
        <f ca="1" t="shared" si="104"/>
        <v>1062</v>
      </c>
      <c r="F1093" s="67">
        <f ca="1" t="shared" si="101"/>
        <v>0</v>
      </c>
      <c r="G1093" s="67">
        <f ca="1" t="shared" si="102"/>
        <v>0</v>
      </c>
      <c r="H1093" s="67" cm="1">
        <f ca="1" t="array" ref="H1093">MIN(30-SUM(I1093:L1093),_xlfn.XLOOKUP($D1093&amp;"_"&amp;H$61,$B$23:$B$45&amp;"_"&amp;$C$23:$C$45,$D$23:$D$45)*$E1093,18)</f>
        <v>11.7185190311419</v>
      </c>
      <c r="I1093" s="67" cm="1">
        <f ca="1" t="array" ref="I1093">MIN(30-SUM(J1093:L1093),6-L1093,_xlfn.XLOOKUP($D1093&amp;"_"&amp;I$61,$B$23:$B$45&amp;"_"&amp;$C$23:$C$45,$D$23:$D$45)*$E1093)</f>
        <v>0</v>
      </c>
      <c r="J1093" s="67" cm="1">
        <f ca="1" t="array" ref="J1093">MIN(8,_xlfn.XLOOKUP($D1093&amp;"_"&amp;J$61,$B$23:$B$45&amp;"_"&amp;$C$23:$C$45,$D$23:$D$45)*$E1093)</f>
        <v>8</v>
      </c>
      <c r="K1093" s="67" cm="1">
        <f ca="1" t="array" ref="K1093">MIN(18,_xlfn.XLOOKUP($D1093&amp;"_"&amp;K$61,$B$23:$B$45&amp;"_"&amp;$C$23:$C$45,$D$23:$D$45)*$E1093)</f>
        <v>4.28148096885814</v>
      </c>
      <c r="L1093" s="67" cm="1">
        <f ca="1" t="array" ref="L1093">MIN(6,_xlfn.XLOOKUP($D1093&amp;"_"&amp;L$61,$B$23:$B$45&amp;"_"&amp;$C$23:$C$45,$D$23:$D$45)*$E1093)</f>
        <v>6</v>
      </c>
      <c r="M1093" s="67" cm="1">
        <f ca="1" t="array" ref="M1093">(1+SUMPRODUCT(G1093:H1093,OFFSET($H$49:$I$49,D1093,0)))*(1+OFFSET($J$49,D1093,0))^I1093*(1+OFFSET($K$49,D1093,0))^J1093*(1+OFFSET($L$49,D1093,0))^K1093*(1+OFFSET($M$49,D1093,0))^L1093</f>
        <v>355.857263279919</v>
      </c>
      <c r="N1093" s="67">
        <f ca="1">MAX(MAX($N$62:N1092),OFFSET($C$61,MATCH(M1093*1.07,$M$62:$M$2061,1),0)-C1093)</f>
        <v>49680</v>
      </c>
    </row>
    <row r="1094" spans="2:14">
      <c r="B1094" s="67">
        <v>1033</v>
      </c>
      <c r="C1094" s="67">
        <f t="shared" ref="C1094:C1125" si="105">C1093+360</f>
        <v>371880</v>
      </c>
      <c r="D1094" s="67">
        <f t="shared" si="103"/>
        <v>5</v>
      </c>
      <c r="E1094" s="67">
        <f ca="1" t="shared" si="104"/>
        <v>1063</v>
      </c>
      <c r="F1094" s="67">
        <f ca="1" t="shared" ref="F1094:F1125" si="106">30-SUM(G1094:L1094)</f>
        <v>0</v>
      </c>
      <c r="G1094" s="67">
        <f ca="1" t="shared" ref="G1094:G1125" si="107">30-SUM(H1094:L1094)</f>
        <v>0</v>
      </c>
      <c r="H1094" s="67" cm="1">
        <f ca="1" t="array" ref="H1094">MIN(30-SUM(I1094:L1094),_xlfn.XLOOKUP($D1094&amp;"_"&amp;H$61,$B$23:$B$45&amp;"_"&amp;$C$23:$C$45,$D$23:$D$45)*$E1094,18)</f>
        <v>11.7144875048058</v>
      </c>
      <c r="I1094" s="67" cm="1">
        <f ca="1" t="array" ref="I1094">MIN(30-SUM(J1094:L1094),6-L1094,_xlfn.XLOOKUP($D1094&amp;"_"&amp;I$61,$B$23:$B$45&amp;"_"&amp;$C$23:$C$45,$D$23:$D$45)*$E1094)</f>
        <v>0</v>
      </c>
      <c r="J1094" s="67" cm="1">
        <f ca="1" t="array" ref="J1094">MIN(8,_xlfn.XLOOKUP($D1094&amp;"_"&amp;J$61,$B$23:$B$45&amp;"_"&amp;$C$23:$C$45,$D$23:$D$45)*$E1094)</f>
        <v>8</v>
      </c>
      <c r="K1094" s="67" cm="1">
        <f ca="1" t="array" ref="K1094">MIN(18,_xlfn.XLOOKUP($D1094&amp;"_"&amp;K$61,$B$23:$B$45&amp;"_"&amp;$C$23:$C$45,$D$23:$D$45)*$E1094)</f>
        <v>4.28551249519416</v>
      </c>
      <c r="L1094" s="67" cm="1">
        <f ca="1" t="array" ref="L1094">MIN(6,_xlfn.XLOOKUP($D1094&amp;"_"&amp;L$61,$B$23:$B$45&amp;"_"&amp;$C$23:$C$45,$D$23:$D$45)*$E1094)</f>
        <v>6</v>
      </c>
      <c r="M1094" s="67" cm="1">
        <f ca="1" t="array" ref="M1094">(1+SUMPRODUCT(G1094:H1094,OFFSET($H$49:$I$49,D1094,0)))*(1+OFFSET($J$49,D1094,0))^I1094*(1+OFFSET($K$49,D1094,0))^J1094*(1+OFFSET($L$49,D1094,0))^K1094*(1+OFFSET($M$49,D1094,0))^L1094</f>
        <v>356.033051677143</v>
      </c>
      <c r="N1094" s="67">
        <f ca="1">MAX(MAX($N$62:N1093),OFFSET($C$61,MATCH(M1094*1.07,$M$62:$M$2061,1),0)-C1094)</f>
        <v>49680</v>
      </c>
    </row>
    <row r="1095" spans="2:14">
      <c r="B1095" s="67">
        <v>1034</v>
      </c>
      <c r="C1095" s="67">
        <f t="shared" si="105"/>
        <v>372240</v>
      </c>
      <c r="D1095" s="67">
        <f t="shared" si="103"/>
        <v>5</v>
      </c>
      <c r="E1095" s="67">
        <f ca="1" t="shared" si="104"/>
        <v>1064</v>
      </c>
      <c r="F1095" s="67">
        <f ca="1" t="shared" si="106"/>
        <v>0</v>
      </c>
      <c r="G1095" s="67">
        <f ca="1" t="shared" si="107"/>
        <v>0</v>
      </c>
      <c r="H1095" s="67" cm="1">
        <f ca="1" t="array" ref="H1095">MIN(30-SUM(I1095:L1095),_xlfn.XLOOKUP($D1095&amp;"_"&amp;H$61,$B$23:$B$45&amp;"_"&amp;$C$23:$C$45,$D$23:$D$45)*$E1095,18)</f>
        <v>11.7104559784698</v>
      </c>
      <c r="I1095" s="67" cm="1">
        <f ca="1" t="array" ref="I1095">MIN(30-SUM(J1095:L1095),6-L1095,_xlfn.XLOOKUP($D1095&amp;"_"&amp;I$61,$B$23:$B$45&amp;"_"&amp;$C$23:$C$45,$D$23:$D$45)*$E1095)</f>
        <v>0</v>
      </c>
      <c r="J1095" s="67" cm="1">
        <f ca="1" t="array" ref="J1095">MIN(8,_xlfn.XLOOKUP($D1095&amp;"_"&amp;J$61,$B$23:$B$45&amp;"_"&amp;$C$23:$C$45,$D$23:$D$45)*$E1095)</f>
        <v>8</v>
      </c>
      <c r="K1095" s="67" cm="1">
        <f ca="1" t="array" ref="K1095">MIN(18,_xlfn.XLOOKUP($D1095&amp;"_"&amp;K$61,$B$23:$B$45&amp;"_"&amp;$C$23:$C$45,$D$23:$D$45)*$E1095)</f>
        <v>4.28954402153018</v>
      </c>
      <c r="L1095" s="67" cm="1">
        <f ca="1" t="array" ref="L1095">MIN(6,_xlfn.XLOOKUP($D1095&amp;"_"&amp;L$61,$B$23:$B$45&amp;"_"&amp;$C$23:$C$45,$D$23:$D$45)*$E1095)</f>
        <v>6</v>
      </c>
      <c r="M1095" s="67" cm="1">
        <f ca="1" t="array" ref="M1095">(1+SUMPRODUCT(G1095:H1095,OFFSET($H$49:$I$49,D1095,0)))*(1+OFFSET($J$49,D1095,0))^I1095*(1+OFFSET($K$49,D1095,0))^J1095*(1+OFFSET($L$49,D1095,0))^K1095*(1+OFFSET($M$49,D1095,0))^L1095</f>
        <v>356.208906188079</v>
      </c>
      <c r="N1095" s="67">
        <f ca="1">MAX(MAX($N$62:N1094),OFFSET($C$61,MATCH(M1095*1.07,$M$62:$M$2061,1),0)-C1095)</f>
        <v>49680</v>
      </c>
    </row>
    <row r="1096" spans="2:14">
      <c r="B1096" s="67">
        <v>1035</v>
      </c>
      <c r="C1096" s="67">
        <f t="shared" si="105"/>
        <v>372600</v>
      </c>
      <c r="D1096" s="67">
        <f t="shared" si="103"/>
        <v>5</v>
      </c>
      <c r="E1096" s="67">
        <f ca="1" t="shared" si="104"/>
        <v>1065</v>
      </c>
      <c r="F1096" s="67">
        <f ca="1" t="shared" si="106"/>
        <v>0</v>
      </c>
      <c r="G1096" s="67">
        <f ca="1" t="shared" si="107"/>
        <v>0</v>
      </c>
      <c r="H1096" s="67" cm="1">
        <f ca="1" t="array" ref="H1096">MIN(30-SUM(I1096:L1096),_xlfn.XLOOKUP($D1096&amp;"_"&amp;H$61,$B$23:$B$45&amp;"_"&amp;$C$23:$C$45,$D$23:$D$45)*$E1096,18)</f>
        <v>11.7064244521338</v>
      </c>
      <c r="I1096" s="67" cm="1">
        <f ca="1" t="array" ref="I1096">MIN(30-SUM(J1096:L1096),6-L1096,_xlfn.XLOOKUP($D1096&amp;"_"&amp;I$61,$B$23:$B$45&amp;"_"&amp;$C$23:$C$45,$D$23:$D$45)*$E1096)</f>
        <v>0</v>
      </c>
      <c r="J1096" s="67" cm="1">
        <f ca="1" t="array" ref="J1096">MIN(8,_xlfn.XLOOKUP($D1096&amp;"_"&amp;J$61,$B$23:$B$45&amp;"_"&amp;$C$23:$C$45,$D$23:$D$45)*$E1096)</f>
        <v>8</v>
      </c>
      <c r="K1096" s="67" cm="1">
        <f ca="1" t="array" ref="K1096">MIN(18,_xlfn.XLOOKUP($D1096&amp;"_"&amp;K$61,$B$23:$B$45&amp;"_"&amp;$C$23:$C$45,$D$23:$D$45)*$E1096)</f>
        <v>4.29357554786621</v>
      </c>
      <c r="L1096" s="67" cm="1">
        <f ca="1" t="array" ref="L1096">MIN(6,_xlfn.XLOOKUP($D1096&amp;"_"&amp;L$61,$B$23:$B$45&amp;"_"&amp;$C$23:$C$45,$D$23:$D$45)*$E1096)</f>
        <v>6</v>
      </c>
      <c r="M1096" s="67" cm="1">
        <f ca="1" t="array" ref="M1096">(1+SUMPRODUCT(G1096:H1096,OFFSET($H$49:$I$49,D1096,0)))*(1+OFFSET($J$49,D1096,0))^I1096*(1+OFFSET($K$49,D1096,0))^J1096*(1+OFFSET($L$49,D1096,0))^K1096*(1+OFFSET($M$49,D1096,0))^L1096</f>
        <v>356.38482681491</v>
      </c>
      <c r="N1096" s="67">
        <f ca="1">MAX(MAX($N$62:N1095),OFFSET($C$61,MATCH(M1096*1.07,$M$62:$M$2061,1),0)-C1096)</f>
        <v>49680</v>
      </c>
    </row>
    <row r="1097" spans="2:14">
      <c r="B1097" s="67">
        <v>1036</v>
      </c>
      <c r="C1097" s="67">
        <f t="shared" si="105"/>
        <v>372960</v>
      </c>
      <c r="D1097" s="67">
        <f t="shared" si="103"/>
        <v>5</v>
      </c>
      <c r="E1097" s="67">
        <f ca="1" t="shared" si="104"/>
        <v>1066</v>
      </c>
      <c r="F1097" s="67">
        <f ca="1" t="shared" si="106"/>
        <v>0</v>
      </c>
      <c r="G1097" s="67">
        <f ca="1" t="shared" si="107"/>
        <v>0</v>
      </c>
      <c r="H1097" s="67" cm="1">
        <f ca="1" t="array" ref="H1097">MIN(30-SUM(I1097:L1097),_xlfn.XLOOKUP($D1097&amp;"_"&amp;H$61,$B$23:$B$45&amp;"_"&amp;$C$23:$C$45,$D$23:$D$45)*$E1097,18)</f>
        <v>11.7023929257978</v>
      </c>
      <c r="I1097" s="67" cm="1">
        <f ca="1" t="array" ref="I1097">MIN(30-SUM(J1097:L1097),6-L1097,_xlfn.XLOOKUP($D1097&amp;"_"&amp;I$61,$B$23:$B$45&amp;"_"&amp;$C$23:$C$45,$D$23:$D$45)*$E1097)</f>
        <v>0</v>
      </c>
      <c r="J1097" s="67" cm="1">
        <f ca="1" t="array" ref="J1097">MIN(8,_xlfn.XLOOKUP($D1097&amp;"_"&amp;J$61,$B$23:$B$45&amp;"_"&amp;$C$23:$C$45,$D$23:$D$45)*$E1097)</f>
        <v>8</v>
      </c>
      <c r="K1097" s="67" cm="1">
        <f ca="1" t="array" ref="K1097">MIN(18,_xlfn.XLOOKUP($D1097&amp;"_"&amp;K$61,$B$23:$B$45&amp;"_"&amp;$C$23:$C$45,$D$23:$D$45)*$E1097)</f>
        <v>4.29760707420223</v>
      </c>
      <c r="L1097" s="67" cm="1">
        <f ca="1" t="array" ref="L1097">MIN(6,_xlfn.XLOOKUP($D1097&amp;"_"&amp;L$61,$B$23:$B$45&amp;"_"&amp;$C$23:$C$45,$D$23:$D$45)*$E1097)</f>
        <v>6</v>
      </c>
      <c r="M1097" s="67" cm="1">
        <f ca="1" t="array" ref="M1097">(1+SUMPRODUCT(G1097:H1097,OFFSET($H$49:$I$49,D1097,0)))*(1+OFFSET($J$49,D1097,0))^I1097*(1+OFFSET($K$49,D1097,0))^J1097*(1+OFFSET($L$49,D1097,0))^K1097*(1+OFFSET($M$49,D1097,0))^L1097</f>
        <v>356.56081355979</v>
      </c>
      <c r="N1097" s="67">
        <f ca="1">MAX(MAX($N$62:N1096),OFFSET($C$61,MATCH(M1097*1.07,$M$62:$M$2061,1),0)-C1097)</f>
        <v>49680</v>
      </c>
    </row>
    <row r="1098" spans="2:14">
      <c r="B1098" s="67">
        <v>1037</v>
      </c>
      <c r="C1098" s="67">
        <f t="shared" si="105"/>
        <v>373320</v>
      </c>
      <c r="D1098" s="67">
        <f t="shared" si="103"/>
        <v>5</v>
      </c>
      <c r="E1098" s="67">
        <f ca="1" t="shared" si="104"/>
        <v>1067</v>
      </c>
      <c r="F1098" s="67">
        <f ca="1" t="shared" si="106"/>
        <v>0</v>
      </c>
      <c r="G1098" s="67">
        <f ca="1" t="shared" si="107"/>
        <v>0</v>
      </c>
      <c r="H1098" s="67" cm="1">
        <f ca="1" t="array" ref="H1098">MIN(30-SUM(I1098:L1098),_xlfn.XLOOKUP($D1098&amp;"_"&amp;H$61,$B$23:$B$45&amp;"_"&amp;$C$23:$C$45,$D$23:$D$45)*$E1098,18)</f>
        <v>11.6983613994617</v>
      </c>
      <c r="I1098" s="67" cm="1">
        <f ca="1" t="array" ref="I1098">MIN(30-SUM(J1098:L1098),6-L1098,_xlfn.XLOOKUP($D1098&amp;"_"&amp;I$61,$B$23:$B$45&amp;"_"&amp;$C$23:$C$45,$D$23:$D$45)*$E1098)</f>
        <v>0</v>
      </c>
      <c r="J1098" s="67" cm="1">
        <f ca="1" t="array" ref="J1098">MIN(8,_xlfn.XLOOKUP($D1098&amp;"_"&amp;J$61,$B$23:$B$45&amp;"_"&amp;$C$23:$C$45,$D$23:$D$45)*$E1098)</f>
        <v>8</v>
      </c>
      <c r="K1098" s="67" cm="1">
        <f ca="1" t="array" ref="K1098">MIN(18,_xlfn.XLOOKUP($D1098&amp;"_"&amp;K$61,$B$23:$B$45&amp;"_"&amp;$C$23:$C$45,$D$23:$D$45)*$E1098)</f>
        <v>4.30163860053826</v>
      </c>
      <c r="L1098" s="67" cm="1">
        <f ca="1" t="array" ref="L1098">MIN(6,_xlfn.XLOOKUP($D1098&amp;"_"&amp;L$61,$B$23:$B$45&amp;"_"&amp;$C$23:$C$45,$D$23:$D$45)*$E1098)</f>
        <v>6</v>
      </c>
      <c r="M1098" s="67" cm="1">
        <f ca="1" t="array" ref="M1098">(1+SUMPRODUCT(G1098:H1098,OFFSET($H$49:$I$49,D1098,0)))*(1+OFFSET($J$49,D1098,0))^I1098*(1+OFFSET($K$49,D1098,0))^J1098*(1+OFFSET($L$49,D1098,0))^K1098*(1+OFFSET($M$49,D1098,0))^L1098</f>
        <v>356.736866424834</v>
      </c>
      <c r="N1098" s="67">
        <f ca="1">MAX(MAX($N$62:N1097),OFFSET($C$61,MATCH(M1098*1.07,$M$62:$M$2061,1),0)-C1098)</f>
        <v>49680</v>
      </c>
    </row>
    <row r="1099" spans="2:14">
      <c r="B1099" s="67">
        <v>1038</v>
      </c>
      <c r="C1099" s="67">
        <f t="shared" si="105"/>
        <v>373680</v>
      </c>
      <c r="D1099" s="67">
        <f t="shared" si="103"/>
        <v>5</v>
      </c>
      <c r="E1099" s="67">
        <f ca="1" t="shared" si="104"/>
        <v>1068</v>
      </c>
      <c r="F1099" s="67">
        <f ca="1" t="shared" si="106"/>
        <v>0</v>
      </c>
      <c r="G1099" s="67">
        <f ca="1" t="shared" si="107"/>
        <v>0</v>
      </c>
      <c r="H1099" s="67" cm="1">
        <f ca="1" t="array" ref="H1099">MIN(30-SUM(I1099:L1099),_xlfn.XLOOKUP($D1099&amp;"_"&amp;H$61,$B$23:$B$45&amp;"_"&amp;$C$23:$C$45,$D$23:$D$45)*$E1099,18)</f>
        <v>11.6943298731257</v>
      </c>
      <c r="I1099" s="67" cm="1">
        <f ca="1" t="array" ref="I1099">MIN(30-SUM(J1099:L1099),6-L1099,_xlfn.XLOOKUP($D1099&amp;"_"&amp;I$61,$B$23:$B$45&amp;"_"&amp;$C$23:$C$45,$D$23:$D$45)*$E1099)</f>
        <v>0</v>
      </c>
      <c r="J1099" s="67" cm="1">
        <f ca="1" t="array" ref="J1099">MIN(8,_xlfn.XLOOKUP($D1099&amp;"_"&amp;J$61,$B$23:$B$45&amp;"_"&amp;$C$23:$C$45,$D$23:$D$45)*$E1099)</f>
        <v>8</v>
      </c>
      <c r="K1099" s="67" cm="1">
        <f ca="1" t="array" ref="K1099">MIN(18,_xlfn.XLOOKUP($D1099&amp;"_"&amp;K$61,$B$23:$B$45&amp;"_"&amp;$C$23:$C$45,$D$23:$D$45)*$E1099)</f>
        <v>4.30567012687428</v>
      </c>
      <c r="L1099" s="67" cm="1">
        <f ca="1" t="array" ref="L1099">MIN(6,_xlfn.XLOOKUP($D1099&amp;"_"&amp;L$61,$B$23:$B$45&amp;"_"&amp;$C$23:$C$45,$D$23:$D$45)*$E1099)</f>
        <v>6</v>
      </c>
      <c r="M1099" s="67" cm="1">
        <f ca="1" t="array" ref="M1099">(1+SUMPRODUCT(G1099:H1099,OFFSET($H$49:$I$49,D1099,0)))*(1+OFFSET($J$49,D1099,0))^I1099*(1+OFFSET($K$49,D1099,0))^J1099*(1+OFFSET($L$49,D1099,0))^K1099*(1+OFFSET($M$49,D1099,0))^L1099</f>
        <v>356.91298541213</v>
      </c>
      <c r="N1099" s="67">
        <f ca="1">MAX(MAX($N$62:N1098),OFFSET($C$61,MATCH(M1099*1.07,$M$62:$M$2061,1),0)-C1099)</f>
        <v>49680</v>
      </c>
    </row>
    <row r="1100" spans="2:14">
      <c r="B1100" s="67">
        <v>1039</v>
      </c>
      <c r="C1100" s="67">
        <f t="shared" si="105"/>
        <v>374040</v>
      </c>
      <c r="D1100" s="67">
        <f t="shared" si="103"/>
        <v>5</v>
      </c>
      <c r="E1100" s="67">
        <f ca="1" t="shared" si="104"/>
        <v>1069</v>
      </c>
      <c r="F1100" s="67">
        <f ca="1" t="shared" si="106"/>
        <v>0</v>
      </c>
      <c r="G1100" s="67">
        <f ca="1" t="shared" si="107"/>
        <v>0</v>
      </c>
      <c r="H1100" s="67" cm="1">
        <f ca="1" t="array" ref="H1100">MIN(30-SUM(I1100:L1100),_xlfn.XLOOKUP($D1100&amp;"_"&amp;H$61,$B$23:$B$45&amp;"_"&amp;$C$23:$C$45,$D$23:$D$45)*$E1100,18)</f>
        <v>11.6902983467897</v>
      </c>
      <c r="I1100" s="67" cm="1">
        <f ca="1" t="array" ref="I1100">MIN(30-SUM(J1100:L1100),6-L1100,_xlfn.XLOOKUP($D1100&amp;"_"&amp;I$61,$B$23:$B$45&amp;"_"&amp;$C$23:$C$45,$D$23:$D$45)*$E1100)</f>
        <v>0</v>
      </c>
      <c r="J1100" s="67" cm="1">
        <f ca="1" t="array" ref="J1100">MIN(8,_xlfn.XLOOKUP($D1100&amp;"_"&amp;J$61,$B$23:$B$45&amp;"_"&amp;$C$23:$C$45,$D$23:$D$45)*$E1100)</f>
        <v>8</v>
      </c>
      <c r="K1100" s="67" cm="1">
        <f ca="1" t="array" ref="K1100">MIN(18,_xlfn.XLOOKUP($D1100&amp;"_"&amp;K$61,$B$23:$B$45&amp;"_"&amp;$C$23:$C$45,$D$23:$D$45)*$E1100)</f>
        <v>4.30970165321031</v>
      </c>
      <c r="L1100" s="67" cm="1">
        <f ca="1" t="array" ref="L1100">MIN(6,_xlfn.XLOOKUP($D1100&amp;"_"&amp;L$61,$B$23:$B$45&amp;"_"&amp;$C$23:$C$45,$D$23:$D$45)*$E1100)</f>
        <v>6</v>
      </c>
      <c r="M1100" s="67" cm="1">
        <f ca="1" t="array" ref="M1100">(1+SUMPRODUCT(G1100:H1100,OFFSET($H$49:$I$49,D1100,0)))*(1+OFFSET($J$49,D1100,0))^I1100*(1+OFFSET($K$49,D1100,0))^J1100*(1+OFFSET($L$49,D1100,0))^K1100*(1+OFFSET($M$49,D1100,0))^L1100</f>
        <v>357.08917052373</v>
      </c>
      <c r="N1100" s="67">
        <f ca="1">MAX(MAX($N$62:N1099),OFFSET($C$61,MATCH(M1100*1.07,$M$62:$M$2061,1),0)-C1100)</f>
        <v>49680</v>
      </c>
    </row>
    <row r="1101" spans="2:14">
      <c r="B1101" s="67">
        <v>1040</v>
      </c>
      <c r="C1101" s="67">
        <f t="shared" si="105"/>
        <v>374400</v>
      </c>
      <c r="D1101" s="67">
        <f t="shared" si="103"/>
        <v>5</v>
      </c>
      <c r="E1101" s="67">
        <f ca="1" t="shared" si="104"/>
        <v>1070</v>
      </c>
      <c r="F1101" s="67">
        <f ca="1" t="shared" si="106"/>
        <v>0</v>
      </c>
      <c r="G1101" s="67">
        <f ca="1" t="shared" si="107"/>
        <v>0</v>
      </c>
      <c r="H1101" s="67" cm="1">
        <f ca="1" t="array" ref="H1101">MIN(30-SUM(I1101:L1101),_xlfn.XLOOKUP($D1101&amp;"_"&amp;H$61,$B$23:$B$45&amp;"_"&amp;$C$23:$C$45,$D$23:$D$45)*$E1101,18)</f>
        <v>11.6862668204537</v>
      </c>
      <c r="I1101" s="67" cm="1">
        <f ca="1" t="array" ref="I1101">MIN(30-SUM(J1101:L1101),6-L1101,_xlfn.XLOOKUP($D1101&amp;"_"&amp;I$61,$B$23:$B$45&amp;"_"&amp;$C$23:$C$45,$D$23:$D$45)*$E1101)</f>
        <v>0</v>
      </c>
      <c r="J1101" s="67" cm="1">
        <f ca="1" t="array" ref="J1101">MIN(8,_xlfn.XLOOKUP($D1101&amp;"_"&amp;J$61,$B$23:$B$45&amp;"_"&amp;$C$23:$C$45,$D$23:$D$45)*$E1101)</f>
        <v>8</v>
      </c>
      <c r="K1101" s="67" cm="1">
        <f ca="1" t="array" ref="K1101">MIN(18,_xlfn.XLOOKUP($D1101&amp;"_"&amp;K$61,$B$23:$B$45&amp;"_"&amp;$C$23:$C$45,$D$23:$D$45)*$E1101)</f>
        <v>4.31373317954633</v>
      </c>
      <c r="L1101" s="67" cm="1">
        <f ca="1" t="array" ref="L1101">MIN(6,_xlfn.XLOOKUP($D1101&amp;"_"&amp;L$61,$B$23:$B$45&amp;"_"&amp;$C$23:$C$45,$D$23:$D$45)*$E1101)</f>
        <v>6</v>
      </c>
      <c r="M1101" s="67" cm="1">
        <f ca="1" t="array" ref="M1101">(1+SUMPRODUCT(G1101:H1101,OFFSET($H$49:$I$49,D1101,0)))*(1+OFFSET($J$49,D1101,0))^I1101*(1+OFFSET($K$49,D1101,0))^J1101*(1+OFFSET($L$49,D1101,0))^K1101*(1+OFFSET($M$49,D1101,0))^L1101</f>
        <v>357.265421761654</v>
      </c>
      <c r="N1101" s="67">
        <f ca="1">MAX(MAX($N$62:N1100),OFFSET($C$61,MATCH(M1101*1.07,$M$62:$M$2061,1),0)-C1101)</f>
        <v>49680</v>
      </c>
    </row>
    <row r="1102" spans="2:14">
      <c r="B1102" s="67">
        <v>1041</v>
      </c>
      <c r="C1102" s="67">
        <f t="shared" si="105"/>
        <v>374760</v>
      </c>
      <c r="D1102" s="67">
        <f t="shared" si="103"/>
        <v>5</v>
      </c>
      <c r="E1102" s="67">
        <f ca="1" t="shared" si="104"/>
        <v>1071</v>
      </c>
      <c r="F1102" s="67">
        <f ca="1" t="shared" si="106"/>
        <v>0</v>
      </c>
      <c r="G1102" s="67">
        <f ca="1" t="shared" si="107"/>
        <v>0</v>
      </c>
      <c r="H1102" s="67" cm="1">
        <f ca="1" t="array" ref="H1102">MIN(30-SUM(I1102:L1102),_xlfn.XLOOKUP($D1102&amp;"_"&amp;H$61,$B$23:$B$45&amp;"_"&amp;$C$23:$C$45,$D$23:$D$45)*$E1102,18)</f>
        <v>11.6822352941176</v>
      </c>
      <c r="I1102" s="67" cm="1">
        <f ca="1" t="array" ref="I1102">MIN(30-SUM(J1102:L1102),6-L1102,_xlfn.XLOOKUP($D1102&amp;"_"&amp;I$61,$B$23:$B$45&amp;"_"&amp;$C$23:$C$45,$D$23:$D$45)*$E1102)</f>
        <v>0</v>
      </c>
      <c r="J1102" s="67" cm="1">
        <f ca="1" t="array" ref="J1102">MIN(8,_xlfn.XLOOKUP($D1102&amp;"_"&amp;J$61,$B$23:$B$45&amp;"_"&amp;$C$23:$C$45,$D$23:$D$45)*$E1102)</f>
        <v>8</v>
      </c>
      <c r="K1102" s="67" cm="1">
        <f ca="1" t="array" ref="K1102">MIN(18,_xlfn.XLOOKUP($D1102&amp;"_"&amp;K$61,$B$23:$B$45&amp;"_"&amp;$C$23:$C$45,$D$23:$D$45)*$E1102)</f>
        <v>4.31776470588236</v>
      </c>
      <c r="L1102" s="67" cm="1">
        <f ca="1" t="array" ref="L1102">MIN(6,_xlfn.XLOOKUP($D1102&amp;"_"&amp;L$61,$B$23:$B$45&amp;"_"&amp;$C$23:$C$45,$D$23:$D$45)*$E1102)</f>
        <v>6</v>
      </c>
      <c r="M1102" s="67" cm="1">
        <f ca="1" t="array" ref="M1102">(1+SUMPRODUCT(G1102:H1102,OFFSET($H$49:$I$49,D1102,0)))*(1+OFFSET($J$49,D1102,0))^I1102*(1+OFFSET($K$49,D1102,0))^J1102*(1+OFFSET($L$49,D1102,0))^K1102*(1+OFFSET($M$49,D1102,0))^L1102</f>
        <v>357.44173912789</v>
      </c>
      <c r="N1102" s="67">
        <f ca="1">MAX(MAX($N$62:N1101),OFFSET($C$61,MATCH(M1102*1.07,$M$62:$M$2061,1),0)-C1102)</f>
        <v>49680</v>
      </c>
    </row>
    <row r="1103" spans="2:14">
      <c r="B1103" s="67">
        <v>1042</v>
      </c>
      <c r="C1103" s="67">
        <f t="shared" si="105"/>
        <v>375120</v>
      </c>
      <c r="D1103" s="67">
        <f t="shared" si="103"/>
        <v>5</v>
      </c>
      <c r="E1103" s="67">
        <f ca="1" t="shared" si="104"/>
        <v>1072</v>
      </c>
      <c r="F1103" s="67">
        <f ca="1" t="shared" si="106"/>
        <v>0</v>
      </c>
      <c r="G1103" s="67">
        <f ca="1" t="shared" si="107"/>
        <v>0</v>
      </c>
      <c r="H1103" s="67" cm="1">
        <f ca="1" t="array" ref="H1103">MIN(30-SUM(I1103:L1103),_xlfn.XLOOKUP($D1103&amp;"_"&amp;H$61,$B$23:$B$45&amp;"_"&amp;$C$23:$C$45,$D$23:$D$45)*$E1103,18)</f>
        <v>11.6782037677816</v>
      </c>
      <c r="I1103" s="67" cm="1">
        <f ca="1" t="array" ref="I1103">MIN(30-SUM(J1103:L1103),6-L1103,_xlfn.XLOOKUP($D1103&amp;"_"&amp;I$61,$B$23:$B$45&amp;"_"&amp;$C$23:$C$45,$D$23:$D$45)*$E1103)</f>
        <v>0</v>
      </c>
      <c r="J1103" s="67" cm="1">
        <f ca="1" t="array" ref="J1103">MIN(8,_xlfn.XLOOKUP($D1103&amp;"_"&amp;J$61,$B$23:$B$45&amp;"_"&amp;$C$23:$C$45,$D$23:$D$45)*$E1103)</f>
        <v>8</v>
      </c>
      <c r="K1103" s="67" cm="1">
        <f ca="1" t="array" ref="K1103">MIN(18,_xlfn.XLOOKUP($D1103&amp;"_"&amp;K$61,$B$23:$B$45&amp;"_"&amp;$C$23:$C$45,$D$23:$D$45)*$E1103)</f>
        <v>4.32179623221838</v>
      </c>
      <c r="L1103" s="67" cm="1">
        <f ca="1" t="array" ref="L1103">MIN(6,_xlfn.XLOOKUP($D1103&amp;"_"&amp;L$61,$B$23:$B$45&amp;"_"&amp;$C$23:$C$45,$D$23:$D$45)*$E1103)</f>
        <v>6</v>
      </c>
      <c r="M1103" s="67" cm="1">
        <f ca="1" t="array" ref="M1103">(1+SUMPRODUCT(G1103:H1103,OFFSET($H$49:$I$49,D1103,0)))*(1+OFFSET($J$49,D1103,0))^I1103*(1+OFFSET($K$49,D1103,0))^J1103*(1+OFFSET($L$49,D1103,0))^K1103*(1+OFFSET($M$49,D1103,0))^L1103</f>
        <v>357.618122624393</v>
      </c>
      <c r="N1103" s="67">
        <f ca="1">MAX(MAX($N$62:N1102),OFFSET($C$61,MATCH(M1103*1.07,$M$62:$M$2061,1),0)-C1103)</f>
        <v>49680</v>
      </c>
    </row>
    <row r="1104" spans="2:14">
      <c r="B1104" s="67">
        <v>1043</v>
      </c>
      <c r="C1104" s="67">
        <f t="shared" si="105"/>
        <v>375480</v>
      </c>
      <c r="D1104" s="67">
        <f t="shared" si="103"/>
        <v>5</v>
      </c>
      <c r="E1104" s="67">
        <f ca="1" t="shared" si="104"/>
        <v>1073</v>
      </c>
      <c r="F1104" s="67">
        <f ca="1" t="shared" si="106"/>
        <v>0</v>
      </c>
      <c r="G1104" s="67">
        <f ca="1" t="shared" si="107"/>
        <v>0</v>
      </c>
      <c r="H1104" s="67" cm="1">
        <f ca="1" t="array" ref="H1104">MIN(30-SUM(I1104:L1104),_xlfn.XLOOKUP($D1104&amp;"_"&amp;H$61,$B$23:$B$45&amp;"_"&amp;$C$23:$C$45,$D$23:$D$45)*$E1104,18)</f>
        <v>11.6741722414456</v>
      </c>
      <c r="I1104" s="67" cm="1">
        <f ca="1" t="array" ref="I1104">MIN(30-SUM(J1104:L1104),6-L1104,_xlfn.XLOOKUP($D1104&amp;"_"&amp;I$61,$B$23:$B$45&amp;"_"&amp;$C$23:$C$45,$D$23:$D$45)*$E1104)</f>
        <v>0</v>
      </c>
      <c r="J1104" s="67" cm="1">
        <f ca="1" t="array" ref="J1104">MIN(8,_xlfn.XLOOKUP($D1104&amp;"_"&amp;J$61,$B$23:$B$45&amp;"_"&amp;$C$23:$C$45,$D$23:$D$45)*$E1104)</f>
        <v>8</v>
      </c>
      <c r="K1104" s="67" cm="1">
        <f ca="1" t="array" ref="K1104">MIN(18,_xlfn.XLOOKUP($D1104&amp;"_"&amp;K$61,$B$23:$B$45&amp;"_"&amp;$C$23:$C$45,$D$23:$D$45)*$E1104)</f>
        <v>4.32582775855441</v>
      </c>
      <c r="L1104" s="67" cm="1">
        <f ca="1" t="array" ref="L1104">MIN(6,_xlfn.XLOOKUP($D1104&amp;"_"&amp;L$61,$B$23:$B$45&amp;"_"&amp;$C$23:$C$45,$D$23:$D$45)*$E1104)</f>
        <v>6</v>
      </c>
      <c r="M1104" s="67" cm="1">
        <f ca="1" t="array" ref="M1104">(1+SUMPRODUCT(G1104:H1104,OFFSET($H$49:$I$49,D1104,0)))*(1+OFFSET($J$49,D1104,0))^I1104*(1+OFFSET($K$49,D1104,0))^J1104*(1+OFFSET($L$49,D1104,0))^K1104*(1+OFFSET($M$49,D1104,0))^L1104</f>
        <v>357.794572253084</v>
      </c>
      <c r="N1104" s="67">
        <f ca="1">MAX(MAX($N$62:N1103),OFFSET($C$61,MATCH(M1104*1.07,$M$62:$M$2061,1),0)-C1104)</f>
        <v>49680</v>
      </c>
    </row>
    <row r="1105" spans="2:14">
      <c r="B1105" s="67">
        <v>1044</v>
      </c>
      <c r="C1105" s="67">
        <f t="shared" si="105"/>
        <v>375840</v>
      </c>
      <c r="D1105" s="67">
        <f t="shared" si="103"/>
        <v>5</v>
      </c>
      <c r="E1105" s="67">
        <f ca="1" t="shared" si="104"/>
        <v>1074</v>
      </c>
      <c r="F1105" s="67">
        <f ca="1" t="shared" si="106"/>
        <v>0</v>
      </c>
      <c r="G1105" s="67">
        <f ca="1" t="shared" si="107"/>
        <v>0</v>
      </c>
      <c r="H1105" s="67" cm="1">
        <f ca="1" t="array" ref="H1105">MIN(30-SUM(I1105:L1105),_xlfn.XLOOKUP($D1105&amp;"_"&amp;H$61,$B$23:$B$45&amp;"_"&amp;$C$23:$C$45,$D$23:$D$45)*$E1105,18)</f>
        <v>11.6701407151096</v>
      </c>
      <c r="I1105" s="67" cm="1">
        <f ca="1" t="array" ref="I1105">MIN(30-SUM(J1105:L1105),6-L1105,_xlfn.XLOOKUP($D1105&amp;"_"&amp;I$61,$B$23:$B$45&amp;"_"&amp;$C$23:$C$45,$D$23:$D$45)*$E1105)</f>
        <v>0</v>
      </c>
      <c r="J1105" s="67" cm="1">
        <f ca="1" t="array" ref="J1105">MIN(8,_xlfn.XLOOKUP($D1105&amp;"_"&amp;J$61,$B$23:$B$45&amp;"_"&amp;$C$23:$C$45,$D$23:$D$45)*$E1105)</f>
        <v>8</v>
      </c>
      <c r="K1105" s="67" cm="1">
        <f ca="1" t="array" ref="K1105">MIN(18,_xlfn.XLOOKUP($D1105&amp;"_"&amp;K$61,$B$23:$B$45&amp;"_"&amp;$C$23:$C$45,$D$23:$D$45)*$E1105)</f>
        <v>4.32985928489043</v>
      </c>
      <c r="L1105" s="67" cm="1">
        <f ca="1" t="array" ref="L1105">MIN(6,_xlfn.XLOOKUP($D1105&amp;"_"&amp;L$61,$B$23:$B$45&amp;"_"&amp;$C$23:$C$45,$D$23:$D$45)*$E1105)</f>
        <v>6</v>
      </c>
      <c r="M1105" s="67" cm="1">
        <f ca="1" t="array" ref="M1105">(1+SUMPRODUCT(G1105:H1105,OFFSET($H$49:$I$49,D1105,0)))*(1+OFFSET($J$49,D1105,0))^I1105*(1+OFFSET($K$49,D1105,0))^J1105*(1+OFFSET($L$49,D1105,0))^K1105*(1+OFFSET($M$49,D1105,0))^L1105</f>
        <v>357.971088015852</v>
      </c>
      <c r="N1105" s="67">
        <f ca="1">MAX(MAX($N$62:N1104),OFFSET($C$61,MATCH(M1105*1.07,$M$62:$M$2061,1),0)-C1105)</f>
        <v>49680</v>
      </c>
    </row>
    <row r="1106" spans="2:14">
      <c r="B1106" s="67">
        <v>1045</v>
      </c>
      <c r="C1106" s="67">
        <f t="shared" si="105"/>
        <v>376200</v>
      </c>
      <c r="D1106" s="67">
        <f t="shared" si="103"/>
        <v>5</v>
      </c>
      <c r="E1106" s="67">
        <f ca="1" t="shared" si="104"/>
        <v>1075</v>
      </c>
      <c r="F1106" s="67">
        <f ca="1" t="shared" si="106"/>
        <v>0</v>
      </c>
      <c r="G1106" s="67">
        <f ca="1" t="shared" si="107"/>
        <v>0</v>
      </c>
      <c r="H1106" s="67" cm="1">
        <f ca="1" t="array" ref="H1106">MIN(30-SUM(I1106:L1106),_xlfn.XLOOKUP($D1106&amp;"_"&amp;H$61,$B$23:$B$45&amp;"_"&amp;$C$23:$C$45,$D$23:$D$45)*$E1106,18)</f>
        <v>11.6661091887735</v>
      </c>
      <c r="I1106" s="67" cm="1">
        <f ca="1" t="array" ref="I1106">MIN(30-SUM(J1106:L1106),6-L1106,_xlfn.XLOOKUP($D1106&amp;"_"&amp;I$61,$B$23:$B$45&amp;"_"&amp;$C$23:$C$45,$D$23:$D$45)*$E1106)</f>
        <v>0</v>
      </c>
      <c r="J1106" s="67" cm="1">
        <f ca="1" t="array" ref="J1106">MIN(8,_xlfn.XLOOKUP($D1106&amp;"_"&amp;J$61,$B$23:$B$45&amp;"_"&amp;$C$23:$C$45,$D$23:$D$45)*$E1106)</f>
        <v>8</v>
      </c>
      <c r="K1106" s="67" cm="1">
        <f ca="1" t="array" ref="K1106">MIN(18,_xlfn.XLOOKUP($D1106&amp;"_"&amp;K$61,$B$23:$B$45&amp;"_"&amp;$C$23:$C$45,$D$23:$D$45)*$E1106)</f>
        <v>4.33389081122646</v>
      </c>
      <c r="L1106" s="67" cm="1">
        <f ca="1" t="array" ref="L1106">MIN(6,_xlfn.XLOOKUP($D1106&amp;"_"&amp;L$61,$B$23:$B$45&amp;"_"&amp;$C$23:$C$45,$D$23:$D$45)*$E1106)</f>
        <v>6</v>
      </c>
      <c r="M1106" s="67" cm="1">
        <f ca="1" t="array" ref="M1106">(1+SUMPRODUCT(G1106:H1106,OFFSET($H$49:$I$49,D1106,0)))*(1+OFFSET($J$49,D1106,0))^I1106*(1+OFFSET($K$49,D1106,0))^J1106*(1+OFFSET($L$49,D1106,0))^K1106*(1+OFFSET($M$49,D1106,0))^L1106</f>
        <v>358.147669914554</v>
      </c>
      <c r="N1106" s="67">
        <f ca="1">MAX(MAX($N$62:N1105),OFFSET($C$61,MATCH(M1106*1.07,$M$62:$M$2061,1),0)-C1106)</f>
        <v>49680</v>
      </c>
    </row>
    <row r="1107" spans="2:14">
      <c r="B1107" s="67">
        <v>1046</v>
      </c>
      <c r="C1107" s="67">
        <f t="shared" si="105"/>
        <v>376560</v>
      </c>
      <c r="D1107" s="67">
        <f t="shared" si="103"/>
        <v>5</v>
      </c>
      <c r="E1107" s="67">
        <f ca="1" t="shared" si="104"/>
        <v>1076</v>
      </c>
      <c r="F1107" s="67">
        <f ca="1" t="shared" si="106"/>
        <v>0</v>
      </c>
      <c r="G1107" s="67">
        <f ca="1" t="shared" si="107"/>
        <v>0</v>
      </c>
      <c r="H1107" s="67" cm="1">
        <f ca="1" t="array" ref="H1107">MIN(30-SUM(I1107:L1107),_xlfn.XLOOKUP($D1107&amp;"_"&amp;H$61,$B$23:$B$45&amp;"_"&amp;$C$23:$C$45,$D$23:$D$45)*$E1107,18)</f>
        <v>11.6620776624375</v>
      </c>
      <c r="I1107" s="67" cm="1">
        <f ca="1" t="array" ref="I1107">MIN(30-SUM(J1107:L1107),6-L1107,_xlfn.XLOOKUP($D1107&amp;"_"&amp;I$61,$B$23:$B$45&amp;"_"&amp;$C$23:$C$45,$D$23:$D$45)*$E1107)</f>
        <v>0</v>
      </c>
      <c r="J1107" s="67" cm="1">
        <f ca="1" t="array" ref="J1107">MIN(8,_xlfn.XLOOKUP($D1107&amp;"_"&amp;J$61,$B$23:$B$45&amp;"_"&amp;$C$23:$C$45,$D$23:$D$45)*$E1107)</f>
        <v>8</v>
      </c>
      <c r="K1107" s="67" cm="1">
        <f ca="1" t="array" ref="K1107">MIN(18,_xlfn.XLOOKUP($D1107&amp;"_"&amp;K$61,$B$23:$B$45&amp;"_"&amp;$C$23:$C$45,$D$23:$D$45)*$E1107)</f>
        <v>4.33792233756248</v>
      </c>
      <c r="L1107" s="67" cm="1">
        <f ca="1" t="array" ref="L1107">MIN(6,_xlfn.XLOOKUP($D1107&amp;"_"&amp;L$61,$B$23:$B$45&amp;"_"&amp;$C$23:$C$45,$D$23:$D$45)*$E1107)</f>
        <v>6</v>
      </c>
      <c r="M1107" s="67" cm="1">
        <f ca="1" t="array" ref="M1107">(1+SUMPRODUCT(G1107:H1107,OFFSET($H$49:$I$49,D1107,0)))*(1+OFFSET($J$49,D1107,0))^I1107*(1+OFFSET($K$49,D1107,0))^J1107*(1+OFFSET($L$49,D1107,0))^K1107*(1+OFFSET($M$49,D1107,0))^L1107</f>
        <v>358.324317951011</v>
      </c>
      <c r="N1107" s="67">
        <f ca="1">MAX(MAX($N$62:N1106),OFFSET($C$61,MATCH(M1107*1.07,$M$62:$M$2061,1),0)-C1107)</f>
        <v>49680</v>
      </c>
    </row>
    <row r="1108" spans="2:14">
      <c r="B1108" s="67">
        <v>1047</v>
      </c>
      <c r="C1108" s="67">
        <f t="shared" si="105"/>
        <v>376920</v>
      </c>
      <c r="D1108" s="67">
        <f t="shared" si="103"/>
        <v>5</v>
      </c>
      <c r="E1108" s="67">
        <f ca="1" t="shared" si="104"/>
        <v>1077</v>
      </c>
      <c r="F1108" s="67">
        <f ca="1" t="shared" si="106"/>
        <v>0</v>
      </c>
      <c r="G1108" s="67">
        <f ca="1" t="shared" si="107"/>
        <v>0</v>
      </c>
      <c r="H1108" s="67" cm="1">
        <f ca="1" t="array" ref="H1108">MIN(30-SUM(I1108:L1108),_xlfn.XLOOKUP($D1108&amp;"_"&amp;H$61,$B$23:$B$45&amp;"_"&amp;$C$23:$C$45,$D$23:$D$45)*$E1108,18)</f>
        <v>11.6580461361015</v>
      </c>
      <c r="I1108" s="67" cm="1">
        <f ca="1" t="array" ref="I1108">MIN(30-SUM(J1108:L1108),6-L1108,_xlfn.XLOOKUP($D1108&amp;"_"&amp;I$61,$B$23:$B$45&amp;"_"&amp;$C$23:$C$45,$D$23:$D$45)*$E1108)</f>
        <v>0</v>
      </c>
      <c r="J1108" s="67" cm="1">
        <f ca="1" t="array" ref="J1108">MIN(8,_xlfn.XLOOKUP($D1108&amp;"_"&amp;J$61,$B$23:$B$45&amp;"_"&amp;$C$23:$C$45,$D$23:$D$45)*$E1108)</f>
        <v>8</v>
      </c>
      <c r="K1108" s="67" cm="1">
        <f ca="1" t="array" ref="K1108">MIN(18,_xlfn.XLOOKUP($D1108&amp;"_"&amp;K$61,$B$23:$B$45&amp;"_"&amp;$C$23:$C$45,$D$23:$D$45)*$E1108)</f>
        <v>4.3419538638985</v>
      </c>
      <c r="L1108" s="67" cm="1">
        <f ca="1" t="array" ref="L1108">MIN(6,_xlfn.XLOOKUP($D1108&amp;"_"&amp;L$61,$B$23:$B$45&amp;"_"&amp;$C$23:$C$45,$D$23:$D$45)*$E1108)</f>
        <v>6</v>
      </c>
      <c r="M1108" s="67" cm="1">
        <f ca="1" t="array" ref="M1108">(1+SUMPRODUCT(G1108:H1108,OFFSET($H$49:$I$49,D1108,0)))*(1+OFFSET($J$49,D1108,0))^I1108*(1+OFFSET($K$49,D1108,0))^J1108*(1+OFFSET($L$49,D1108,0))^K1108*(1+OFFSET($M$49,D1108,0))^L1108</f>
        <v>358.501032127015</v>
      </c>
      <c r="N1108" s="67">
        <f ca="1">MAX(MAX($N$62:N1107),OFFSET($C$61,MATCH(M1108*1.07,$M$62:$M$2061,1),0)-C1108)</f>
        <v>49680</v>
      </c>
    </row>
    <row r="1109" spans="2:14">
      <c r="B1109" s="67">
        <v>1048</v>
      </c>
      <c r="C1109" s="67">
        <f t="shared" si="105"/>
        <v>377280</v>
      </c>
      <c r="D1109" s="67">
        <f t="shared" si="103"/>
        <v>5</v>
      </c>
      <c r="E1109" s="67">
        <f ca="1" t="shared" si="104"/>
        <v>1078</v>
      </c>
      <c r="F1109" s="67">
        <f ca="1" t="shared" si="106"/>
        <v>0</v>
      </c>
      <c r="G1109" s="67">
        <f ca="1" t="shared" si="107"/>
        <v>0</v>
      </c>
      <c r="H1109" s="67" cm="1">
        <f ca="1" t="array" ref="H1109">MIN(30-SUM(I1109:L1109),_xlfn.XLOOKUP($D1109&amp;"_"&amp;H$61,$B$23:$B$45&amp;"_"&amp;$C$23:$C$45,$D$23:$D$45)*$E1109,18)</f>
        <v>11.6540146097655</v>
      </c>
      <c r="I1109" s="67" cm="1">
        <f ca="1" t="array" ref="I1109">MIN(30-SUM(J1109:L1109),6-L1109,_xlfn.XLOOKUP($D1109&amp;"_"&amp;I$61,$B$23:$B$45&amp;"_"&amp;$C$23:$C$45,$D$23:$D$45)*$E1109)</f>
        <v>0</v>
      </c>
      <c r="J1109" s="67" cm="1">
        <f ca="1" t="array" ref="J1109">MIN(8,_xlfn.XLOOKUP($D1109&amp;"_"&amp;J$61,$B$23:$B$45&amp;"_"&amp;$C$23:$C$45,$D$23:$D$45)*$E1109)</f>
        <v>8</v>
      </c>
      <c r="K1109" s="67" cm="1">
        <f ca="1" t="array" ref="K1109">MIN(18,_xlfn.XLOOKUP($D1109&amp;"_"&amp;K$61,$B$23:$B$45&amp;"_"&amp;$C$23:$C$45,$D$23:$D$45)*$E1109)</f>
        <v>4.34598539023453</v>
      </c>
      <c r="L1109" s="67" cm="1">
        <f ca="1" t="array" ref="L1109">MIN(6,_xlfn.XLOOKUP($D1109&amp;"_"&amp;L$61,$B$23:$B$45&amp;"_"&amp;$C$23:$C$45,$D$23:$D$45)*$E1109)</f>
        <v>6</v>
      </c>
      <c r="M1109" s="67" cm="1">
        <f ca="1" t="array" ref="M1109">(1+SUMPRODUCT(G1109:H1109,OFFSET($H$49:$I$49,D1109,0)))*(1+OFFSET($J$49,D1109,0))^I1109*(1+OFFSET($K$49,D1109,0))^J1109*(1+OFFSET($L$49,D1109,0))^K1109*(1+OFFSET($M$49,D1109,0))^L1109</f>
        <v>358.67781244432</v>
      </c>
      <c r="N1109" s="67">
        <f ca="1">MAX(MAX($N$62:N1108),OFFSET($C$61,MATCH(M1109*1.07,$M$62:$M$2061,1),0)-C1109)</f>
        <v>49680</v>
      </c>
    </row>
    <row r="1110" spans="2:14">
      <c r="B1110" s="67">
        <v>1049</v>
      </c>
      <c r="C1110" s="67">
        <f t="shared" si="105"/>
        <v>377640</v>
      </c>
      <c r="D1110" s="67">
        <f t="shared" si="103"/>
        <v>5</v>
      </c>
      <c r="E1110" s="67">
        <f ca="1" t="shared" si="104"/>
        <v>1079</v>
      </c>
      <c r="F1110" s="67">
        <f ca="1" t="shared" si="106"/>
        <v>0</v>
      </c>
      <c r="G1110" s="67">
        <f ca="1" t="shared" si="107"/>
        <v>0</v>
      </c>
      <c r="H1110" s="67" cm="1">
        <f ca="1" t="array" ref="H1110">MIN(30-SUM(I1110:L1110),_xlfn.XLOOKUP($D1110&amp;"_"&amp;H$61,$B$23:$B$45&amp;"_"&amp;$C$23:$C$45,$D$23:$D$45)*$E1110,18)</f>
        <v>11.6499830834294</v>
      </c>
      <c r="I1110" s="67" cm="1">
        <f ca="1" t="array" ref="I1110">MIN(30-SUM(J1110:L1110),6-L1110,_xlfn.XLOOKUP($D1110&amp;"_"&amp;I$61,$B$23:$B$45&amp;"_"&amp;$C$23:$C$45,$D$23:$D$45)*$E1110)</f>
        <v>0</v>
      </c>
      <c r="J1110" s="67" cm="1">
        <f ca="1" t="array" ref="J1110">MIN(8,_xlfn.XLOOKUP($D1110&amp;"_"&amp;J$61,$B$23:$B$45&amp;"_"&amp;$C$23:$C$45,$D$23:$D$45)*$E1110)</f>
        <v>8</v>
      </c>
      <c r="K1110" s="67" cm="1">
        <f ca="1" t="array" ref="K1110">MIN(18,_xlfn.XLOOKUP($D1110&amp;"_"&amp;K$61,$B$23:$B$45&amp;"_"&amp;$C$23:$C$45,$D$23:$D$45)*$E1110)</f>
        <v>4.35001691657055</v>
      </c>
      <c r="L1110" s="67" cm="1">
        <f ca="1" t="array" ref="L1110">MIN(6,_xlfn.XLOOKUP($D1110&amp;"_"&amp;L$61,$B$23:$B$45&amp;"_"&amp;$C$23:$C$45,$D$23:$D$45)*$E1110)</f>
        <v>6</v>
      </c>
      <c r="M1110" s="67" cm="1">
        <f ca="1" t="array" ref="M1110">(1+SUMPRODUCT(G1110:H1110,OFFSET($H$49:$I$49,D1110,0)))*(1+OFFSET($J$49,D1110,0))^I1110*(1+OFFSET($K$49,D1110,0))^J1110*(1+OFFSET($L$49,D1110,0))^K1110*(1+OFFSET($M$49,D1110,0))^L1110</f>
        <v>358.854658904652</v>
      </c>
      <c r="N1110" s="67">
        <f ca="1">MAX(MAX($N$62:N1109),OFFSET($C$61,MATCH(M1110*1.07,$M$62:$M$2061,1),0)-C1110)</f>
        <v>49680</v>
      </c>
    </row>
    <row r="1111" spans="2:14">
      <c r="B1111" s="67">
        <v>1050</v>
      </c>
      <c r="C1111" s="67">
        <f t="shared" si="105"/>
        <v>378000</v>
      </c>
      <c r="D1111" s="67">
        <f t="shared" si="103"/>
        <v>5</v>
      </c>
      <c r="E1111" s="67">
        <f ca="1" t="shared" si="104"/>
        <v>1080</v>
      </c>
      <c r="F1111" s="67">
        <f ca="1" t="shared" si="106"/>
        <v>0</v>
      </c>
      <c r="G1111" s="67">
        <f ca="1" t="shared" si="107"/>
        <v>0</v>
      </c>
      <c r="H1111" s="67" cm="1">
        <f ca="1" t="array" ref="H1111">MIN(30-SUM(I1111:L1111),_xlfn.XLOOKUP($D1111&amp;"_"&amp;H$61,$B$23:$B$45&amp;"_"&amp;$C$23:$C$45,$D$23:$D$45)*$E1111,18)</f>
        <v>11.6459515570934</v>
      </c>
      <c r="I1111" s="67" cm="1">
        <f ca="1" t="array" ref="I1111">MIN(30-SUM(J1111:L1111),6-L1111,_xlfn.XLOOKUP($D1111&amp;"_"&amp;I$61,$B$23:$B$45&amp;"_"&amp;$C$23:$C$45,$D$23:$D$45)*$E1111)</f>
        <v>0</v>
      </c>
      <c r="J1111" s="67" cm="1">
        <f ca="1" t="array" ref="J1111">MIN(8,_xlfn.XLOOKUP($D1111&amp;"_"&amp;J$61,$B$23:$B$45&amp;"_"&amp;$C$23:$C$45,$D$23:$D$45)*$E1111)</f>
        <v>8</v>
      </c>
      <c r="K1111" s="67" cm="1">
        <f ca="1" t="array" ref="K1111">MIN(18,_xlfn.XLOOKUP($D1111&amp;"_"&amp;K$61,$B$23:$B$45&amp;"_"&amp;$C$23:$C$45,$D$23:$D$45)*$E1111)</f>
        <v>4.35404844290658</v>
      </c>
      <c r="L1111" s="67" cm="1">
        <f ca="1" t="array" ref="L1111">MIN(6,_xlfn.XLOOKUP($D1111&amp;"_"&amp;L$61,$B$23:$B$45&amp;"_"&amp;$C$23:$C$45,$D$23:$D$45)*$E1111)</f>
        <v>6</v>
      </c>
      <c r="M1111" s="67" cm="1">
        <f ca="1" t="array" ref="M1111">(1+SUMPRODUCT(G1111:H1111,OFFSET($H$49:$I$49,D1111,0)))*(1+OFFSET($J$49,D1111,0))^I1111*(1+OFFSET($K$49,D1111,0))^J1111*(1+OFFSET($L$49,D1111,0))^K1111*(1+OFFSET($M$49,D1111,0))^L1111</f>
        <v>359.0315715097</v>
      </c>
      <c r="N1111" s="67">
        <f ca="1">MAX(MAX($N$62:N1110),OFFSET($C$61,MATCH(M1111*1.07,$M$62:$M$2061,1),0)-C1111)</f>
        <v>49680</v>
      </c>
    </row>
    <row r="1112" spans="2:14">
      <c r="B1112" s="67">
        <v>1051</v>
      </c>
      <c r="C1112" s="67">
        <f t="shared" si="105"/>
        <v>378360</v>
      </c>
      <c r="D1112" s="67">
        <f t="shared" si="103"/>
        <v>5</v>
      </c>
      <c r="E1112" s="67">
        <f ca="1" t="shared" si="104"/>
        <v>1081</v>
      </c>
      <c r="F1112" s="67">
        <f ca="1" t="shared" si="106"/>
        <v>0</v>
      </c>
      <c r="G1112" s="67">
        <f ca="1" t="shared" si="107"/>
        <v>0</v>
      </c>
      <c r="H1112" s="67" cm="1">
        <f ca="1" t="array" ref="H1112">MIN(30-SUM(I1112:L1112),_xlfn.XLOOKUP($D1112&amp;"_"&amp;H$61,$B$23:$B$45&amp;"_"&amp;$C$23:$C$45,$D$23:$D$45)*$E1112,18)</f>
        <v>11.6419200307574</v>
      </c>
      <c r="I1112" s="67" cm="1">
        <f ca="1" t="array" ref="I1112">MIN(30-SUM(J1112:L1112),6-L1112,_xlfn.XLOOKUP($D1112&amp;"_"&amp;I$61,$B$23:$B$45&amp;"_"&amp;$C$23:$C$45,$D$23:$D$45)*$E1112)</f>
        <v>0</v>
      </c>
      <c r="J1112" s="67" cm="1">
        <f ca="1" t="array" ref="J1112">MIN(8,_xlfn.XLOOKUP($D1112&amp;"_"&amp;J$61,$B$23:$B$45&amp;"_"&amp;$C$23:$C$45,$D$23:$D$45)*$E1112)</f>
        <v>8</v>
      </c>
      <c r="K1112" s="67" cm="1">
        <f ca="1" t="array" ref="K1112">MIN(18,_xlfn.XLOOKUP($D1112&amp;"_"&amp;K$61,$B$23:$B$45&amp;"_"&amp;$C$23:$C$45,$D$23:$D$45)*$E1112)</f>
        <v>4.3580799692426</v>
      </c>
      <c r="L1112" s="67" cm="1">
        <f ca="1" t="array" ref="L1112">MIN(6,_xlfn.XLOOKUP($D1112&amp;"_"&amp;L$61,$B$23:$B$45&amp;"_"&amp;$C$23:$C$45,$D$23:$D$45)*$E1112)</f>
        <v>6</v>
      </c>
      <c r="M1112" s="67" cm="1">
        <f ca="1" t="array" ref="M1112">(1+SUMPRODUCT(G1112:H1112,OFFSET($H$49:$I$49,D1112,0)))*(1+OFFSET($J$49,D1112,0))^I1112*(1+OFFSET($K$49,D1112,0))^J1112*(1+OFFSET($L$49,D1112,0))^K1112*(1+OFFSET($M$49,D1112,0))^L1112</f>
        <v>359.208550261121</v>
      </c>
      <c r="N1112" s="67">
        <f ca="1">MAX(MAX($N$62:N1111),OFFSET($C$61,MATCH(M1112*1.07,$M$62:$M$2061,1),0)-C1112)</f>
        <v>49680</v>
      </c>
    </row>
    <row r="1113" spans="2:14">
      <c r="B1113" s="67">
        <v>1052</v>
      </c>
      <c r="C1113" s="67">
        <f t="shared" si="105"/>
        <v>378720</v>
      </c>
      <c r="D1113" s="67">
        <f t="shared" si="103"/>
        <v>5</v>
      </c>
      <c r="E1113" s="67">
        <f ca="1" t="shared" si="104"/>
        <v>1082</v>
      </c>
      <c r="F1113" s="67">
        <f ca="1" t="shared" si="106"/>
        <v>0</v>
      </c>
      <c r="G1113" s="67">
        <f ca="1" t="shared" si="107"/>
        <v>0</v>
      </c>
      <c r="H1113" s="67" cm="1">
        <f ca="1" t="array" ref="H1113">MIN(30-SUM(I1113:L1113),_xlfn.XLOOKUP($D1113&amp;"_"&amp;H$61,$B$23:$B$45&amp;"_"&amp;$C$23:$C$45,$D$23:$D$45)*$E1113,18)</f>
        <v>11.6378885044214</v>
      </c>
      <c r="I1113" s="67" cm="1">
        <f ca="1" t="array" ref="I1113">MIN(30-SUM(J1113:L1113),6-L1113,_xlfn.XLOOKUP($D1113&amp;"_"&amp;I$61,$B$23:$B$45&amp;"_"&amp;$C$23:$C$45,$D$23:$D$45)*$E1113)</f>
        <v>0</v>
      </c>
      <c r="J1113" s="67" cm="1">
        <f ca="1" t="array" ref="J1113">MIN(8,_xlfn.XLOOKUP($D1113&amp;"_"&amp;J$61,$B$23:$B$45&amp;"_"&amp;$C$23:$C$45,$D$23:$D$45)*$E1113)</f>
        <v>8</v>
      </c>
      <c r="K1113" s="67" cm="1">
        <f ca="1" t="array" ref="K1113">MIN(18,_xlfn.XLOOKUP($D1113&amp;"_"&amp;K$61,$B$23:$B$45&amp;"_"&amp;$C$23:$C$45,$D$23:$D$45)*$E1113)</f>
        <v>4.36211149557863</v>
      </c>
      <c r="L1113" s="67" cm="1">
        <f ca="1" t="array" ref="L1113">MIN(6,_xlfn.XLOOKUP($D1113&amp;"_"&amp;L$61,$B$23:$B$45&amp;"_"&amp;$C$23:$C$45,$D$23:$D$45)*$E1113)</f>
        <v>6</v>
      </c>
      <c r="M1113" s="67" cm="1">
        <f ca="1" t="array" ref="M1113">(1+SUMPRODUCT(G1113:H1113,OFFSET($H$49:$I$49,D1113,0)))*(1+OFFSET($J$49,D1113,0))^I1113*(1+OFFSET($K$49,D1113,0))^J1113*(1+OFFSET($L$49,D1113,0))^K1113*(1+OFFSET($M$49,D1113,0))^L1113</f>
        <v>359.385595160539</v>
      </c>
      <c r="N1113" s="67">
        <f ca="1">MAX(MAX($N$62:N1112),OFFSET($C$61,MATCH(M1113*1.07,$M$62:$M$2061,1),0)-C1113)</f>
        <v>49680</v>
      </c>
    </row>
    <row r="1114" spans="2:14">
      <c r="B1114" s="67">
        <v>1053</v>
      </c>
      <c r="C1114" s="67">
        <f t="shared" si="105"/>
        <v>379080</v>
      </c>
      <c r="D1114" s="67">
        <f t="shared" si="103"/>
        <v>5</v>
      </c>
      <c r="E1114" s="67">
        <f ca="1" t="shared" si="104"/>
        <v>1083</v>
      </c>
      <c r="F1114" s="67">
        <f ca="1" t="shared" si="106"/>
        <v>0</v>
      </c>
      <c r="G1114" s="67">
        <f ca="1" t="shared" si="107"/>
        <v>0</v>
      </c>
      <c r="H1114" s="67" cm="1">
        <f ca="1" t="array" ref="H1114">MIN(30-SUM(I1114:L1114),_xlfn.XLOOKUP($D1114&amp;"_"&amp;H$61,$B$23:$B$45&amp;"_"&amp;$C$23:$C$45,$D$23:$D$45)*$E1114,18)</f>
        <v>11.6338569780853</v>
      </c>
      <c r="I1114" s="67" cm="1">
        <f ca="1" t="array" ref="I1114">MIN(30-SUM(J1114:L1114),6-L1114,_xlfn.XLOOKUP($D1114&amp;"_"&amp;I$61,$B$23:$B$45&amp;"_"&amp;$C$23:$C$45,$D$23:$D$45)*$E1114)</f>
        <v>0</v>
      </c>
      <c r="J1114" s="67" cm="1">
        <f ca="1" t="array" ref="J1114">MIN(8,_xlfn.XLOOKUP($D1114&amp;"_"&amp;J$61,$B$23:$B$45&amp;"_"&amp;$C$23:$C$45,$D$23:$D$45)*$E1114)</f>
        <v>8</v>
      </c>
      <c r="K1114" s="67" cm="1">
        <f ca="1" t="array" ref="K1114">MIN(18,_xlfn.XLOOKUP($D1114&amp;"_"&amp;K$61,$B$23:$B$45&amp;"_"&amp;$C$23:$C$45,$D$23:$D$45)*$E1114)</f>
        <v>4.36614302191465</v>
      </c>
      <c r="L1114" s="67" cm="1">
        <f ca="1" t="array" ref="L1114">MIN(6,_xlfn.XLOOKUP($D1114&amp;"_"&amp;L$61,$B$23:$B$45&amp;"_"&amp;$C$23:$C$45,$D$23:$D$45)*$E1114)</f>
        <v>6</v>
      </c>
      <c r="M1114" s="67" cm="1">
        <f ca="1" t="array" ref="M1114">(1+SUMPRODUCT(G1114:H1114,OFFSET($H$49:$I$49,D1114,0)))*(1+OFFSET($J$49,D1114,0))^I1114*(1+OFFSET($K$49,D1114,0))^J1114*(1+OFFSET($L$49,D1114,0))^K1114*(1+OFFSET($M$49,D1114,0))^L1114</f>
        <v>359.562706209543</v>
      </c>
      <c r="N1114" s="67">
        <f ca="1">MAX(MAX($N$62:N1113),OFFSET($C$61,MATCH(M1114*1.07,$M$62:$M$2061,1),0)-C1114)</f>
        <v>49680</v>
      </c>
    </row>
    <row r="1115" spans="2:14">
      <c r="B1115" s="67">
        <v>1054</v>
      </c>
      <c r="C1115" s="67">
        <f t="shared" si="105"/>
        <v>379440</v>
      </c>
      <c r="D1115" s="67">
        <f t="shared" si="103"/>
        <v>5</v>
      </c>
      <c r="E1115" s="67">
        <f ca="1" t="shared" si="104"/>
        <v>1084</v>
      </c>
      <c r="F1115" s="67">
        <f ca="1" t="shared" si="106"/>
        <v>0</v>
      </c>
      <c r="G1115" s="67">
        <f ca="1" t="shared" si="107"/>
        <v>0</v>
      </c>
      <c r="H1115" s="67" cm="1">
        <f ca="1" t="array" ref="H1115">MIN(30-SUM(I1115:L1115),_xlfn.XLOOKUP($D1115&amp;"_"&amp;H$61,$B$23:$B$45&amp;"_"&amp;$C$23:$C$45,$D$23:$D$45)*$E1115,18)</f>
        <v>11.6298254517493</v>
      </c>
      <c r="I1115" s="67" cm="1">
        <f ca="1" t="array" ref="I1115">MIN(30-SUM(J1115:L1115),6-L1115,_xlfn.XLOOKUP($D1115&amp;"_"&amp;I$61,$B$23:$B$45&amp;"_"&amp;$C$23:$C$45,$D$23:$D$45)*$E1115)</f>
        <v>0</v>
      </c>
      <c r="J1115" s="67" cm="1">
        <f ca="1" t="array" ref="J1115">MIN(8,_xlfn.XLOOKUP($D1115&amp;"_"&amp;J$61,$B$23:$B$45&amp;"_"&amp;$C$23:$C$45,$D$23:$D$45)*$E1115)</f>
        <v>8</v>
      </c>
      <c r="K1115" s="67" cm="1">
        <f ca="1" t="array" ref="K1115">MIN(18,_xlfn.XLOOKUP($D1115&amp;"_"&amp;K$61,$B$23:$B$45&amp;"_"&amp;$C$23:$C$45,$D$23:$D$45)*$E1115)</f>
        <v>4.37017454825068</v>
      </c>
      <c r="L1115" s="67" cm="1">
        <f ca="1" t="array" ref="L1115">MIN(6,_xlfn.XLOOKUP($D1115&amp;"_"&amp;L$61,$B$23:$B$45&amp;"_"&amp;$C$23:$C$45,$D$23:$D$45)*$E1115)</f>
        <v>6</v>
      </c>
      <c r="M1115" s="67" cm="1">
        <f ca="1" t="array" ref="M1115">(1+SUMPRODUCT(G1115:H1115,OFFSET($H$49:$I$49,D1115,0)))*(1+OFFSET($J$49,D1115,0))^I1115*(1+OFFSET($K$49,D1115,0))^J1115*(1+OFFSET($L$49,D1115,0))^K1115*(1+OFFSET($M$49,D1115,0))^L1115</f>
        <v>359.739883409692</v>
      </c>
      <c r="N1115" s="67">
        <f ca="1">MAX(MAX($N$62:N1114),OFFSET($C$61,MATCH(M1115*1.07,$M$62:$M$2061,1),0)-C1115)</f>
        <v>49680</v>
      </c>
    </row>
    <row r="1116" spans="2:14">
      <c r="B1116" s="67">
        <v>1055</v>
      </c>
      <c r="C1116" s="67">
        <f t="shared" si="105"/>
        <v>379800</v>
      </c>
      <c r="D1116" s="67">
        <f t="shared" si="103"/>
        <v>5</v>
      </c>
      <c r="E1116" s="67">
        <f ca="1" t="shared" si="104"/>
        <v>1085</v>
      </c>
      <c r="F1116" s="67">
        <f ca="1" t="shared" si="106"/>
        <v>0</v>
      </c>
      <c r="G1116" s="67">
        <f ca="1" t="shared" si="107"/>
        <v>0</v>
      </c>
      <c r="H1116" s="67" cm="1">
        <f ca="1" t="array" ref="H1116">MIN(30-SUM(I1116:L1116),_xlfn.XLOOKUP($D1116&amp;"_"&amp;H$61,$B$23:$B$45&amp;"_"&amp;$C$23:$C$45,$D$23:$D$45)*$E1116,18)</f>
        <v>11.6257939254133</v>
      </c>
      <c r="I1116" s="67" cm="1">
        <f ca="1" t="array" ref="I1116">MIN(30-SUM(J1116:L1116),6-L1116,_xlfn.XLOOKUP($D1116&amp;"_"&amp;I$61,$B$23:$B$45&amp;"_"&amp;$C$23:$C$45,$D$23:$D$45)*$E1116)</f>
        <v>0</v>
      </c>
      <c r="J1116" s="67" cm="1">
        <f ca="1" t="array" ref="J1116">MIN(8,_xlfn.XLOOKUP($D1116&amp;"_"&amp;J$61,$B$23:$B$45&amp;"_"&amp;$C$23:$C$45,$D$23:$D$45)*$E1116)</f>
        <v>8</v>
      </c>
      <c r="K1116" s="67" cm="1">
        <f ca="1" t="array" ref="K1116">MIN(18,_xlfn.XLOOKUP($D1116&amp;"_"&amp;K$61,$B$23:$B$45&amp;"_"&amp;$C$23:$C$45,$D$23:$D$45)*$E1116)</f>
        <v>4.3742060745867</v>
      </c>
      <c r="L1116" s="67" cm="1">
        <f ca="1" t="array" ref="L1116">MIN(6,_xlfn.XLOOKUP($D1116&amp;"_"&amp;L$61,$B$23:$B$45&amp;"_"&amp;$C$23:$C$45,$D$23:$D$45)*$E1116)</f>
        <v>6</v>
      </c>
      <c r="M1116" s="67" cm="1">
        <f ca="1" t="array" ref="M1116">(1+SUMPRODUCT(G1116:H1116,OFFSET($H$49:$I$49,D1116,0)))*(1+OFFSET($J$49,D1116,0))^I1116*(1+OFFSET($K$49,D1116,0))^J1116*(1+OFFSET($L$49,D1116,0))^K1116*(1+OFFSET($M$49,D1116,0))^L1116</f>
        <v>359.917126762508</v>
      </c>
      <c r="N1116" s="67">
        <f ca="1">MAX(MAX($N$62:N1115),OFFSET($C$61,MATCH(M1116*1.07,$M$62:$M$2061,1),0)-C1116)</f>
        <v>49680</v>
      </c>
    </row>
    <row r="1117" spans="2:14">
      <c r="B1117" s="67">
        <v>1056</v>
      </c>
      <c r="C1117" s="67">
        <f t="shared" si="105"/>
        <v>380160</v>
      </c>
      <c r="D1117" s="67">
        <f t="shared" si="103"/>
        <v>5</v>
      </c>
      <c r="E1117" s="67">
        <f ca="1" t="shared" si="104"/>
        <v>1086</v>
      </c>
      <c r="F1117" s="67">
        <f ca="1" t="shared" si="106"/>
        <v>0</v>
      </c>
      <c r="G1117" s="67">
        <f ca="1" t="shared" si="107"/>
        <v>0</v>
      </c>
      <c r="H1117" s="67" cm="1">
        <f ca="1" t="array" ref="H1117">MIN(30-SUM(I1117:L1117),_xlfn.XLOOKUP($D1117&amp;"_"&amp;H$61,$B$23:$B$45&amp;"_"&amp;$C$23:$C$45,$D$23:$D$45)*$E1117,18)</f>
        <v>11.6217623990773</v>
      </c>
      <c r="I1117" s="67" cm="1">
        <f ca="1" t="array" ref="I1117">MIN(30-SUM(J1117:L1117),6-L1117,_xlfn.XLOOKUP($D1117&amp;"_"&amp;I$61,$B$23:$B$45&amp;"_"&amp;$C$23:$C$45,$D$23:$D$45)*$E1117)</f>
        <v>0</v>
      </c>
      <c r="J1117" s="67" cm="1">
        <f ca="1" t="array" ref="J1117">MIN(8,_xlfn.XLOOKUP($D1117&amp;"_"&amp;J$61,$B$23:$B$45&amp;"_"&amp;$C$23:$C$45,$D$23:$D$45)*$E1117)</f>
        <v>8</v>
      </c>
      <c r="K1117" s="67" cm="1">
        <f ca="1" t="array" ref="K1117">MIN(18,_xlfn.XLOOKUP($D1117&amp;"_"&amp;K$61,$B$23:$B$45&amp;"_"&amp;$C$23:$C$45,$D$23:$D$45)*$E1117)</f>
        <v>4.37823760092273</v>
      </c>
      <c r="L1117" s="67" cm="1">
        <f ca="1" t="array" ref="L1117">MIN(6,_xlfn.XLOOKUP($D1117&amp;"_"&amp;L$61,$B$23:$B$45&amp;"_"&amp;$C$23:$C$45,$D$23:$D$45)*$E1117)</f>
        <v>6</v>
      </c>
      <c r="M1117" s="67" cm="1">
        <f ca="1" t="array" ref="M1117">(1+SUMPRODUCT(G1117:H1117,OFFSET($H$49:$I$49,D1117,0)))*(1+OFFSET($J$49,D1117,0))^I1117*(1+OFFSET($K$49,D1117,0))^J1117*(1+OFFSET($L$49,D1117,0))^K1117*(1+OFFSET($M$49,D1117,0))^L1117</f>
        <v>360.094436269481</v>
      </c>
      <c r="N1117" s="67">
        <f ca="1">MAX(MAX($N$62:N1116),OFFSET($C$61,MATCH(M1117*1.07,$M$62:$M$2061,1),0)-C1117)</f>
        <v>49680</v>
      </c>
    </row>
    <row r="1118" spans="2:14">
      <c r="B1118" s="67">
        <v>1057</v>
      </c>
      <c r="C1118" s="67">
        <f t="shared" si="105"/>
        <v>380520</v>
      </c>
      <c r="D1118" s="67">
        <f t="shared" si="103"/>
        <v>5</v>
      </c>
      <c r="E1118" s="67">
        <f ca="1" t="shared" si="104"/>
        <v>1087</v>
      </c>
      <c r="F1118" s="67">
        <f ca="1" t="shared" si="106"/>
        <v>0</v>
      </c>
      <c r="G1118" s="67">
        <f ca="1" t="shared" si="107"/>
        <v>0</v>
      </c>
      <c r="H1118" s="67" cm="1">
        <f ca="1" t="array" ref="H1118">MIN(30-SUM(I1118:L1118),_xlfn.XLOOKUP($D1118&amp;"_"&amp;H$61,$B$23:$B$45&amp;"_"&amp;$C$23:$C$45,$D$23:$D$45)*$E1118,18)</f>
        <v>11.6177308727412</v>
      </c>
      <c r="I1118" s="67" cm="1">
        <f ca="1" t="array" ref="I1118">MIN(30-SUM(J1118:L1118),6-L1118,_xlfn.XLOOKUP($D1118&amp;"_"&amp;I$61,$B$23:$B$45&amp;"_"&amp;$C$23:$C$45,$D$23:$D$45)*$E1118)</f>
        <v>0</v>
      </c>
      <c r="J1118" s="67" cm="1">
        <f ca="1" t="array" ref="J1118">MIN(8,_xlfn.XLOOKUP($D1118&amp;"_"&amp;J$61,$B$23:$B$45&amp;"_"&amp;$C$23:$C$45,$D$23:$D$45)*$E1118)</f>
        <v>8</v>
      </c>
      <c r="K1118" s="67" cm="1">
        <f ca="1" t="array" ref="K1118">MIN(18,_xlfn.XLOOKUP($D1118&amp;"_"&amp;K$61,$B$23:$B$45&amp;"_"&amp;$C$23:$C$45,$D$23:$D$45)*$E1118)</f>
        <v>4.38226912725875</v>
      </c>
      <c r="L1118" s="67" cm="1">
        <f ca="1" t="array" ref="L1118">MIN(6,_xlfn.XLOOKUP($D1118&amp;"_"&amp;L$61,$B$23:$B$45&amp;"_"&amp;$C$23:$C$45,$D$23:$D$45)*$E1118)</f>
        <v>6</v>
      </c>
      <c r="M1118" s="67" cm="1">
        <f ca="1" t="array" ref="M1118">(1+SUMPRODUCT(G1118:H1118,OFFSET($H$49:$I$49,D1118,0)))*(1+OFFSET($J$49,D1118,0))^I1118*(1+OFFSET($K$49,D1118,0))^J1118*(1+OFFSET($L$49,D1118,0))^K1118*(1+OFFSET($M$49,D1118,0))^L1118</f>
        <v>360.271811932068</v>
      </c>
      <c r="N1118" s="67">
        <f ca="1">MAX(MAX($N$62:N1117),OFFSET($C$61,MATCH(M1118*1.07,$M$62:$M$2061,1),0)-C1118)</f>
        <v>49680</v>
      </c>
    </row>
    <row r="1119" spans="2:14">
      <c r="B1119" s="67">
        <v>1058</v>
      </c>
      <c r="C1119" s="67">
        <f t="shared" si="105"/>
        <v>380880</v>
      </c>
      <c r="D1119" s="67">
        <f t="shared" si="103"/>
        <v>5</v>
      </c>
      <c r="E1119" s="67">
        <f ca="1" t="shared" si="104"/>
        <v>1088</v>
      </c>
      <c r="F1119" s="67">
        <f ca="1" t="shared" si="106"/>
        <v>0</v>
      </c>
      <c r="G1119" s="67">
        <f ca="1" t="shared" si="107"/>
        <v>0</v>
      </c>
      <c r="H1119" s="67" cm="1">
        <f ca="1" t="array" ref="H1119">MIN(30-SUM(I1119:L1119),_xlfn.XLOOKUP($D1119&amp;"_"&amp;H$61,$B$23:$B$45&amp;"_"&amp;$C$23:$C$45,$D$23:$D$45)*$E1119,18)</f>
        <v>11.6136993464052</v>
      </c>
      <c r="I1119" s="67" cm="1">
        <f ca="1" t="array" ref="I1119">MIN(30-SUM(J1119:L1119),6-L1119,_xlfn.XLOOKUP($D1119&amp;"_"&amp;I$61,$B$23:$B$45&amp;"_"&amp;$C$23:$C$45,$D$23:$D$45)*$E1119)</f>
        <v>0</v>
      </c>
      <c r="J1119" s="67" cm="1">
        <f ca="1" t="array" ref="J1119">MIN(8,_xlfn.XLOOKUP($D1119&amp;"_"&amp;J$61,$B$23:$B$45&amp;"_"&amp;$C$23:$C$45,$D$23:$D$45)*$E1119)</f>
        <v>8</v>
      </c>
      <c r="K1119" s="67" cm="1">
        <f ca="1" t="array" ref="K1119">MIN(18,_xlfn.XLOOKUP($D1119&amp;"_"&amp;K$61,$B$23:$B$45&amp;"_"&amp;$C$23:$C$45,$D$23:$D$45)*$E1119)</f>
        <v>4.38630065359478</v>
      </c>
      <c r="L1119" s="67" cm="1">
        <f ca="1" t="array" ref="L1119">MIN(6,_xlfn.XLOOKUP($D1119&amp;"_"&amp;L$61,$B$23:$B$45&amp;"_"&amp;$C$23:$C$45,$D$23:$D$45)*$E1119)</f>
        <v>6</v>
      </c>
      <c r="M1119" s="67" cm="1">
        <f ca="1" t="array" ref="M1119">(1+SUMPRODUCT(G1119:H1119,OFFSET($H$49:$I$49,D1119,0)))*(1+OFFSET($J$49,D1119,0))^I1119*(1+OFFSET($K$49,D1119,0))^J1119*(1+OFFSET($L$49,D1119,0))^K1119*(1+OFFSET($M$49,D1119,0))^L1119</f>
        <v>360.449253751691</v>
      </c>
      <c r="N1119" s="67">
        <f ca="1">MAX(MAX($N$62:N1118),OFFSET($C$61,MATCH(M1119*1.07,$M$62:$M$2061,1),0)-C1119)</f>
        <v>49680</v>
      </c>
    </row>
    <row r="1120" spans="2:14">
      <c r="B1120" s="67">
        <v>1059</v>
      </c>
      <c r="C1120" s="67">
        <f t="shared" si="105"/>
        <v>381240</v>
      </c>
      <c r="D1120" s="67">
        <f t="shared" si="103"/>
        <v>5</v>
      </c>
      <c r="E1120" s="67">
        <f ca="1" t="shared" si="104"/>
        <v>1089</v>
      </c>
      <c r="F1120" s="67">
        <f ca="1" t="shared" si="106"/>
        <v>0</v>
      </c>
      <c r="G1120" s="67">
        <f ca="1" t="shared" si="107"/>
        <v>0</v>
      </c>
      <c r="H1120" s="67" cm="1">
        <f ca="1" t="array" ref="H1120">MIN(30-SUM(I1120:L1120),_xlfn.XLOOKUP($D1120&amp;"_"&amp;H$61,$B$23:$B$45&amp;"_"&amp;$C$23:$C$45,$D$23:$D$45)*$E1120,18)</f>
        <v>11.6096678200692</v>
      </c>
      <c r="I1120" s="67" cm="1">
        <f ca="1" t="array" ref="I1120">MIN(30-SUM(J1120:L1120),6-L1120,_xlfn.XLOOKUP($D1120&amp;"_"&amp;I$61,$B$23:$B$45&amp;"_"&amp;$C$23:$C$45,$D$23:$D$45)*$E1120)</f>
        <v>0</v>
      </c>
      <c r="J1120" s="67" cm="1">
        <f ca="1" t="array" ref="J1120">MIN(8,_xlfn.XLOOKUP($D1120&amp;"_"&amp;J$61,$B$23:$B$45&amp;"_"&amp;$C$23:$C$45,$D$23:$D$45)*$E1120)</f>
        <v>8</v>
      </c>
      <c r="K1120" s="67" cm="1">
        <f ca="1" t="array" ref="K1120">MIN(18,_xlfn.XLOOKUP($D1120&amp;"_"&amp;K$61,$B$23:$B$45&amp;"_"&amp;$C$23:$C$45,$D$23:$D$45)*$E1120)</f>
        <v>4.3903321799308</v>
      </c>
      <c r="L1120" s="67" cm="1">
        <f ca="1" t="array" ref="L1120">MIN(6,_xlfn.XLOOKUP($D1120&amp;"_"&amp;L$61,$B$23:$B$45&amp;"_"&amp;$C$23:$C$45,$D$23:$D$45)*$E1120)</f>
        <v>6</v>
      </c>
      <c r="M1120" s="67" cm="1">
        <f ca="1" t="array" ref="M1120">(1+SUMPRODUCT(G1120:H1120,OFFSET($H$49:$I$49,D1120,0)))*(1+OFFSET($J$49,D1120,0))^I1120*(1+OFFSET($K$49,D1120,0))^J1120*(1+OFFSET($L$49,D1120,0))^K1120*(1+OFFSET($M$49,D1120,0))^L1120</f>
        <v>360.626761729738</v>
      </c>
      <c r="N1120" s="67">
        <f ca="1">MAX(MAX($N$62:N1119),OFFSET($C$61,MATCH(M1120*1.07,$M$62:$M$2061,1),0)-C1120)</f>
        <v>49680</v>
      </c>
    </row>
    <row r="1121" spans="2:14">
      <c r="B1121" s="67">
        <v>1060</v>
      </c>
      <c r="C1121" s="67">
        <f t="shared" si="105"/>
        <v>381600</v>
      </c>
      <c r="D1121" s="67">
        <f t="shared" si="103"/>
        <v>5</v>
      </c>
      <c r="E1121" s="67">
        <f ca="1" t="shared" si="104"/>
        <v>1090</v>
      </c>
      <c r="F1121" s="67">
        <f ca="1" t="shared" si="106"/>
        <v>0</v>
      </c>
      <c r="G1121" s="67">
        <f ca="1" t="shared" si="107"/>
        <v>0</v>
      </c>
      <c r="H1121" s="67" cm="1">
        <f ca="1" t="array" ref="H1121">MIN(30-SUM(I1121:L1121),_xlfn.XLOOKUP($D1121&amp;"_"&amp;H$61,$B$23:$B$45&amp;"_"&amp;$C$23:$C$45,$D$23:$D$45)*$E1121,18)</f>
        <v>11.6056362937332</v>
      </c>
      <c r="I1121" s="67" cm="1">
        <f ca="1" t="array" ref="I1121">MIN(30-SUM(J1121:L1121),6-L1121,_xlfn.XLOOKUP($D1121&amp;"_"&amp;I$61,$B$23:$B$45&amp;"_"&amp;$C$23:$C$45,$D$23:$D$45)*$E1121)</f>
        <v>0</v>
      </c>
      <c r="J1121" s="67" cm="1">
        <f ca="1" t="array" ref="J1121">MIN(8,_xlfn.XLOOKUP($D1121&amp;"_"&amp;J$61,$B$23:$B$45&amp;"_"&amp;$C$23:$C$45,$D$23:$D$45)*$E1121)</f>
        <v>8</v>
      </c>
      <c r="K1121" s="67" cm="1">
        <f ca="1" t="array" ref="K1121">MIN(18,_xlfn.XLOOKUP($D1121&amp;"_"&amp;K$61,$B$23:$B$45&amp;"_"&amp;$C$23:$C$45,$D$23:$D$45)*$E1121)</f>
        <v>4.39436370626682</v>
      </c>
      <c r="L1121" s="67" cm="1">
        <f ca="1" t="array" ref="L1121">MIN(6,_xlfn.XLOOKUP($D1121&amp;"_"&amp;L$61,$B$23:$B$45&amp;"_"&amp;$C$23:$C$45,$D$23:$D$45)*$E1121)</f>
        <v>6</v>
      </c>
      <c r="M1121" s="67" cm="1">
        <f ca="1" t="array" ref="M1121">(1+SUMPRODUCT(G1121:H1121,OFFSET($H$49:$I$49,D1121,0)))*(1+OFFSET($J$49,D1121,0))^I1121*(1+OFFSET($K$49,D1121,0))^J1121*(1+OFFSET($L$49,D1121,0))^K1121*(1+OFFSET($M$49,D1121,0))^L1121</f>
        <v>360.804335867567</v>
      </c>
      <c r="N1121" s="67">
        <f ca="1">MAX(MAX($N$62:N1120),OFFSET($C$61,MATCH(M1121*1.07,$M$62:$M$2061,1),0)-C1121)</f>
        <v>49680</v>
      </c>
    </row>
    <row r="1122" spans="2:14">
      <c r="B1122" s="67">
        <v>1061</v>
      </c>
      <c r="C1122" s="67">
        <f t="shared" si="105"/>
        <v>381960</v>
      </c>
      <c r="D1122" s="67">
        <f t="shared" si="103"/>
        <v>5</v>
      </c>
      <c r="E1122" s="67">
        <f ca="1" t="shared" si="104"/>
        <v>1091</v>
      </c>
      <c r="F1122" s="67">
        <f ca="1" t="shared" si="106"/>
        <v>0</v>
      </c>
      <c r="G1122" s="67">
        <f ca="1" t="shared" si="107"/>
        <v>0</v>
      </c>
      <c r="H1122" s="67" cm="1">
        <f ca="1" t="array" ref="H1122">MIN(30-SUM(I1122:L1122),_xlfn.XLOOKUP($D1122&amp;"_"&amp;H$61,$B$23:$B$45&amp;"_"&amp;$C$23:$C$45,$D$23:$D$45)*$E1122,18)</f>
        <v>11.6016047673972</v>
      </c>
      <c r="I1122" s="67" cm="1">
        <f ca="1" t="array" ref="I1122">MIN(30-SUM(J1122:L1122),6-L1122,_xlfn.XLOOKUP($D1122&amp;"_"&amp;I$61,$B$23:$B$45&amp;"_"&amp;$C$23:$C$45,$D$23:$D$45)*$E1122)</f>
        <v>0</v>
      </c>
      <c r="J1122" s="67" cm="1">
        <f ca="1" t="array" ref="J1122">MIN(8,_xlfn.XLOOKUP($D1122&amp;"_"&amp;J$61,$B$23:$B$45&amp;"_"&amp;$C$23:$C$45,$D$23:$D$45)*$E1122)</f>
        <v>8</v>
      </c>
      <c r="K1122" s="67" cm="1">
        <f ca="1" t="array" ref="K1122">MIN(18,_xlfn.XLOOKUP($D1122&amp;"_"&amp;K$61,$B$23:$B$45&amp;"_"&amp;$C$23:$C$45,$D$23:$D$45)*$E1122)</f>
        <v>4.39839523260285</v>
      </c>
      <c r="L1122" s="67" cm="1">
        <f ca="1" t="array" ref="L1122">MIN(6,_xlfn.XLOOKUP($D1122&amp;"_"&amp;L$61,$B$23:$B$45&amp;"_"&amp;$C$23:$C$45,$D$23:$D$45)*$E1122)</f>
        <v>6</v>
      </c>
      <c r="M1122" s="67" cm="1">
        <f ca="1" t="array" ref="M1122">(1+SUMPRODUCT(G1122:H1122,OFFSET($H$49:$I$49,D1122,0)))*(1+OFFSET($J$49,D1122,0))^I1122*(1+OFFSET($K$49,D1122,0))^J1122*(1+OFFSET($L$49,D1122,0))^K1122*(1+OFFSET($M$49,D1122,0))^L1122</f>
        <v>360.981976166496</v>
      </c>
      <c r="N1122" s="67">
        <f ca="1">MAX(MAX($N$62:N1121),OFFSET($C$61,MATCH(M1122*1.07,$M$62:$M$2061,1),0)-C1122)</f>
        <v>49680</v>
      </c>
    </row>
    <row r="1123" spans="2:14">
      <c r="B1123" s="67">
        <v>1062</v>
      </c>
      <c r="C1123" s="67">
        <f t="shared" si="105"/>
        <v>382320</v>
      </c>
      <c r="D1123" s="67">
        <f t="shared" si="103"/>
        <v>5</v>
      </c>
      <c r="E1123" s="67">
        <f ca="1" t="shared" si="104"/>
        <v>1092</v>
      </c>
      <c r="F1123" s="67">
        <f ca="1" t="shared" si="106"/>
        <v>0</v>
      </c>
      <c r="G1123" s="67">
        <f ca="1" t="shared" si="107"/>
        <v>0</v>
      </c>
      <c r="H1123" s="67" cm="1">
        <f ca="1" t="array" ref="H1123">MIN(30-SUM(I1123:L1123),_xlfn.XLOOKUP($D1123&amp;"_"&amp;H$61,$B$23:$B$45&amp;"_"&amp;$C$23:$C$45,$D$23:$D$45)*$E1123,18)</f>
        <v>11.5975732410611</v>
      </c>
      <c r="I1123" s="67" cm="1">
        <f ca="1" t="array" ref="I1123">MIN(30-SUM(J1123:L1123),6-L1123,_xlfn.XLOOKUP($D1123&amp;"_"&amp;I$61,$B$23:$B$45&amp;"_"&amp;$C$23:$C$45,$D$23:$D$45)*$E1123)</f>
        <v>0</v>
      </c>
      <c r="J1123" s="67" cm="1">
        <f ca="1" t="array" ref="J1123">MIN(8,_xlfn.XLOOKUP($D1123&amp;"_"&amp;J$61,$B$23:$B$45&amp;"_"&amp;$C$23:$C$45,$D$23:$D$45)*$E1123)</f>
        <v>8</v>
      </c>
      <c r="K1123" s="67" cm="1">
        <f ca="1" t="array" ref="K1123">MIN(18,_xlfn.XLOOKUP($D1123&amp;"_"&amp;K$61,$B$23:$B$45&amp;"_"&amp;$C$23:$C$45,$D$23:$D$45)*$E1123)</f>
        <v>4.40242675893887</v>
      </c>
      <c r="L1123" s="67" cm="1">
        <f ca="1" t="array" ref="L1123">MIN(6,_xlfn.XLOOKUP($D1123&amp;"_"&amp;L$61,$B$23:$B$45&amp;"_"&amp;$C$23:$C$45,$D$23:$D$45)*$E1123)</f>
        <v>6</v>
      </c>
      <c r="M1123" s="67" cm="1">
        <f ca="1" t="array" ref="M1123">(1+SUMPRODUCT(G1123:H1123,OFFSET($H$49:$I$49,D1123,0)))*(1+OFFSET($J$49,D1123,0))^I1123*(1+OFFSET($K$49,D1123,0))^J1123*(1+OFFSET($L$49,D1123,0))^K1123*(1+OFFSET($M$49,D1123,0))^L1123</f>
        <v>361.159682627816</v>
      </c>
      <c r="N1123" s="67">
        <f ca="1">MAX(MAX($N$62:N1122),OFFSET($C$61,MATCH(M1123*1.07,$M$62:$M$2061,1),0)-C1123)</f>
        <v>49680</v>
      </c>
    </row>
    <row r="1124" spans="2:14">
      <c r="B1124" s="67">
        <v>1063</v>
      </c>
      <c r="C1124" s="67">
        <f t="shared" si="105"/>
        <v>382680</v>
      </c>
      <c r="D1124" s="67">
        <f t="shared" si="103"/>
        <v>5</v>
      </c>
      <c r="E1124" s="67">
        <f ca="1" t="shared" si="104"/>
        <v>1093</v>
      </c>
      <c r="F1124" s="67">
        <f ca="1" t="shared" si="106"/>
        <v>0</v>
      </c>
      <c r="G1124" s="67">
        <f ca="1" t="shared" si="107"/>
        <v>0</v>
      </c>
      <c r="H1124" s="67" cm="1">
        <f ca="1" t="array" ref="H1124">MIN(30-SUM(I1124:L1124),_xlfn.XLOOKUP($D1124&amp;"_"&amp;H$61,$B$23:$B$45&amp;"_"&amp;$C$23:$C$45,$D$23:$D$45)*$E1124,18)</f>
        <v>11.5935417147251</v>
      </c>
      <c r="I1124" s="67" cm="1">
        <f ca="1" t="array" ref="I1124">MIN(30-SUM(J1124:L1124),6-L1124,_xlfn.XLOOKUP($D1124&amp;"_"&amp;I$61,$B$23:$B$45&amp;"_"&amp;$C$23:$C$45,$D$23:$D$45)*$E1124)</f>
        <v>0</v>
      </c>
      <c r="J1124" s="67" cm="1">
        <f ca="1" t="array" ref="J1124">MIN(8,_xlfn.XLOOKUP($D1124&amp;"_"&amp;J$61,$B$23:$B$45&amp;"_"&amp;$C$23:$C$45,$D$23:$D$45)*$E1124)</f>
        <v>8</v>
      </c>
      <c r="K1124" s="67" cm="1">
        <f ca="1" t="array" ref="K1124">MIN(18,_xlfn.XLOOKUP($D1124&amp;"_"&amp;K$61,$B$23:$B$45&amp;"_"&amp;$C$23:$C$45,$D$23:$D$45)*$E1124)</f>
        <v>4.4064582852749</v>
      </c>
      <c r="L1124" s="67" cm="1">
        <f ca="1" t="array" ref="L1124">MIN(6,_xlfn.XLOOKUP($D1124&amp;"_"&amp;L$61,$B$23:$B$45&amp;"_"&amp;$C$23:$C$45,$D$23:$D$45)*$E1124)</f>
        <v>6</v>
      </c>
      <c r="M1124" s="67" cm="1">
        <f ca="1" t="array" ref="M1124">(1+SUMPRODUCT(G1124:H1124,OFFSET($H$49:$I$49,D1124,0)))*(1+OFFSET($J$49,D1124,0))^I1124*(1+OFFSET($K$49,D1124,0))^J1124*(1+OFFSET($L$49,D1124,0))^K1124*(1+OFFSET($M$49,D1124,0))^L1124</f>
        <v>361.337455252778</v>
      </c>
      <c r="N1124" s="67">
        <f ca="1">MAX(MAX($N$62:N1123),OFFSET($C$61,MATCH(M1124*1.07,$M$62:$M$2061,1),0)-C1124)</f>
        <v>49680</v>
      </c>
    </row>
    <row r="1125" spans="2:14">
      <c r="B1125" s="67">
        <v>1064</v>
      </c>
      <c r="C1125" s="67">
        <f t="shared" si="105"/>
        <v>383040</v>
      </c>
      <c r="D1125" s="67">
        <f t="shared" si="103"/>
        <v>5</v>
      </c>
      <c r="E1125" s="67">
        <f ca="1" t="shared" si="104"/>
        <v>1094</v>
      </c>
      <c r="F1125" s="67">
        <f ca="1" t="shared" si="106"/>
        <v>0</v>
      </c>
      <c r="G1125" s="67">
        <f ca="1" t="shared" si="107"/>
        <v>0</v>
      </c>
      <c r="H1125" s="67" cm="1">
        <f ca="1" t="array" ref="H1125">MIN(30-SUM(I1125:L1125),_xlfn.XLOOKUP($D1125&amp;"_"&amp;H$61,$B$23:$B$45&amp;"_"&amp;$C$23:$C$45,$D$23:$D$45)*$E1125,18)</f>
        <v>11.5895101883891</v>
      </c>
      <c r="I1125" s="67" cm="1">
        <f ca="1" t="array" ref="I1125">MIN(30-SUM(J1125:L1125),6-L1125,_xlfn.XLOOKUP($D1125&amp;"_"&amp;I$61,$B$23:$B$45&amp;"_"&amp;$C$23:$C$45,$D$23:$D$45)*$E1125)</f>
        <v>0</v>
      </c>
      <c r="J1125" s="67" cm="1">
        <f ca="1" t="array" ref="J1125">MIN(8,_xlfn.XLOOKUP($D1125&amp;"_"&amp;J$61,$B$23:$B$45&amp;"_"&amp;$C$23:$C$45,$D$23:$D$45)*$E1125)</f>
        <v>8</v>
      </c>
      <c r="K1125" s="67" cm="1">
        <f ca="1" t="array" ref="K1125">MIN(18,_xlfn.XLOOKUP($D1125&amp;"_"&amp;K$61,$B$23:$B$45&amp;"_"&amp;$C$23:$C$45,$D$23:$D$45)*$E1125)</f>
        <v>4.41048981161092</v>
      </c>
      <c r="L1125" s="67" cm="1">
        <f ca="1" t="array" ref="L1125">MIN(6,_xlfn.XLOOKUP($D1125&amp;"_"&amp;L$61,$B$23:$B$45&amp;"_"&amp;$C$23:$C$45,$D$23:$D$45)*$E1125)</f>
        <v>6</v>
      </c>
      <c r="M1125" s="67" cm="1">
        <f ca="1" t="array" ref="M1125">(1+SUMPRODUCT(G1125:H1125,OFFSET($H$49:$I$49,D1125,0)))*(1+OFFSET($J$49,D1125,0))^I1125*(1+OFFSET($K$49,D1125,0))^J1125*(1+OFFSET($L$49,D1125,0))^K1125*(1+OFFSET($M$49,D1125,0))^L1125</f>
        <v>361.515294042603</v>
      </c>
      <c r="N1125" s="67">
        <f ca="1">MAX(MAX($N$62:N1124),OFFSET($C$61,MATCH(M1125*1.07,$M$62:$M$2061,1),0)-C1125)</f>
        <v>49680</v>
      </c>
    </row>
    <row r="1126" spans="2:14">
      <c r="B1126" s="67">
        <v>1065</v>
      </c>
      <c r="C1126" s="67">
        <f t="shared" ref="C1126:C1157" si="108">C1125+360</f>
        <v>383400</v>
      </c>
      <c r="D1126" s="67">
        <f t="shared" si="103"/>
        <v>5</v>
      </c>
      <c r="E1126" s="67">
        <f ca="1" t="shared" si="104"/>
        <v>1095</v>
      </c>
      <c r="F1126" s="67">
        <f ca="1" t="shared" ref="F1126:F1157" si="109">30-SUM(G1126:L1126)</f>
        <v>0</v>
      </c>
      <c r="G1126" s="67">
        <f ca="1" t="shared" ref="G1126:G1157" si="110">30-SUM(H1126:L1126)</f>
        <v>0</v>
      </c>
      <c r="H1126" s="67" cm="1">
        <f ca="1" t="array" ref="H1126">MIN(30-SUM(I1126:L1126),_xlfn.XLOOKUP($D1126&amp;"_"&amp;H$61,$B$23:$B$45&amp;"_"&amp;$C$23:$C$45,$D$23:$D$45)*$E1126,18)</f>
        <v>11.5854786620531</v>
      </c>
      <c r="I1126" s="67" cm="1">
        <f ca="1" t="array" ref="I1126">MIN(30-SUM(J1126:L1126),6-L1126,_xlfn.XLOOKUP($D1126&amp;"_"&amp;I$61,$B$23:$B$45&amp;"_"&amp;$C$23:$C$45,$D$23:$D$45)*$E1126)</f>
        <v>0</v>
      </c>
      <c r="J1126" s="67" cm="1">
        <f ca="1" t="array" ref="J1126">MIN(8,_xlfn.XLOOKUP($D1126&amp;"_"&amp;J$61,$B$23:$B$45&amp;"_"&amp;$C$23:$C$45,$D$23:$D$45)*$E1126)</f>
        <v>8</v>
      </c>
      <c r="K1126" s="67" cm="1">
        <f ca="1" t="array" ref="K1126">MIN(18,_xlfn.XLOOKUP($D1126&amp;"_"&amp;K$61,$B$23:$B$45&amp;"_"&amp;$C$23:$C$45,$D$23:$D$45)*$E1126)</f>
        <v>4.41452133794695</v>
      </c>
      <c r="L1126" s="67" cm="1">
        <f ca="1" t="array" ref="L1126">MIN(6,_xlfn.XLOOKUP($D1126&amp;"_"&amp;L$61,$B$23:$B$45&amp;"_"&amp;$C$23:$C$45,$D$23:$D$45)*$E1126)</f>
        <v>6</v>
      </c>
      <c r="M1126" s="67" cm="1">
        <f ca="1" t="array" ref="M1126">(1+SUMPRODUCT(G1126:H1126,OFFSET($H$49:$I$49,D1126,0)))*(1+OFFSET($J$49,D1126,0))^I1126*(1+OFFSET($K$49,D1126,0))^J1126*(1+OFFSET($L$49,D1126,0))^K1126*(1+OFFSET($M$49,D1126,0))^L1126</f>
        <v>361.693198998478</v>
      </c>
      <c r="N1126" s="67">
        <f ca="1">MAX(MAX($N$62:N1125),OFFSET($C$61,MATCH(M1126*1.07,$M$62:$M$2061,1),0)-C1126)</f>
        <v>49680</v>
      </c>
    </row>
    <row r="1127" spans="2:14">
      <c r="B1127" s="67">
        <v>1066</v>
      </c>
      <c r="C1127" s="67">
        <f t="shared" si="108"/>
        <v>383760</v>
      </c>
      <c r="D1127" s="67">
        <f t="shared" si="103"/>
        <v>5</v>
      </c>
      <c r="E1127" s="67">
        <f ca="1" t="shared" si="104"/>
        <v>1096</v>
      </c>
      <c r="F1127" s="67">
        <f ca="1" t="shared" si="109"/>
        <v>0</v>
      </c>
      <c r="G1127" s="67">
        <f ca="1" t="shared" si="110"/>
        <v>0</v>
      </c>
      <c r="H1127" s="67" cm="1">
        <f ca="1" t="array" ref="H1127">MIN(30-SUM(I1127:L1127),_xlfn.XLOOKUP($D1127&amp;"_"&amp;H$61,$B$23:$B$45&amp;"_"&amp;$C$23:$C$45,$D$23:$D$45)*$E1127,18)</f>
        <v>11.581447135717</v>
      </c>
      <c r="I1127" s="67" cm="1">
        <f ca="1" t="array" ref="I1127">MIN(30-SUM(J1127:L1127),6-L1127,_xlfn.XLOOKUP($D1127&amp;"_"&amp;I$61,$B$23:$B$45&amp;"_"&amp;$C$23:$C$45,$D$23:$D$45)*$E1127)</f>
        <v>0</v>
      </c>
      <c r="J1127" s="67" cm="1">
        <f ca="1" t="array" ref="J1127">MIN(8,_xlfn.XLOOKUP($D1127&amp;"_"&amp;J$61,$B$23:$B$45&amp;"_"&amp;$C$23:$C$45,$D$23:$D$45)*$E1127)</f>
        <v>8</v>
      </c>
      <c r="K1127" s="67" cm="1">
        <f ca="1" t="array" ref="K1127">MIN(18,_xlfn.XLOOKUP($D1127&amp;"_"&amp;K$61,$B$23:$B$45&amp;"_"&amp;$C$23:$C$45,$D$23:$D$45)*$E1127)</f>
        <v>4.41855286428297</v>
      </c>
      <c r="L1127" s="67" cm="1">
        <f ca="1" t="array" ref="L1127">MIN(6,_xlfn.XLOOKUP($D1127&amp;"_"&amp;L$61,$B$23:$B$45&amp;"_"&amp;$C$23:$C$45,$D$23:$D$45)*$E1127)</f>
        <v>6</v>
      </c>
      <c r="M1127" s="67" cm="1">
        <f ca="1" t="array" ref="M1127">(1+SUMPRODUCT(G1127:H1127,OFFSET($H$49:$I$49,D1127,0)))*(1+OFFSET($J$49,D1127,0))^I1127*(1+OFFSET($K$49,D1127,0))^J1127*(1+OFFSET($L$49,D1127,0))^K1127*(1+OFFSET($M$49,D1127,0))^L1127</f>
        <v>361.871170121552</v>
      </c>
      <c r="N1127" s="67">
        <f ca="1">MAX(MAX($N$62:N1126),OFFSET($C$61,MATCH(M1127*1.07,$M$62:$M$2061,1),0)-C1127)</f>
        <v>49680</v>
      </c>
    </row>
    <row r="1128" spans="2:14">
      <c r="B1128" s="67">
        <v>1067</v>
      </c>
      <c r="C1128" s="67">
        <f t="shared" si="108"/>
        <v>384120</v>
      </c>
      <c r="D1128" s="67">
        <f t="shared" si="103"/>
        <v>5</v>
      </c>
      <c r="E1128" s="67">
        <f ca="1" t="shared" si="104"/>
        <v>1097</v>
      </c>
      <c r="F1128" s="67">
        <f ca="1" t="shared" si="109"/>
        <v>0</v>
      </c>
      <c r="G1128" s="67">
        <f ca="1" t="shared" si="110"/>
        <v>0</v>
      </c>
      <c r="H1128" s="67" cm="1">
        <f ca="1" t="array" ref="H1128">MIN(30-SUM(I1128:L1128),_xlfn.XLOOKUP($D1128&amp;"_"&amp;H$61,$B$23:$B$45&amp;"_"&amp;$C$23:$C$45,$D$23:$D$45)*$E1128,18)</f>
        <v>11.577415609381</v>
      </c>
      <c r="I1128" s="67" cm="1">
        <f ca="1" t="array" ref="I1128">MIN(30-SUM(J1128:L1128),6-L1128,_xlfn.XLOOKUP($D1128&amp;"_"&amp;I$61,$B$23:$B$45&amp;"_"&amp;$C$23:$C$45,$D$23:$D$45)*$E1128)</f>
        <v>0</v>
      </c>
      <c r="J1128" s="67" cm="1">
        <f ca="1" t="array" ref="J1128">MIN(8,_xlfn.XLOOKUP($D1128&amp;"_"&amp;J$61,$B$23:$B$45&amp;"_"&amp;$C$23:$C$45,$D$23:$D$45)*$E1128)</f>
        <v>8</v>
      </c>
      <c r="K1128" s="67" cm="1">
        <f ca="1" t="array" ref="K1128">MIN(18,_xlfn.XLOOKUP($D1128&amp;"_"&amp;K$61,$B$23:$B$45&amp;"_"&amp;$C$23:$C$45,$D$23:$D$45)*$E1128)</f>
        <v>4.422584390619</v>
      </c>
      <c r="L1128" s="67" cm="1">
        <f ca="1" t="array" ref="L1128">MIN(6,_xlfn.XLOOKUP($D1128&amp;"_"&amp;L$61,$B$23:$B$45&amp;"_"&amp;$C$23:$C$45,$D$23:$D$45)*$E1128)</f>
        <v>6</v>
      </c>
      <c r="M1128" s="67" cm="1">
        <f ca="1" t="array" ref="M1128">(1+SUMPRODUCT(G1128:H1128,OFFSET($H$49:$I$49,D1128,0)))*(1+OFFSET($J$49,D1128,0))^I1128*(1+OFFSET($K$49,D1128,0))^J1128*(1+OFFSET($L$49,D1128,0))^K1128*(1+OFFSET($M$49,D1128,0))^L1128</f>
        <v>362.049207412946</v>
      </c>
      <c r="N1128" s="67">
        <f ca="1">MAX(MAX($N$62:N1127),OFFSET($C$61,MATCH(M1128*1.07,$M$62:$M$2061,1),0)-C1128)</f>
        <v>49680</v>
      </c>
    </row>
    <row r="1129" spans="2:14">
      <c r="B1129" s="67">
        <v>1068</v>
      </c>
      <c r="C1129" s="67">
        <f t="shared" si="108"/>
        <v>384480</v>
      </c>
      <c r="D1129" s="67">
        <f t="shared" si="103"/>
        <v>5</v>
      </c>
      <c r="E1129" s="67">
        <f ca="1" t="shared" si="104"/>
        <v>1098</v>
      </c>
      <c r="F1129" s="67">
        <f ca="1" t="shared" si="109"/>
        <v>0</v>
      </c>
      <c r="G1129" s="67">
        <f ca="1" t="shared" si="110"/>
        <v>0</v>
      </c>
      <c r="H1129" s="67" cm="1">
        <f ca="1" t="array" ref="H1129">MIN(30-SUM(I1129:L1129),_xlfn.XLOOKUP($D1129&amp;"_"&amp;H$61,$B$23:$B$45&amp;"_"&amp;$C$23:$C$45,$D$23:$D$45)*$E1129,18)</f>
        <v>11.573384083045</v>
      </c>
      <c r="I1129" s="67" cm="1">
        <f ca="1" t="array" ref="I1129">MIN(30-SUM(J1129:L1129),6-L1129,_xlfn.XLOOKUP($D1129&amp;"_"&amp;I$61,$B$23:$B$45&amp;"_"&amp;$C$23:$C$45,$D$23:$D$45)*$E1129)</f>
        <v>0</v>
      </c>
      <c r="J1129" s="67" cm="1">
        <f ca="1" t="array" ref="J1129">MIN(8,_xlfn.XLOOKUP($D1129&amp;"_"&amp;J$61,$B$23:$B$45&amp;"_"&amp;$C$23:$C$45,$D$23:$D$45)*$E1129)</f>
        <v>8</v>
      </c>
      <c r="K1129" s="67" cm="1">
        <f ca="1" t="array" ref="K1129">MIN(18,_xlfn.XLOOKUP($D1129&amp;"_"&amp;K$61,$B$23:$B$45&amp;"_"&amp;$C$23:$C$45,$D$23:$D$45)*$E1129)</f>
        <v>4.42661591695502</v>
      </c>
      <c r="L1129" s="67" cm="1">
        <f ca="1" t="array" ref="L1129">MIN(6,_xlfn.XLOOKUP($D1129&amp;"_"&amp;L$61,$B$23:$B$45&amp;"_"&amp;$C$23:$C$45,$D$23:$D$45)*$E1129)</f>
        <v>6</v>
      </c>
      <c r="M1129" s="67" cm="1">
        <f ca="1" t="array" ref="M1129">(1+SUMPRODUCT(G1129:H1129,OFFSET($H$49:$I$49,D1129,0)))*(1+OFFSET($J$49,D1129,0))^I1129*(1+OFFSET($K$49,D1129,0))^J1129*(1+OFFSET($L$49,D1129,0))^K1129*(1+OFFSET($M$49,D1129,0))^L1129</f>
        <v>362.227310873741</v>
      </c>
      <c r="N1129" s="67">
        <f ca="1">MAX(MAX($N$62:N1128),OFFSET($C$61,MATCH(M1129*1.07,$M$62:$M$2061,1),0)-C1129)</f>
        <v>49680</v>
      </c>
    </row>
    <row r="1130" spans="2:14">
      <c r="B1130" s="67">
        <v>1069</v>
      </c>
      <c r="C1130" s="67">
        <f t="shared" si="108"/>
        <v>384840</v>
      </c>
      <c r="D1130" s="67">
        <f t="shared" si="103"/>
        <v>5</v>
      </c>
      <c r="E1130" s="67">
        <f ca="1" t="shared" si="104"/>
        <v>1099</v>
      </c>
      <c r="F1130" s="67">
        <f ca="1" t="shared" si="109"/>
        <v>0</v>
      </c>
      <c r="G1130" s="67">
        <f ca="1" t="shared" si="110"/>
        <v>0</v>
      </c>
      <c r="H1130" s="67" cm="1">
        <f ca="1" t="array" ref="H1130">MIN(30-SUM(I1130:L1130),_xlfn.XLOOKUP($D1130&amp;"_"&amp;H$61,$B$23:$B$45&amp;"_"&amp;$C$23:$C$45,$D$23:$D$45)*$E1130,18)</f>
        <v>11.569352556709</v>
      </c>
      <c r="I1130" s="67" cm="1">
        <f ca="1" t="array" ref="I1130">MIN(30-SUM(J1130:L1130),6-L1130,_xlfn.XLOOKUP($D1130&amp;"_"&amp;I$61,$B$23:$B$45&amp;"_"&amp;$C$23:$C$45,$D$23:$D$45)*$E1130)</f>
        <v>0</v>
      </c>
      <c r="J1130" s="67" cm="1">
        <f ca="1" t="array" ref="J1130">MIN(8,_xlfn.XLOOKUP($D1130&amp;"_"&amp;J$61,$B$23:$B$45&amp;"_"&amp;$C$23:$C$45,$D$23:$D$45)*$E1130)</f>
        <v>8</v>
      </c>
      <c r="K1130" s="67" cm="1">
        <f ca="1" t="array" ref="K1130">MIN(18,_xlfn.XLOOKUP($D1130&amp;"_"&amp;K$61,$B$23:$B$45&amp;"_"&amp;$C$23:$C$45,$D$23:$D$45)*$E1130)</f>
        <v>4.43064744329105</v>
      </c>
      <c r="L1130" s="67" cm="1">
        <f ca="1" t="array" ref="L1130">MIN(6,_xlfn.XLOOKUP($D1130&amp;"_"&amp;L$61,$B$23:$B$45&amp;"_"&amp;$C$23:$C$45,$D$23:$D$45)*$E1130)</f>
        <v>6</v>
      </c>
      <c r="M1130" s="67" cm="1">
        <f ca="1" t="array" ref="M1130">(1+SUMPRODUCT(G1130:H1130,OFFSET($H$49:$I$49,D1130,0)))*(1+OFFSET($J$49,D1130,0))^I1130*(1+OFFSET($K$49,D1130,0))^J1130*(1+OFFSET($L$49,D1130,0))^K1130*(1+OFFSET($M$49,D1130,0))^L1130</f>
        <v>362.405480504988</v>
      </c>
      <c r="N1130" s="67">
        <f ca="1">MAX(MAX($N$62:N1129),OFFSET($C$61,MATCH(M1130*1.07,$M$62:$M$2061,1),0)-C1130)</f>
        <v>49680</v>
      </c>
    </row>
    <row r="1131" spans="2:14">
      <c r="B1131" s="67">
        <v>1070</v>
      </c>
      <c r="C1131" s="67">
        <f t="shared" si="108"/>
        <v>385200</v>
      </c>
      <c r="D1131" s="67">
        <f t="shared" si="103"/>
        <v>5</v>
      </c>
      <c r="E1131" s="67">
        <f ca="1" t="shared" si="104"/>
        <v>1100</v>
      </c>
      <c r="F1131" s="67">
        <f ca="1" t="shared" si="109"/>
        <v>0</v>
      </c>
      <c r="G1131" s="67">
        <f ca="1" t="shared" si="110"/>
        <v>0</v>
      </c>
      <c r="H1131" s="67" cm="1">
        <f ca="1" t="array" ref="H1131">MIN(30-SUM(I1131:L1131),_xlfn.XLOOKUP($D1131&amp;"_"&amp;H$61,$B$23:$B$45&amp;"_"&amp;$C$23:$C$45,$D$23:$D$45)*$E1131,18)</f>
        <v>11.5653210303729</v>
      </c>
      <c r="I1131" s="67" cm="1">
        <f ca="1" t="array" ref="I1131">MIN(30-SUM(J1131:L1131),6-L1131,_xlfn.XLOOKUP($D1131&amp;"_"&amp;I$61,$B$23:$B$45&amp;"_"&amp;$C$23:$C$45,$D$23:$D$45)*$E1131)</f>
        <v>0</v>
      </c>
      <c r="J1131" s="67" cm="1">
        <f ca="1" t="array" ref="J1131">MIN(8,_xlfn.XLOOKUP($D1131&amp;"_"&amp;J$61,$B$23:$B$45&amp;"_"&amp;$C$23:$C$45,$D$23:$D$45)*$E1131)</f>
        <v>8</v>
      </c>
      <c r="K1131" s="67" cm="1">
        <f ca="1" t="array" ref="K1131">MIN(18,_xlfn.XLOOKUP($D1131&amp;"_"&amp;K$61,$B$23:$B$45&amp;"_"&amp;$C$23:$C$45,$D$23:$D$45)*$E1131)</f>
        <v>4.43467896962707</v>
      </c>
      <c r="L1131" s="67" cm="1">
        <f ca="1" t="array" ref="L1131">MIN(6,_xlfn.XLOOKUP($D1131&amp;"_"&amp;L$61,$B$23:$B$45&amp;"_"&amp;$C$23:$C$45,$D$23:$D$45)*$E1131)</f>
        <v>6</v>
      </c>
      <c r="M1131" s="67" cm="1">
        <f ca="1" t="array" ref="M1131">(1+SUMPRODUCT(G1131:H1131,OFFSET($H$49:$I$49,D1131,0)))*(1+OFFSET($J$49,D1131,0))^I1131*(1+OFFSET($K$49,D1131,0))^J1131*(1+OFFSET($L$49,D1131,0))^K1131*(1+OFFSET($M$49,D1131,0))^L1131</f>
        <v>362.583716307701</v>
      </c>
      <c r="N1131" s="67">
        <f ca="1">MAX(MAX($N$62:N1130),OFFSET($C$61,MATCH(M1131*1.07,$M$62:$M$2061,1),0)-C1131)</f>
        <v>49680</v>
      </c>
    </row>
    <row r="1132" spans="2:14">
      <c r="B1132" s="67">
        <v>1071</v>
      </c>
      <c r="C1132" s="67">
        <f t="shared" si="108"/>
        <v>385560</v>
      </c>
      <c r="D1132" s="67">
        <f t="shared" si="103"/>
        <v>5</v>
      </c>
      <c r="E1132" s="67">
        <f ca="1" t="shared" si="104"/>
        <v>1101</v>
      </c>
      <c r="F1132" s="67">
        <f ca="1" t="shared" si="109"/>
        <v>0</v>
      </c>
      <c r="G1132" s="67">
        <f ca="1" t="shared" si="110"/>
        <v>0</v>
      </c>
      <c r="H1132" s="67" cm="1">
        <f ca="1" t="array" ref="H1132">MIN(30-SUM(I1132:L1132),_xlfn.XLOOKUP($D1132&amp;"_"&amp;H$61,$B$23:$B$45&amp;"_"&amp;$C$23:$C$45,$D$23:$D$45)*$E1132,18)</f>
        <v>11.5612895040369</v>
      </c>
      <c r="I1132" s="67" cm="1">
        <f ca="1" t="array" ref="I1132">MIN(30-SUM(J1132:L1132),6-L1132,_xlfn.XLOOKUP($D1132&amp;"_"&amp;I$61,$B$23:$B$45&amp;"_"&amp;$C$23:$C$45,$D$23:$D$45)*$E1132)</f>
        <v>0</v>
      </c>
      <c r="J1132" s="67" cm="1">
        <f ca="1" t="array" ref="J1132">MIN(8,_xlfn.XLOOKUP($D1132&amp;"_"&amp;J$61,$B$23:$B$45&amp;"_"&amp;$C$23:$C$45,$D$23:$D$45)*$E1132)</f>
        <v>8</v>
      </c>
      <c r="K1132" s="67" cm="1">
        <f ca="1" t="array" ref="K1132">MIN(18,_xlfn.XLOOKUP($D1132&amp;"_"&amp;K$61,$B$23:$B$45&amp;"_"&amp;$C$23:$C$45,$D$23:$D$45)*$E1132)</f>
        <v>4.43871049596309</v>
      </c>
      <c r="L1132" s="67" cm="1">
        <f ca="1" t="array" ref="L1132">MIN(6,_xlfn.XLOOKUP($D1132&amp;"_"&amp;L$61,$B$23:$B$45&amp;"_"&amp;$C$23:$C$45,$D$23:$D$45)*$E1132)</f>
        <v>6</v>
      </c>
      <c r="M1132" s="67" cm="1">
        <f ca="1" t="array" ref="M1132">(1+SUMPRODUCT(G1132:H1132,OFFSET($H$49:$I$49,D1132,0)))*(1+OFFSET($J$49,D1132,0))^I1132*(1+OFFSET($K$49,D1132,0))^J1132*(1+OFFSET($L$49,D1132,0))^K1132*(1+OFFSET($M$49,D1132,0))^L1132</f>
        <v>362.762018282862</v>
      </c>
      <c r="N1132" s="67">
        <f ca="1">MAX(MAX($N$62:N1131),OFFSET($C$61,MATCH(M1132*1.07,$M$62:$M$2061,1),0)-C1132)</f>
        <v>49680</v>
      </c>
    </row>
    <row r="1133" spans="2:14">
      <c r="B1133" s="67">
        <v>1072</v>
      </c>
      <c r="C1133" s="67">
        <f t="shared" si="108"/>
        <v>385920</v>
      </c>
      <c r="D1133" s="67">
        <f t="shared" si="103"/>
        <v>5</v>
      </c>
      <c r="E1133" s="67">
        <f ca="1" t="shared" si="104"/>
        <v>1102</v>
      </c>
      <c r="F1133" s="67">
        <f ca="1" t="shared" si="109"/>
        <v>0</v>
      </c>
      <c r="G1133" s="67">
        <f ca="1" t="shared" si="110"/>
        <v>0</v>
      </c>
      <c r="H1133" s="67" cm="1">
        <f ca="1" t="array" ref="H1133">MIN(30-SUM(I1133:L1133),_xlfn.XLOOKUP($D1133&amp;"_"&amp;H$61,$B$23:$B$45&amp;"_"&amp;$C$23:$C$45,$D$23:$D$45)*$E1133,18)</f>
        <v>11.5572579777009</v>
      </c>
      <c r="I1133" s="67" cm="1">
        <f ca="1" t="array" ref="I1133">MIN(30-SUM(J1133:L1133),6-L1133,_xlfn.XLOOKUP($D1133&amp;"_"&amp;I$61,$B$23:$B$45&amp;"_"&amp;$C$23:$C$45,$D$23:$D$45)*$E1133)</f>
        <v>0</v>
      </c>
      <c r="J1133" s="67" cm="1">
        <f ca="1" t="array" ref="J1133">MIN(8,_xlfn.XLOOKUP($D1133&amp;"_"&amp;J$61,$B$23:$B$45&amp;"_"&amp;$C$23:$C$45,$D$23:$D$45)*$E1133)</f>
        <v>8</v>
      </c>
      <c r="K1133" s="67" cm="1">
        <f ca="1" t="array" ref="K1133">MIN(18,_xlfn.XLOOKUP($D1133&amp;"_"&amp;K$61,$B$23:$B$45&amp;"_"&amp;$C$23:$C$45,$D$23:$D$45)*$E1133)</f>
        <v>4.44274202229912</v>
      </c>
      <c r="L1133" s="67" cm="1">
        <f ca="1" t="array" ref="L1133">MIN(6,_xlfn.XLOOKUP($D1133&amp;"_"&amp;L$61,$B$23:$B$45&amp;"_"&amp;$C$23:$C$45,$D$23:$D$45)*$E1133)</f>
        <v>6</v>
      </c>
      <c r="M1133" s="67" cm="1">
        <f ca="1" t="array" ref="M1133">(1+SUMPRODUCT(G1133:H1133,OFFSET($H$49:$I$49,D1133,0)))*(1+OFFSET($J$49,D1133,0))^I1133*(1+OFFSET($K$49,D1133,0))^J1133*(1+OFFSET($L$49,D1133,0))^K1133*(1+OFFSET($M$49,D1133,0))^L1133</f>
        <v>362.940386431417</v>
      </c>
      <c r="N1133" s="67">
        <f ca="1">MAX(MAX($N$62:N1132),OFFSET($C$61,MATCH(M1133*1.07,$M$62:$M$2061,1),0)-C1133)</f>
        <v>49680</v>
      </c>
    </row>
    <row r="1134" spans="2:14">
      <c r="B1134" s="67">
        <v>1073</v>
      </c>
      <c r="C1134" s="67">
        <f t="shared" si="108"/>
        <v>386280</v>
      </c>
      <c r="D1134" s="67">
        <f t="shared" si="103"/>
        <v>5</v>
      </c>
      <c r="E1134" s="67">
        <f ca="1" t="shared" si="104"/>
        <v>1103</v>
      </c>
      <c r="F1134" s="67">
        <f ca="1" t="shared" si="109"/>
        <v>0</v>
      </c>
      <c r="G1134" s="67">
        <f ca="1" t="shared" si="110"/>
        <v>0</v>
      </c>
      <c r="H1134" s="67" cm="1">
        <f ca="1" t="array" ref="H1134">MIN(30-SUM(I1134:L1134),_xlfn.XLOOKUP($D1134&amp;"_"&amp;H$61,$B$23:$B$45&amp;"_"&amp;$C$23:$C$45,$D$23:$D$45)*$E1134,18)</f>
        <v>11.5532264513649</v>
      </c>
      <c r="I1134" s="67" cm="1">
        <f ca="1" t="array" ref="I1134">MIN(30-SUM(J1134:L1134),6-L1134,_xlfn.XLOOKUP($D1134&amp;"_"&amp;I$61,$B$23:$B$45&amp;"_"&amp;$C$23:$C$45,$D$23:$D$45)*$E1134)</f>
        <v>0</v>
      </c>
      <c r="J1134" s="67" cm="1">
        <f ca="1" t="array" ref="J1134">MIN(8,_xlfn.XLOOKUP($D1134&amp;"_"&amp;J$61,$B$23:$B$45&amp;"_"&amp;$C$23:$C$45,$D$23:$D$45)*$E1134)</f>
        <v>8</v>
      </c>
      <c r="K1134" s="67" cm="1">
        <f ca="1" t="array" ref="K1134">MIN(18,_xlfn.XLOOKUP($D1134&amp;"_"&amp;K$61,$B$23:$B$45&amp;"_"&amp;$C$23:$C$45,$D$23:$D$45)*$E1134)</f>
        <v>4.44677354863514</v>
      </c>
      <c r="L1134" s="67" cm="1">
        <f ca="1" t="array" ref="L1134">MIN(6,_xlfn.XLOOKUP($D1134&amp;"_"&amp;L$61,$B$23:$B$45&amp;"_"&amp;$C$23:$C$45,$D$23:$D$45)*$E1134)</f>
        <v>6</v>
      </c>
      <c r="M1134" s="67" cm="1">
        <f ca="1" t="array" ref="M1134">(1+SUMPRODUCT(G1134:H1134,OFFSET($H$49:$I$49,D1134,0)))*(1+OFFSET($J$49,D1134,0))^I1134*(1+OFFSET($K$49,D1134,0))^J1134*(1+OFFSET($L$49,D1134,0))^K1134*(1+OFFSET($M$49,D1134,0))^L1134</f>
        <v>363.118820754279</v>
      </c>
      <c r="N1134" s="67">
        <f ca="1">MAX(MAX($N$62:N1133),OFFSET($C$61,MATCH(M1134*1.07,$M$62:$M$2061,1),0)-C1134)</f>
        <v>49680</v>
      </c>
    </row>
    <row r="1135" spans="2:14">
      <c r="B1135" s="67">
        <v>1074</v>
      </c>
      <c r="C1135" s="67">
        <f t="shared" si="108"/>
        <v>386640</v>
      </c>
      <c r="D1135" s="67">
        <f t="shared" si="103"/>
        <v>5</v>
      </c>
      <c r="E1135" s="67">
        <f ca="1" t="shared" si="104"/>
        <v>1104</v>
      </c>
      <c r="F1135" s="67">
        <f ca="1" t="shared" si="109"/>
        <v>0</v>
      </c>
      <c r="G1135" s="67">
        <f ca="1" t="shared" si="110"/>
        <v>0</v>
      </c>
      <c r="H1135" s="67" cm="1">
        <f ca="1" t="array" ref="H1135">MIN(30-SUM(I1135:L1135),_xlfn.XLOOKUP($D1135&amp;"_"&amp;H$61,$B$23:$B$45&amp;"_"&amp;$C$23:$C$45,$D$23:$D$45)*$E1135,18)</f>
        <v>11.5491949250288</v>
      </c>
      <c r="I1135" s="67" cm="1">
        <f ca="1" t="array" ref="I1135">MIN(30-SUM(J1135:L1135),6-L1135,_xlfn.XLOOKUP($D1135&amp;"_"&amp;I$61,$B$23:$B$45&amp;"_"&amp;$C$23:$C$45,$D$23:$D$45)*$E1135)</f>
        <v>0</v>
      </c>
      <c r="J1135" s="67" cm="1">
        <f ca="1" t="array" ref="J1135">MIN(8,_xlfn.XLOOKUP($D1135&amp;"_"&amp;J$61,$B$23:$B$45&amp;"_"&amp;$C$23:$C$45,$D$23:$D$45)*$E1135)</f>
        <v>8</v>
      </c>
      <c r="K1135" s="67" cm="1">
        <f ca="1" t="array" ref="K1135">MIN(18,_xlfn.XLOOKUP($D1135&amp;"_"&amp;K$61,$B$23:$B$45&amp;"_"&amp;$C$23:$C$45,$D$23:$D$45)*$E1135)</f>
        <v>4.45080507497117</v>
      </c>
      <c r="L1135" s="67" cm="1">
        <f ca="1" t="array" ref="L1135">MIN(6,_xlfn.XLOOKUP($D1135&amp;"_"&amp;L$61,$B$23:$B$45&amp;"_"&amp;$C$23:$C$45,$D$23:$D$45)*$E1135)</f>
        <v>6</v>
      </c>
      <c r="M1135" s="67" cm="1">
        <f ca="1" t="array" ref="M1135">(1+SUMPRODUCT(G1135:H1135,OFFSET($H$49:$I$49,D1135,0)))*(1+OFFSET($J$49,D1135,0))^I1135*(1+OFFSET($K$49,D1135,0))^J1135*(1+OFFSET($L$49,D1135,0))^K1135*(1+OFFSET($M$49,D1135,0))^L1135</f>
        <v>363.297321252324</v>
      </c>
      <c r="N1135" s="67">
        <f ca="1">MAX(MAX($N$62:N1134),OFFSET($C$61,MATCH(M1135*1.07,$M$62:$M$2061,1),0)-C1135)</f>
        <v>49680</v>
      </c>
    </row>
    <row r="1136" spans="2:14">
      <c r="B1136" s="67">
        <v>1075</v>
      </c>
      <c r="C1136" s="67">
        <f t="shared" si="108"/>
        <v>387000</v>
      </c>
      <c r="D1136" s="67">
        <f t="shared" si="103"/>
        <v>5</v>
      </c>
      <c r="E1136" s="67">
        <f ca="1" t="shared" si="104"/>
        <v>1105</v>
      </c>
      <c r="F1136" s="67">
        <f ca="1" t="shared" si="109"/>
        <v>0</v>
      </c>
      <c r="G1136" s="67">
        <f ca="1" t="shared" si="110"/>
        <v>0</v>
      </c>
      <c r="H1136" s="67" cm="1">
        <f ca="1" t="array" ref="H1136">MIN(30-SUM(I1136:L1136),_xlfn.XLOOKUP($D1136&amp;"_"&amp;H$61,$B$23:$B$45&amp;"_"&amp;$C$23:$C$45,$D$23:$D$45)*$E1136,18)</f>
        <v>11.5451633986928</v>
      </c>
      <c r="I1136" s="67" cm="1">
        <f ca="1" t="array" ref="I1136">MIN(30-SUM(J1136:L1136),6-L1136,_xlfn.XLOOKUP($D1136&amp;"_"&amp;I$61,$B$23:$B$45&amp;"_"&amp;$C$23:$C$45,$D$23:$D$45)*$E1136)</f>
        <v>0</v>
      </c>
      <c r="J1136" s="67" cm="1">
        <f ca="1" t="array" ref="J1136">MIN(8,_xlfn.XLOOKUP($D1136&amp;"_"&amp;J$61,$B$23:$B$45&amp;"_"&amp;$C$23:$C$45,$D$23:$D$45)*$E1136)</f>
        <v>8</v>
      </c>
      <c r="K1136" s="67" cm="1">
        <f ca="1" t="array" ref="K1136">MIN(18,_xlfn.XLOOKUP($D1136&amp;"_"&amp;K$61,$B$23:$B$45&amp;"_"&amp;$C$23:$C$45,$D$23:$D$45)*$E1136)</f>
        <v>4.45483660130719</v>
      </c>
      <c r="L1136" s="67" cm="1">
        <f ca="1" t="array" ref="L1136">MIN(6,_xlfn.XLOOKUP($D1136&amp;"_"&amp;L$61,$B$23:$B$45&amp;"_"&amp;$C$23:$C$45,$D$23:$D$45)*$E1136)</f>
        <v>6</v>
      </c>
      <c r="M1136" s="67" cm="1">
        <f ca="1" t="array" ref="M1136">(1+SUMPRODUCT(G1136:H1136,OFFSET($H$49:$I$49,D1136,0)))*(1+OFFSET($J$49,D1136,0))^I1136*(1+OFFSET($K$49,D1136,0))^J1136*(1+OFFSET($L$49,D1136,0))^K1136*(1+OFFSET($M$49,D1136,0))^L1136</f>
        <v>363.475887926397</v>
      </c>
      <c r="N1136" s="67">
        <f ca="1">MAX(MAX($N$62:N1135),OFFSET($C$61,MATCH(M1136*1.07,$M$62:$M$2061,1),0)-C1136)</f>
        <v>49680</v>
      </c>
    </row>
    <row r="1137" spans="2:14">
      <c r="B1137" s="67">
        <v>1076</v>
      </c>
      <c r="C1137" s="67">
        <f t="shared" si="108"/>
        <v>387360</v>
      </c>
      <c r="D1137" s="67">
        <f t="shared" si="103"/>
        <v>5</v>
      </c>
      <c r="E1137" s="67">
        <f ca="1" t="shared" si="104"/>
        <v>1106</v>
      </c>
      <c r="F1137" s="67">
        <f ca="1" t="shared" si="109"/>
        <v>0</v>
      </c>
      <c r="G1137" s="67">
        <f ca="1" t="shared" si="110"/>
        <v>0</v>
      </c>
      <c r="H1137" s="67" cm="1">
        <f ca="1" t="array" ref="H1137">MIN(30-SUM(I1137:L1137),_xlfn.XLOOKUP($D1137&amp;"_"&amp;H$61,$B$23:$B$45&amp;"_"&amp;$C$23:$C$45,$D$23:$D$45)*$E1137,18)</f>
        <v>11.5411318723568</v>
      </c>
      <c r="I1137" s="67" cm="1">
        <f ca="1" t="array" ref="I1137">MIN(30-SUM(J1137:L1137),6-L1137,_xlfn.XLOOKUP($D1137&amp;"_"&amp;I$61,$B$23:$B$45&amp;"_"&amp;$C$23:$C$45,$D$23:$D$45)*$E1137)</f>
        <v>0</v>
      </c>
      <c r="J1137" s="67" cm="1">
        <f ca="1" t="array" ref="J1137">MIN(8,_xlfn.XLOOKUP($D1137&amp;"_"&amp;J$61,$B$23:$B$45&amp;"_"&amp;$C$23:$C$45,$D$23:$D$45)*$E1137)</f>
        <v>8</v>
      </c>
      <c r="K1137" s="67" cm="1">
        <f ca="1" t="array" ref="K1137">MIN(18,_xlfn.XLOOKUP($D1137&amp;"_"&amp;K$61,$B$23:$B$45&amp;"_"&amp;$C$23:$C$45,$D$23:$D$45)*$E1137)</f>
        <v>4.45886812764322</v>
      </c>
      <c r="L1137" s="67" cm="1">
        <f ca="1" t="array" ref="L1137">MIN(6,_xlfn.XLOOKUP($D1137&amp;"_"&amp;L$61,$B$23:$B$45&amp;"_"&amp;$C$23:$C$45,$D$23:$D$45)*$E1137)</f>
        <v>6</v>
      </c>
      <c r="M1137" s="67" cm="1">
        <f ca="1" t="array" ref="M1137">(1+SUMPRODUCT(G1137:H1137,OFFSET($H$49:$I$49,D1137,0)))*(1+OFFSET($J$49,D1137,0))^I1137*(1+OFFSET($K$49,D1137,0))^J1137*(1+OFFSET($L$49,D1137,0))^K1137*(1+OFFSET($M$49,D1137,0))^L1137</f>
        <v>363.654520777306</v>
      </c>
      <c r="N1137" s="67">
        <f ca="1">MAX(MAX($N$62:N1136),OFFSET($C$61,MATCH(M1137*1.07,$M$62:$M$2061,1),0)-C1137)</f>
        <v>49680</v>
      </c>
    </row>
    <row r="1138" spans="2:14">
      <c r="B1138" s="67">
        <v>1077</v>
      </c>
      <c r="C1138" s="67">
        <f t="shared" si="108"/>
        <v>387720</v>
      </c>
      <c r="D1138" s="67">
        <f t="shared" si="103"/>
        <v>5</v>
      </c>
      <c r="E1138" s="67">
        <f ca="1" t="shared" si="104"/>
        <v>1107</v>
      </c>
      <c r="F1138" s="67">
        <f ca="1" t="shared" si="109"/>
        <v>0</v>
      </c>
      <c r="G1138" s="67">
        <f ca="1" t="shared" si="110"/>
        <v>0</v>
      </c>
      <c r="H1138" s="67" cm="1">
        <f ca="1" t="array" ref="H1138">MIN(30-SUM(I1138:L1138),_xlfn.XLOOKUP($D1138&amp;"_"&amp;H$61,$B$23:$B$45&amp;"_"&amp;$C$23:$C$45,$D$23:$D$45)*$E1138,18)</f>
        <v>11.5371003460208</v>
      </c>
      <c r="I1138" s="67" cm="1">
        <f ca="1" t="array" ref="I1138">MIN(30-SUM(J1138:L1138),6-L1138,_xlfn.XLOOKUP($D1138&amp;"_"&amp;I$61,$B$23:$B$45&amp;"_"&amp;$C$23:$C$45,$D$23:$D$45)*$E1138)</f>
        <v>0</v>
      </c>
      <c r="J1138" s="67" cm="1">
        <f ca="1" t="array" ref="J1138">MIN(8,_xlfn.XLOOKUP($D1138&amp;"_"&amp;J$61,$B$23:$B$45&amp;"_"&amp;$C$23:$C$45,$D$23:$D$45)*$E1138)</f>
        <v>8</v>
      </c>
      <c r="K1138" s="67" cm="1">
        <f ca="1" t="array" ref="K1138">MIN(18,_xlfn.XLOOKUP($D1138&amp;"_"&amp;K$61,$B$23:$B$45&amp;"_"&amp;$C$23:$C$45,$D$23:$D$45)*$E1138)</f>
        <v>4.46289965397924</v>
      </c>
      <c r="L1138" s="67" cm="1">
        <f ca="1" t="array" ref="L1138">MIN(6,_xlfn.XLOOKUP($D1138&amp;"_"&amp;L$61,$B$23:$B$45&amp;"_"&amp;$C$23:$C$45,$D$23:$D$45)*$E1138)</f>
        <v>6</v>
      </c>
      <c r="M1138" s="67" cm="1">
        <f ca="1" t="array" ref="M1138">(1+SUMPRODUCT(G1138:H1138,OFFSET($H$49:$I$49,D1138,0)))*(1+OFFSET($J$49,D1138,0))^I1138*(1+OFFSET($K$49,D1138,0))^J1138*(1+OFFSET($L$49,D1138,0))^K1138*(1+OFFSET($M$49,D1138,0))^L1138</f>
        <v>363.833219805826</v>
      </c>
      <c r="N1138" s="67">
        <f ca="1">MAX(MAX($N$62:N1137),OFFSET($C$61,MATCH(M1138*1.07,$M$62:$M$2061,1),0)-C1138)</f>
        <v>49680</v>
      </c>
    </row>
    <row r="1139" spans="2:14">
      <c r="B1139" s="67">
        <v>1078</v>
      </c>
      <c r="C1139" s="67">
        <f t="shared" si="108"/>
        <v>388080</v>
      </c>
      <c r="D1139" s="67">
        <f t="shared" si="103"/>
        <v>5</v>
      </c>
      <c r="E1139" s="67">
        <f ca="1" t="shared" si="104"/>
        <v>1108</v>
      </c>
      <c r="F1139" s="67">
        <f ca="1" t="shared" si="109"/>
        <v>0</v>
      </c>
      <c r="G1139" s="67">
        <f ca="1" t="shared" si="110"/>
        <v>0</v>
      </c>
      <c r="H1139" s="67" cm="1">
        <f ca="1" t="array" ref="H1139">MIN(30-SUM(I1139:L1139),_xlfn.XLOOKUP($D1139&amp;"_"&amp;H$61,$B$23:$B$45&amp;"_"&amp;$C$23:$C$45,$D$23:$D$45)*$E1139,18)</f>
        <v>11.5330688196847</v>
      </c>
      <c r="I1139" s="67" cm="1">
        <f ca="1" t="array" ref="I1139">MIN(30-SUM(J1139:L1139),6-L1139,_xlfn.XLOOKUP($D1139&amp;"_"&amp;I$61,$B$23:$B$45&amp;"_"&amp;$C$23:$C$45,$D$23:$D$45)*$E1139)</f>
        <v>0</v>
      </c>
      <c r="J1139" s="67" cm="1">
        <f ca="1" t="array" ref="J1139">MIN(8,_xlfn.XLOOKUP($D1139&amp;"_"&amp;J$61,$B$23:$B$45&amp;"_"&amp;$C$23:$C$45,$D$23:$D$45)*$E1139)</f>
        <v>8</v>
      </c>
      <c r="K1139" s="67" cm="1">
        <f ca="1" t="array" ref="K1139">MIN(18,_xlfn.XLOOKUP($D1139&amp;"_"&amp;K$61,$B$23:$B$45&amp;"_"&amp;$C$23:$C$45,$D$23:$D$45)*$E1139)</f>
        <v>4.46693118031527</v>
      </c>
      <c r="L1139" s="67" cm="1">
        <f ca="1" t="array" ref="L1139">MIN(6,_xlfn.XLOOKUP($D1139&amp;"_"&amp;L$61,$B$23:$B$45&amp;"_"&amp;$C$23:$C$45,$D$23:$D$45)*$E1139)</f>
        <v>6</v>
      </c>
      <c r="M1139" s="67" cm="1">
        <f ca="1" t="array" ref="M1139">(1+SUMPRODUCT(G1139:H1139,OFFSET($H$49:$I$49,D1139,0)))*(1+OFFSET($J$49,D1139,0))^I1139*(1+OFFSET($K$49,D1139,0))^J1139*(1+OFFSET($L$49,D1139,0))^K1139*(1+OFFSET($M$49,D1139,0))^L1139</f>
        <v>364.011985012695</v>
      </c>
      <c r="N1139" s="67">
        <f ca="1">MAX(MAX($N$62:N1138),OFFSET($C$61,MATCH(M1139*1.07,$M$62:$M$2061,1),0)-C1139)</f>
        <v>49680</v>
      </c>
    </row>
    <row r="1140" spans="2:14">
      <c r="B1140" s="67">
        <v>1079</v>
      </c>
      <c r="C1140" s="67">
        <f t="shared" si="108"/>
        <v>388440</v>
      </c>
      <c r="D1140" s="67">
        <f t="shared" si="103"/>
        <v>5</v>
      </c>
      <c r="E1140" s="67">
        <f ca="1" t="shared" si="104"/>
        <v>1109</v>
      </c>
      <c r="F1140" s="67">
        <f ca="1" t="shared" si="109"/>
        <v>0</v>
      </c>
      <c r="G1140" s="67">
        <f ca="1" t="shared" si="110"/>
        <v>0</v>
      </c>
      <c r="H1140" s="67" cm="1">
        <f ca="1" t="array" ref="H1140">MIN(30-SUM(I1140:L1140),_xlfn.XLOOKUP($D1140&amp;"_"&amp;H$61,$B$23:$B$45&amp;"_"&amp;$C$23:$C$45,$D$23:$D$45)*$E1140,18)</f>
        <v>11.5290372933487</v>
      </c>
      <c r="I1140" s="67" cm="1">
        <f ca="1" t="array" ref="I1140">MIN(30-SUM(J1140:L1140),6-L1140,_xlfn.XLOOKUP($D1140&amp;"_"&amp;I$61,$B$23:$B$45&amp;"_"&amp;$C$23:$C$45,$D$23:$D$45)*$E1140)</f>
        <v>0</v>
      </c>
      <c r="J1140" s="67" cm="1">
        <f ca="1" t="array" ref="J1140">MIN(8,_xlfn.XLOOKUP($D1140&amp;"_"&amp;J$61,$B$23:$B$45&amp;"_"&amp;$C$23:$C$45,$D$23:$D$45)*$E1140)</f>
        <v>8</v>
      </c>
      <c r="K1140" s="67" cm="1">
        <f ca="1" t="array" ref="K1140">MIN(18,_xlfn.XLOOKUP($D1140&amp;"_"&amp;K$61,$B$23:$B$45&amp;"_"&amp;$C$23:$C$45,$D$23:$D$45)*$E1140)</f>
        <v>4.47096270665129</v>
      </c>
      <c r="L1140" s="67" cm="1">
        <f ca="1" t="array" ref="L1140">MIN(6,_xlfn.XLOOKUP($D1140&amp;"_"&amp;L$61,$B$23:$B$45&amp;"_"&amp;$C$23:$C$45,$D$23:$D$45)*$E1140)</f>
        <v>6</v>
      </c>
      <c r="M1140" s="67" cm="1">
        <f ca="1" t="array" ref="M1140">(1+SUMPRODUCT(G1140:H1140,OFFSET($H$49:$I$49,D1140,0)))*(1+OFFSET($J$49,D1140,0))^I1140*(1+OFFSET($K$49,D1140,0))^J1140*(1+OFFSET($L$49,D1140,0))^K1140*(1+OFFSET($M$49,D1140,0))^L1140</f>
        <v>364.190816398619</v>
      </c>
      <c r="N1140" s="67">
        <f ca="1">MAX(MAX($N$62:N1139),OFFSET($C$61,MATCH(M1140*1.07,$M$62:$M$2061,1),0)-C1140)</f>
        <v>49680</v>
      </c>
    </row>
    <row r="1141" spans="2:14">
      <c r="B1141" s="67">
        <v>1080</v>
      </c>
      <c r="C1141" s="67">
        <f t="shared" si="108"/>
        <v>388800</v>
      </c>
      <c r="D1141" s="67">
        <f t="shared" si="103"/>
        <v>5</v>
      </c>
      <c r="E1141" s="67">
        <f ca="1" t="shared" si="104"/>
        <v>1110</v>
      </c>
      <c r="F1141" s="67">
        <f ca="1" t="shared" si="109"/>
        <v>0</v>
      </c>
      <c r="G1141" s="67">
        <f ca="1" t="shared" si="110"/>
        <v>0</v>
      </c>
      <c r="H1141" s="67" cm="1">
        <f ca="1" t="array" ref="H1141">MIN(30-SUM(I1141:L1141),_xlfn.XLOOKUP($D1141&amp;"_"&amp;H$61,$B$23:$B$45&amp;"_"&amp;$C$23:$C$45,$D$23:$D$45)*$E1141,18)</f>
        <v>11.5250057670127</v>
      </c>
      <c r="I1141" s="67" cm="1">
        <f ca="1" t="array" ref="I1141">MIN(30-SUM(J1141:L1141),6-L1141,_xlfn.XLOOKUP($D1141&amp;"_"&amp;I$61,$B$23:$B$45&amp;"_"&amp;$C$23:$C$45,$D$23:$D$45)*$E1141)</f>
        <v>0</v>
      </c>
      <c r="J1141" s="67" cm="1">
        <f ca="1" t="array" ref="J1141">MIN(8,_xlfn.XLOOKUP($D1141&amp;"_"&amp;J$61,$B$23:$B$45&amp;"_"&amp;$C$23:$C$45,$D$23:$D$45)*$E1141)</f>
        <v>8</v>
      </c>
      <c r="K1141" s="67" cm="1">
        <f ca="1" t="array" ref="K1141">MIN(18,_xlfn.XLOOKUP($D1141&amp;"_"&amp;K$61,$B$23:$B$45&amp;"_"&amp;$C$23:$C$45,$D$23:$D$45)*$E1141)</f>
        <v>4.47499423298732</v>
      </c>
      <c r="L1141" s="67" cm="1">
        <f ca="1" t="array" ref="L1141">MIN(6,_xlfn.XLOOKUP($D1141&amp;"_"&amp;L$61,$B$23:$B$45&amp;"_"&amp;$C$23:$C$45,$D$23:$D$45)*$E1141)</f>
        <v>6</v>
      </c>
      <c r="M1141" s="67" cm="1">
        <f ca="1" t="array" ref="M1141">(1+SUMPRODUCT(G1141:H1141,OFFSET($H$49:$I$49,D1141,0)))*(1+OFFSET($J$49,D1141,0))^I1141*(1+OFFSET($K$49,D1141,0))^J1141*(1+OFFSET($L$49,D1141,0))^K1141*(1+OFFSET($M$49,D1141,0))^L1141</f>
        <v>364.369713964267</v>
      </c>
      <c r="N1141" s="67">
        <f ca="1">MAX(MAX($N$62:N1140),OFFSET($C$61,MATCH(M1141*1.07,$M$62:$M$2061,1),0)-C1141)</f>
        <v>49680</v>
      </c>
    </row>
    <row r="1142" spans="2:14">
      <c r="B1142" s="67">
        <v>1081</v>
      </c>
      <c r="C1142" s="67">
        <f t="shared" si="108"/>
        <v>389160</v>
      </c>
      <c r="D1142" s="67">
        <f t="shared" si="103"/>
        <v>5</v>
      </c>
      <c r="E1142" s="67">
        <f ca="1" t="shared" si="104"/>
        <v>1111</v>
      </c>
      <c r="F1142" s="67">
        <f ca="1" t="shared" si="109"/>
        <v>0</v>
      </c>
      <c r="G1142" s="67">
        <f ca="1" t="shared" si="110"/>
        <v>0</v>
      </c>
      <c r="H1142" s="67" cm="1">
        <f ca="1" t="array" ref="H1142">MIN(30-SUM(I1142:L1142),_xlfn.XLOOKUP($D1142&amp;"_"&amp;H$61,$B$23:$B$45&amp;"_"&amp;$C$23:$C$45,$D$23:$D$45)*$E1142,18)</f>
        <v>11.5209742406767</v>
      </c>
      <c r="I1142" s="67" cm="1">
        <f ca="1" t="array" ref="I1142">MIN(30-SUM(J1142:L1142),6-L1142,_xlfn.XLOOKUP($D1142&amp;"_"&amp;I$61,$B$23:$B$45&amp;"_"&amp;$C$23:$C$45,$D$23:$D$45)*$E1142)</f>
        <v>0</v>
      </c>
      <c r="J1142" s="67" cm="1">
        <f ca="1" t="array" ref="J1142">MIN(8,_xlfn.XLOOKUP($D1142&amp;"_"&amp;J$61,$B$23:$B$45&amp;"_"&amp;$C$23:$C$45,$D$23:$D$45)*$E1142)</f>
        <v>8</v>
      </c>
      <c r="K1142" s="67" cm="1">
        <f ca="1" t="array" ref="K1142">MIN(18,_xlfn.XLOOKUP($D1142&amp;"_"&amp;K$61,$B$23:$B$45&amp;"_"&amp;$C$23:$C$45,$D$23:$D$45)*$E1142)</f>
        <v>4.47902575932334</v>
      </c>
      <c r="L1142" s="67" cm="1">
        <f ca="1" t="array" ref="L1142">MIN(6,_xlfn.XLOOKUP($D1142&amp;"_"&amp;L$61,$B$23:$B$45&amp;"_"&amp;$C$23:$C$45,$D$23:$D$45)*$E1142)</f>
        <v>6</v>
      </c>
      <c r="M1142" s="67" cm="1">
        <f ca="1" t="array" ref="M1142">(1+SUMPRODUCT(G1142:H1142,OFFSET($H$49:$I$49,D1142,0)))*(1+OFFSET($J$49,D1142,0))^I1142*(1+OFFSET($K$49,D1142,0))^J1142*(1+OFFSET($L$49,D1142,0))^K1142*(1+OFFSET($M$49,D1142,0))^L1142</f>
        <v>364.548677710275</v>
      </c>
      <c r="N1142" s="67">
        <f ca="1">MAX(MAX($N$62:N1141),OFFSET($C$61,MATCH(M1142*1.07,$M$62:$M$2061,1),0)-C1142)</f>
        <v>49680</v>
      </c>
    </row>
    <row r="1143" spans="2:14">
      <c r="B1143" s="67">
        <v>1082</v>
      </c>
      <c r="C1143" s="67">
        <f t="shared" si="108"/>
        <v>389520</v>
      </c>
      <c r="D1143" s="67">
        <f t="shared" si="103"/>
        <v>5</v>
      </c>
      <c r="E1143" s="67">
        <f ca="1" t="shared" si="104"/>
        <v>1112</v>
      </c>
      <c r="F1143" s="67">
        <f ca="1" t="shared" si="109"/>
        <v>0</v>
      </c>
      <c r="G1143" s="67">
        <f ca="1" t="shared" si="110"/>
        <v>0</v>
      </c>
      <c r="H1143" s="67" cm="1">
        <f ca="1" t="array" ref="H1143">MIN(30-SUM(I1143:L1143),_xlfn.XLOOKUP($D1143&amp;"_"&amp;H$61,$B$23:$B$45&amp;"_"&amp;$C$23:$C$45,$D$23:$D$45)*$E1143,18)</f>
        <v>11.5169427143406</v>
      </c>
      <c r="I1143" s="67" cm="1">
        <f ca="1" t="array" ref="I1143">MIN(30-SUM(J1143:L1143),6-L1143,_xlfn.XLOOKUP($D1143&amp;"_"&amp;I$61,$B$23:$B$45&amp;"_"&amp;$C$23:$C$45,$D$23:$D$45)*$E1143)</f>
        <v>0</v>
      </c>
      <c r="J1143" s="67" cm="1">
        <f ca="1" t="array" ref="J1143">MIN(8,_xlfn.XLOOKUP($D1143&amp;"_"&amp;J$61,$B$23:$B$45&amp;"_"&amp;$C$23:$C$45,$D$23:$D$45)*$E1143)</f>
        <v>8</v>
      </c>
      <c r="K1143" s="67" cm="1">
        <f ca="1" t="array" ref="K1143">MIN(18,_xlfn.XLOOKUP($D1143&amp;"_"&amp;K$61,$B$23:$B$45&amp;"_"&amp;$C$23:$C$45,$D$23:$D$45)*$E1143)</f>
        <v>4.48305728565937</v>
      </c>
      <c r="L1143" s="67" cm="1">
        <f ca="1" t="array" ref="L1143">MIN(6,_xlfn.XLOOKUP($D1143&amp;"_"&amp;L$61,$B$23:$B$45&amp;"_"&amp;$C$23:$C$45,$D$23:$D$45)*$E1143)</f>
        <v>6</v>
      </c>
      <c r="M1143" s="67" cm="1">
        <f ca="1" t="array" ref="M1143">(1+SUMPRODUCT(G1143:H1143,OFFSET($H$49:$I$49,D1143,0)))*(1+OFFSET($J$49,D1143,0))^I1143*(1+OFFSET($K$49,D1143,0))^J1143*(1+OFFSET($L$49,D1143,0))^K1143*(1+OFFSET($M$49,D1143,0))^L1143</f>
        <v>364.727707637243</v>
      </c>
      <c r="N1143" s="67">
        <f ca="1">MAX(MAX($N$62:N1142),OFFSET($C$61,MATCH(M1143*1.07,$M$62:$M$2061,1),0)-C1143)</f>
        <v>50040</v>
      </c>
    </row>
    <row r="1144" spans="2:14">
      <c r="B1144" s="67">
        <v>1083</v>
      </c>
      <c r="C1144" s="67">
        <f t="shared" si="108"/>
        <v>389880</v>
      </c>
      <c r="D1144" s="67">
        <f t="shared" si="103"/>
        <v>5</v>
      </c>
      <c r="E1144" s="67">
        <f ca="1" t="shared" si="104"/>
        <v>1113</v>
      </c>
      <c r="F1144" s="67">
        <f ca="1" t="shared" si="109"/>
        <v>0</v>
      </c>
      <c r="G1144" s="67">
        <f ca="1" t="shared" si="110"/>
        <v>0</v>
      </c>
      <c r="H1144" s="67" cm="1">
        <f ca="1" t="array" ref="H1144">MIN(30-SUM(I1144:L1144),_xlfn.XLOOKUP($D1144&amp;"_"&amp;H$61,$B$23:$B$45&amp;"_"&amp;$C$23:$C$45,$D$23:$D$45)*$E1144,18)</f>
        <v>11.5129111880046</v>
      </c>
      <c r="I1144" s="67" cm="1">
        <f ca="1" t="array" ref="I1144">MIN(30-SUM(J1144:L1144),6-L1144,_xlfn.XLOOKUP($D1144&amp;"_"&amp;I$61,$B$23:$B$45&amp;"_"&amp;$C$23:$C$45,$D$23:$D$45)*$E1144)</f>
        <v>0</v>
      </c>
      <c r="J1144" s="67" cm="1">
        <f ca="1" t="array" ref="J1144">MIN(8,_xlfn.XLOOKUP($D1144&amp;"_"&amp;J$61,$B$23:$B$45&amp;"_"&amp;$C$23:$C$45,$D$23:$D$45)*$E1144)</f>
        <v>8</v>
      </c>
      <c r="K1144" s="67" cm="1">
        <f ca="1" t="array" ref="K1144">MIN(18,_xlfn.XLOOKUP($D1144&amp;"_"&amp;K$61,$B$23:$B$45&amp;"_"&amp;$C$23:$C$45,$D$23:$D$45)*$E1144)</f>
        <v>4.48708881199539</v>
      </c>
      <c r="L1144" s="67" cm="1">
        <f ca="1" t="array" ref="L1144">MIN(6,_xlfn.XLOOKUP($D1144&amp;"_"&amp;L$61,$B$23:$B$45&amp;"_"&amp;$C$23:$C$45,$D$23:$D$45)*$E1144)</f>
        <v>6</v>
      </c>
      <c r="M1144" s="67" cm="1">
        <f ca="1" t="array" ref="M1144">(1+SUMPRODUCT(G1144:H1144,OFFSET($H$49:$I$49,D1144,0)))*(1+OFFSET($J$49,D1144,0))^I1144*(1+OFFSET($K$49,D1144,0))^J1144*(1+OFFSET($L$49,D1144,0))^K1144*(1+OFFSET($M$49,D1144,0))^L1144</f>
        <v>364.906803745738</v>
      </c>
      <c r="N1144" s="67">
        <f ca="1">MAX(MAX($N$62:N1143),OFFSET($C$61,MATCH(M1144*1.07,$M$62:$M$2061,1),0)-C1144)</f>
        <v>50040</v>
      </c>
    </row>
    <row r="1145" spans="2:14">
      <c r="B1145" s="67">
        <v>1084</v>
      </c>
      <c r="C1145" s="67">
        <f t="shared" si="108"/>
        <v>390240</v>
      </c>
      <c r="D1145" s="67">
        <f t="shared" si="103"/>
        <v>5</v>
      </c>
      <c r="E1145" s="67">
        <f ca="1" t="shared" si="104"/>
        <v>1114</v>
      </c>
      <c r="F1145" s="67">
        <f ca="1" t="shared" si="109"/>
        <v>0</v>
      </c>
      <c r="G1145" s="67">
        <f ca="1" t="shared" si="110"/>
        <v>0</v>
      </c>
      <c r="H1145" s="67" cm="1">
        <f ca="1" t="array" ref="H1145">MIN(30-SUM(I1145:L1145),_xlfn.XLOOKUP($D1145&amp;"_"&amp;H$61,$B$23:$B$45&amp;"_"&amp;$C$23:$C$45,$D$23:$D$45)*$E1145,18)</f>
        <v>11.5088796616686</v>
      </c>
      <c r="I1145" s="67" cm="1">
        <f ca="1" t="array" ref="I1145">MIN(30-SUM(J1145:L1145),6-L1145,_xlfn.XLOOKUP($D1145&amp;"_"&amp;I$61,$B$23:$B$45&amp;"_"&amp;$C$23:$C$45,$D$23:$D$45)*$E1145)</f>
        <v>0</v>
      </c>
      <c r="J1145" s="67" cm="1">
        <f ca="1" t="array" ref="J1145">MIN(8,_xlfn.XLOOKUP($D1145&amp;"_"&amp;J$61,$B$23:$B$45&amp;"_"&amp;$C$23:$C$45,$D$23:$D$45)*$E1145)</f>
        <v>8</v>
      </c>
      <c r="K1145" s="67" cm="1">
        <f ca="1" t="array" ref="K1145">MIN(18,_xlfn.XLOOKUP($D1145&amp;"_"&amp;K$61,$B$23:$B$45&amp;"_"&amp;$C$23:$C$45,$D$23:$D$45)*$E1145)</f>
        <v>4.49112033833141</v>
      </c>
      <c r="L1145" s="67" cm="1">
        <f ca="1" t="array" ref="L1145">MIN(6,_xlfn.XLOOKUP($D1145&amp;"_"&amp;L$61,$B$23:$B$45&amp;"_"&amp;$C$23:$C$45,$D$23:$D$45)*$E1145)</f>
        <v>6</v>
      </c>
      <c r="M1145" s="67" cm="1">
        <f ca="1" t="array" ref="M1145">(1+SUMPRODUCT(G1145:H1145,OFFSET($H$49:$I$49,D1145,0)))*(1+OFFSET($J$49,D1145,0))^I1145*(1+OFFSET($K$49,D1145,0))^J1145*(1+OFFSET($L$49,D1145,0))^K1145*(1+OFFSET($M$49,D1145,0))^L1145</f>
        <v>365.085966036289</v>
      </c>
      <c r="N1145" s="67">
        <f ca="1">MAX(MAX($N$62:N1144),OFFSET($C$61,MATCH(M1145*1.07,$M$62:$M$2061,1),0)-C1145)</f>
        <v>50040</v>
      </c>
    </row>
    <row r="1146" spans="2:14">
      <c r="B1146" s="67">
        <v>1085</v>
      </c>
      <c r="C1146" s="67">
        <f t="shared" si="108"/>
        <v>390600</v>
      </c>
      <c r="D1146" s="67">
        <f t="shared" si="103"/>
        <v>5</v>
      </c>
      <c r="E1146" s="67">
        <f ca="1" t="shared" si="104"/>
        <v>1115</v>
      </c>
      <c r="F1146" s="67">
        <f ca="1" t="shared" si="109"/>
        <v>0</v>
      </c>
      <c r="G1146" s="67">
        <f ca="1" t="shared" si="110"/>
        <v>0</v>
      </c>
      <c r="H1146" s="67" cm="1">
        <f ca="1" t="array" ref="H1146">MIN(30-SUM(I1146:L1146),_xlfn.XLOOKUP($D1146&amp;"_"&amp;H$61,$B$23:$B$45&amp;"_"&amp;$C$23:$C$45,$D$23:$D$45)*$E1146,18)</f>
        <v>11.5048481353326</v>
      </c>
      <c r="I1146" s="67" cm="1">
        <f ca="1" t="array" ref="I1146">MIN(30-SUM(J1146:L1146),6-L1146,_xlfn.XLOOKUP($D1146&amp;"_"&amp;I$61,$B$23:$B$45&amp;"_"&amp;$C$23:$C$45,$D$23:$D$45)*$E1146)</f>
        <v>0</v>
      </c>
      <c r="J1146" s="67" cm="1">
        <f ca="1" t="array" ref="J1146">MIN(8,_xlfn.XLOOKUP($D1146&amp;"_"&amp;J$61,$B$23:$B$45&amp;"_"&amp;$C$23:$C$45,$D$23:$D$45)*$E1146)</f>
        <v>8</v>
      </c>
      <c r="K1146" s="67" cm="1">
        <f ca="1" t="array" ref="K1146">MIN(18,_xlfn.XLOOKUP($D1146&amp;"_"&amp;K$61,$B$23:$B$45&amp;"_"&amp;$C$23:$C$45,$D$23:$D$45)*$E1146)</f>
        <v>4.49515186466744</v>
      </c>
      <c r="L1146" s="67" cm="1">
        <f ca="1" t="array" ref="L1146">MIN(6,_xlfn.XLOOKUP($D1146&amp;"_"&amp;L$61,$B$23:$B$45&amp;"_"&amp;$C$23:$C$45,$D$23:$D$45)*$E1146)</f>
        <v>6</v>
      </c>
      <c r="M1146" s="67" cm="1">
        <f ca="1" t="array" ref="M1146">(1+SUMPRODUCT(G1146:H1146,OFFSET($H$49:$I$49,D1146,0)))*(1+OFFSET($J$49,D1146,0))^I1146*(1+OFFSET($K$49,D1146,0))^J1146*(1+OFFSET($L$49,D1146,0))^K1146*(1+OFFSET($M$49,D1146,0))^L1146</f>
        <v>365.265194509391</v>
      </c>
      <c r="N1146" s="67">
        <f ca="1">MAX(MAX($N$62:N1145),OFFSET($C$61,MATCH(M1146*1.07,$M$62:$M$2061,1),0)-C1146)</f>
        <v>50040</v>
      </c>
    </row>
    <row r="1147" spans="2:14">
      <c r="B1147" s="67">
        <v>1086</v>
      </c>
      <c r="C1147" s="67">
        <f t="shared" si="108"/>
        <v>390960</v>
      </c>
      <c r="D1147" s="67">
        <f t="shared" si="103"/>
        <v>5</v>
      </c>
      <c r="E1147" s="67">
        <f ca="1" t="shared" si="104"/>
        <v>1116</v>
      </c>
      <c r="F1147" s="67">
        <f ca="1" t="shared" si="109"/>
        <v>0</v>
      </c>
      <c r="G1147" s="67">
        <f ca="1" t="shared" si="110"/>
        <v>0</v>
      </c>
      <c r="H1147" s="67" cm="1">
        <f ca="1" t="array" ref="H1147">MIN(30-SUM(I1147:L1147),_xlfn.XLOOKUP($D1147&amp;"_"&amp;H$61,$B$23:$B$45&amp;"_"&amp;$C$23:$C$45,$D$23:$D$45)*$E1147,18)</f>
        <v>11.5008166089965</v>
      </c>
      <c r="I1147" s="67" cm="1">
        <f ca="1" t="array" ref="I1147">MIN(30-SUM(J1147:L1147),6-L1147,_xlfn.XLOOKUP($D1147&amp;"_"&amp;I$61,$B$23:$B$45&amp;"_"&amp;$C$23:$C$45,$D$23:$D$45)*$E1147)</f>
        <v>0</v>
      </c>
      <c r="J1147" s="67" cm="1">
        <f ca="1" t="array" ref="J1147">MIN(8,_xlfn.XLOOKUP($D1147&amp;"_"&amp;J$61,$B$23:$B$45&amp;"_"&amp;$C$23:$C$45,$D$23:$D$45)*$E1147)</f>
        <v>8</v>
      </c>
      <c r="K1147" s="67" cm="1">
        <f ca="1" t="array" ref="K1147">MIN(18,_xlfn.XLOOKUP($D1147&amp;"_"&amp;K$61,$B$23:$B$45&amp;"_"&amp;$C$23:$C$45,$D$23:$D$45)*$E1147)</f>
        <v>4.49918339100346</v>
      </c>
      <c r="L1147" s="67" cm="1">
        <f ca="1" t="array" ref="L1147">MIN(6,_xlfn.XLOOKUP($D1147&amp;"_"&amp;L$61,$B$23:$B$45&amp;"_"&amp;$C$23:$C$45,$D$23:$D$45)*$E1147)</f>
        <v>6</v>
      </c>
      <c r="M1147" s="67" cm="1">
        <f ca="1" t="array" ref="M1147">(1+SUMPRODUCT(G1147:H1147,OFFSET($H$49:$I$49,D1147,0)))*(1+OFFSET($J$49,D1147,0))^I1147*(1+OFFSET($K$49,D1147,0))^J1147*(1+OFFSET($L$49,D1147,0))^K1147*(1+OFFSET($M$49,D1147,0))^L1147</f>
        <v>365.444489165506</v>
      </c>
      <c r="N1147" s="67">
        <f ca="1">MAX(MAX($N$62:N1146),OFFSET($C$61,MATCH(M1147*1.07,$M$62:$M$2061,1),0)-C1147)</f>
        <v>50040</v>
      </c>
    </row>
    <row r="1148" spans="2:14">
      <c r="B1148" s="67">
        <v>1087</v>
      </c>
      <c r="C1148" s="67">
        <f t="shared" si="108"/>
        <v>391320</v>
      </c>
      <c r="D1148" s="67">
        <f t="shared" si="103"/>
        <v>5</v>
      </c>
      <c r="E1148" s="67">
        <f ca="1" t="shared" si="104"/>
        <v>1117</v>
      </c>
      <c r="F1148" s="67">
        <f ca="1" t="shared" si="109"/>
        <v>0</v>
      </c>
      <c r="G1148" s="67">
        <f ca="1" t="shared" si="110"/>
        <v>0</v>
      </c>
      <c r="H1148" s="67" cm="1">
        <f ca="1" t="array" ref="H1148">MIN(30-SUM(I1148:L1148),_xlfn.XLOOKUP($D1148&amp;"_"&amp;H$61,$B$23:$B$45&amp;"_"&amp;$C$23:$C$45,$D$23:$D$45)*$E1148,18)</f>
        <v>11.4967850826605</v>
      </c>
      <c r="I1148" s="67" cm="1">
        <f ca="1" t="array" ref="I1148">MIN(30-SUM(J1148:L1148),6-L1148,_xlfn.XLOOKUP($D1148&amp;"_"&amp;I$61,$B$23:$B$45&amp;"_"&amp;$C$23:$C$45,$D$23:$D$45)*$E1148)</f>
        <v>0</v>
      </c>
      <c r="J1148" s="67" cm="1">
        <f ca="1" t="array" ref="J1148">MIN(8,_xlfn.XLOOKUP($D1148&amp;"_"&amp;J$61,$B$23:$B$45&amp;"_"&amp;$C$23:$C$45,$D$23:$D$45)*$E1148)</f>
        <v>8</v>
      </c>
      <c r="K1148" s="67" cm="1">
        <f ca="1" t="array" ref="K1148">MIN(18,_xlfn.XLOOKUP($D1148&amp;"_"&amp;K$61,$B$23:$B$45&amp;"_"&amp;$C$23:$C$45,$D$23:$D$45)*$E1148)</f>
        <v>4.50321491733949</v>
      </c>
      <c r="L1148" s="67" cm="1">
        <f ca="1" t="array" ref="L1148">MIN(6,_xlfn.XLOOKUP($D1148&amp;"_"&amp;L$61,$B$23:$B$45&amp;"_"&amp;$C$23:$C$45,$D$23:$D$45)*$E1148)</f>
        <v>6</v>
      </c>
      <c r="M1148" s="67" cm="1">
        <f ca="1" t="array" ref="M1148">(1+SUMPRODUCT(G1148:H1148,OFFSET($H$49:$I$49,D1148,0)))*(1+OFFSET($J$49,D1148,0))^I1148*(1+OFFSET($K$49,D1148,0))^J1148*(1+OFFSET($L$49,D1148,0))^K1148*(1+OFFSET($M$49,D1148,0))^L1148</f>
        <v>365.623850005059</v>
      </c>
      <c r="N1148" s="67">
        <f ca="1">MAX(MAX($N$62:N1147),OFFSET($C$61,MATCH(M1148*1.07,$M$62:$M$2061,1),0)-C1148)</f>
        <v>50040</v>
      </c>
    </row>
    <row r="1149" spans="2:14">
      <c r="B1149" s="67">
        <v>1088</v>
      </c>
      <c r="C1149" s="67">
        <f t="shared" si="108"/>
        <v>391680</v>
      </c>
      <c r="D1149" s="67">
        <f t="shared" si="103"/>
        <v>5</v>
      </c>
      <c r="E1149" s="67">
        <f ca="1" t="shared" si="104"/>
        <v>1118</v>
      </c>
      <c r="F1149" s="67">
        <f ca="1" t="shared" si="109"/>
        <v>0</v>
      </c>
      <c r="G1149" s="67">
        <f ca="1" t="shared" si="110"/>
        <v>0</v>
      </c>
      <c r="H1149" s="67" cm="1">
        <f ca="1" t="array" ref="H1149">MIN(30-SUM(I1149:L1149),_xlfn.XLOOKUP($D1149&amp;"_"&amp;H$61,$B$23:$B$45&amp;"_"&amp;$C$23:$C$45,$D$23:$D$45)*$E1149,18)</f>
        <v>11.4927535563245</v>
      </c>
      <c r="I1149" s="67" cm="1">
        <f ca="1" t="array" ref="I1149">MIN(30-SUM(J1149:L1149),6-L1149,_xlfn.XLOOKUP($D1149&amp;"_"&amp;I$61,$B$23:$B$45&amp;"_"&amp;$C$23:$C$45,$D$23:$D$45)*$E1149)</f>
        <v>0</v>
      </c>
      <c r="J1149" s="67" cm="1">
        <f ca="1" t="array" ref="J1149">MIN(8,_xlfn.XLOOKUP($D1149&amp;"_"&amp;J$61,$B$23:$B$45&amp;"_"&amp;$C$23:$C$45,$D$23:$D$45)*$E1149)</f>
        <v>8</v>
      </c>
      <c r="K1149" s="67" cm="1">
        <f ca="1" t="array" ref="K1149">MIN(18,_xlfn.XLOOKUP($D1149&amp;"_"&amp;K$61,$B$23:$B$45&amp;"_"&amp;$C$23:$C$45,$D$23:$D$45)*$E1149)</f>
        <v>4.50724644367551</v>
      </c>
      <c r="L1149" s="67" cm="1">
        <f ca="1" t="array" ref="L1149">MIN(6,_xlfn.XLOOKUP($D1149&amp;"_"&amp;L$61,$B$23:$B$45&amp;"_"&amp;$C$23:$C$45,$D$23:$D$45)*$E1149)</f>
        <v>6</v>
      </c>
      <c r="M1149" s="67" cm="1">
        <f ca="1" t="array" ref="M1149">(1+SUMPRODUCT(G1149:H1149,OFFSET($H$49:$I$49,D1149,0)))*(1+OFFSET($J$49,D1149,0))^I1149*(1+OFFSET($K$49,D1149,0))^J1149*(1+OFFSET($L$49,D1149,0))^K1149*(1+OFFSET($M$49,D1149,0))^L1149</f>
        <v>365.803277028441</v>
      </c>
      <c r="N1149" s="67">
        <f ca="1">MAX(MAX($N$62:N1148),OFFSET($C$61,MATCH(M1149*1.07,$M$62:$M$2061,1),0)-C1149)</f>
        <v>50040</v>
      </c>
    </row>
    <row r="1150" spans="2:14">
      <c r="B1150" s="67">
        <v>1089</v>
      </c>
      <c r="C1150" s="67">
        <f t="shared" si="108"/>
        <v>392040</v>
      </c>
      <c r="D1150" s="67">
        <f t="shared" si="103"/>
        <v>5</v>
      </c>
      <c r="E1150" s="67">
        <f ca="1" t="shared" si="104"/>
        <v>1119</v>
      </c>
      <c r="F1150" s="67">
        <f ca="1" t="shared" si="109"/>
        <v>0</v>
      </c>
      <c r="G1150" s="67">
        <f ca="1" t="shared" si="110"/>
        <v>0</v>
      </c>
      <c r="H1150" s="67" cm="1">
        <f ca="1" t="array" ref="H1150">MIN(30-SUM(I1150:L1150),_xlfn.XLOOKUP($D1150&amp;"_"&amp;H$61,$B$23:$B$45&amp;"_"&amp;$C$23:$C$45,$D$23:$D$45)*$E1150,18)</f>
        <v>11.4887220299885</v>
      </c>
      <c r="I1150" s="67" cm="1">
        <f ca="1" t="array" ref="I1150">MIN(30-SUM(J1150:L1150),6-L1150,_xlfn.XLOOKUP($D1150&amp;"_"&amp;I$61,$B$23:$B$45&amp;"_"&amp;$C$23:$C$45,$D$23:$D$45)*$E1150)</f>
        <v>0</v>
      </c>
      <c r="J1150" s="67" cm="1">
        <f ca="1" t="array" ref="J1150">MIN(8,_xlfn.XLOOKUP($D1150&amp;"_"&amp;J$61,$B$23:$B$45&amp;"_"&amp;$C$23:$C$45,$D$23:$D$45)*$E1150)</f>
        <v>8</v>
      </c>
      <c r="K1150" s="67" cm="1">
        <f ca="1" t="array" ref="K1150">MIN(18,_xlfn.XLOOKUP($D1150&amp;"_"&amp;K$61,$B$23:$B$45&amp;"_"&amp;$C$23:$C$45,$D$23:$D$45)*$E1150)</f>
        <v>4.51127797001154</v>
      </c>
      <c r="L1150" s="67" cm="1">
        <f ca="1" t="array" ref="L1150">MIN(6,_xlfn.XLOOKUP($D1150&amp;"_"&amp;L$61,$B$23:$B$45&amp;"_"&amp;$C$23:$C$45,$D$23:$D$45)*$E1150)</f>
        <v>6</v>
      </c>
      <c r="M1150" s="67" cm="1">
        <f ca="1" t="array" ref="M1150">(1+SUMPRODUCT(G1150:H1150,OFFSET($H$49:$I$49,D1150,0)))*(1+OFFSET($J$49,D1150,0))^I1150*(1+OFFSET($K$49,D1150,0))^J1150*(1+OFFSET($L$49,D1150,0))^K1150*(1+OFFSET($M$49,D1150,0))^L1150</f>
        <v>365.982770236005</v>
      </c>
      <c r="N1150" s="67">
        <f ca="1">MAX(MAX($N$62:N1149),OFFSET($C$61,MATCH(M1150*1.07,$M$62:$M$2061,1),0)-C1150)</f>
        <v>50040</v>
      </c>
    </row>
    <row r="1151" spans="2:14">
      <c r="B1151" s="67">
        <v>1090</v>
      </c>
      <c r="C1151" s="67">
        <f t="shared" si="108"/>
        <v>392400</v>
      </c>
      <c r="D1151" s="67">
        <f t="shared" ref="D1151:D1214" si="111">_xlfn.XLOOKUP("非R",$B$49:$B$54,$C$49:$C$54)</f>
        <v>5</v>
      </c>
      <c r="E1151" s="67">
        <f ca="1" t="shared" ref="E1151:E1214" si="112">INT(C1151/_xlfn.XLOOKUP(D1151,$R$14:$R$21,$S$14:$S$21))+OFFSET($R$49,D1151,0)</f>
        <v>1120</v>
      </c>
      <c r="F1151" s="67">
        <f ca="1" t="shared" si="109"/>
        <v>0</v>
      </c>
      <c r="G1151" s="67">
        <f ca="1" t="shared" si="110"/>
        <v>0</v>
      </c>
      <c r="H1151" s="67" cm="1">
        <f ca="1" t="array" ref="H1151">MIN(30-SUM(I1151:L1151),_xlfn.XLOOKUP($D1151&amp;"_"&amp;H$61,$B$23:$B$45&amp;"_"&amp;$C$23:$C$45,$D$23:$D$45)*$E1151,18)</f>
        <v>11.4846905036524</v>
      </c>
      <c r="I1151" s="67" cm="1">
        <f ca="1" t="array" ref="I1151">MIN(30-SUM(J1151:L1151),6-L1151,_xlfn.XLOOKUP($D1151&amp;"_"&amp;I$61,$B$23:$B$45&amp;"_"&amp;$C$23:$C$45,$D$23:$D$45)*$E1151)</f>
        <v>0</v>
      </c>
      <c r="J1151" s="67" cm="1">
        <f ca="1" t="array" ref="J1151">MIN(8,_xlfn.XLOOKUP($D1151&amp;"_"&amp;J$61,$B$23:$B$45&amp;"_"&amp;$C$23:$C$45,$D$23:$D$45)*$E1151)</f>
        <v>8</v>
      </c>
      <c r="K1151" s="67" cm="1">
        <f ca="1" t="array" ref="K1151">MIN(18,_xlfn.XLOOKUP($D1151&amp;"_"&amp;K$61,$B$23:$B$45&amp;"_"&amp;$C$23:$C$45,$D$23:$D$45)*$E1151)</f>
        <v>4.51530949634756</v>
      </c>
      <c r="L1151" s="67" cm="1">
        <f ca="1" t="array" ref="L1151">MIN(6,_xlfn.XLOOKUP($D1151&amp;"_"&amp;L$61,$B$23:$B$45&amp;"_"&amp;$C$23:$C$45,$D$23:$D$45)*$E1151)</f>
        <v>6</v>
      </c>
      <c r="M1151" s="67" cm="1">
        <f ca="1" t="array" ref="M1151">(1+SUMPRODUCT(G1151:H1151,OFFSET($H$49:$I$49,D1151,0)))*(1+OFFSET($J$49,D1151,0))^I1151*(1+OFFSET($K$49,D1151,0))^J1151*(1+OFFSET($L$49,D1151,0))^K1151*(1+OFFSET($M$49,D1151,0))^L1151</f>
        <v>366.162329628072</v>
      </c>
      <c r="N1151" s="67">
        <f ca="1">MAX(MAX($N$62:N1150),OFFSET($C$61,MATCH(M1151*1.07,$M$62:$M$2061,1),0)-C1151)</f>
        <v>50040</v>
      </c>
    </row>
    <row r="1152" spans="2:14">
      <c r="B1152" s="67">
        <v>1091</v>
      </c>
      <c r="C1152" s="67">
        <f t="shared" si="108"/>
        <v>392760</v>
      </c>
      <c r="D1152" s="67">
        <f t="shared" si="111"/>
        <v>5</v>
      </c>
      <c r="E1152" s="67">
        <f ca="1" t="shared" si="112"/>
        <v>1121</v>
      </c>
      <c r="F1152" s="67">
        <f ca="1" t="shared" si="109"/>
        <v>0</v>
      </c>
      <c r="G1152" s="67">
        <f ca="1" t="shared" si="110"/>
        <v>0</v>
      </c>
      <c r="H1152" s="67" cm="1">
        <f ca="1" t="array" ref="H1152">MIN(30-SUM(I1152:L1152),_xlfn.XLOOKUP($D1152&amp;"_"&amp;H$61,$B$23:$B$45&amp;"_"&amp;$C$23:$C$45,$D$23:$D$45)*$E1152,18)</f>
        <v>11.4806589773164</v>
      </c>
      <c r="I1152" s="67" cm="1">
        <f ca="1" t="array" ref="I1152">MIN(30-SUM(J1152:L1152),6-L1152,_xlfn.XLOOKUP($D1152&amp;"_"&amp;I$61,$B$23:$B$45&amp;"_"&amp;$C$23:$C$45,$D$23:$D$45)*$E1152)</f>
        <v>0</v>
      </c>
      <c r="J1152" s="67" cm="1">
        <f ca="1" t="array" ref="J1152">MIN(8,_xlfn.XLOOKUP($D1152&amp;"_"&amp;J$61,$B$23:$B$45&amp;"_"&amp;$C$23:$C$45,$D$23:$D$45)*$E1152)</f>
        <v>8</v>
      </c>
      <c r="K1152" s="67" cm="1">
        <f ca="1" t="array" ref="K1152">MIN(18,_xlfn.XLOOKUP($D1152&amp;"_"&amp;K$61,$B$23:$B$45&amp;"_"&amp;$C$23:$C$45,$D$23:$D$45)*$E1152)</f>
        <v>4.51934102268359</v>
      </c>
      <c r="L1152" s="67" cm="1">
        <f ca="1" t="array" ref="L1152">MIN(6,_xlfn.XLOOKUP($D1152&amp;"_"&amp;L$61,$B$23:$B$45&amp;"_"&amp;$C$23:$C$45,$D$23:$D$45)*$E1152)</f>
        <v>6</v>
      </c>
      <c r="M1152" s="67" cm="1">
        <f ca="1" t="array" ref="M1152">(1+SUMPRODUCT(G1152:H1152,OFFSET($H$49:$I$49,D1152,0)))*(1+OFFSET($J$49,D1152,0))^I1152*(1+OFFSET($K$49,D1152,0))^J1152*(1+OFFSET($L$49,D1152,0))^K1152*(1+OFFSET($M$49,D1152,0))^L1152</f>
        <v>366.341955204927</v>
      </c>
      <c r="N1152" s="67">
        <f ca="1">MAX(MAX($N$62:N1151),OFFSET($C$61,MATCH(M1152*1.07,$M$62:$M$2061,1),0)-C1152)</f>
        <v>50040</v>
      </c>
    </row>
    <row r="1153" spans="2:14">
      <c r="B1153" s="67">
        <v>1092</v>
      </c>
      <c r="C1153" s="67">
        <f t="shared" si="108"/>
        <v>393120</v>
      </c>
      <c r="D1153" s="67">
        <f t="shared" si="111"/>
        <v>5</v>
      </c>
      <c r="E1153" s="67">
        <f ca="1" t="shared" si="112"/>
        <v>1122</v>
      </c>
      <c r="F1153" s="67">
        <f ca="1" t="shared" si="109"/>
        <v>0</v>
      </c>
      <c r="G1153" s="67">
        <f ca="1" t="shared" si="110"/>
        <v>0</v>
      </c>
      <c r="H1153" s="67" cm="1">
        <f ca="1" t="array" ref="H1153">MIN(30-SUM(I1153:L1153),_xlfn.XLOOKUP($D1153&amp;"_"&amp;H$61,$B$23:$B$45&amp;"_"&amp;$C$23:$C$45,$D$23:$D$45)*$E1153,18)</f>
        <v>11.4766274509804</v>
      </c>
      <c r="I1153" s="67" cm="1">
        <f ca="1" t="array" ref="I1153">MIN(30-SUM(J1153:L1153),6-L1153,_xlfn.XLOOKUP($D1153&amp;"_"&amp;I$61,$B$23:$B$45&amp;"_"&amp;$C$23:$C$45,$D$23:$D$45)*$E1153)</f>
        <v>0</v>
      </c>
      <c r="J1153" s="67" cm="1">
        <f ca="1" t="array" ref="J1153">MIN(8,_xlfn.XLOOKUP($D1153&amp;"_"&amp;J$61,$B$23:$B$45&amp;"_"&amp;$C$23:$C$45,$D$23:$D$45)*$E1153)</f>
        <v>8</v>
      </c>
      <c r="K1153" s="67" cm="1">
        <f ca="1" t="array" ref="K1153">MIN(18,_xlfn.XLOOKUP($D1153&amp;"_"&amp;K$61,$B$23:$B$45&amp;"_"&amp;$C$23:$C$45,$D$23:$D$45)*$E1153)</f>
        <v>4.52337254901961</v>
      </c>
      <c r="L1153" s="67" cm="1">
        <f ca="1" t="array" ref="L1153">MIN(6,_xlfn.XLOOKUP($D1153&amp;"_"&amp;L$61,$B$23:$B$45&amp;"_"&amp;$C$23:$C$45,$D$23:$D$45)*$E1153)</f>
        <v>6</v>
      </c>
      <c r="M1153" s="67" cm="1">
        <f ca="1" t="array" ref="M1153">(1+SUMPRODUCT(G1153:H1153,OFFSET($H$49:$I$49,D1153,0)))*(1+OFFSET($J$49,D1153,0))^I1153*(1+OFFSET($K$49,D1153,0))^J1153*(1+OFFSET($L$49,D1153,0))^K1153*(1+OFFSET($M$49,D1153,0))^L1153</f>
        <v>366.521646966818</v>
      </c>
      <c r="N1153" s="67">
        <f ca="1">MAX(MAX($N$62:N1152),OFFSET($C$61,MATCH(M1153*1.07,$M$62:$M$2061,1),0)-C1153)</f>
        <v>50040</v>
      </c>
    </row>
    <row r="1154" spans="2:14">
      <c r="B1154" s="67">
        <v>1093</v>
      </c>
      <c r="C1154" s="67">
        <f t="shared" si="108"/>
        <v>393480</v>
      </c>
      <c r="D1154" s="67">
        <f t="shared" si="111"/>
        <v>5</v>
      </c>
      <c r="E1154" s="67">
        <f ca="1" t="shared" si="112"/>
        <v>1123</v>
      </c>
      <c r="F1154" s="67">
        <f ca="1" t="shared" si="109"/>
        <v>0</v>
      </c>
      <c r="G1154" s="67">
        <f ca="1" t="shared" si="110"/>
        <v>0</v>
      </c>
      <c r="H1154" s="67" cm="1">
        <f ca="1" t="array" ref="H1154">MIN(30-SUM(I1154:L1154),_xlfn.XLOOKUP($D1154&amp;"_"&amp;H$61,$B$23:$B$45&amp;"_"&amp;$C$23:$C$45,$D$23:$D$45)*$E1154,18)</f>
        <v>11.4725959246444</v>
      </c>
      <c r="I1154" s="67" cm="1">
        <f ca="1" t="array" ref="I1154">MIN(30-SUM(J1154:L1154),6-L1154,_xlfn.XLOOKUP($D1154&amp;"_"&amp;I$61,$B$23:$B$45&amp;"_"&amp;$C$23:$C$45,$D$23:$D$45)*$E1154)</f>
        <v>0</v>
      </c>
      <c r="J1154" s="67" cm="1">
        <f ca="1" t="array" ref="J1154">MIN(8,_xlfn.XLOOKUP($D1154&amp;"_"&amp;J$61,$B$23:$B$45&amp;"_"&amp;$C$23:$C$45,$D$23:$D$45)*$E1154)</f>
        <v>8</v>
      </c>
      <c r="K1154" s="67" cm="1">
        <f ca="1" t="array" ref="K1154">MIN(18,_xlfn.XLOOKUP($D1154&amp;"_"&amp;K$61,$B$23:$B$45&amp;"_"&amp;$C$23:$C$45,$D$23:$D$45)*$E1154)</f>
        <v>4.52740407535564</v>
      </c>
      <c r="L1154" s="67" cm="1">
        <f ca="1" t="array" ref="L1154">MIN(6,_xlfn.XLOOKUP($D1154&amp;"_"&amp;L$61,$B$23:$B$45&amp;"_"&amp;$C$23:$C$45,$D$23:$D$45)*$E1154)</f>
        <v>6</v>
      </c>
      <c r="M1154" s="67" cm="1">
        <f ca="1" t="array" ref="M1154">(1+SUMPRODUCT(G1154:H1154,OFFSET($H$49:$I$49,D1154,0)))*(1+OFFSET($J$49,D1154,0))^I1154*(1+OFFSET($K$49,D1154,0))^J1154*(1+OFFSET($L$49,D1154,0))^K1154*(1+OFFSET($M$49,D1154,0))^L1154</f>
        <v>366.70140491396</v>
      </c>
      <c r="N1154" s="67">
        <f ca="1">MAX(MAX($N$62:N1153),OFFSET($C$61,MATCH(M1154*1.07,$M$62:$M$2061,1),0)-C1154)</f>
        <v>50040</v>
      </c>
    </row>
    <row r="1155" spans="2:14">
      <c r="B1155" s="67">
        <v>1094</v>
      </c>
      <c r="C1155" s="67">
        <f t="shared" si="108"/>
        <v>393840</v>
      </c>
      <c r="D1155" s="67">
        <f t="shared" si="111"/>
        <v>5</v>
      </c>
      <c r="E1155" s="67">
        <f ca="1" t="shared" si="112"/>
        <v>1124</v>
      </c>
      <c r="F1155" s="67">
        <f ca="1" t="shared" si="109"/>
        <v>0</v>
      </c>
      <c r="G1155" s="67">
        <f ca="1" t="shared" si="110"/>
        <v>0</v>
      </c>
      <c r="H1155" s="67" cm="1">
        <f ca="1" t="array" ref="H1155">MIN(30-SUM(I1155:L1155),_xlfn.XLOOKUP($D1155&amp;"_"&amp;H$61,$B$23:$B$45&amp;"_"&amp;$C$23:$C$45,$D$23:$D$45)*$E1155,18)</f>
        <v>11.4685643983083</v>
      </c>
      <c r="I1155" s="67" cm="1">
        <f ca="1" t="array" ref="I1155">MIN(30-SUM(J1155:L1155),6-L1155,_xlfn.XLOOKUP($D1155&amp;"_"&amp;I$61,$B$23:$B$45&amp;"_"&amp;$C$23:$C$45,$D$23:$D$45)*$E1155)</f>
        <v>0</v>
      </c>
      <c r="J1155" s="67" cm="1">
        <f ca="1" t="array" ref="J1155">MIN(8,_xlfn.XLOOKUP($D1155&amp;"_"&amp;J$61,$B$23:$B$45&amp;"_"&amp;$C$23:$C$45,$D$23:$D$45)*$E1155)</f>
        <v>8</v>
      </c>
      <c r="K1155" s="67" cm="1">
        <f ca="1" t="array" ref="K1155">MIN(18,_xlfn.XLOOKUP($D1155&amp;"_"&amp;K$61,$B$23:$B$45&amp;"_"&amp;$C$23:$C$45,$D$23:$D$45)*$E1155)</f>
        <v>4.53143560169166</v>
      </c>
      <c r="L1155" s="67" cm="1">
        <f ca="1" t="array" ref="L1155">MIN(6,_xlfn.XLOOKUP($D1155&amp;"_"&amp;L$61,$B$23:$B$45&amp;"_"&amp;$C$23:$C$45,$D$23:$D$45)*$E1155)</f>
        <v>6</v>
      </c>
      <c r="M1155" s="67" cm="1">
        <f ca="1" t="array" ref="M1155">(1+SUMPRODUCT(G1155:H1155,OFFSET($H$49:$I$49,D1155,0)))*(1+OFFSET($J$49,D1155,0))^I1155*(1+OFFSET($K$49,D1155,0))^J1155*(1+OFFSET($L$49,D1155,0))^K1155*(1+OFFSET($M$49,D1155,0))^L1155</f>
        <v>366.88122904653</v>
      </c>
      <c r="N1155" s="67">
        <f ca="1">MAX(MAX($N$62:N1154),OFFSET($C$61,MATCH(M1155*1.07,$M$62:$M$2061,1),0)-C1155)</f>
        <v>50040</v>
      </c>
    </row>
    <row r="1156" spans="2:14">
      <c r="B1156" s="67">
        <v>1095</v>
      </c>
      <c r="C1156" s="67">
        <f t="shared" si="108"/>
        <v>394200</v>
      </c>
      <c r="D1156" s="67">
        <f t="shared" si="111"/>
        <v>5</v>
      </c>
      <c r="E1156" s="67">
        <f ca="1" t="shared" si="112"/>
        <v>1125</v>
      </c>
      <c r="F1156" s="67">
        <f ca="1" t="shared" si="109"/>
        <v>0</v>
      </c>
      <c r="G1156" s="67">
        <f ca="1" t="shared" si="110"/>
        <v>0</v>
      </c>
      <c r="H1156" s="67" cm="1">
        <f ca="1" t="array" ref="H1156">MIN(30-SUM(I1156:L1156),_xlfn.XLOOKUP($D1156&amp;"_"&amp;H$61,$B$23:$B$45&amp;"_"&amp;$C$23:$C$45,$D$23:$D$45)*$E1156,18)</f>
        <v>11.4645328719723</v>
      </c>
      <c r="I1156" s="67" cm="1">
        <f ca="1" t="array" ref="I1156">MIN(30-SUM(J1156:L1156),6-L1156,_xlfn.XLOOKUP($D1156&amp;"_"&amp;I$61,$B$23:$B$45&amp;"_"&amp;$C$23:$C$45,$D$23:$D$45)*$E1156)</f>
        <v>0</v>
      </c>
      <c r="J1156" s="67" cm="1">
        <f ca="1" t="array" ref="J1156">MIN(8,_xlfn.XLOOKUP($D1156&amp;"_"&amp;J$61,$B$23:$B$45&amp;"_"&amp;$C$23:$C$45,$D$23:$D$45)*$E1156)</f>
        <v>8</v>
      </c>
      <c r="K1156" s="67" cm="1">
        <f ca="1" t="array" ref="K1156">MIN(18,_xlfn.XLOOKUP($D1156&amp;"_"&amp;K$61,$B$23:$B$45&amp;"_"&amp;$C$23:$C$45,$D$23:$D$45)*$E1156)</f>
        <v>4.53546712802769</v>
      </c>
      <c r="L1156" s="67" cm="1">
        <f ca="1" t="array" ref="L1156">MIN(6,_xlfn.XLOOKUP($D1156&amp;"_"&amp;L$61,$B$23:$B$45&amp;"_"&amp;$C$23:$C$45,$D$23:$D$45)*$E1156)</f>
        <v>6</v>
      </c>
      <c r="M1156" s="67" cm="1">
        <f ca="1" t="array" ref="M1156">(1+SUMPRODUCT(G1156:H1156,OFFSET($H$49:$I$49,D1156,0)))*(1+OFFSET($J$49,D1156,0))^I1156*(1+OFFSET($K$49,D1156,0))^J1156*(1+OFFSET($L$49,D1156,0))^K1156*(1+OFFSET($M$49,D1156,0))^L1156</f>
        <v>367.061119364671</v>
      </c>
      <c r="N1156" s="67">
        <f ca="1">MAX(MAX($N$62:N1155),OFFSET($C$61,MATCH(M1156*1.07,$M$62:$M$2061,1),0)-C1156)</f>
        <v>50040</v>
      </c>
    </row>
    <row r="1157" spans="2:14">
      <c r="B1157" s="67">
        <v>1096</v>
      </c>
      <c r="C1157" s="67">
        <f t="shared" si="108"/>
        <v>394560</v>
      </c>
      <c r="D1157" s="67">
        <f t="shared" si="111"/>
        <v>5</v>
      </c>
      <c r="E1157" s="67">
        <f ca="1" t="shared" si="112"/>
        <v>1126</v>
      </c>
      <c r="F1157" s="67">
        <f ca="1" t="shared" si="109"/>
        <v>0</v>
      </c>
      <c r="G1157" s="67">
        <f ca="1" t="shared" si="110"/>
        <v>0</v>
      </c>
      <c r="H1157" s="67" cm="1">
        <f ca="1" t="array" ref="H1157">MIN(30-SUM(I1157:L1157),_xlfn.XLOOKUP($D1157&amp;"_"&amp;H$61,$B$23:$B$45&amp;"_"&amp;$C$23:$C$45,$D$23:$D$45)*$E1157,18)</f>
        <v>11.4605013456363</v>
      </c>
      <c r="I1157" s="67" cm="1">
        <f ca="1" t="array" ref="I1157">MIN(30-SUM(J1157:L1157),6-L1157,_xlfn.XLOOKUP($D1157&amp;"_"&amp;I$61,$B$23:$B$45&amp;"_"&amp;$C$23:$C$45,$D$23:$D$45)*$E1157)</f>
        <v>0</v>
      </c>
      <c r="J1157" s="67" cm="1">
        <f ca="1" t="array" ref="J1157">MIN(8,_xlfn.XLOOKUP($D1157&amp;"_"&amp;J$61,$B$23:$B$45&amp;"_"&amp;$C$23:$C$45,$D$23:$D$45)*$E1157)</f>
        <v>8</v>
      </c>
      <c r="K1157" s="67" cm="1">
        <f ca="1" t="array" ref="K1157">MIN(18,_xlfn.XLOOKUP($D1157&amp;"_"&amp;K$61,$B$23:$B$45&amp;"_"&amp;$C$23:$C$45,$D$23:$D$45)*$E1157)</f>
        <v>4.53949865436371</v>
      </c>
      <c r="L1157" s="67" cm="1">
        <f ca="1" t="array" ref="L1157">MIN(6,_xlfn.XLOOKUP($D1157&amp;"_"&amp;L$61,$B$23:$B$45&amp;"_"&amp;$C$23:$C$45,$D$23:$D$45)*$E1157)</f>
        <v>6</v>
      </c>
      <c r="M1157" s="67" cm="1">
        <f ca="1" t="array" ref="M1157">(1+SUMPRODUCT(G1157:H1157,OFFSET($H$49:$I$49,D1157,0)))*(1+OFFSET($J$49,D1157,0))^I1157*(1+OFFSET($K$49,D1157,0))^J1157*(1+OFFSET($L$49,D1157,0))^K1157*(1+OFFSET($M$49,D1157,0))^L1157</f>
        <v>367.24107586849</v>
      </c>
      <c r="N1157" s="67">
        <f ca="1">MAX(MAX($N$62:N1156),OFFSET($C$61,MATCH(M1157*1.07,$M$62:$M$2061,1),0)-C1157)</f>
        <v>50040</v>
      </c>
    </row>
    <row r="1158" spans="2:14">
      <c r="B1158" s="67">
        <v>1097</v>
      </c>
      <c r="C1158" s="67">
        <f t="shared" ref="C1158:C1189" si="113">C1157+360</f>
        <v>394920</v>
      </c>
      <c r="D1158" s="67">
        <f t="shared" si="111"/>
        <v>5</v>
      </c>
      <c r="E1158" s="67">
        <f ca="1" t="shared" si="112"/>
        <v>1127</v>
      </c>
      <c r="F1158" s="67">
        <f ca="1" t="shared" ref="F1158:F1189" si="114">30-SUM(G1158:L1158)</f>
        <v>0</v>
      </c>
      <c r="G1158" s="67">
        <f ca="1" t="shared" ref="G1158:G1189" si="115">30-SUM(H1158:L1158)</f>
        <v>0</v>
      </c>
      <c r="H1158" s="67" cm="1">
        <f ca="1" t="array" ref="H1158">MIN(30-SUM(I1158:L1158),_xlfn.XLOOKUP($D1158&amp;"_"&amp;H$61,$B$23:$B$45&amp;"_"&amp;$C$23:$C$45,$D$23:$D$45)*$E1158,18)</f>
        <v>11.4564698193003</v>
      </c>
      <c r="I1158" s="67" cm="1">
        <f ca="1" t="array" ref="I1158">MIN(30-SUM(J1158:L1158),6-L1158,_xlfn.XLOOKUP($D1158&amp;"_"&amp;I$61,$B$23:$B$45&amp;"_"&amp;$C$23:$C$45,$D$23:$D$45)*$E1158)</f>
        <v>0</v>
      </c>
      <c r="J1158" s="67" cm="1">
        <f ca="1" t="array" ref="J1158">MIN(8,_xlfn.XLOOKUP($D1158&amp;"_"&amp;J$61,$B$23:$B$45&amp;"_"&amp;$C$23:$C$45,$D$23:$D$45)*$E1158)</f>
        <v>8</v>
      </c>
      <c r="K1158" s="67" cm="1">
        <f ca="1" t="array" ref="K1158">MIN(18,_xlfn.XLOOKUP($D1158&amp;"_"&amp;K$61,$B$23:$B$45&amp;"_"&amp;$C$23:$C$45,$D$23:$D$45)*$E1158)</f>
        <v>4.54353018069973</v>
      </c>
      <c r="L1158" s="67" cm="1">
        <f ca="1" t="array" ref="L1158">MIN(6,_xlfn.XLOOKUP($D1158&amp;"_"&amp;L$61,$B$23:$B$45&amp;"_"&amp;$C$23:$C$45,$D$23:$D$45)*$E1158)</f>
        <v>6</v>
      </c>
      <c r="M1158" s="67" cm="1">
        <f ca="1" t="array" ref="M1158">(1+SUMPRODUCT(G1158:H1158,OFFSET($H$49:$I$49,D1158,0)))*(1+OFFSET($J$49,D1158,0))^I1158*(1+OFFSET($K$49,D1158,0))^J1158*(1+OFFSET($L$49,D1158,0))^K1158*(1+OFFSET($M$49,D1158,0))^L1158</f>
        <v>367.421098558059</v>
      </c>
      <c r="N1158" s="67">
        <f ca="1">MAX(MAX($N$62:N1157),OFFSET($C$61,MATCH(M1158*1.07,$M$62:$M$2061,1),0)-C1158)</f>
        <v>50040</v>
      </c>
    </row>
    <row r="1159" spans="2:14">
      <c r="B1159" s="67">
        <v>1098</v>
      </c>
      <c r="C1159" s="67">
        <f t="shared" si="113"/>
        <v>395280</v>
      </c>
      <c r="D1159" s="67">
        <f t="shared" si="111"/>
        <v>5</v>
      </c>
      <c r="E1159" s="67">
        <f ca="1" t="shared" si="112"/>
        <v>1128</v>
      </c>
      <c r="F1159" s="67">
        <f ca="1" t="shared" si="114"/>
        <v>0</v>
      </c>
      <c r="G1159" s="67">
        <f ca="1" t="shared" si="115"/>
        <v>0</v>
      </c>
      <c r="H1159" s="67" cm="1">
        <f ca="1" t="array" ref="H1159">MIN(30-SUM(I1159:L1159),_xlfn.XLOOKUP($D1159&amp;"_"&amp;H$61,$B$23:$B$45&amp;"_"&amp;$C$23:$C$45,$D$23:$D$45)*$E1159,18)</f>
        <v>11.4524382929642</v>
      </c>
      <c r="I1159" s="67" cm="1">
        <f ca="1" t="array" ref="I1159">MIN(30-SUM(J1159:L1159),6-L1159,_xlfn.XLOOKUP($D1159&amp;"_"&amp;I$61,$B$23:$B$45&amp;"_"&amp;$C$23:$C$45,$D$23:$D$45)*$E1159)</f>
        <v>0</v>
      </c>
      <c r="J1159" s="67" cm="1">
        <f ca="1" t="array" ref="J1159">MIN(8,_xlfn.XLOOKUP($D1159&amp;"_"&amp;J$61,$B$23:$B$45&amp;"_"&amp;$C$23:$C$45,$D$23:$D$45)*$E1159)</f>
        <v>8</v>
      </c>
      <c r="K1159" s="67" cm="1">
        <f ca="1" t="array" ref="K1159">MIN(18,_xlfn.XLOOKUP($D1159&amp;"_"&amp;K$61,$B$23:$B$45&amp;"_"&amp;$C$23:$C$45,$D$23:$D$45)*$E1159)</f>
        <v>4.54756170703576</v>
      </c>
      <c r="L1159" s="67" cm="1">
        <f ca="1" t="array" ref="L1159">MIN(6,_xlfn.XLOOKUP($D1159&amp;"_"&amp;L$61,$B$23:$B$45&amp;"_"&amp;$C$23:$C$45,$D$23:$D$45)*$E1159)</f>
        <v>6</v>
      </c>
      <c r="M1159" s="67" cm="1">
        <f ca="1" t="array" ref="M1159">(1+SUMPRODUCT(G1159:H1159,OFFSET($H$49:$I$49,D1159,0)))*(1+OFFSET($J$49,D1159,0))^I1159*(1+OFFSET($K$49,D1159,0))^J1159*(1+OFFSET($L$49,D1159,0))^K1159*(1+OFFSET($M$49,D1159,0))^L1159</f>
        <v>367.601187433413</v>
      </c>
      <c r="N1159" s="67">
        <f ca="1">MAX(MAX($N$62:N1158),OFFSET($C$61,MATCH(M1159*1.07,$M$62:$M$2061,1),0)-C1159)</f>
        <v>50040</v>
      </c>
    </row>
    <row r="1160" spans="2:14">
      <c r="B1160" s="67">
        <v>1099</v>
      </c>
      <c r="C1160" s="67">
        <f t="shared" si="113"/>
        <v>395640</v>
      </c>
      <c r="D1160" s="67">
        <f t="shared" si="111"/>
        <v>5</v>
      </c>
      <c r="E1160" s="67">
        <f ca="1" t="shared" si="112"/>
        <v>1129</v>
      </c>
      <c r="F1160" s="67">
        <f ca="1" t="shared" si="114"/>
        <v>0</v>
      </c>
      <c r="G1160" s="67">
        <f ca="1" t="shared" si="115"/>
        <v>0</v>
      </c>
      <c r="H1160" s="67" cm="1">
        <f ca="1" t="array" ref="H1160">MIN(30-SUM(I1160:L1160),_xlfn.XLOOKUP($D1160&amp;"_"&amp;H$61,$B$23:$B$45&amp;"_"&amp;$C$23:$C$45,$D$23:$D$45)*$E1160,18)</f>
        <v>11.4484067666282</v>
      </c>
      <c r="I1160" s="67" cm="1">
        <f ca="1" t="array" ref="I1160">MIN(30-SUM(J1160:L1160),6-L1160,_xlfn.XLOOKUP($D1160&amp;"_"&amp;I$61,$B$23:$B$45&amp;"_"&amp;$C$23:$C$45,$D$23:$D$45)*$E1160)</f>
        <v>0</v>
      </c>
      <c r="J1160" s="67" cm="1">
        <f ca="1" t="array" ref="J1160">MIN(8,_xlfn.XLOOKUP($D1160&amp;"_"&amp;J$61,$B$23:$B$45&amp;"_"&amp;$C$23:$C$45,$D$23:$D$45)*$E1160)</f>
        <v>8</v>
      </c>
      <c r="K1160" s="67" cm="1">
        <f ca="1" t="array" ref="K1160">MIN(18,_xlfn.XLOOKUP($D1160&amp;"_"&amp;K$61,$B$23:$B$45&amp;"_"&amp;$C$23:$C$45,$D$23:$D$45)*$E1160)</f>
        <v>4.55159323337178</v>
      </c>
      <c r="L1160" s="67" cm="1">
        <f ca="1" t="array" ref="L1160">MIN(6,_xlfn.XLOOKUP($D1160&amp;"_"&amp;L$61,$B$23:$B$45&amp;"_"&amp;$C$23:$C$45,$D$23:$D$45)*$E1160)</f>
        <v>6</v>
      </c>
      <c r="M1160" s="67" cm="1">
        <f ca="1" t="array" ref="M1160">(1+SUMPRODUCT(G1160:H1160,OFFSET($H$49:$I$49,D1160,0)))*(1+OFFSET($J$49,D1160,0))^I1160*(1+OFFSET($K$49,D1160,0))^J1160*(1+OFFSET($L$49,D1160,0))^K1160*(1+OFFSET($M$49,D1160,0))^L1160</f>
        <v>367.781342494553</v>
      </c>
      <c r="N1160" s="67">
        <f ca="1">MAX(MAX($N$62:N1159),OFFSET($C$61,MATCH(M1160*1.07,$M$62:$M$2061,1),0)-C1160)</f>
        <v>50040</v>
      </c>
    </row>
    <row r="1161" spans="2:14">
      <c r="B1161" s="67">
        <v>1100</v>
      </c>
      <c r="C1161" s="67">
        <f t="shared" si="113"/>
        <v>396000</v>
      </c>
      <c r="D1161" s="67">
        <f t="shared" si="111"/>
        <v>5</v>
      </c>
      <c r="E1161" s="67">
        <f ca="1" t="shared" si="112"/>
        <v>1130</v>
      </c>
      <c r="F1161" s="67">
        <f ca="1" t="shared" si="114"/>
        <v>0</v>
      </c>
      <c r="G1161" s="67">
        <f ca="1" t="shared" si="115"/>
        <v>0</v>
      </c>
      <c r="H1161" s="67" cm="1">
        <f ca="1" t="array" ref="H1161">MIN(30-SUM(I1161:L1161),_xlfn.XLOOKUP($D1161&amp;"_"&amp;H$61,$B$23:$B$45&amp;"_"&amp;$C$23:$C$45,$D$23:$D$45)*$E1161,18)</f>
        <v>11.4443752402922</v>
      </c>
      <c r="I1161" s="67" cm="1">
        <f ca="1" t="array" ref="I1161">MIN(30-SUM(J1161:L1161),6-L1161,_xlfn.XLOOKUP($D1161&amp;"_"&amp;I$61,$B$23:$B$45&amp;"_"&amp;$C$23:$C$45,$D$23:$D$45)*$E1161)</f>
        <v>0</v>
      </c>
      <c r="J1161" s="67" cm="1">
        <f ca="1" t="array" ref="J1161">MIN(8,_xlfn.XLOOKUP($D1161&amp;"_"&amp;J$61,$B$23:$B$45&amp;"_"&amp;$C$23:$C$45,$D$23:$D$45)*$E1161)</f>
        <v>8</v>
      </c>
      <c r="K1161" s="67" cm="1">
        <f ca="1" t="array" ref="K1161">MIN(18,_xlfn.XLOOKUP($D1161&amp;"_"&amp;K$61,$B$23:$B$45&amp;"_"&amp;$C$23:$C$45,$D$23:$D$45)*$E1161)</f>
        <v>4.55562475970781</v>
      </c>
      <c r="L1161" s="67" cm="1">
        <f ca="1" t="array" ref="L1161">MIN(6,_xlfn.XLOOKUP($D1161&amp;"_"&amp;L$61,$B$23:$B$45&amp;"_"&amp;$C$23:$C$45,$D$23:$D$45)*$E1161)</f>
        <v>6</v>
      </c>
      <c r="M1161" s="67" cm="1">
        <f ca="1" t="array" ref="M1161">(1+SUMPRODUCT(G1161:H1161,OFFSET($H$49:$I$49,D1161,0)))*(1+OFFSET($J$49,D1161,0))^I1161*(1+OFFSET($K$49,D1161,0))^J1161*(1+OFFSET($L$49,D1161,0))^K1161*(1+OFFSET($M$49,D1161,0))^L1161</f>
        <v>367.961563741443</v>
      </c>
      <c r="N1161" s="67">
        <f ca="1">MAX(MAX($N$62:N1160),OFFSET($C$61,MATCH(M1161*1.07,$M$62:$M$2061,1),0)-C1161)</f>
        <v>50040</v>
      </c>
    </row>
    <row r="1162" spans="2:14">
      <c r="B1162" s="67">
        <v>1101</v>
      </c>
      <c r="C1162" s="67">
        <f t="shared" si="113"/>
        <v>396360</v>
      </c>
      <c r="D1162" s="67">
        <f t="shared" si="111"/>
        <v>5</v>
      </c>
      <c r="E1162" s="67">
        <f ca="1" t="shared" si="112"/>
        <v>1131</v>
      </c>
      <c r="F1162" s="67">
        <f ca="1" t="shared" si="114"/>
        <v>0</v>
      </c>
      <c r="G1162" s="67">
        <f ca="1" t="shared" si="115"/>
        <v>0</v>
      </c>
      <c r="H1162" s="67" cm="1">
        <f ca="1" t="array" ref="H1162">MIN(30-SUM(I1162:L1162),_xlfn.XLOOKUP($D1162&amp;"_"&amp;H$61,$B$23:$B$45&amp;"_"&amp;$C$23:$C$45,$D$23:$D$45)*$E1162,18)</f>
        <v>11.4403437139562</v>
      </c>
      <c r="I1162" s="67" cm="1">
        <f ca="1" t="array" ref="I1162">MIN(30-SUM(J1162:L1162),6-L1162,_xlfn.XLOOKUP($D1162&amp;"_"&amp;I$61,$B$23:$B$45&amp;"_"&amp;$C$23:$C$45,$D$23:$D$45)*$E1162)</f>
        <v>0</v>
      </c>
      <c r="J1162" s="67" cm="1">
        <f ca="1" t="array" ref="J1162">MIN(8,_xlfn.XLOOKUP($D1162&amp;"_"&amp;J$61,$B$23:$B$45&amp;"_"&amp;$C$23:$C$45,$D$23:$D$45)*$E1162)</f>
        <v>8</v>
      </c>
      <c r="K1162" s="67" cm="1">
        <f ca="1" t="array" ref="K1162">MIN(18,_xlfn.XLOOKUP($D1162&amp;"_"&amp;K$61,$B$23:$B$45&amp;"_"&amp;$C$23:$C$45,$D$23:$D$45)*$E1162)</f>
        <v>4.55965628604383</v>
      </c>
      <c r="L1162" s="67" cm="1">
        <f ca="1" t="array" ref="L1162">MIN(6,_xlfn.XLOOKUP($D1162&amp;"_"&amp;L$61,$B$23:$B$45&amp;"_"&amp;$C$23:$C$45,$D$23:$D$45)*$E1162)</f>
        <v>6</v>
      </c>
      <c r="M1162" s="67" cm="1">
        <f ca="1" t="array" ref="M1162">(1+SUMPRODUCT(G1162:H1162,OFFSET($H$49:$I$49,D1162,0)))*(1+OFFSET($J$49,D1162,0))^I1162*(1+OFFSET($K$49,D1162,0))^J1162*(1+OFFSET($L$49,D1162,0))^K1162*(1+OFFSET($M$49,D1162,0))^L1162</f>
        <v>368.141851174011</v>
      </c>
      <c r="N1162" s="67">
        <f ca="1">MAX(MAX($N$62:N1161),OFFSET($C$61,MATCH(M1162*1.07,$M$62:$M$2061,1),0)-C1162)</f>
        <v>50040</v>
      </c>
    </row>
    <row r="1163" spans="2:14">
      <c r="B1163" s="67">
        <v>1102</v>
      </c>
      <c r="C1163" s="67">
        <f t="shared" si="113"/>
        <v>396720</v>
      </c>
      <c r="D1163" s="67">
        <f t="shared" si="111"/>
        <v>5</v>
      </c>
      <c r="E1163" s="67">
        <f ca="1" t="shared" si="112"/>
        <v>1132</v>
      </c>
      <c r="F1163" s="67">
        <f ca="1" t="shared" si="114"/>
        <v>0</v>
      </c>
      <c r="G1163" s="67">
        <f ca="1" t="shared" si="115"/>
        <v>0</v>
      </c>
      <c r="H1163" s="67" cm="1">
        <f ca="1" t="array" ref="H1163">MIN(30-SUM(I1163:L1163),_xlfn.XLOOKUP($D1163&amp;"_"&amp;H$61,$B$23:$B$45&amp;"_"&amp;$C$23:$C$45,$D$23:$D$45)*$E1163,18)</f>
        <v>11.4363121876201</v>
      </c>
      <c r="I1163" s="67" cm="1">
        <f ca="1" t="array" ref="I1163">MIN(30-SUM(J1163:L1163),6-L1163,_xlfn.XLOOKUP($D1163&amp;"_"&amp;I$61,$B$23:$B$45&amp;"_"&amp;$C$23:$C$45,$D$23:$D$45)*$E1163)</f>
        <v>0</v>
      </c>
      <c r="J1163" s="67" cm="1">
        <f ca="1" t="array" ref="J1163">MIN(8,_xlfn.XLOOKUP($D1163&amp;"_"&amp;J$61,$B$23:$B$45&amp;"_"&amp;$C$23:$C$45,$D$23:$D$45)*$E1163)</f>
        <v>8</v>
      </c>
      <c r="K1163" s="67" cm="1">
        <f ca="1" t="array" ref="K1163">MIN(18,_xlfn.XLOOKUP($D1163&amp;"_"&amp;K$61,$B$23:$B$45&amp;"_"&amp;$C$23:$C$45,$D$23:$D$45)*$E1163)</f>
        <v>4.56368781237986</v>
      </c>
      <c r="L1163" s="67" cm="1">
        <f ca="1" t="array" ref="L1163">MIN(6,_xlfn.XLOOKUP($D1163&amp;"_"&amp;L$61,$B$23:$B$45&amp;"_"&amp;$C$23:$C$45,$D$23:$D$45)*$E1163)</f>
        <v>6</v>
      </c>
      <c r="M1163" s="67" cm="1">
        <f ca="1" t="array" ref="M1163">(1+SUMPRODUCT(G1163:H1163,OFFSET($H$49:$I$49,D1163,0)))*(1+OFFSET($J$49,D1163,0))^I1163*(1+OFFSET($K$49,D1163,0))^J1163*(1+OFFSET($L$49,D1163,0))^K1163*(1+OFFSET($M$49,D1163,0))^L1163</f>
        <v>368.322204792151</v>
      </c>
      <c r="N1163" s="67">
        <f ca="1">MAX(MAX($N$62:N1162),OFFSET($C$61,MATCH(M1163*1.07,$M$62:$M$2061,1),0)-C1163)</f>
        <v>50040</v>
      </c>
    </row>
    <row r="1164" spans="2:14">
      <c r="B1164" s="67">
        <v>1103</v>
      </c>
      <c r="C1164" s="67">
        <f t="shared" si="113"/>
        <v>397080</v>
      </c>
      <c r="D1164" s="67">
        <f t="shared" si="111"/>
        <v>5</v>
      </c>
      <c r="E1164" s="67">
        <f ca="1" t="shared" si="112"/>
        <v>1133</v>
      </c>
      <c r="F1164" s="67">
        <f ca="1" t="shared" si="114"/>
        <v>0</v>
      </c>
      <c r="G1164" s="67">
        <f ca="1" t="shared" si="115"/>
        <v>0</v>
      </c>
      <c r="H1164" s="67" cm="1">
        <f ca="1" t="array" ref="H1164">MIN(30-SUM(I1164:L1164),_xlfn.XLOOKUP($D1164&amp;"_"&amp;H$61,$B$23:$B$45&amp;"_"&amp;$C$23:$C$45,$D$23:$D$45)*$E1164,18)</f>
        <v>11.4322806612841</v>
      </c>
      <c r="I1164" s="67" cm="1">
        <f ca="1" t="array" ref="I1164">MIN(30-SUM(J1164:L1164),6-L1164,_xlfn.XLOOKUP($D1164&amp;"_"&amp;I$61,$B$23:$B$45&amp;"_"&amp;$C$23:$C$45,$D$23:$D$45)*$E1164)</f>
        <v>0</v>
      </c>
      <c r="J1164" s="67" cm="1">
        <f ca="1" t="array" ref="J1164">MIN(8,_xlfn.XLOOKUP($D1164&amp;"_"&amp;J$61,$B$23:$B$45&amp;"_"&amp;$C$23:$C$45,$D$23:$D$45)*$E1164)</f>
        <v>8</v>
      </c>
      <c r="K1164" s="67" cm="1">
        <f ca="1" t="array" ref="K1164">MIN(18,_xlfn.XLOOKUP($D1164&amp;"_"&amp;K$61,$B$23:$B$45&amp;"_"&amp;$C$23:$C$45,$D$23:$D$45)*$E1164)</f>
        <v>4.56771933871588</v>
      </c>
      <c r="L1164" s="67" cm="1">
        <f ca="1" t="array" ref="L1164">MIN(6,_xlfn.XLOOKUP($D1164&amp;"_"&amp;L$61,$B$23:$B$45&amp;"_"&amp;$C$23:$C$45,$D$23:$D$45)*$E1164)</f>
        <v>6</v>
      </c>
      <c r="M1164" s="67" cm="1">
        <f ca="1" t="array" ref="M1164">(1+SUMPRODUCT(G1164:H1164,OFFSET($H$49:$I$49,D1164,0)))*(1+OFFSET($J$49,D1164,0))^I1164*(1+OFFSET($K$49,D1164,0))^J1164*(1+OFFSET($L$49,D1164,0))^K1164*(1+OFFSET($M$49,D1164,0))^L1164</f>
        <v>368.502624595717</v>
      </c>
      <c r="N1164" s="67">
        <f ca="1">MAX(MAX($N$62:N1163),OFFSET($C$61,MATCH(M1164*1.07,$M$62:$M$2061,1),0)-C1164)</f>
        <v>50040</v>
      </c>
    </row>
    <row r="1165" spans="2:14">
      <c r="B1165" s="67">
        <v>1104</v>
      </c>
      <c r="C1165" s="67">
        <f t="shared" si="113"/>
        <v>397440</v>
      </c>
      <c r="D1165" s="67">
        <f t="shared" si="111"/>
        <v>5</v>
      </c>
      <c r="E1165" s="67">
        <f ca="1" t="shared" si="112"/>
        <v>1134</v>
      </c>
      <c r="F1165" s="67">
        <f ca="1" t="shared" si="114"/>
        <v>0</v>
      </c>
      <c r="G1165" s="67">
        <f ca="1" t="shared" si="115"/>
        <v>0</v>
      </c>
      <c r="H1165" s="67" cm="1">
        <f ca="1" t="array" ref="H1165">MIN(30-SUM(I1165:L1165),_xlfn.XLOOKUP($D1165&amp;"_"&amp;H$61,$B$23:$B$45&amp;"_"&amp;$C$23:$C$45,$D$23:$D$45)*$E1165,18)</f>
        <v>11.4282491349481</v>
      </c>
      <c r="I1165" s="67" cm="1">
        <f ca="1" t="array" ref="I1165">MIN(30-SUM(J1165:L1165),6-L1165,_xlfn.XLOOKUP($D1165&amp;"_"&amp;I$61,$B$23:$B$45&amp;"_"&amp;$C$23:$C$45,$D$23:$D$45)*$E1165)</f>
        <v>0</v>
      </c>
      <c r="J1165" s="67" cm="1">
        <f ca="1" t="array" ref="J1165">MIN(8,_xlfn.XLOOKUP($D1165&amp;"_"&amp;J$61,$B$23:$B$45&amp;"_"&amp;$C$23:$C$45,$D$23:$D$45)*$E1165)</f>
        <v>8</v>
      </c>
      <c r="K1165" s="67" cm="1">
        <f ca="1" t="array" ref="K1165">MIN(18,_xlfn.XLOOKUP($D1165&amp;"_"&amp;K$61,$B$23:$B$45&amp;"_"&amp;$C$23:$C$45,$D$23:$D$45)*$E1165)</f>
        <v>4.57175086505191</v>
      </c>
      <c r="L1165" s="67" cm="1">
        <f ca="1" t="array" ref="L1165">MIN(6,_xlfn.XLOOKUP($D1165&amp;"_"&amp;L$61,$B$23:$B$45&amp;"_"&amp;$C$23:$C$45,$D$23:$D$45)*$E1165)</f>
        <v>6</v>
      </c>
      <c r="M1165" s="67" cm="1">
        <f ca="1" t="array" ref="M1165">(1+SUMPRODUCT(G1165:H1165,OFFSET($H$49:$I$49,D1165,0)))*(1+OFFSET($J$49,D1165,0))^I1165*(1+OFFSET($K$49,D1165,0))^J1165*(1+OFFSET($L$49,D1165,0))^K1165*(1+OFFSET($M$49,D1165,0))^L1165</f>
        <v>368.683110584532</v>
      </c>
      <c r="N1165" s="67">
        <f ca="1">MAX(MAX($N$62:N1164),OFFSET($C$61,MATCH(M1165*1.07,$M$62:$M$2061,1),0)-C1165)</f>
        <v>50040</v>
      </c>
    </row>
    <row r="1166" spans="2:14">
      <c r="B1166" s="67">
        <v>1105</v>
      </c>
      <c r="C1166" s="67">
        <f t="shared" si="113"/>
        <v>397800</v>
      </c>
      <c r="D1166" s="67">
        <f t="shared" si="111"/>
        <v>5</v>
      </c>
      <c r="E1166" s="67">
        <f ca="1" t="shared" si="112"/>
        <v>1135</v>
      </c>
      <c r="F1166" s="67">
        <f ca="1" t="shared" si="114"/>
        <v>0</v>
      </c>
      <c r="G1166" s="67">
        <f ca="1" t="shared" si="115"/>
        <v>0</v>
      </c>
      <c r="H1166" s="67" cm="1">
        <f ca="1" t="array" ref="H1166">MIN(30-SUM(I1166:L1166),_xlfn.XLOOKUP($D1166&amp;"_"&amp;H$61,$B$23:$B$45&amp;"_"&amp;$C$23:$C$45,$D$23:$D$45)*$E1166,18)</f>
        <v>11.4242176086121</v>
      </c>
      <c r="I1166" s="67" cm="1">
        <f ca="1" t="array" ref="I1166">MIN(30-SUM(J1166:L1166),6-L1166,_xlfn.XLOOKUP($D1166&amp;"_"&amp;I$61,$B$23:$B$45&amp;"_"&amp;$C$23:$C$45,$D$23:$D$45)*$E1166)</f>
        <v>0</v>
      </c>
      <c r="J1166" s="67" cm="1">
        <f ca="1" t="array" ref="J1166">MIN(8,_xlfn.XLOOKUP($D1166&amp;"_"&amp;J$61,$B$23:$B$45&amp;"_"&amp;$C$23:$C$45,$D$23:$D$45)*$E1166)</f>
        <v>8</v>
      </c>
      <c r="K1166" s="67" cm="1">
        <f ca="1" t="array" ref="K1166">MIN(18,_xlfn.XLOOKUP($D1166&amp;"_"&amp;K$61,$B$23:$B$45&amp;"_"&amp;$C$23:$C$45,$D$23:$D$45)*$E1166)</f>
        <v>4.57578239138793</v>
      </c>
      <c r="L1166" s="67" cm="1">
        <f ca="1" t="array" ref="L1166">MIN(6,_xlfn.XLOOKUP($D1166&amp;"_"&amp;L$61,$B$23:$B$45&amp;"_"&amp;$C$23:$C$45,$D$23:$D$45)*$E1166)</f>
        <v>6</v>
      </c>
      <c r="M1166" s="67" cm="1">
        <f ca="1" t="array" ref="M1166">(1+SUMPRODUCT(G1166:H1166,OFFSET($H$49:$I$49,D1166,0)))*(1+OFFSET($J$49,D1166,0))^I1166*(1+OFFSET($K$49,D1166,0))^J1166*(1+OFFSET($L$49,D1166,0))^K1166*(1+OFFSET($M$49,D1166,0))^L1166</f>
        <v>368.86366275838</v>
      </c>
      <c r="N1166" s="67">
        <f ca="1">MAX(MAX($N$62:N1165),OFFSET($C$61,MATCH(M1166*1.07,$M$62:$M$2061,1),0)-C1166)</f>
        <v>50040</v>
      </c>
    </row>
    <row r="1167" spans="2:14">
      <c r="B1167" s="67">
        <v>1106</v>
      </c>
      <c r="C1167" s="67">
        <f t="shared" si="113"/>
        <v>398160</v>
      </c>
      <c r="D1167" s="67">
        <f t="shared" si="111"/>
        <v>5</v>
      </c>
      <c r="E1167" s="67">
        <f ca="1" t="shared" si="112"/>
        <v>1136</v>
      </c>
      <c r="F1167" s="67">
        <f ca="1" t="shared" si="114"/>
        <v>0</v>
      </c>
      <c r="G1167" s="67">
        <f ca="1" t="shared" si="115"/>
        <v>0</v>
      </c>
      <c r="H1167" s="67" cm="1">
        <f ca="1" t="array" ref="H1167">MIN(30-SUM(I1167:L1167),_xlfn.XLOOKUP($D1167&amp;"_"&amp;H$61,$B$23:$B$45&amp;"_"&amp;$C$23:$C$45,$D$23:$D$45)*$E1167,18)</f>
        <v>11.420186082276</v>
      </c>
      <c r="I1167" s="67" cm="1">
        <f ca="1" t="array" ref="I1167">MIN(30-SUM(J1167:L1167),6-L1167,_xlfn.XLOOKUP($D1167&amp;"_"&amp;I$61,$B$23:$B$45&amp;"_"&amp;$C$23:$C$45,$D$23:$D$45)*$E1167)</f>
        <v>0</v>
      </c>
      <c r="J1167" s="67" cm="1">
        <f ca="1" t="array" ref="J1167">MIN(8,_xlfn.XLOOKUP($D1167&amp;"_"&amp;J$61,$B$23:$B$45&amp;"_"&amp;$C$23:$C$45,$D$23:$D$45)*$E1167)</f>
        <v>8</v>
      </c>
      <c r="K1167" s="67" cm="1">
        <f ca="1" t="array" ref="K1167">MIN(18,_xlfn.XLOOKUP($D1167&amp;"_"&amp;K$61,$B$23:$B$45&amp;"_"&amp;$C$23:$C$45,$D$23:$D$45)*$E1167)</f>
        <v>4.57981391772396</v>
      </c>
      <c r="L1167" s="67" cm="1">
        <f ca="1" t="array" ref="L1167">MIN(6,_xlfn.XLOOKUP($D1167&amp;"_"&amp;L$61,$B$23:$B$45&amp;"_"&amp;$C$23:$C$45,$D$23:$D$45)*$E1167)</f>
        <v>6</v>
      </c>
      <c r="M1167" s="67" cm="1">
        <f ca="1" t="array" ref="M1167">(1+SUMPRODUCT(G1167:H1167,OFFSET($H$49:$I$49,D1167,0)))*(1+OFFSET($J$49,D1167,0))^I1167*(1+OFFSET($K$49,D1167,0))^J1167*(1+OFFSET($L$49,D1167,0))^K1167*(1+OFFSET($M$49,D1167,0))^L1167</f>
        <v>369.044281117008</v>
      </c>
      <c r="N1167" s="67">
        <f ca="1">MAX(MAX($N$62:N1166),OFFSET($C$61,MATCH(M1167*1.07,$M$62:$M$2061,1),0)-C1167)</f>
        <v>50040</v>
      </c>
    </row>
    <row r="1168" spans="2:14">
      <c r="B1168" s="67">
        <v>1107</v>
      </c>
      <c r="C1168" s="67">
        <f t="shared" si="113"/>
        <v>398520</v>
      </c>
      <c r="D1168" s="67">
        <f t="shared" si="111"/>
        <v>5</v>
      </c>
      <c r="E1168" s="67">
        <f ca="1" t="shared" si="112"/>
        <v>1137</v>
      </c>
      <c r="F1168" s="67">
        <f ca="1" t="shared" si="114"/>
        <v>0</v>
      </c>
      <c r="G1168" s="67">
        <f ca="1" t="shared" si="115"/>
        <v>0</v>
      </c>
      <c r="H1168" s="67" cm="1">
        <f ca="1" t="array" ref="H1168">MIN(30-SUM(I1168:L1168),_xlfn.XLOOKUP($D1168&amp;"_"&amp;H$61,$B$23:$B$45&amp;"_"&amp;$C$23:$C$45,$D$23:$D$45)*$E1168,18)</f>
        <v>11.41615455594</v>
      </c>
      <c r="I1168" s="67" cm="1">
        <f ca="1" t="array" ref="I1168">MIN(30-SUM(J1168:L1168),6-L1168,_xlfn.XLOOKUP($D1168&amp;"_"&amp;I$61,$B$23:$B$45&amp;"_"&amp;$C$23:$C$45,$D$23:$D$45)*$E1168)</f>
        <v>0</v>
      </c>
      <c r="J1168" s="67" cm="1">
        <f ca="1" t="array" ref="J1168">MIN(8,_xlfn.XLOOKUP($D1168&amp;"_"&amp;J$61,$B$23:$B$45&amp;"_"&amp;$C$23:$C$45,$D$23:$D$45)*$E1168)</f>
        <v>8</v>
      </c>
      <c r="K1168" s="67" cm="1">
        <f ca="1" t="array" ref="K1168">MIN(18,_xlfn.XLOOKUP($D1168&amp;"_"&amp;K$61,$B$23:$B$45&amp;"_"&amp;$C$23:$C$45,$D$23:$D$45)*$E1168)</f>
        <v>4.58384544405998</v>
      </c>
      <c r="L1168" s="67" cm="1">
        <f ca="1" t="array" ref="L1168">MIN(6,_xlfn.XLOOKUP($D1168&amp;"_"&amp;L$61,$B$23:$B$45&amp;"_"&amp;$C$23:$C$45,$D$23:$D$45)*$E1168)</f>
        <v>6</v>
      </c>
      <c r="M1168" s="67" cm="1">
        <f ca="1" t="array" ref="M1168">(1+SUMPRODUCT(G1168:H1168,OFFSET($H$49:$I$49,D1168,0)))*(1+OFFSET($J$49,D1168,0))^I1168*(1+OFFSET($K$49,D1168,0))^J1168*(1+OFFSET($L$49,D1168,0))^K1168*(1+OFFSET($M$49,D1168,0))^L1168</f>
        <v>369.224965660131</v>
      </c>
      <c r="N1168" s="67">
        <f ca="1">MAX(MAX($N$62:N1167),OFFSET($C$61,MATCH(M1168*1.07,$M$62:$M$2061,1),0)-C1168)</f>
        <v>50040</v>
      </c>
    </row>
    <row r="1169" spans="2:14">
      <c r="B1169" s="67">
        <v>1108</v>
      </c>
      <c r="C1169" s="67">
        <f t="shared" si="113"/>
        <v>398880</v>
      </c>
      <c r="D1169" s="67">
        <f t="shared" si="111"/>
        <v>5</v>
      </c>
      <c r="E1169" s="67">
        <f ca="1" t="shared" si="112"/>
        <v>1138</v>
      </c>
      <c r="F1169" s="67">
        <f ca="1" t="shared" si="114"/>
        <v>0</v>
      </c>
      <c r="G1169" s="67">
        <f ca="1" t="shared" si="115"/>
        <v>0</v>
      </c>
      <c r="H1169" s="67" cm="1">
        <f ca="1" t="array" ref="H1169">MIN(30-SUM(I1169:L1169),_xlfn.XLOOKUP($D1169&amp;"_"&amp;H$61,$B$23:$B$45&amp;"_"&amp;$C$23:$C$45,$D$23:$D$45)*$E1169,18)</f>
        <v>11.412123029604</v>
      </c>
      <c r="I1169" s="67" cm="1">
        <f ca="1" t="array" ref="I1169">MIN(30-SUM(J1169:L1169),6-L1169,_xlfn.XLOOKUP($D1169&amp;"_"&amp;I$61,$B$23:$B$45&amp;"_"&amp;$C$23:$C$45,$D$23:$D$45)*$E1169)</f>
        <v>0</v>
      </c>
      <c r="J1169" s="67" cm="1">
        <f ca="1" t="array" ref="J1169">MIN(8,_xlfn.XLOOKUP($D1169&amp;"_"&amp;J$61,$B$23:$B$45&amp;"_"&amp;$C$23:$C$45,$D$23:$D$45)*$E1169)</f>
        <v>8</v>
      </c>
      <c r="K1169" s="67" cm="1">
        <f ca="1" t="array" ref="K1169">MIN(18,_xlfn.XLOOKUP($D1169&amp;"_"&amp;K$61,$B$23:$B$45&amp;"_"&amp;$C$23:$C$45,$D$23:$D$45)*$E1169)</f>
        <v>4.58787697039601</v>
      </c>
      <c r="L1169" s="67" cm="1">
        <f ca="1" t="array" ref="L1169">MIN(6,_xlfn.XLOOKUP($D1169&amp;"_"&amp;L$61,$B$23:$B$45&amp;"_"&amp;$C$23:$C$45,$D$23:$D$45)*$E1169)</f>
        <v>6</v>
      </c>
      <c r="M1169" s="67" cm="1">
        <f ca="1" t="array" ref="M1169">(1+SUMPRODUCT(G1169:H1169,OFFSET($H$49:$I$49,D1169,0)))*(1+OFFSET($J$49,D1169,0))^I1169*(1+OFFSET($K$49,D1169,0))^J1169*(1+OFFSET($L$49,D1169,0))^K1169*(1+OFFSET($M$49,D1169,0))^L1169</f>
        <v>369.405716387422</v>
      </c>
      <c r="N1169" s="67">
        <f ca="1">MAX(MAX($N$62:N1168),OFFSET($C$61,MATCH(M1169*1.07,$M$62:$M$2061,1),0)-C1169)</f>
        <v>50040</v>
      </c>
    </row>
    <row r="1170" spans="2:14">
      <c r="B1170" s="67">
        <v>1109</v>
      </c>
      <c r="C1170" s="67">
        <f t="shared" si="113"/>
        <v>399240</v>
      </c>
      <c r="D1170" s="67">
        <f t="shared" si="111"/>
        <v>5</v>
      </c>
      <c r="E1170" s="67">
        <f ca="1" t="shared" si="112"/>
        <v>1139</v>
      </c>
      <c r="F1170" s="67">
        <f ca="1" t="shared" si="114"/>
        <v>0</v>
      </c>
      <c r="G1170" s="67">
        <f ca="1" t="shared" si="115"/>
        <v>0</v>
      </c>
      <c r="H1170" s="67" cm="1">
        <f ca="1" t="array" ref="H1170">MIN(30-SUM(I1170:L1170),_xlfn.XLOOKUP($D1170&amp;"_"&amp;H$61,$B$23:$B$45&amp;"_"&amp;$C$23:$C$45,$D$23:$D$45)*$E1170,18)</f>
        <v>11.408091503268</v>
      </c>
      <c r="I1170" s="67" cm="1">
        <f ca="1" t="array" ref="I1170">MIN(30-SUM(J1170:L1170),6-L1170,_xlfn.XLOOKUP($D1170&amp;"_"&amp;I$61,$B$23:$B$45&amp;"_"&amp;$C$23:$C$45,$D$23:$D$45)*$E1170)</f>
        <v>0</v>
      </c>
      <c r="J1170" s="67" cm="1">
        <f ca="1" t="array" ref="J1170">MIN(8,_xlfn.XLOOKUP($D1170&amp;"_"&amp;J$61,$B$23:$B$45&amp;"_"&amp;$C$23:$C$45,$D$23:$D$45)*$E1170)</f>
        <v>8</v>
      </c>
      <c r="K1170" s="67" cm="1">
        <f ca="1" t="array" ref="K1170">MIN(18,_xlfn.XLOOKUP($D1170&amp;"_"&amp;K$61,$B$23:$B$45&amp;"_"&amp;$C$23:$C$45,$D$23:$D$45)*$E1170)</f>
        <v>4.59190849673203</v>
      </c>
      <c r="L1170" s="67" cm="1">
        <f ca="1" t="array" ref="L1170">MIN(6,_xlfn.XLOOKUP($D1170&amp;"_"&amp;L$61,$B$23:$B$45&amp;"_"&amp;$C$23:$C$45,$D$23:$D$45)*$E1170)</f>
        <v>6</v>
      </c>
      <c r="M1170" s="67" cm="1">
        <f ca="1" t="array" ref="M1170">(1+SUMPRODUCT(G1170:H1170,OFFSET($H$49:$I$49,D1170,0)))*(1+OFFSET($J$49,D1170,0))^I1170*(1+OFFSET($K$49,D1170,0))^J1170*(1+OFFSET($L$49,D1170,0))^K1170*(1+OFFSET($M$49,D1170,0))^L1170</f>
        <v>369.586533298524</v>
      </c>
      <c r="N1170" s="67">
        <f ca="1">MAX(MAX($N$62:N1169),OFFSET($C$61,MATCH(M1170*1.07,$M$62:$M$2061,1),0)-C1170)</f>
        <v>50040</v>
      </c>
    </row>
    <row r="1171" spans="2:14">
      <c r="B1171" s="67">
        <v>1110</v>
      </c>
      <c r="C1171" s="67">
        <f t="shared" si="113"/>
        <v>399600</v>
      </c>
      <c r="D1171" s="67">
        <f t="shared" si="111"/>
        <v>5</v>
      </c>
      <c r="E1171" s="67">
        <f ca="1" t="shared" si="112"/>
        <v>1140</v>
      </c>
      <c r="F1171" s="67">
        <f ca="1" t="shared" si="114"/>
        <v>0</v>
      </c>
      <c r="G1171" s="67">
        <f ca="1" t="shared" si="115"/>
        <v>0</v>
      </c>
      <c r="H1171" s="67" cm="1">
        <f ca="1" t="array" ref="H1171">MIN(30-SUM(I1171:L1171),_xlfn.XLOOKUP($D1171&amp;"_"&amp;H$61,$B$23:$B$45&amp;"_"&amp;$C$23:$C$45,$D$23:$D$45)*$E1171,18)</f>
        <v>11.4040599769319</v>
      </c>
      <c r="I1171" s="67" cm="1">
        <f ca="1" t="array" ref="I1171">MIN(30-SUM(J1171:L1171),6-L1171,_xlfn.XLOOKUP($D1171&amp;"_"&amp;I$61,$B$23:$B$45&amp;"_"&amp;$C$23:$C$45,$D$23:$D$45)*$E1171)</f>
        <v>0</v>
      </c>
      <c r="J1171" s="67" cm="1">
        <f ca="1" t="array" ref="J1171">MIN(8,_xlfn.XLOOKUP($D1171&amp;"_"&amp;J$61,$B$23:$B$45&amp;"_"&amp;$C$23:$C$45,$D$23:$D$45)*$E1171)</f>
        <v>8</v>
      </c>
      <c r="K1171" s="67" cm="1">
        <f ca="1" t="array" ref="K1171">MIN(18,_xlfn.XLOOKUP($D1171&amp;"_"&amp;K$61,$B$23:$B$45&amp;"_"&amp;$C$23:$C$45,$D$23:$D$45)*$E1171)</f>
        <v>4.59594002306805</v>
      </c>
      <c r="L1171" s="67" cm="1">
        <f ca="1" t="array" ref="L1171">MIN(6,_xlfn.XLOOKUP($D1171&amp;"_"&amp;L$61,$B$23:$B$45&amp;"_"&amp;$C$23:$C$45,$D$23:$D$45)*$E1171)</f>
        <v>6</v>
      </c>
      <c r="M1171" s="67" cm="1">
        <f ca="1" t="array" ref="M1171">(1+SUMPRODUCT(G1171:H1171,OFFSET($H$49:$I$49,D1171,0)))*(1+OFFSET($J$49,D1171,0))^I1171*(1+OFFSET($K$49,D1171,0))^J1171*(1+OFFSET($L$49,D1171,0))^K1171*(1+OFFSET($M$49,D1171,0))^L1171</f>
        <v>369.767416393038</v>
      </c>
      <c r="N1171" s="67">
        <f ca="1">MAX(MAX($N$62:N1170),OFFSET($C$61,MATCH(M1171*1.07,$M$62:$M$2061,1),0)-C1171)</f>
        <v>50040</v>
      </c>
    </row>
    <row r="1172" spans="2:14">
      <c r="B1172" s="67">
        <v>1111</v>
      </c>
      <c r="C1172" s="67">
        <f t="shared" si="113"/>
        <v>399960</v>
      </c>
      <c r="D1172" s="67">
        <f t="shared" si="111"/>
        <v>5</v>
      </c>
      <c r="E1172" s="67">
        <f ca="1" t="shared" si="112"/>
        <v>1141</v>
      </c>
      <c r="F1172" s="67">
        <f ca="1" t="shared" si="114"/>
        <v>0</v>
      </c>
      <c r="G1172" s="67">
        <f ca="1" t="shared" si="115"/>
        <v>0</v>
      </c>
      <c r="H1172" s="67" cm="1">
        <f ca="1" t="array" ref="H1172">MIN(30-SUM(I1172:L1172),_xlfn.XLOOKUP($D1172&amp;"_"&amp;H$61,$B$23:$B$45&amp;"_"&amp;$C$23:$C$45,$D$23:$D$45)*$E1172,18)</f>
        <v>11.4000284505959</v>
      </c>
      <c r="I1172" s="67" cm="1">
        <f ca="1" t="array" ref="I1172">MIN(30-SUM(J1172:L1172),6-L1172,_xlfn.XLOOKUP($D1172&amp;"_"&amp;I$61,$B$23:$B$45&amp;"_"&amp;$C$23:$C$45,$D$23:$D$45)*$E1172)</f>
        <v>0</v>
      </c>
      <c r="J1172" s="67" cm="1">
        <f ca="1" t="array" ref="J1172">MIN(8,_xlfn.XLOOKUP($D1172&amp;"_"&amp;J$61,$B$23:$B$45&amp;"_"&amp;$C$23:$C$45,$D$23:$D$45)*$E1172)</f>
        <v>8</v>
      </c>
      <c r="K1172" s="67" cm="1">
        <f ca="1" t="array" ref="K1172">MIN(18,_xlfn.XLOOKUP($D1172&amp;"_"&amp;K$61,$B$23:$B$45&amp;"_"&amp;$C$23:$C$45,$D$23:$D$45)*$E1172)</f>
        <v>4.59997154940408</v>
      </c>
      <c r="L1172" s="67" cm="1">
        <f ca="1" t="array" ref="L1172">MIN(6,_xlfn.XLOOKUP($D1172&amp;"_"&amp;L$61,$B$23:$B$45&amp;"_"&amp;$C$23:$C$45,$D$23:$D$45)*$E1172)</f>
        <v>6</v>
      </c>
      <c r="M1172" s="67" cm="1">
        <f ca="1" t="array" ref="M1172">(1+SUMPRODUCT(G1172:H1172,OFFSET($H$49:$I$49,D1172,0)))*(1+OFFSET($J$49,D1172,0))^I1172*(1+OFFSET($K$49,D1172,0))^J1172*(1+OFFSET($L$49,D1172,0))^K1172*(1+OFFSET($M$49,D1172,0))^L1172</f>
        <v>369.948365670533</v>
      </c>
      <c r="N1172" s="67">
        <f ca="1">MAX(MAX($N$62:N1171),OFFSET($C$61,MATCH(M1172*1.07,$M$62:$M$2061,1),0)-C1172)</f>
        <v>50040</v>
      </c>
    </row>
    <row r="1173" spans="2:14">
      <c r="B1173" s="67">
        <v>1112</v>
      </c>
      <c r="C1173" s="67">
        <f t="shared" si="113"/>
        <v>400320</v>
      </c>
      <c r="D1173" s="67">
        <f t="shared" si="111"/>
        <v>5</v>
      </c>
      <c r="E1173" s="67">
        <f ca="1" t="shared" si="112"/>
        <v>1142</v>
      </c>
      <c r="F1173" s="67">
        <f ca="1" t="shared" si="114"/>
        <v>0</v>
      </c>
      <c r="G1173" s="67">
        <f ca="1" t="shared" si="115"/>
        <v>0</v>
      </c>
      <c r="H1173" s="67" cm="1">
        <f ca="1" t="array" ref="H1173">MIN(30-SUM(I1173:L1173),_xlfn.XLOOKUP($D1173&amp;"_"&amp;H$61,$B$23:$B$45&amp;"_"&amp;$C$23:$C$45,$D$23:$D$45)*$E1173,18)</f>
        <v>11.3959969242599</v>
      </c>
      <c r="I1173" s="67" cm="1">
        <f ca="1" t="array" ref="I1173">MIN(30-SUM(J1173:L1173),6-L1173,_xlfn.XLOOKUP($D1173&amp;"_"&amp;I$61,$B$23:$B$45&amp;"_"&amp;$C$23:$C$45,$D$23:$D$45)*$E1173)</f>
        <v>0</v>
      </c>
      <c r="J1173" s="67" cm="1">
        <f ca="1" t="array" ref="J1173">MIN(8,_xlfn.XLOOKUP($D1173&amp;"_"&amp;J$61,$B$23:$B$45&amp;"_"&amp;$C$23:$C$45,$D$23:$D$45)*$E1173)</f>
        <v>8</v>
      </c>
      <c r="K1173" s="67" cm="1">
        <f ca="1" t="array" ref="K1173">MIN(18,_xlfn.XLOOKUP($D1173&amp;"_"&amp;K$61,$B$23:$B$45&amp;"_"&amp;$C$23:$C$45,$D$23:$D$45)*$E1173)</f>
        <v>4.6040030757401</v>
      </c>
      <c r="L1173" s="67" cm="1">
        <f ca="1" t="array" ref="L1173">MIN(6,_xlfn.XLOOKUP($D1173&amp;"_"&amp;L$61,$B$23:$B$45&amp;"_"&amp;$C$23:$C$45,$D$23:$D$45)*$E1173)</f>
        <v>6</v>
      </c>
      <c r="M1173" s="67" cm="1">
        <f ca="1" t="array" ref="M1173">(1+SUMPRODUCT(G1173:H1173,OFFSET($H$49:$I$49,D1173,0)))*(1+OFFSET($J$49,D1173,0))^I1173*(1+OFFSET($K$49,D1173,0))^J1173*(1+OFFSET($L$49,D1173,0))^K1173*(1+OFFSET($M$49,D1173,0))^L1173</f>
        <v>370.129381130538</v>
      </c>
      <c r="N1173" s="67">
        <f ca="1">MAX(MAX($N$62:N1172),OFFSET($C$61,MATCH(M1173*1.07,$M$62:$M$2061,1),0)-C1173)</f>
        <v>50040</v>
      </c>
    </row>
    <row r="1174" spans="2:14">
      <c r="B1174" s="67">
        <v>1113</v>
      </c>
      <c r="C1174" s="67">
        <f t="shared" si="113"/>
        <v>400680</v>
      </c>
      <c r="D1174" s="67">
        <f t="shared" si="111"/>
        <v>5</v>
      </c>
      <c r="E1174" s="67">
        <f ca="1" t="shared" si="112"/>
        <v>1143</v>
      </c>
      <c r="F1174" s="67">
        <f ca="1" t="shared" si="114"/>
        <v>0</v>
      </c>
      <c r="G1174" s="67">
        <f ca="1" t="shared" si="115"/>
        <v>0</v>
      </c>
      <c r="H1174" s="67" cm="1">
        <f ca="1" t="array" ref="H1174">MIN(30-SUM(I1174:L1174),_xlfn.XLOOKUP($D1174&amp;"_"&amp;H$61,$B$23:$B$45&amp;"_"&amp;$C$23:$C$45,$D$23:$D$45)*$E1174,18)</f>
        <v>11.3919653979239</v>
      </c>
      <c r="I1174" s="67" cm="1">
        <f ca="1" t="array" ref="I1174">MIN(30-SUM(J1174:L1174),6-L1174,_xlfn.XLOOKUP($D1174&amp;"_"&amp;I$61,$B$23:$B$45&amp;"_"&amp;$C$23:$C$45,$D$23:$D$45)*$E1174)</f>
        <v>0</v>
      </c>
      <c r="J1174" s="67" cm="1">
        <f ca="1" t="array" ref="J1174">MIN(8,_xlfn.XLOOKUP($D1174&amp;"_"&amp;J$61,$B$23:$B$45&amp;"_"&amp;$C$23:$C$45,$D$23:$D$45)*$E1174)</f>
        <v>8</v>
      </c>
      <c r="K1174" s="67" cm="1">
        <f ca="1" t="array" ref="K1174">MIN(18,_xlfn.XLOOKUP($D1174&amp;"_"&amp;K$61,$B$23:$B$45&amp;"_"&amp;$C$23:$C$45,$D$23:$D$45)*$E1174)</f>
        <v>4.60803460207613</v>
      </c>
      <c r="L1174" s="67" cm="1">
        <f ca="1" t="array" ref="L1174">MIN(6,_xlfn.XLOOKUP($D1174&amp;"_"&amp;L$61,$B$23:$B$45&amp;"_"&amp;$C$23:$C$45,$D$23:$D$45)*$E1174)</f>
        <v>6</v>
      </c>
      <c r="M1174" s="67" cm="1">
        <f ca="1" t="array" ref="M1174">(1+SUMPRODUCT(G1174:H1174,OFFSET($H$49:$I$49,D1174,0)))*(1+OFFSET($J$49,D1174,0))^I1174*(1+OFFSET($K$49,D1174,0))^J1174*(1+OFFSET($L$49,D1174,0))^K1174*(1+OFFSET($M$49,D1174,0))^L1174</f>
        <v>370.310462772549</v>
      </c>
      <c r="N1174" s="67">
        <f ca="1">MAX(MAX($N$62:N1173),OFFSET($C$61,MATCH(M1174*1.07,$M$62:$M$2061,1),0)-C1174)</f>
        <v>50040</v>
      </c>
    </row>
    <row r="1175" spans="2:14">
      <c r="B1175" s="67">
        <v>1114</v>
      </c>
      <c r="C1175" s="67">
        <f t="shared" si="113"/>
        <v>401040</v>
      </c>
      <c r="D1175" s="67">
        <f t="shared" si="111"/>
        <v>5</v>
      </c>
      <c r="E1175" s="67">
        <f ca="1" t="shared" si="112"/>
        <v>1144</v>
      </c>
      <c r="F1175" s="67">
        <f ca="1" t="shared" si="114"/>
        <v>0</v>
      </c>
      <c r="G1175" s="67">
        <f ca="1" t="shared" si="115"/>
        <v>0</v>
      </c>
      <c r="H1175" s="67" cm="1">
        <f ca="1" t="array" ref="H1175">MIN(30-SUM(I1175:L1175),_xlfn.XLOOKUP($D1175&amp;"_"&amp;H$61,$B$23:$B$45&amp;"_"&amp;$C$23:$C$45,$D$23:$D$45)*$E1175,18)</f>
        <v>11.3879338715878</v>
      </c>
      <c r="I1175" s="67" cm="1">
        <f ca="1" t="array" ref="I1175">MIN(30-SUM(J1175:L1175),6-L1175,_xlfn.XLOOKUP($D1175&amp;"_"&amp;I$61,$B$23:$B$45&amp;"_"&amp;$C$23:$C$45,$D$23:$D$45)*$E1175)</f>
        <v>0</v>
      </c>
      <c r="J1175" s="67" cm="1">
        <f ca="1" t="array" ref="J1175">MIN(8,_xlfn.XLOOKUP($D1175&amp;"_"&amp;J$61,$B$23:$B$45&amp;"_"&amp;$C$23:$C$45,$D$23:$D$45)*$E1175)</f>
        <v>8</v>
      </c>
      <c r="K1175" s="67" cm="1">
        <f ca="1" t="array" ref="K1175">MIN(18,_xlfn.XLOOKUP($D1175&amp;"_"&amp;K$61,$B$23:$B$45&amp;"_"&amp;$C$23:$C$45,$D$23:$D$45)*$E1175)</f>
        <v>4.61206612841215</v>
      </c>
      <c r="L1175" s="67" cm="1">
        <f ca="1" t="array" ref="L1175">MIN(6,_xlfn.XLOOKUP($D1175&amp;"_"&amp;L$61,$B$23:$B$45&amp;"_"&amp;$C$23:$C$45,$D$23:$D$45)*$E1175)</f>
        <v>6</v>
      </c>
      <c r="M1175" s="67" cm="1">
        <f ca="1" t="array" ref="M1175">(1+SUMPRODUCT(G1175:H1175,OFFSET($H$49:$I$49,D1175,0)))*(1+OFFSET($J$49,D1175,0))^I1175*(1+OFFSET($K$49,D1175,0))^J1175*(1+OFFSET($L$49,D1175,0))^K1175*(1+OFFSET($M$49,D1175,0))^L1175</f>
        <v>370.491610596023</v>
      </c>
      <c r="N1175" s="67">
        <f ca="1">MAX(MAX($N$62:N1174),OFFSET($C$61,MATCH(M1175*1.07,$M$62:$M$2061,1),0)-C1175)</f>
        <v>50040</v>
      </c>
    </row>
    <row r="1176" spans="2:14">
      <c r="B1176" s="67">
        <v>1115</v>
      </c>
      <c r="C1176" s="67">
        <f t="shared" si="113"/>
        <v>401400</v>
      </c>
      <c r="D1176" s="67">
        <f t="shared" si="111"/>
        <v>5</v>
      </c>
      <c r="E1176" s="67">
        <f ca="1" t="shared" si="112"/>
        <v>1145</v>
      </c>
      <c r="F1176" s="67">
        <f ca="1" t="shared" si="114"/>
        <v>0</v>
      </c>
      <c r="G1176" s="67">
        <f ca="1" t="shared" si="115"/>
        <v>0</v>
      </c>
      <c r="H1176" s="67" cm="1">
        <f ca="1" t="array" ref="H1176">MIN(30-SUM(I1176:L1176),_xlfn.XLOOKUP($D1176&amp;"_"&amp;H$61,$B$23:$B$45&amp;"_"&amp;$C$23:$C$45,$D$23:$D$45)*$E1176,18)</f>
        <v>11.3839023452518</v>
      </c>
      <c r="I1176" s="67" cm="1">
        <f ca="1" t="array" ref="I1176">MIN(30-SUM(J1176:L1176),6-L1176,_xlfn.XLOOKUP($D1176&amp;"_"&amp;I$61,$B$23:$B$45&amp;"_"&amp;$C$23:$C$45,$D$23:$D$45)*$E1176)</f>
        <v>0</v>
      </c>
      <c r="J1176" s="67" cm="1">
        <f ca="1" t="array" ref="J1176">MIN(8,_xlfn.XLOOKUP($D1176&amp;"_"&amp;J$61,$B$23:$B$45&amp;"_"&amp;$C$23:$C$45,$D$23:$D$45)*$E1176)</f>
        <v>8</v>
      </c>
      <c r="K1176" s="67" cm="1">
        <f ca="1" t="array" ref="K1176">MIN(18,_xlfn.XLOOKUP($D1176&amp;"_"&amp;K$61,$B$23:$B$45&amp;"_"&amp;$C$23:$C$45,$D$23:$D$45)*$E1176)</f>
        <v>4.61609765474818</v>
      </c>
      <c r="L1176" s="67" cm="1">
        <f ca="1" t="array" ref="L1176">MIN(6,_xlfn.XLOOKUP($D1176&amp;"_"&amp;L$61,$B$23:$B$45&amp;"_"&amp;$C$23:$C$45,$D$23:$D$45)*$E1176)</f>
        <v>6</v>
      </c>
      <c r="M1176" s="67" cm="1">
        <f ca="1" t="array" ref="M1176">(1+SUMPRODUCT(G1176:H1176,OFFSET($H$49:$I$49,D1176,0)))*(1+OFFSET($J$49,D1176,0))^I1176*(1+OFFSET($K$49,D1176,0))^J1176*(1+OFFSET($L$49,D1176,0))^K1176*(1+OFFSET($M$49,D1176,0))^L1176</f>
        <v>370.67282460038</v>
      </c>
      <c r="N1176" s="67">
        <f ca="1">MAX(MAX($N$62:N1175),OFFSET($C$61,MATCH(M1176*1.07,$M$62:$M$2061,1),0)-C1176)</f>
        <v>50040</v>
      </c>
    </row>
    <row r="1177" spans="2:14">
      <c r="B1177" s="67">
        <v>1116</v>
      </c>
      <c r="C1177" s="67">
        <f t="shared" si="113"/>
        <v>401760</v>
      </c>
      <c r="D1177" s="67">
        <f t="shared" si="111"/>
        <v>5</v>
      </c>
      <c r="E1177" s="67">
        <f ca="1" t="shared" si="112"/>
        <v>1146</v>
      </c>
      <c r="F1177" s="67">
        <f ca="1" t="shared" si="114"/>
        <v>0</v>
      </c>
      <c r="G1177" s="67">
        <f ca="1" t="shared" si="115"/>
        <v>0</v>
      </c>
      <c r="H1177" s="67" cm="1">
        <f ca="1" t="array" ref="H1177">MIN(30-SUM(I1177:L1177),_xlfn.XLOOKUP($D1177&amp;"_"&amp;H$61,$B$23:$B$45&amp;"_"&amp;$C$23:$C$45,$D$23:$D$45)*$E1177,18)</f>
        <v>11.3798708189158</v>
      </c>
      <c r="I1177" s="67" cm="1">
        <f ca="1" t="array" ref="I1177">MIN(30-SUM(J1177:L1177),6-L1177,_xlfn.XLOOKUP($D1177&amp;"_"&amp;I$61,$B$23:$B$45&amp;"_"&amp;$C$23:$C$45,$D$23:$D$45)*$E1177)</f>
        <v>0</v>
      </c>
      <c r="J1177" s="67" cm="1">
        <f ca="1" t="array" ref="J1177">MIN(8,_xlfn.XLOOKUP($D1177&amp;"_"&amp;J$61,$B$23:$B$45&amp;"_"&amp;$C$23:$C$45,$D$23:$D$45)*$E1177)</f>
        <v>8</v>
      </c>
      <c r="K1177" s="67" cm="1">
        <f ca="1" t="array" ref="K1177">MIN(18,_xlfn.XLOOKUP($D1177&amp;"_"&amp;K$61,$B$23:$B$45&amp;"_"&amp;$C$23:$C$45,$D$23:$D$45)*$E1177)</f>
        <v>4.6201291810842</v>
      </c>
      <c r="L1177" s="67" cm="1">
        <f ca="1" t="array" ref="L1177">MIN(6,_xlfn.XLOOKUP($D1177&amp;"_"&amp;L$61,$B$23:$B$45&amp;"_"&amp;$C$23:$C$45,$D$23:$D$45)*$E1177)</f>
        <v>6</v>
      </c>
      <c r="M1177" s="67" cm="1">
        <f ca="1" t="array" ref="M1177">(1+SUMPRODUCT(G1177:H1177,OFFSET($H$49:$I$49,D1177,0)))*(1+OFFSET($J$49,D1177,0))^I1177*(1+OFFSET($K$49,D1177,0))^J1177*(1+OFFSET($L$49,D1177,0))^K1177*(1+OFFSET($M$49,D1177,0))^L1177</f>
        <v>370.854104785007</v>
      </c>
      <c r="N1177" s="67">
        <f ca="1">MAX(MAX($N$62:N1176),OFFSET($C$61,MATCH(M1177*1.07,$M$62:$M$2061,1),0)-C1177)</f>
        <v>50040</v>
      </c>
    </row>
    <row r="1178" spans="2:14">
      <c r="B1178" s="67">
        <v>1117</v>
      </c>
      <c r="C1178" s="67">
        <f t="shared" si="113"/>
        <v>402120</v>
      </c>
      <c r="D1178" s="67">
        <f t="shared" si="111"/>
        <v>5</v>
      </c>
      <c r="E1178" s="67">
        <f ca="1" t="shared" si="112"/>
        <v>1147</v>
      </c>
      <c r="F1178" s="67">
        <f ca="1" t="shared" si="114"/>
        <v>0</v>
      </c>
      <c r="G1178" s="67">
        <f ca="1" t="shared" si="115"/>
        <v>0</v>
      </c>
      <c r="H1178" s="67" cm="1">
        <f ca="1" t="array" ref="H1178">MIN(30-SUM(I1178:L1178),_xlfn.XLOOKUP($D1178&amp;"_"&amp;H$61,$B$23:$B$45&amp;"_"&amp;$C$23:$C$45,$D$23:$D$45)*$E1178,18)</f>
        <v>11.3758392925798</v>
      </c>
      <c r="I1178" s="67" cm="1">
        <f ca="1" t="array" ref="I1178">MIN(30-SUM(J1178:L1178),6-L1178,_xlfn.XLOOKUP($D1178&amp;"_"&amp;I$61,$B$23:$B$45&amp;"_"&amp;$C$23:$C$45,$D$23:$D$45)*$E1178)</f>
        <v>0</v>
      </c>
      <c r="J1178" s="67" cm="1">
        <f ca="1" t="array" ref="J1178">MIN(8,_xlfn.XLOOKUP($D1178&amp;"_"&amp;J$61,$B$23:$B$45&amp;"_"&amp;$C$23:$C$45,$D$23:$D$45)*$E1178)</f>
        <v>8</v>
      </c>
      <c r="K1178" s="67" cm="1">
        <f ca="1" t="array" ref="K1178">MIN(18,_xlfn.XLOOKUP($D1178&amp;"_"&amp;K$61,$B$23:$B$45&amp;"_"&amp;$C$23:$C$45,$D$23:$D$45)*$E1178)</f>
        <v>4.62416070742023</v>
      </c>
      <c r="L1178" s="67" cm="1">
        <f ca="1" t="array" ref="L1178">MIN(6,_xlfn.XLOOKUP($D1178&amp;"_"&amp;L$61,$B$23:$B$45&amp;"_"&amp;$C$23:$C$45,$D$23:$D$45)*$E1178)</f>
        <v>6</v>
      </c>
      <c r="M1178" s="67" cm="1">
        <f ca="1" t="array" ref="M1178">(1+SUMPRODUCT(G1178:H1178,OFFSET($H$49:$I$49,D1178,0)))*(1+OFFSET($J$49,D1178,0))^I1178*(1+OFFSET($K$49,D1178,0))^J1178*(1+OFFSET($L$49,D1178,0))^K1178*(1+OFFSET($M$49,D1178,0))^L1178</f>
        <v>371.03545114925</v>
      </c>
      <c r="N1178" s="67">
        <f ca="1">MAX(MAX($N$62:N1177),OFFSET($C$61,MATCH(M1178*1.07,$M$62:$M$2061,1),0)-C1178)</f>
        <v>50040</v>
      </c>
    </row>
    <row r="1179" spans="2:14">
      <c r="B1179" s="67">
        <v>1118</v>
      </c>
      <c r="C1179" s="67">
        <f t="shared" si="113"/>
        <v>402480</v>
      </c>
      <c r="D1179" s="67">
        <f t="shared" si="111"/>
        <v>5</v>
      </c>
      <c r="E1179" s="67">
        <f ca="1" t="shared" si="112"/>
        <v>1148</v>
      </c>
      <c r="F1179" s="67">
        <f ca="1" t="shared" si="114"/>
        <v>0</v>
      </c>
      <c r="G1179" s="67">
        <f ca="1" t="shared" si="115"/>
        <v>0</v>
      </c>
      <c r="H1179" s="67" cm="1">
        <f ca="1" t="array" ref="H1179">MIN(30-SUM(I1179:L1179),_xlfn.XLOOKUP($D1179&amp;"_"&amp;H$61,$B$23:$B$45&amp;"_"&amp;$C$23:$C$45,$D$23:$D$45)*$E1179,18)</f>
        <v>11.3718077662437</v>
      </c>
      <c r="I1179" s="67" cm="1">
        <f ca="1" t="array" ref="I1179">MIN(30-SUM(J1179:L1179),6-L1179,_xlfn.XLOOKUP($D1179&amp;"_"&amp;I$61,$B$23:$B$45&amp;"_"&amp;$C$23:$C$45,$D$23:$D$45)*$E1179)</f>
        <v>0</v>
      </c>
      <c r="J1179" s="67" cm="1">
        <f ca="1" t="array" ref="J1179">MIN(8,_xlfn.XLOOKUP($D1179&amp;"_"&amp;J$61,$B$23:$B$45&amp;"_"&amp;$C$23:$C$45,$D$23:$D$45)*$E1179)</f>
        <v>8</v>
      </c>
      <c r="K1179" s="67" cm="1">
        <f ca="1" t="array" ref="K1179">MIN(18,_xlfn.XLOOKUP($D1179&amp;"_"&amp;K$61,$B$23:$B$45&amp;"_"&amp;$C$23:$C$45,$D$23:$D$45)*$E1179)</f>
        <v>4.62819223375625</v>
      </c>
      <c r="L1179" s="67" cm="1">
        <f ca="1" t="array" ref="L1179">MIN(6,_xlfn.XLOOKUP($D1179&amp;"_"&amp;L$61,$B$23:$B$45&amp;"_"&amp;$C$23:$C$45,$D$23:$D$45)*$E1179)</f>
        <v>6</v>
      </c>
      <c r="M1179" s="67" cm="1">
        <f ca="1" t="array" ref="M1179">(1+SUMPRODUCT(G1179:H1179,OFFSET($H$49:$I$49,D1179,0)))*(1+OFFSET($J$49,D1179,0))^I1179*(1+OFFSET($K$49,D1179,0))^J1179*(1+OFFSET($L$49,D1179,0))^K1179*(1+OFFSET($M$49,D1179,0))^L1179</f>
        <v>371.216863692421</v>
      </c>
      <c r="N1179" s="67">
        <f ca="1">MAX(MAX($N$62:N1178),OFFSET($C$61,MATCH(M1179*1.07,$M$62:$M$2061,1),0)-C1179)</f>
        <v>50040</v>
      </c>
    </row>
    <row r="1180" spans="2:14">
      <c r="B1180" s="67">
        <v>1119</v>
      </c>
      <c r="C1180" s="67">
        <f t="shared" si="113"/>
        <v>402840</v>
      </c>
      <c r="D1180" s="67">
        <f t="shared" si="111"/>
        <v>5</v>
      </c>
      <c r="E1180" s="67">
        <f ca="1" t="shared" si="112"/>
        <v>1149</v>
      </c>
      <c r="F1180" s="67">
        <f ca="1" t="shared" si="114"/>
        <v>0</v>
      </c>
      <c r="G1180" s="67">
        <f ca="1" t="shared" si="115"/>
        <v>0</v>
      </c>
      <c r="H1180" s="67" cm="1">
        <f ca="1" t="array" ref="H1180">MIN(30-SUM(I1180:L1180),_xlfn.XLOOKUP($D1180&amp;"_"&amp;H$61,$B$23:$B$45&amp;"_"&amp;$C$23:$C$45,$D$23:$D$45)*$E1180,18)</f>
        <v>11.3677762399077</v>
      </c>
      <c r="I1180" s="67" cm="1">
        <f ca="1" t="array" ref="I1180">MIN(30-SUM(J1180:L1180),6-L1180,_xlfn.XLOOKUP($D1180&amp;"_"&amp;I$61,$B$23:$B$45&amp;"_"&amp;$C$23:$C$45,$D$23:$D$45)*$E1180)</f>
        <v>0</v>
      </c>
      <c r="J1180" s="67" cm="1">
        <f ca="1" t="array" ref="J1180">MIN(8,_xlfn.XLOOKUP($D1180&amp;"_"&amp;J$61,$B$23:$B$45&amp;"_"&amp;$C$23:$C$45,$D$23:$D$45)*$E1180)</f>
        <v>8</v>
      </c>
      <c r="K1180" s="67" cm="1">
        <f ca="1" t="array" ref="K1180">MIN(18,_xlfn.XLOOKUP($D1180&amp;"_"&amp;K$61,$B$23:$B$45&amp;"_"&amp;$C$23:$C$45,$D$23:$D$45)*$E1180)</f>
        <v>4.63222376009228</v>
      </c>
      <c r="L1180" s="67" cm="1">
        <f ca="1" t="array" ref="L1180">MIN(6,_xlfn.XLOOKUP($D1180&amp;"_"&amp;L$61,$B$23:$B$45&amp;"_"&amp;$C$23:$C$45,$D$23:$D$45)*$E1180)</f>
        <v>6</v>
      </c>
      <c r="M1180" s="67" cm="1">
        <f ca="1" t="array" ref="M1180">(1+SUMPRODUCT(G1180:H1180,OFFSET($H$49:$I$49,D1180,0)))*(1+OFFSET($J$49,D1180,0))^I1180*(1+OFFSET($K$49,D1180,0))^J1180*(1+OFFSET($L$49,D1180,0))^K1180*(1+OFFSET($M$49,D1180,0))^L1180</f>
        <v>371.398342413793</v>
      </c>
      <c r="N1180" s="67">
        <f ca="1">MAX(MAX($N$62:N1179),OFFSET($C$61,MATCH(M1180*1.07,$M$62:$M$2061,1),0)-C1180)</f>
        <v>50040</v>
      </c>
    </row>
    <row r="1181" spans="2:14">
      <c r="B1181" s="67">
        <v>1120</v>
      </c>
      <c r="C1181" s="67">
        <f t="shared" si="113"/>
        <v>403200</v>
      </c>
      <c r="D1181" s="67">
        <f t="shared" si="111"/>
        <v>5</v>
      </c>
      <c r="E1181" s="67">
        <f ca="1" t="shared" si="112"/>
        <v>1150</v>
      </c>
      <c r="F1181" s="67">
        <f ca="1" t="shared" si="114"/>
        <v>0</v>
      </c>
      <c r="G1181" s="67">
        <f ca="1" t="shared" si="115"/>
        <v>0</v>
      </c>
      <c r="H1181" s="67" cm="1">
        <f ca="1" t="array" ref="H1181">MIN(30-SUM(I1181:L1181),_xlfn.XLOOKUP($D1181&amp;"_"&amp;H$61,$B$23:$B$45&amp;"_"&amp;$C$23:$C$45,$D$23:$D$45)*$E1181,18)</f>
        <v>11.3637447135717</v>
      </c>
      <c r="I1181" s="67" cm="1">
        <f ca="1" t="array" ref="I1181">MIN(30-SUM(J1181:L1181),6-L1181,_xlfn.XLOOKUP($D1181&amp;"_"&amp;I$61,$B$23:$B$45&amp;"_"&amp;$C$23:$C$45,$D$23:$D$45)*$E1181)</f>
        <v>0</v>
      </c>
      <c r="J1181" s="67" cm="1">
        <f ca="1" t="array" ref="J1181">MIN(8,_xlfn.XLOOKUP($D1181&amp;"_"&amp;J$61,$B$23:$B$45&amp;"_"&amp;$C$23:$C$45,$D$23:$D$45)*$E1181)</f>
        <v>8</v>
      </c>
      <c r="K1181" s="67" cm="1">
        <f ca="1" t="array" ref="K1181">MIN(18,_xlfn.XLOOKUP($D1181&amp;"_"&amp;K$61,$B$23:$B$45&amp;"_"&amp;$C$23:$C$45,$D$23:$D$45)*$E1181)</f>
        <v>4.6362552864283</v>
      </c>
      <c r="L1181" s="67" cm="1">
        <f ca="1" t="array" ref="L1181">MIN(6,_xlfn.XLOOKUP($D1181&amp;"_"&amp;L$61,$B$23:$B$45&amp;"_"&amp;$C$23:$C$45,$D$23:$D$45)*$E1181)</f>
        <v>6</v>
      </c>
      <c r="M1181" s="67" cm="1">
        <f ca="1" t="array" ref="M1181">(1+SUMPRODUCT(G1181:H1181,OFFSET($H$49:$I$49,D1181,0)))*(1+OFFSET($J$49,D1181,0))^I1181*(1+OFFSET($K$49,D1181,0))^J1181*(1+OFFSET($L$49,D1181,0))^K1181*(1+OFFSET($M$49,D1181,0))^L1181</f>
        <v>371.579887312605</v>
      </c>
      <c r="N1181" s="67">
        <f ca="1">MAX(MAX($N$62:N1180),OFFSET($C$61,MATCH(M1181*1.07,$M$62:$M$2061,1),0)-C1181)</f>
        <v>50040</v>
      </c>
    </row>
    <row r="1182" spans="2:14">
      <c r="B1182" s="67">
        <v>1121</v>
      </c>
      <c r="C1182" s="67">
        <f t="shared" si="113"/>
        <v>403560</v>
      </c>
      <c r="D1182" s="67">
        <f t="shared" si="111"/>
        <v>5</v>
      </c>
      <c r="E1182" s="67">
        <f ca="1" t="shared" si="112"/>
        <v>1151</v>
      </c>
      <c r="F1182" s="67">
        <f ca="1" t="shared" si="114"/>
        <v>0</v>
      </c>
      <c r="G1182" s="67">
        <f ca="1" t="shared" si="115"/>
        <v>0</v>
      </c>
      <c r="H1182" s="67" cm="1">
        <f ca="1" t="array" ref="H1182">MIN(30-SUM(I1182:L1182),_xlfn.XLOOKUP($D1182&amp;"_"&amp;H$61,$B$23:$B$45&amp;"_"&amp;$C$23:$C$45,$D$23:$D$45)*$E1182,18)</f>
        <v>11.3597131872357</v>
      </c>
      <c r="I1182" s="67" cm="1">
        <f ca="1" t="array" ref="I1182">MIN(30-SUM(J1182:L1182),6-L1182,_xlfn.XLOOKUP($D1182&amp;"_"&amp;I$61,$B$23:$B$45&amp;"_"&amp;$C$23:$C$45,$D$23:$D$45)*$E1182)</f>
        <v>0</v>
      </c>
      <c r="J1182" s="67" cm="1">
        <f ca="1" t="array" ref="J1182">MIN(8,_xlfn.XLOOKUP($D1182&amp;"_"&amp;J$61,$B$23:$B$45&amp;"_"&amp;$C$23:$C$45,$D$23:$D$45)*$E1182)</f>
        <v>8</v>
      </c>
      <c r="K1182" s="67" cm="1">
        <f ca="1" t="array" ref="K1182">MIN(18,_xlfn.XLOOKUP($D1182&amp;"_"&amp;K$61,$B$23:$B$45&amp;"_"&amp;$C$23:$C$45,$D$23:$D$45)*$E1182)</f>
        <v>4.64028681276433</v>
      </c>
      <c r="L1182" s="67" cm="1">
        <f ca="1" t="array" ref="L1182">MIN(6,_xlfn.XLOOKUP($D1182&amp;"_"&amp;L$61,$B$23:$B$45&amp;"_"&amp;$C$23:$C$45,$D$23:$D$45)*$E1182)</f>
        <v>6</v>
      </c>
      <c r="M1182" s="67" cm="1">
        <f ca="1" t="array" ref="M1182">(1+SUMPRODUCT(G1182:H1182,OFFSET($H$49:$I$49,D1182,0)))*(1+OFFSET($J$49,D1182,0))^I1182*(1+OFFSET($K$49,D1182,0))^J1182*(1+OFFSET($L$49,D1182,0))^K1182*(1+OFFSET($M$49,D1182,0))^L1182</f>
        <v>371.761498388058</v>
      </c>
      <c r="N1182" s="67">
        <f ca="1">MAX(MAX($N$62:N1181),OFFSET($C$61,MATCH(M1182*1.07,$M$62:$M$2061,1),0)-C1182)</f>
        <v>50040</v>
      </c>
    </row>
    <row r="1183" spans="2:14">
      <c r="B1183" s="67">
        <v>1122</v>
      </c>
      <c r="C1183" s="67">
        <f t="shared" si="113"/>
        <v>403920</v>
      </c>
      <c r="D1183" s="67">
        <f t="shared" si="111"/>
        <v>5</v>
      </c>
      <c r="E1183" s="67">
        <f ca="1" t="shared" si="112"/>
        <v>1152</v>
      </c>
      <c r="F1183" s="67">
        <f ca="1" t="shared" si="114"/>
        <v>0</v>
      </c>
      <c r="G1183" s="67">
        <f ca="1" t="shared" si="115"/>
        <v>0</v>
      </c>
      <c r="H1183" s="67" cm="1">
        <f ca="1" t="array" ref="H1183">MIN(30-SUM(I1183:L1183),_xlfn.XLOOKUP($D1183&amp;"_"&amp;H$61,$B$23:$B$45&amp;"_"&amp;$C$23:$C$45,$D$23:$D$45)*$E1183,18)</f>
        <v>11.3556816608996</v>
      </c>
      <c r="I1183" s="67" cm="1">
        <f ca="1" t="array" ref="I1183">MIN(30-SUM(J1183:L1183),6-L1183,_xlfn.XLOOKUP($D1183&amp;"_"&amp;I$61,$B$23:$B$45&amp;"_"&amp;$C$23:$C$45,$D$23:$D$45)*$E1183)</f>
        <v>0</v>
      </c>
      <c r="J1183" s="67" cm="1">
        <f ca="1" t="array" ref="J1183">MIN(8,_xlfn.XLOOKUP($D1183&amp;"_"&amp;J$61,$B$23:$B$45&amp;"_"&amp;$C$23:$C$45,$D$23:$D$45)*$E1183)</f>
        <v>8</v>
      </c>
      <c r="K1183" s="67" cm="1">
        <f ca="1" t="array" ref="K1183">MIN(18,_xlfn.XLOOKUP($D1183&amp;"_"&amp;K$61,$B$23:$B$45&amp;"_"&amp;$C$23:$C$45,$D$23:$D$45)*$E1183)</f>
        <v>4.64431833910035</v>
      </c>
      <c r="L1183" s="67" cm="1">
        <f ca="1" t="array" ref="L1183">MIN(6,_xlfn.XLOOKUP($D1183&amp;"_"&amp;L$61,$B$23:$B$45&amp;"_"&amp;$C$23:$C$45,$D$23:$D$45)*$E1183)</f>
        <v>6</v>
      </c>
      <c r="M1183" s="67" cm="1">
        <f ca="1" t="array" ref="M1183">(1+SUMPRODUCT(G1183:H1183,OFFSET($H$49:$I$49,D1183,0)))*(1+OFFSET($J$49,D1183,0))^I1183*(1+OFFSET($K$49,D1183,0))^J1183*(1+OFFSET($L$49,D1183,0))^K1183*(1+OFFSET($M$49,D1183,0))^L1183</f>
        <v>371.943175639313</v>
      </c>
      <c r="N1183" s="67">
        <f ca="1">MAX(MAX($N$62:N1182),OFFSET($C$61,MATCH(M1183*1.07,$M$62:$M$2061,1),0)-C1183)</f>
        <v>50040</v>
      </c>
    </row>
    <row r="1184" spans="2:14">
      <c r="B1184" s="67">
        <v>1123</v>
      </c>
      <c r="C1184" s="67">
        <f t="shared" si="113"/>
        <v>404280</v>
      </c>
      <c r="D1184" s="67">
        <f t="shared" si="111"/>
        <v>5</v>
      </c>
      <c r="E1184" s="67">
        <f ca="1" t="shared" si="112"/>
        <v>1153</v>
      </c>
      <c r="F1184" s="67">
        <f ca="1" t="shared" si="114"/>
        <v>0</v>
      </c>
      <c r="G1184" s="67">
        <f ca="1" t="shared" si="115"/>
        <v>0</v>
      </c>
      <c r="H1184" s="67" cm="1">
        <f ca="1" t="array" ref="H1184">MIN(30-SUM(I1184:L1184),_xlfn.XLOOKUP($D1184&amp;"_"&amp;H$61,$B$23:$B$45&amp;"_"&amp;$C$23:$C$45,$D$23:$D$45)*$E1184,18)</f>
        <v>11.3516501345636</v>
      </c>
      <c r="I1184" s="67" cm="1">
        <f ca="1" t="array" ref="I1184">MIN(30-SUM(J1184:L1184),6-L1184,_xlfn.XLOOKUP($D1184&amp;"_"&amp;I$61,$B$23:$B$45&amp;"_"&amp;$C$23:$C$45,$D$23:$D$45)*$E1184)</f>
        <v>0</v>
      </c>
      <c r="J1184" s="67" cm="1">
        <f ca="1" t="array" ref="J1184">MIN(8,_xlfn.XLOOKUP($D1184&amp;"_"&amp;J$61,$B$23:$B$45&amp;"_"&amp;$C$23:$C$45,$D$23:$D$45)*$E1184)</f>
        <v>8</v>
      </c>
      <c r="K1184" s="67" cm="1">
        <f ca="1" t="array" ref="K1184">MIN(18,_xlfn.XLOOKUP($D1184&amp;"_"&amp;K$61,$B$23:$B$45&amp;"_"&amp;$C$23:$C$45,$D$23:$D$45)*$E1184)</f>
        <v>4.64834986543637</v>
      </c>
      <c r="L1184" s="67" cm="1">
        <f ca="1" t="array" ref="L1184">MIN(6,_xlfn.XLOOKUP($D1184&amp;"_"&amp;L$61,$B$23:$B$45&amp;"_"&amp;$C$23:$C$45,$D$23:$D$45)*$E1184)</f>
        <v>6</v>
      </c>
      <c r="M1184" s="67" cm="1">
        <f ca="1" t="array" ref="M1184">(1+SUMPRODUCT(G1184:H1184,OFFSET($H$49:$I$49,D1184,0)))*(1+OFFSET($J$49,D1184,0))^I1184*(1+OFFSET($K$49,D1184,0))^J1184*(1+OFFSET($L$49,D1184,0))^K1184*(1+OFFSET($M$49,D1184,0))^L1184</f>
        <v>372.124919065499</v>
      </c>
      <c r="N1184" s="67">
        <f ca="1">MAX(MAX($N$62:N1183),OFFSET($C$61,MATCH(M1184*1.07,$M$62:$M$2061,1),0)-C1184)</f>
        <v>50040</v>
      </c>
    </row>
    <row r="1185" spans="2:14">
      <c r="B1185" s="67">
        <v>1124</v>
      </c>
      <c r="C1185" s="67">
        <f t="shared" si="113"/>
        <v>404640</v>
      </c>
      <c r="D1185" s="67">
        <f t="shared" si="111"/>
        <v>5</v>
      </c>
      <c r="E1185" s="67">
        <f ca="1" t="shared" si="112"/>
        <v>1154</v>
      </c>
      <c r="F1185" s="67">
        <f ca="1" t="shared" si="114"/>
        <v>0</v>
      </c>
      <c r="G1185" s="67">
        <f ca="1" t="shared" si="115"/>
        <v>0</v>
      </c>
      <c r="H1185" s="67" cm="1">
        <f ca="1" t="array" ref="H1185">MIN(30-SUM(I1185:L1185),_xlfn.XLOOKUP($D1185&amp;"_"&amp;H$61,$B$23:$B$45&amp;"_"&amp;$C$23:$C$45,$D$23:$D$45)*$E1185,18)</f>
        <v>11.3476186082276</v>
      </c>
      <c r="I1185" s="67" cm="1">
        <f ca="1" t="array" ref="I1185">MIN(30-SUM(J1185:L1185),6-L1185,_xlfn.XLOOKUP($D1185&amp;"_"&amp;I$61,$B$23:$B$45&amp;"_"&amp;$C$23:$C$45,$D$23:$D$45)*$E1185)</f>
        <v>0</v>
      </c>
      <c r="J1185" s="67" cm="1">
        <f ca="1" t="array" ref="J1185">MIN(8,_xlfn.XLOOKUP($D1185&amp;"_"&amp;J$61,$B$23:$B$45&amp;"_"&amp;$C$23:$C$45,$D$23:$D$45)*$E1185)</f>
        <v>8</v>
      </c>
      <c r="K1185" s="67" cm="1">
        <f ca="1" t="array" ref="K1185">MIN(18,_xlfn.XLOOKUP($D1185&amp;"_"&amp;K$61,$B$23:$B$45&amp;"_"&amp;$C$23:$C$45,$D$23:$D$45)*$E1185)</f>
        <v>4.6523813917724</v>
      </c>
      <c r="L1185" s="67" cm="1">
        <f ca="1" t="array" ref="L1185">MIN(6,_xlfn.XLOOKUP($D1185&amp;"_"&amp;L$61,$B$23:$B$45&amp;"_"&amp;$C$23:$C$45,$D$23:$D$45)*$E1185)</f>
        <v>6</v>
      </c>
      <c r="M1185" s="67" cm="1">
        <f ca="1" t="array" ref="M1185">(1+SUMPRODUCT(G1185:H1185,OFFSET($H$49:$I$49,D1185,0)))*(1+OFFSET($J$49,D1185,0))^I1185*(1+OFFSET($K$49,D1185,0))^J1185*(1+OFFSET($L$49,D1185,0))^K1185*(1+OFFSET($M$49,D1185,0))^L1185</f>
        <v>372.306728665705</v>
      </c>
      <c r="N1185" s="67">
        <f ca="1">MAX(MAX($N$62:N1184),OFFSET($C$61,MATCH(M1185*1.07,$M$62:$M$2061,1),0)-C1185)</f>
        <v>50040</v>
      </c>
    </row>
    <row r="1186" spans="2:14">
      <c r="B1186" s="67">
        <v>1125</v>
      </c>
      <c r="C1186" s="67">
        <f t="shared" si="113"/>
        <v>405000</v>
      </c>
      <c r="D1186" s="67">
        <f t="shared" si="111"/>
        <v>5</v>
      </c>
      <c r="E1186" s="67">
        <f ca="1" t="shared" si="112"/>
        <v>1155</v>
      </c>
      <c r="F1186" s="67">
        <f ca="1" t="shared" si="114"/>
        <v>0</v>
      </c>
      <c r="G1186" s="67">
        <f ca="1" t="shared" si="115"/>
        <v>0</v>
      </c>
      <c r="H1186" s="67" cm="1">
        <f ca="1" t="array" ref="H1186">MIN(30-SUM(I1186:L1186),_xlfn.XLOOKUP($D1186&amp;"_"&amp;H$61,$B$23:$B$45&amp;"_"&amp;$C$23:$C$45,$D$23:$D$45)*$E1186,18)</f>
        <v>11.3435870818916</v>
      </c>
      <c r="I1186" s="67" cm="1">
        <f ca="1" t="array" ref="I1186">MIN(30-SUM(J1186:L1186),6-L1186,_xlfn.XLOOKUP($D1186&amp;"_"&amp;I$61,$B$23:$B$45&amp;"_"&amp;$C$23:$C$45,$D$23:$D$45)*$E1186)</f>
        <v>0</v>
      </c>
      <c r="J1186" s="67" cm="1">
        <f ca="1" t="array" ref="J1186">MIN(8,_xlfn.XLOOKUP($D1186&amp;"_"&amp;J$61,$B$23:$B$45&amp;"_"&amp;$C$23:$C$45,$D$23:$D$45)*$E1186)</f>
        <v>8</v>
      </c>
      <c r="K1186" s="67" cm="1">
        <f ca="1" t="array" ref="K1186">MIN(18,_xlfn.XLOOKUP($D1186&amp;"_"&amp;K$61,$B$23:$B$45&amp;"_"&amp;$C$23:$C$45,$D$23:$D$45)*$E1186)</f>
        <v>4.65641291810842</v>
      </c>
      <c r="L1186" s="67" cm="1">
        <f ca="1" t="array" ref="L1186">MIN(6,_xlfn.XLOOKUP($D1186&amp;"_"&amp;L$61,$B$23:$B$45&amp;"_"&amp;$C$23:$C$45,$D$23:$D$45)*$E1186)</f>
        <v>6</v>
      </c>
      <c r="M1186" s="67" cm="1">
        <f ca="1" t="array" ref="M1186">(1+SUMPRODUCT(G1186:H1186,OFFSET($H$49:$I$49,D1186,0)))*(1+OFFSET($J$49,D1186,0))^I1186*(1+OFFSET($K$49,D1186,0))^J1186*(1+OFFSET($L$49,D1186,0))^K1186*(1+OFFSET($M$49,D1186,0))^L1186</f>
        <v>372.488604438983</v>
      </c>
      <c r="N1186" s="67">
        <f ca="1">MAX(MAX($N$62:N1185),OFFSET($C$61,MATCH(M1186*1.07,$M$62:$M$2061,1),0)-C1186)</f>
        <v>50040</v>
      </c>
    </row>
    <row r="1187" spans="2:14">
      <c r="B1187" s="67">
        <v>1126</v>
      </c>
      <c r="C1187" s="67">
        <f t="shared" si="113"/>
        <v>405360</v>
      </c>
      <c r="D1187" s="67">
        <f t="shared" si="111"/>
        <v>5</v>
      </c>
      <c r="E1187" s="67">
        <f ca="1" t="shared" si="112"/>
        <v>1156</v>
      </c>
      <c r="F1187" s="67">
        <f ca="1" t="shared" si="114"/>
        <v>0</v>
      </c>
      <c r="G1187" s="67">
        <f ca="1" t="shared" si="115"/>
        <v>0</v>
      </c>
      <c r="H1187" s="67" cm="1">
        <f ca="1" t="array" ref="H1187">MIN(30-SUM(I1187:L1187),_xlfn.XLOOKUP($D1187&amp;"_"&amp;H$61,$B$23:$B$45&amp;"_"&amp;$C$23:$C$45,$D$23:$D$45)*$E1187,18)</f>
        <v>11.3395555555555</v>
      </c>
      <c r="I1187" s="67" cm="1">
        <f ca="1" t="array" ref="I1187">MIN(30-SUM(J1187:L1187),6-L1187,_xlfn.XLOOKUP($D1187&amp;"_"&amp;I$61,$B$23:$B$45&amp;"_"&amp;$C$23:$C$45,$D$23:$D$45)*$E1187)</f>
        <v>0</v>
      </c>
      <c r="J1187" s="67" cm="1">
        <f ca="1" t="array" ref="J1187">MIN(8,_xlfn.XLOOKUP($D1187&amp;"_"&amp;J$61,$B$23:$B$45&amp;"_"&amp;$C$23:$C$45,$D$23:$D$45)*$E1187)</f>
        <v>8</v>
      </c>
      <c r="K1187" s="67" cm="1">
        <f ca="1" t="array" ref="K1187">MIN(18,_xlfn.XLOOKUP($D1187&amp;"_"&amp;K$61,$B$23:$B$45&amp;"_"&amp;$C$23:$C$45,$D$23:$D$45)*$E1187)</f>
        <v>4.66044444444445</v>
      </c>
      <c r="L1187" s="67" cm="1">
        <f ca="1" t="array" ref="L1187">MIN(6,_xlfn.XLOOKUP($D1187&amp;"_"&amp;L$61,$B$23:$B$45&amp;"_"&amp;$C$23:$C$45,$D$23:$D$45)*$E1187)</f>
        <v>6</v>
      </c>
      <c r="M1187" s="67" cm="1">
        <f ca="1" t="array" ref="M1187">(1+SUMPRODUCT(G1187:H1187,OFFSET($H$49:$I$49,D1187,0)))*(1+OFFSET($J$49,D1187,0))^I1187*(1+OFFSET($K$49,D1187,0))^J1187*(1+OFFSET($L$49,D1187,0))^K1187*(1+OFFSET($M$49,D1187,0))^L1187</f>
        <v>372.670546384348</v>
      </c>
      <c r="N1187" s="67">
        <f ca="1">MAX(MAX($N$62:N1186),OFFSET($C$61,MATCH(M1187*1.07,$M$62:$M$2061,1),0)-C1187)</f>
        <v>50040</v>
      </c>
    </row>
    <row r="1188" spans="2:14">
      <c r="B1188" s="67">
        <v>1127</v>
      </c>
      <c r="C1188" s="67">
        <f t="shared" si="113"/>
        <v>405720</v>
      </c>
      <c r="D1188" s="67">
        <f t="shared" si="111"/>
        <v>5</v>
      </c>
      <c r="E1188" s="67">
        <f ca="1" t="shared" si="112"/>
        <v>1157</v>
      </c>
      <c r="F1188" s="67">
        <f ca="1" t="shared" si="114"/>
        <v>0</v>
      </c>
      <c r="G1188" s="67">
        <f ca="1" t="shared" si="115"/>
        <v>0</v>
      </c>
      <c r="H1188" s="67" cm="1">
        <f ca="1" t="array" ref="H1188">MIN(30-SUM(I1188:L1188),_xlfn.XLOOKUP($D1188&amp;"_"&amp;H$61,$B$23:$B$45&amp;"_"&amp;$C$23:$C$45,$D$23:$D$45)*$E1188,18)</f>
        <v>11.3355240292195</v>
      </c>
      <c r="I1188" s="67" cm="1">
        <f ca="1" t="array" ref="I1188">MIN(30-SUM(J1188:L1188),6-L1188,_xlfn.XLOOKUP($D1188&amp;"_"&amp;I$61,$B$23:$B$45&amp;"_"&amp;$C$23:$C$45,$D$23:$D$45)*$E1188)</f>
        <v>0</v>
      </c>
      <c r="J1188" s="67" cm="1">
        <f ca="1" t="array" ref="J1188">MIN(8,_xlfn.XLOOKUP($D1188&amp;"_"&amp;J$61,$B$23:$B$45&amp;"_"&amp;$C$23:$C$45,$D$23:$D$45)*$E1188)</f>
        <v>8</v>
      </c>
      <c r="K1188" s="67" cm="1">
        <f ca="1" t="array" ref="K1188">MIN(18,_xlfn.XLOOKUP($D1188&amp;"_"&amp;K$61,$B$23:$B$45&amp;"_"&amp;$C$23:$C$45,$D$23:$D$45)*$E1188)</f>
        <v>4.66447597078047</v>
      </c>
      <c r="L1188" s="67" cm="1">
        <f ca="1" t="array" ref="L1188">MIN(6,_xlfn.XLOOKUP($D1188&amp;"_"&amp;L$61,$B$23:$B$45&amp;"_"&amp;$C$23:$C$45,$D$23:$D$45)*$E1188)</f>
        <v>6</v>
      </c>
      <c r="M1188" s="67" cm="1">
        <f ca="1" t="array" ref="M1188">(1+SUMPRODUCT(G1188:H1188,OFFSET($H$49:$I$49,D1188,0)))*(1+OFFSET($J$49,D1188,0))^I1188*(1+OFFSET($K$49,D1188,0))^J1188*(1+OFFSET($L$49,D1188,0))^K1188*(1+OFFSET($M$49,D1188,0))^L1188</f>
        <v>372.852554500778</v>
      </c>
      <c r="N1188" s="67">
        <f ca="1">MAX(MAX($N$62:N1187),OFFSET($C$61,MATCH(M1188*1.07,$M$62:$M$2061,1),0)-C1188)</f>
        <v>50040</v>
      </c>
    </row>
    <row r="1189" spans="2:14">
      <c r="B1189" s="67">
        <v>1128</v>
      </c>
      <c r="C1189" s="67">
        <f t="shared" si="113"/>
        <v>406080</v>
      </c>
      <c r="D1189" s="67">
        <f t="shared" si="111"/>
        <v>5</v>
      </c>
      <c r="E1189" s="67">
        <f ca="1" t="shared" si="112"/>
        <v>1158</v>
      </c>
      <c r="F1189" s="67">
        <f ca="1" t="shared" si="114"/>
        <v>0</v>
      </c>
      <c r="G1189" s="67">
        <f ca="1" t="shared" si="115"/>
        <v>0</v>
      </c>
      <c r="H1189" s="67" cm="1">
        <f ca="1" t="array" ref="H1189">MIN(30-SUM(I1189:L1189),_xlfn.XLOOKUP($D1189&amp;"_"&amp;H$61,$B$23:$B$45&amp;"_"&amp;$C$23:$C$45,$D$23:$D$45)*$E1189,18)</f>
        <v>11.3314925028835</v>
      </c>
      <c r="I1189" s="67" cm="1">
        <f ca="1" t="array" ref="I1189">MIN(30-SUM(J1189:L1189),6-L1189,_xlfn.XLOOKUP($D1189&amp;"_"&amp;I$61,$B$23:$B$45&amp;"_"&amp;$C$23:$C$45,$D$23:$D$45)*$E1189)</f>
        <v>0</v>
      </c>
      <c r="J1189" s="67" cm="1">
        <f ca="1" t="array" ref="J1189">MIN(8,_xlfn.XLOOKUP($D1189&amp;"_"&amp;J$61,$B$23:$B$45&amp;"_"&amp;$C$23:$C$45,$D$23:$D$45)*$E1189)</f>
        <v>8</v>
      </c>
      <c r="K1189" s="67" cm="1">
        <f ca="1" t="array" ref="K1189">MIN(18,_xlfn.XLOOKUP($D1189&amp;"_"&amp;K$61,$B$23:$B$45&amp;"_"&amp;$C$23:$C$45,$D$23:$D$45)*$E1189)</f>
        <v>4.6685074971165</v>
      </c>
      <c r="L1189" s="67" cm="1">
        <f ca="1" t="array" ref="L1189">MIN(6,_xlfn.XLOOKUP($D1189&amp;"_"&amp;L$61,$B$23:$B$45&amp;"_"&amp;$C$23:$C$45,$D$23:$D$45)*$E1189)</f>
        <v>6</v>
      </c>
      <c r="M1189" s="67" cm="1">
        <f ca="1" t="array" ref="M1189">(1+SUMPRODUCT(G1189:H1189,OFFSET($H$49:$I$49,D1189,0)))*(1+OFFSET($J$49,D1189,0))^I1189*(1+OFFSET($K$49,D1189,0))^J1189*(1+OFFSET($L$49,D1189,0))^K1189*(1+OFFSET($M$49,D1189,0))^L1189</f>
        <v>373.034628787215</v>
      </c>
      <c r="N1189" s="67">
        <f ca="1">MAX(MAX($N$62:N1188),OFFSET($C$61,MATCH(M1189*1.07,$M$62:$M$2061,1),0)-C1189)</f>
        <v>50040</v>
      </c>
    </row>
    <row r="1190" spans="2:14">
      <c r="B1190" s="67">
        <v>1129</v>
      </c>
      <c r="C1190" s="67">
        <f t="shared" ref="C1190:C1221" si="116">C1189+360</f>
        <v>406440</v>
      </c>
      <c r="D1190" s="67">
        <f t="shared" si="111"/>
        <v>5</v>
      </c>
      <c r="E1190" s="67">
        <f ca="1" t="shared" si="112"/>
        <v>1159</v>
      </c>
      <c r="F1190" s="67">
        <f ca="1" t="shared" ref="F1190:F1221" si="117">30-SUM(G1190:L1190)</f>
        <v>0</v>
      </c>
      <c r="G1190" s="67">
        <f ca="1" t="shared" ref="G1190:G1221" si="118">30-SUM(H1190:L1190)</f>
        <v>0</v>
      </c>
      <c r="H1190" s="67" cm="1">
        <f ca="1" t="array" ref="H1190">MIN(30-SUM(I1190:L1190),_xlfn.XLOOKUP($D1190&amp;"_"&amp;H$61,$B$23:$B$45&amp;"_"&amp;$C$23:$C$45,$D$23:$D$45)*$E1190,18)</f>
        <v>11.3274609765475</v>
      </c>
      <c r="I1190" s="67" cm="1">
        <f ca="1" t="array" ref="I1190">MIN(30-SUM(J1190:L1190),6-L1190,_xlfn.XLOOKUP($D1190&amp;"_"&amp;I$61,$B$23:$B$45&amp;"_"&amp;$C$23:$C$45,$D$23:$D$45)*$E1190)</f>
        <v>0</v>
      </c>
      <c r="J1190" s="67" cm="1">
        <f ca="1" t="array" ref="J1190">MIN(8,_xlfn.XLOOKUP($D1190&amp;"_"&amp;J$61,$B$23:$B$45&amp;"_"&amp;$C$23:$C$45,$D$23:$D$45)*$E1190)</f>
        <v>8</v>
      </c>
      <c r="K1190" s="67" cm="1">
        <f ca="1" t="array" ref="K1190">MIN(18,_xlfn.XLOOKUP($D1190&amp;"_"&amp;K$61,$B$23:$B$45&amp;"_"&amp;$C$23:$C$45,$D$23:$D$45)*$E1190)</f>
        <v>4.67253902345252</v>
      </c>
      <c r="L1190" s="67" cm="1">
        <f ca="1" t="array" ref="L1190">MIN(6,_xlfn.XLOOKUP($D1190&amp;"_"&amp;L$61,$B$23:$B$45&amp;"_"&amp;$C$23:$C$45,$D$23:$D$45)*$E1190)</f>
        <v>6</v>
      </c>
      <c r="M1190" s="67" cm="1">
        <f ca="1" t="array" ref="M1190">(1+SUMPRODUCT(G1190:H1190,OFFSET($H$49:$I$49,D1190,0)))*(1+OFFSET($J$49,D1190,0))^I1190*(1+OFFSET($K$49,D1190,0))^J1190*(1+OFFSET($L$49,D1190,0))^K1190*(1+OFFSET($M$49,D1190,0))^L1190</f>
        <v>373.216769242561</v>
      </c>
      <c r="N1190" s="67">
        <f ca="1">MAX(MAX($N$62:N1189),OFFSET($C$61,MATCH(M1190*1.07,$M$62:$M$2061,1),0)-C1190)</f>
        <v>50040</v>
      </c>
    </row>
    <row r="1191" spans="2:14">
      <c r="B1191" s="67">
        <v>1130</v>
      </c>
      <c r="C1191" s="67">
        <f t="shared" si="116"/>
        <v>406800</v>
      </c>
      <c r="D1191" s="67">
        <f t="shared" si="111"/>
        <v>5</v>
      </c>
      <c r="E1191" s="67">
        <f ca="1" t="shared" si="112"/>
        <v>1160</v>
      </c>
      <c r="F1191" s="67">
        <f ca="1" t="shared" si="117"/>
        <v>0</v>
      </c>
      <c r="G1191" s="67">
        <f ca="1" t="shared" si="118"/>
        <v>0</v>
      </c>
      <c r="H1191" s="67" cm="1">
        <f ca="1" t="array" ref="H1191">MIN(30-SUM(I1191:L1191),_xlfn.XLOOKUP($D1191&amp;"_"&amp;H$61,$B$23:$B$45&amp;"_"&amp;$C$23:$C$45,$D$23:$D$45)*$E1191,18)</f>
        <v>11.3234294502115</v>
      </c>
      <c r="I1191" s="67" cm="1">
        <f ca="1" t="array" ref="I1191">MIN(30-SUM(J1191:L1191),6-L1191,_xlfn.XLOOKUP($D1191&amp;"_"&amp;I$61,$B$23:$B$45&amp;"_"&amp;$C$23:$C$45,$D$23:$D$45)*$E1191)</f>
        <v>0</v>
      </c>
      <c r="J1191" s="67" cm="1">
        <f ca="1" t="array" ref="J1191">MIN(8,_xlfn.XLOOKUP($D1191&amp;"_"&amp;J$61,$B$23:$B$45&amp;"_"&amp;$C$23:$C$45,$D$23:$D$45)*$E1191)</f>
        <v>8</v>
      </c>
      <c r="K1191" s="67" cm="1">
        <f ca="1" t="array" ref="K1191">MIN(18,_xlfn.XLOOKUP($D1191&amp;"_"&amp;K$61,$B$23:$B$45&amp;"_"&amp;$C$23:$C$45,$D$23:$D$45)*$E1191)</f>
        <v>4.67657054978855</v>
      </c>
      <c r="L1191" s="67" cm="1">
        <f ca="1" t="array" ref="L1191">MIN(6,_xlfn.XLOOKUP($D1191&amp;"_"&amp;L$61,$B$23:$B$45&amp;"_"&amp;$C$23:$C$45,$D$23:$D$45)*$E1191)</f>
        <v>6</v>
      </c>
      <c r="M1191" s="67" cm="1">
        <f ca="1" t="array" ref="M1191">(1+SUMPRODUCT(G1191:H1191,OFFSET($H$49:$I$49,D1191,0)))*(1+OFFSET($J$49,D1191,0))^I1191*(1+OFFSET($K$49,D1191,0))^J1191*(1+OFFSET($L$49,D1191,0))^K1191*(1+OFFSET($M$49,D1191,0))^L1191</f>
        <v>373.398975865683</v>
      </c>
      <c r="N1191" s="67">
        <f ca="1">MAX(MAX($N$62:N1190),OFFSET($C$61,MATCH(M1191*1.07,$M$62:$M$2061,1),0)-C1191)</f>
        <v>50040</v>
      </c>
    </row>
    <row r="1192" spans="2:14">
      <c r="B1192" s="67">
        <v>1131</v>
      </c>
      <c r="C1192" s="67">
        <f t="shared" si="116"/>
        <v>407160</v>
      </c>
      <c r="D1192" s="67">
        <f t="shared" si="111"/>
        <v>5</v>
      </c>
      <c r="E1192" s="67">
        <f ca="1" t="shared" si="112"/>
        <v>1161</v>
      </c>
      <c r="F1192" s="67">
        <f ca="1" t="shared" si="117"/>
        <v>0</v>
      </c>
      <c r="G1192" s="67">
        <f ca="1" t="shared" si="118"/>
        <v>0</v>
      </c>
      <c r="H1192" s="67" cm="1">
        <f ca="1" t="array" ref="H1192">MIN(30-SUM(I1192:L1192),_xlfn.XLOOKUP($D1192&amp;"_"&amp;H$61,$B$23:$B$45&amp;"_"&amp;$C$23:$C$45,$D$23:$D$45)*$E1192,18)</f>
        <v>11.3193979238754</v>
      </c>
      <c r="I1192" s="67" cm="1">
        <f ca="1" t="array" ref="I1192">MIN(30-SUM(J1192:L1192),6-L1192,_xlfn.XLOOKUP($D1192&amp;"_"&amp;I$61,$B$23:$B$45&amp;"_"&amp;$C$23:$C$45,$D$23:$D$45)*$E1192)</f>
        <v>0</v>
      </c>
      <c r="J1192" s="67" cm="1">
        <f ca="1" t="array" ref="J1192">MIN(8,_xlfn.XLOOKUP($D1192&amp;"_"&amp;J$61,$B$23:$B$45&amp;"_"&amp;$C$23:$C$45,$D$23:$D$45)*$E1192)</f>
        <v>8</v>
      </c>
      <c r="K1192" s="67" cm="1">
        <f ca="1" t="array" ref="K1192">MIN(18,_xlfn.XLOOKUP($D1192&amp;"_"&amp;K$61,$B$23:$B$45&amp;"_"&amp;$C$23:$C$45,$D$23:$D$45)*$E1192)</f>
        <v>4.68060207612457</v>
      </c>
      <c r="L1192" s="67" cm="1">
        <f ca="1" t="array" ref="L1192">MIN(6,_xlfn.XLOOKUP($D1192&amp;"_"&amp;L$61,$B$23:$B$45&amp;"_"&amp;$C$23:$C$45,$D$23:$D$45)*$E1192)</f>
        <v>6</v>
      </c>
      <c r="M1192" s="67" cm="1">
        <f ca="1" t="array" ref="M1192">(1+SUMPRODUCT(G1192:H1192,OFFSET($H$49:$I$49,D1192,0)))*(1+OFFSET($J$49,D1192,0))^I1192*(1+OFFSET($K$49,D1192,0))^J1192*(1+OFFSET($L$49,D1192,0))^K1192*(1+OFFSET($M$49,D1192,0))^L1192</f>
        <v>373.581248655409</v>
      </c>
      <c r="N1192" s="67">
        <f ca="1">MAX(MAX($N$62:N1191),OFFSET($C$61,MATCH(M1192*1.07,$M$62:$M$2061,1),0)-C1192)</f>
        <v>50040</v>
      </c>
    </row>
    <row r="1193" spans="2:14">
      <c r="B1193" s="67">
        <v>1132</v>
      </c>
      <c r="C1193" s="67">
        <f t="shared" si="116"/>
        <v>407520</v>
      </c>
      <c r="D1193" s="67">
        <f t="shared" si="111"/>
        <v>5</v>
      </c>
      <c r="E1193" s="67">
        <f ca="1" t="shared" si="112"/>
        <v>1162</v>
      </c>
      <c r="F1193" s="67">
        <f ca="1" t="shared" si="117"/>
        <v>0</v>
      </c>
      <c r="G1193" s="67">
        <f ca="1" t="shared" si="118"/>
        <v>0</v>
      </c>
      <c r="H1193" s="67" cm="1">
        <f ca="1" t="array" ref="H1193">MIN(30-SUM(I1193:L1193),_xlfn.XLOOKUP($D1193&amp;"_"&amp;H$61,$B$23:$B$45&amp;"_"&amp;$C$23:$C$45,$D$23:$D$45)*$E1193,18)</f>
        <v>11.3153663975394</v>
      </c>
      <c r="I1193" s="67" cm="1">
        <f ca="1" t="array" ref="I1193">MIN(30-SUM(J1193:L1193),6-L1193,_xlfn.XLOOKUP($D1193&amp;"_"&amp;I$61,$B$23:$B$45&amp;"_"&amp;$C$23:$C$45,$D$23:$D$45)*$E1193)</f>
        <v>0</v>
      </c>
      <c r="J1193" s="67" cm="1">
        <f ca="1" t="array" ref="J1193">MIN(8,_xlfn.XLOOKUP($D1193&amp;"_"&amp;J$61,$B$23:$B$45&amp;"_"&amp;$C$23:$C$45,$D$23:$D$45)*$E1193)</f>
        <v>8</v>
      </c>
      <c r="K1193" s="67" cm="1">
        <f ca="1" t="array" ref="K1193">MIN(18,_xlfn.XLOOKUP($D1193&amp;"_"&amp;K$61,$B$23:$B$45&amp;"_"&amp;$C$23:$C$45,$D$23:$D$45)*$E1193)</f>
        <v>4.6846336024606</v>
      </c>
      <c r="L1193" s="67" cm="1">
        <f ca="1" t="array" ref="L1193">MIN(6,_xlfn.XLOOKUP($D1193&amp;"_"&amp;L$61,$B$23:$B$45&amp;"_"&amp;$C$23:$C$45,$D$23:$D$45)*$E1193)</f>
        <v>6</v>
      </c>
      <c r="M1193" s="67" cm="1">
        <f ca="1" t="array" ref="M1193">(1+SUMPRODUCT(G1193:H1193,OFFSET($H$49:$I$49,D1193,0)))*(1+OFFSET($J$49,D1193,0))^I1193*(1+OFFSET($K$49,D1193,0))^J1193*(1+OFFSET($L$49,D1193,0))^K1193*(1+OFFSET($M$49,D1193,0))^L1193</f>
        <v>373.763587610531</v>
      </c>
      <c r="N1193" s="67">
        <f ca="1">MAX(MAX($N$62:N1192),OFFSET($C$61,MATCH(M1193*1.07,$M$62:$M$2061,1),0)-C1193)</f>
        <v>50040</v>
      </c>
    </row>
    <row r="1194" spans="2:14">
      <c r="B1194" s="67">
        <v>1133</v>
      </c>
      <c r="C1194" s="67">
        <f t="shared" si="116"/>
        <v>407880</v>
      </c>
      <c r="D1194" s="67">
        <f t="shared" si="111"/>
        <v>5</v>
      </c>
      <c r="E1194" s="67">
        <f ca="1" t="shared" si="112"/>
        <v>1163</v>
      </c>
      <c r="F1194" s="67">
        <f ca="1" t="shared" si="117"/>
        <v>0</v>
      </c>
      <c r="G1194" s="67">
        <f ca="1" t="shared" si="118"/>
        <v>0</v>
      </c>
      <c r="H1194" s="67" cm="1">
        <f ca="1" t="array" ref="H1194">MIN(30-SUM(I1194:L1194),_xlfn.XLOOKUP($D1194&amp;"_"&amp;H$61,$B$23:$B$45&amp;"_"&amp;$C$23:$C$45,$D$23:$D$45)*$E1194,18)</f>
        <v>11.3113348712034</v>
      </c>
      <c r="I1194" s="67" cm="1">
        <f ca="1" t="array" ref="I1194">MIN(30-SUM(J1194:L1194),6-L1194,_xlfn.XLOOKUP($D1194&amp;"_"&amp;I$61,$B$23:$B$45&amp;"_"&amp;$C$23:$C$45,$D$23:$D$45)*$E1194)</f>
        <v>0</v>
      </c>
      <c r="J1194" s="67" cm="1">
        <f ca="1" t="array" ref="J1194">MIN(8,_xlfn.XLOOKUP($D1194&amp;"_"&amp;J$61,$B$23:$B$45&amp;"_"&amp;$C$23:$C$45,$D$23:$D$45)*$E1194)</f>
        <v>8</v>
      </c>
      <c r="K1194" s="67" cm="1">
        <f ca="1" t="array" ref="K1194">MIN(18,_xlfn.XLOOKUP($D1194&amp;"_"&amp;K$61,$B$23:$B$45&amp;"_"&amp;$C$23:$C$45,$D$23:$D$45)*$E1194)</f>
        <v>4.68866512879662</v>
      </c>
      <c r="L1194" s="67" cm="1">
        <f ca="1" t="array" ref="L1194">MIN(6,_xlfn.XLOOKUP($D1194&amp;"_"&amp;L$61,$B$23:$B$45&amp;"_"&amp;$C$23:$C$45,$D$23:$D$45)*$E1194)</f>
        <v>6</v>
      </c>
      <c r="M1194" s="67" cm="1">
        <f ca="1" t="array" ref="M1194">(1+SUMPRODUCT(G1194:H1194,OFFSET($H$49:$I$49,D1194,0)))*(1+OFFSET($J$49,D1194,0))^I1194*(1+OFFSET($K$49,D1194,0))^J1194*(1+OFFSET($L$49,D1194,0))^K1194*(1+OFFSET($M$49,D1194,0))^L1194</f>
        <v>373.945992729801</v>
      </c>
      <c r="N1194" s="67">
        <f ca="1">MAX(MAX($N$62:N1193),OFFSET($C$61,MATCH(M1194*1.07,$M$62:$M$2061,1),0)-C1194)</f>
        <v>50040</v>
      </c>
    </row>
    <row r="1195" spans="2:14">
      <c r="B1195" s="67">
        <v>1134</v>
      </c>
      <c r="C1195" s="67">
        <f t="shared" si="116"/>
        <v>408240</v>
      </c>
      <c r="D1195" s="67">
        <f t="shared" si="111"/>
        <v>5</v>
      </c>
      <c r="E1195" s="67">
        <f ca="1" t="shared" si="112"/>
        <v>1164</v>
      </c>
      <c r="F1195" s="67">
        <f ca="1" t="shared" si="117"/>
        <v>0</v>
      </c>
      <c r="G1195" s="67">
        <f ca="1" t="shared" si="118"/>
        <v>0</v>
      </c>
      <c r="H1195" s="67" cm="1">
        <f ca="1" t="array" ref="H1195">MIN(30-SUM(I1195:L1195),_xlfn.XLOOKUP($D1195&amp;"_"&amp;H$61,$B$23:$B$45&amp;"_"&amp;$C$23:$C$45,$D$23:$D$45)*$E1195,18)</f>
        <v>11.3073033448674</v>
      </c>
      <c r="I1195" s="67" cm="1">
        <f ca="1" t="array" ref="I1195">MIN(30-SUM(J1195:L1195),6-L1195,_xlfn.XLOOKUP($D1195&amp;"_"&amp;I$61,$B$23:$B$45&amp;"_"&amp;$C$23:$C$45,$D$23:$D$45)*$E1195)</f>
        <v>0</v>
      </c>
      <c r="J1195" s="67" cm="1">
        <f ca="1" t="array" ref="J1195">MIN(8,_xlfn.XLOOKUP($D1195&amp;"_"&amp;J$61,$B$23:$B$45&amp;"_"&amp;$C$23:$C$45,$D$23:$D$45)*$E1195)</f>
        <v>8</v>
      </c>
      <c r="K1195" s="67" cm="1">
        <f ca="1" t="array" ref="K1195">MIN(18,_xlfn.XLOOKUP($D1195&amp;"_"&amp;K$61,$B$23:$B$45&amp;"_"&amp;$C$23:$C$45,$D$23:$D$45)*$E1195)</f>
        <v>4.69269665513265</v>
      </c>
      <c r="L1195" s="67" cm="1">
        <f ca="1" t="array" ref="L1195">MIN(6,_xlfn.XLOOKUP($D1195&amp;"_"&amp;L$61,$B$23:$B$45&amp;"_"&amp;$C$23:$C$45,$D$23:$D$45)*$E1195)</f>
        <v>6</v>
      </c>
      <c r="M1195" s="67" cm="1">
        <f ca="1" t="array" ref="M1195">(1+SUMPRODUCT(G1195:H1195,OFFSET($H$49:$I$49,D1195,0)))*(1+OFFSET($J$49,D1195,0))^I1195*(1+OFFSET($K$49,D1195,0))^J1195*(1+OFFSET($L$49,D1195,0))^K1195*(1+OFFSET($M$49,D1195,0))^L1195</f>
        <v>374.128464011935</v>
      </c>
      <c r="N1195" s="67">
        <f ca="1">MAX(MAX($N$62:N1194),OFFSET($C$61,MATCH(M1195*1.07,$M$62:$M$2061,1),0)-C1195)</f>
        <v>50040</v>
      </c>
    </row>
    <row r="1196" spans="2:14">
      <c r="B1196" s="67">
        <v>1135</v>
      </c>
      <c r="C1196" s="67">
        <f t="shared" si="116"/>
        <v>408600</v>
      </c>
      <c r="D1196" s="67">
        <f t="shared" si="111"/>
        <v>5</v>
      </c>
      <c r="E1196" s="67">
        <f ca="1" t="shared" si="112"/>
        <v>1165</v>
      </c>
      <c r="F1196" s="67">
        <f ca="1" t="shared" si="117"/>
        <v>0</v>
      </c>
      <c r="G1196" s="67">
        <f ca="1" t="shared" si="118"/>
        <v>0</v>
      </c>
      <c r="H1196" s="67" cm="1">
        <f ca="1" t="array" ref="H1196">MIN(30-SUM(I1196:L1196),_xlfn.XLOOKUP($D1196&amp;"_"&amp;H$61,$B$23:$B$45&amp;"_"&amp;$C$23:$C$45,$D$23:$D$45)*$E1196,18)</f>
        <v>11.3032718185313</v>
      </c>
      <c r="I1196" s="67" cm="1">
        <f ca="1" t="array" ref="I1196">MIN(30-SUM(J1196:L1196),6-L1196,_xlfn.XLOOKUP($D1196&amp;"_"&amp;I$61,$B$23:$B$45&amp;"_"&amp;$C$23:$C$45,$D$23:$D$45)*$E1196)</f>
        <v>0</v>
      </c>
      <c r="J1196" s="67" cm="1">
        <f ca="1" t="array" ref="J1196">MIN(8,_xlfn.XLOOKUP($D1196&amp;"_"&amp;J$61,$B$23:$B$45&amp;"_"&amp;$C$23:$C$45,$D$23:$D$45)*$E1196)</f>
        <v>8</v>
      </c>
      <c r="K1196" s="67" cm="1">
        <f ca="1" t="array" ref="K1196">MIN(18,_xlfn.XLOOKUP($D1196&amp;"_"&amp;K$61,$B$23:$B$45&amp;"_"&amp;$C$23:$C$45,$D$23:$D$45)*$E1196)</f>
        <v>4.69672818146867</v>
      </c>
      <c r="L1196" s="67" cm="1">
        <f ca="1" t="array" ref="L1196">MIN(6,_xlfn.XLOOKUP($D1196&amp;"_"&amp;L$61,$B$23:$B$45&amp;"_"&amp;$C$23:$C$45,$D$23:$D$45)*$E1196)</f>
        <v>6</v>
      </c>
      <c r="M1196" s="67" cm="1">
        <f ca="1" t="array" ref="M1196">(1+SUMPRODUCT(G1196:H1196,OFFSET($H$49:$I$49,D1196,0)))*(1+OFFSET($J$49,D1196,0))^I1196*(1+OFFSET($K$49,D1196,0))^J1196*(1+OFFSET($L$49,D1196,0))^K1196*(1+OFFSET($M$49,D1196,0))^L1196</f>
        <v>374.311001455613</v>
      </c>
      <c r="N1196" s="67">
        <f ca="1">MAX(MAX($N$62:N1195),OFFSET($C$61,MATCH(M1196*1.07,$M$62:$M$2061,1),0)-C1196)</f>
        <v>50040</v>
      </c>
    </row>
    <row r="1197" spans="2:14">
      <c r="B1197" s="67">
        <v>1136</v>
      </c>
      <c r="C1197" s="67">
        <f t="shared" si="116"/>
        <v>408960</v>
      </c>
      <c r="D1197" s="67">
        <f t="shared" si="111"/>
        <v>5</v>
      </c>
      <c r="E1197" s="67">
        <f ca="1" t="shared" si="112"/>
        <v>1166</v>
      </c>
      <c r="F1197" s="67">
        <f ca="1" t="shared" si="117"/>
        <v>0</v>
      </c>
      <c r="G1197" s="67">
        <f ca="1" t="shared" si="118"/>
        <v>0</v>
      </c>
      <c r="H1197" s="67" cm="1">
        <f ca="1" t="array" ref="H1197">MIN(30-SUM(I1197:L1197),_xlfn.XLOOKUP($D1197&amp;"_"&amp;H$61,$B$23:$B$45&amp;"_"&amp;$C$23:$C$45,$D$23:$D$45)*$E1197,18)</f>
        <v>11.2992402921953</v>
      </c>
      <c r="I1197" s="67" cm="1">
        <f ca="1" t="array" ref="I1197">MIN(30-SUM(J1197:L1197),6-L1197,_xlfn.XLOOKUP($D1197&amp;"_"&amp;I$61,$B$23:$B$45&amp;"_"&amp;$C$23:$C$45,$D$23:$D$45)*$E1197)</f>
        <v>0</v>
      </c>
      <c r="J1197" s="67" cm="1">
        <f ca="1" t="array" ref="J1197">MIN(8,_xlfn.XLOOKUP($D1197&amp;"_"&amp;J$61,$B$23:$B$45&amp;"_"&amp;$C$23:$C$45,$D$23:$D$45)*$E1197)</f>
        <v>8</v>
      </c>
      <c r="K1197" s="67" cm="1">
        <f ca="1" t="array" ref="K1197">MIN(18,_xlfn.XLOOKUP($D1197&amp;"_"&amp;K$61,$B$23:$B$45&amp;"_"&amp;$C$23:$C$45,$D$23:$D$45)*$E1197)</f>
        <v>4.70075970780469</v>
      </c>
      <c r="L1197" s="67" cm="1">
        <f ca="1" t="array" ref="L1197">MIN(6,_xlfn.XLOOKUP($D1197&amp;"_"&amp;L$61,$B$23:$B$45&amp;"_"&amp;$C$23:$C$45,$D$23:$D$45)*$E1197)</f>
        <v>6</v>
      </c>
      <c r="M1197" s="67" cm="1">
        <f ca="1" t="array" ref="M1197">(1+SUMPRODUCT(G1197:H1197,OFFSET($H$49:$I$49,D1197,0)))*(1+OFFSET($J$49,D1197,0))^I1197*(1+OFFSET($K$49,D1197,0))^J1197*(1+OFFSET($L$49,D1197,0))^K1197*(1+OFFSET($M$49,D1197,0))^L1197</f>
        <v>374.493605059474</v>
      </c>
      <c r="N1197" s="67">
        <f ca="1">MAX(MAX($N$62:N1196),OFFSET($C$61,MATCH(M1197*1.07,$M$62:$M$2061,1),0)-C1197)</f>
        <v>50040</v>
      </c>
    </row>
    <row r="1198" spans="2:14">
      <c r="B1198" s="67">
        <v>1137</v>
      </c>
      <c r="C1198" s="67">
        <f t="shared" si="116"/>
        <v>409320</v>
      </c>
      <c r="D1198" s="67">
        <f t="shared" si="111"/>
        <v>5</v>
      </c>
      <c r="E1198" s="67">
        <f ca="1" t="shared" si="112"/>
        <v>1167</v>
      </c>
      <c r="F1198" s="67">
        <f ca="1" t="shared" si="117"/>
        <v>0</v>
      </c>
      <c r="G1198" s="67">
        <f ca="1" t="shared" si="118"/>
        <v>0</v>
      </c>
      <c r="H1198" s="67" cm="1">
        <f ca="1" t="array" ref="H1198">MIN(30-SUM(I1198:L1198),_xlfn.XLOOKUP($D1198&amp;"_"&amp;H$61,$B$23:$B$45&amp;"_"&amp;$C$23:$C$45,$D$23:$D$45)*$E1198,18)</f>
        <v>11.2952087658593</v>
      </c>
      <c r="I1198" s="67" cm="1">
        <f ca="1" t="array" ref="I1198">MIN(30-SUM(J1198:L1198),6-L1198,_xlfn.XLOOKUP($D1198&amp;"_"&amp;I$61,$B$23:$B$45&amp;"_"&amp;$C$23:$C$45,$D$23:$D$45)*$E1198)</f>
        <v>0</v>
      </c>
      <c r="J1198" s="67" cm="1">
        <f ca="1" t="array" ref="J1198">MIN(8,_xlfn.XLOOKUP($D1198&amp;"_"&amp;J$61,$B$23:$B$45&amp;"_"&amp;$C$23:$C$45,$D$23:$D$45)*$E1198)</f>
        <v>8</v>
      </c>
      <c r="K1198" s="67" cm="1">
        <f ca="1" t="array" ref="K1198">MIN(18,_xlfn.XLOOKUP($D1198&amp;"_"&amp;K$61,$B$23:$B$45&amp;"_"&amp;$C$23:$C$45,$D$23:$D$45)*$E1198)</f>
        <v>4.70479123414072</v>
      </c>
      <c r="L1198" s="67" cm="1">
        <f ca="1" t="array" ref="L1198">MIN(6,_xlfn.XLOOKUP($D1198&amp;"_"&amp;L$61,$B$23:$B$45&amp;"_"&amp;$C$23:$C$45,$D$23:$D$45)*$E1198)</f>
        <v>6</v>
      </c>
      <c r="M1198" s="67" cm="1">
        <f ca="1" t="array" ref="M1198">(1+SUMPRODUCT(G1198:H1198,OFFSET($H$49:$I$49,D1198,0)))*(1+OFFSET($J$49,D1198,0))^I1198*(1+OFFSET($K$49,D1198,0))^J1198*(1+OFFSET($L$49,D1198,0))^K1198*(1+OFFSET($M$49,D1198,0))^L1198</f>
        <v>374.676274822121</v>
      </c>
      <c r="N1198" s="67">
        <f ca="1">MAX(MAX($N$62:N1197),OFFSET($C$61,MATCH(M1198*1.07,$M$62:$M$2061,1),0)-C1198)</f>
        <v>50400</v>
      </c>
    </row>
    <row r="1199" spans="2:14">
      <c r="B1199" s="67">
        <v>1138</v>
      </c>
      <c r="C1199" s="67">
        <f t="shared" si="116"/>
        <v>409680</v>
      </c>
      <c r="D1199" s="67">
        <f t="shared" si="111"/>
        <v>5</v>
      </c>
      <c r="E1199" s="67">
        <f ca="1" t="shared" si="112"/>
        <v>1168</v>
      </c>
      <c r="F1199" s="67">
        <f ca="1" t="shared" si="117"/>
        <v>0</v>
      </c>
      <c r="G1199" s="67">
        <f ca="1" t="shared" si="118"/>
        <v>0</v>
      </c>
      <c r="H1199" s="67" cm="1">
        <f ca="1" t="array" ref="H1199">MIN(30-SUM(I1199:L1199),_xlfn.XLOOKUP($D1199&amp;"_"&amp;H$61,$B$23:$B$45&amp;"_"&amp;$C$23:$C$45,$D$23:$D$45)*$E1199,18)</f>
        <v>11.2911772395233</v>
      </c>
      <c r="I1199" s="67" cm="1">
        <f ca="1" t="array" ref="I1199">MIN(30-SUM(J1199:L1199),6-L1199,_xlfn.XLOOKUP($D1199&amp;"_"&amp;I$61,$B$23:$B$45&amp;"_"&amp;$C$23:$C$45,$D$23:$D$45)*$E1199)</f>
        <v>0</v>
      </c>
      <c r="J1199" s="67" cm="1">
        <f ca="1" t="array" ref="J1199">MIN(8,_xlfn.XLOOKUP($D1199&amp;"_"&amp;J$61,$B$23:$B$45&amp;"_"&amp;$C$23:$C$45,$D$23:$D$45)*$E1199)</f>
        <v>8</v>
      </c>
      <c r="K1199" s="67" cm="1">
        <f ca="1" t="array" ref="K1199">MIN(18,_xlfn.XLOOKUP($D1199&amp;"_"&amp;K$61,$B$23:$B$45&amp;"_"&amp;$C$23:$C$45,$D$23:$D$45)*$E1199)</f>
        <v>4.70882276047674</v>
      </c>
      <c r="L1199" s="67" cm="1">
        <f ca="1" t="array" ref="L1199">MIN(6,_xlfn.XLOOKUP($D1199&amp;"_"&amp;L$61,$B$23:$B$45&amp;"_"&amp;$C$23:$C$45,$D$23:$D$45)*$E1199)</f>
        <v>6</v>
      </c>
      <c r="M1199" s="67" cm="1">
        <f ca="1" t="array" ref="M1199">(1+SUMPRODUCT(G1199:H1199,OFFSET($H$49:$I$49,D1199,0)))*(1+OFFSET($J$49,D1199,0))^I1199*(1+OFFSET($K$49,D1199,0))^J1199*(1+OFFSET($L$49,D1199,0))^K1199*(1+OFFSET($M$49,D1199,0))^L1199</f>
        <v>374.85901074212</v>
      </c>
      <c r="N1199" s="67">
        <f ca="1">MAX(MAX($N$62:N1198),OFFSET($C$61,MATCH(M1199*1.07,$M$62:$M$2061,1),0)-C1199)</f>
        <v>50400</v>
      </c>
    </row>
    <row r="1200" spans="2:14">
      <c r="B1200" s="67">
        <v>1139</v>
      </c>
      <c r="C1200" s="67">
        <f t="shared" si="116"/>
        <v>410040</v>
      </c>
      <c r="D1200" s="67">
        <f t="shared" si="111"/>
        <v>5</v>
      </c>
      <c r="E1200" s="67">
        <f ca="1" t="shared" si="112"/>
        <v>1169</v>
      </c>
      <c r="F1200" s="67">
        <f ca="1" t="shared" si="117"/>
        <v>0</v>
      </c>
      <c r="G1200" s="67">
        <f ca="1" t="shared" si="118"/>
        <v>0</v>
      </c>
      <c r="H1200" s="67" cm="1">
        <f ca="1" t="array" ref="H1200">MIN(30-SUM(I1200:L1200),_xlfn.XLOOKUP($D1200&amp;"_"&amp;H$61,$B$23:$B$45&amp;"_"&amp;$C$23:$C$45,$D$23:$D$45)*$E1200,18)</f>
        <v>11.2871457131872</v>
      </c>
      <c r="I1200" s="67" cm="1">
        <f ca="1" t="array" ref="I1200">MIN(30-SUM(J1200:L1200),6-L1200,_xlfn.XLOOKUP($D1200&amp;"_"&amp;I$61,$B$23:$B$45&amp;"_"&amp;$C$23:$C$45,$D$23:$D$45)*$E1200)</f>
        <v>0</v>
      </c>
      <c r="J1200" s="67" cm="1">
        <f ca="1" t="array" ref="J1200">MIN(8,_xlfn.XLOOKUP($D1200&amp;"_"&amp;J$61,$B$23:$B$45&amp;"_"&amp;$C$23:$C$45,$D$23:$D$45)*$E1200)</f>
        <v>8</v>
      </c>
      <c r="K1200" s="67" cm="1">
        <f ca="1" t="array" ref="K1200">MIN(18,_xlfn.XLOOKUP($D1200&amp;"_"&amp;K$61,$B$23:$B$45&amp;"_"&amp;$C$23:$C$45,$D$23:$D$45)*$E1200)</f>
        <v>4.71285428681277</v>
      </c>
      <c r="L1200" s="67" cm="1">
        <f ca="1" t="array" ref="L1200">MIN(6,_xlfn.XLOOKUP($D1200&amp;"_"&amp;L$61,$B$23:$B$45&amp;"_"&amp;$C$23:$C$45,$D$23:$D$45)*$E1200)</f>
        <v>6</v>
      </c>
      <c r="M1200" s="67" cm="1">
        <f ca="1" t="array" ref="M1200">(1+SUMPRODUCT(G1200:H1200,OFFSET($H$49:$I$49,D1200,0)))*(1+OFFSET($J$49,D1200,0))^I1200*(1+OFFSET($K$49,D1200,0))^J1200*(1+OFFSET($L$49,D1200,0))^K1200*(1+OFFSET($M$49,D1200,0))^L1200</f>
        <v>375.041812817996</v>
      </c>
      <c r="N1200" s="67">
        <f ca="1">MAX(MAX($N$62:N1199),OFFSET($C$61,MATCH(M1200*1.07,$M$62:$M$2061,1),0)-C1200)</f>
        <v>50400</v>
      </c>
    </row>
    <row r="1201" spans="2:14">
      <c r="B1201" s="67">
        <v>1140</v>
      </c>
      <c r="C1201" s="67">
        <f t="shared" si="116"/>
        <v>410400</v>
      </c>
      <c r="D1201" s="67">
        <f t="shared" si="111"/>
        <v>5</v>
      </c>
      <c r="E1201" s="67">
        <f ca="1" t="shared" si="112"/>
        <v>1170</v>
      </c>
      <c r="F1201" s="67">
        <f ca="1" t="shared" si="117"/>
        <v>0</v>
      </c>
      <c r="G1201" s="67">
        <f ca="1" t="shared" si="118"/>
        <v>0</v>
      </c>
      <c r="H1201" s="67" cm="1">
        <f ca="1" t="array" ref="H1201">MIN(30-SUM(I1201:L1201),_xlfn.XLOOKUP($D1201&amp;"_"&amp;H$61,$B$23:$B$45&amp;"_"&amp;$C$23:$C$45,$D$23:$D$45)*$E1201,18)</f>
        <v>11.2831141868512</v>
      </c>
      <c r="I1201" s="67" cm="1">
        <f ca="1" t="array" ref="I1201">MIN(30-SUM(J1201:L1201),6-L1201,_xlfn.XLOOKUP($D1201&amp;"_"&amp;I$61,$B$23:$B$45&amp;"_"&amp;$C$23:$C$45,$D$23:$D$45)*$E1201)</f>
        <v>0</v>
      </c>
      <c r="J1201" s="67" cm="1">
        <f ca="1" t="array" ref="J1201">MIN(8,_xlfn.XLOOKUP($D1201&amp;"_"&amp;J$61,$B$23:$B$45&amp;"_"&amp;$C$23:$C$45,$D$23:$D$45)*$E1201)</f>
        <v>8</v>
      </c>
      <c r="K1201" s="67" cm="1">
        <f ca="1" t="array" ref="K1201">MIN(18,_xlfn.XLOOKUP($D1201&amp;"_"&amp;K$61,$B$23:$B$45&amp;"_"&amp;$C$23:$C$45,$D$23:$D$45)*$E1201)</f>
        <v>4.71688581314879</v>
      </c>
      <c r="L1201" s="67" cm="1">
        <f ca="1" t="array" ref="L1201">MIN(6,_xlfn.XLOOKUP($D1201&amp;"_"&amp;L$61,$B$23:$B$45&amp;"_"&amp;$C$23:$C$45,$D$23:$D$45)*$E1201)</f>
        <v>6</v>
      </c>
      <c r="M1201" s="67" cm="1">
        <f ca="1" t="array" ref="M1201">(1+SUMPRODUCT(G1201:H1201,OFFSET($H$49:$I$49,D1201,0)))*(1+OFFSET($J$49,D1201,0))^I1201*(1+OFFSET($K$49,D1201,0))^J1201*(1+OFFSET($L$49,D1201,0))^K1201*(1+OFFSET($M$49,D1201,0))^L1201</f>
        <v>375.22468104824</v>
      </c>
      <c r="N1201" s="67">
        <f ca="1">MAX(MAX($N$62:N1200),OFFSET($C$61,MATCH(M1201*1.07,$M$62:$M$2061,1),0)-C1201)</f>
        <v>50400</v>
      </c>
    </row>
    <row r="1202" spans="2:14">
      <c r="B1202" s="67">
        <v>1141</v>
      </c>
      <c r="C1202" s="67">
        <f t="shared" si="116"/>
        <v>410760</v>
      </c>
      <c r="D1202" s="67">
        <f t="shared" si="111"/>
        <v>5</v>
      </c>
      <c r="E1202" s="67">
        <f ca="1" t="shared" si="112"/>
        <v>1171</v>
      </c>
      <c r="F1202" s="67">
        <f ca="1" t="shared" si="117"/>
        <v>0</v>
      </c>
      <c r="G1202" s="67">
        <f ca="1" t="shared" si="118"/>
        <v>0</v>
      </c>
      <c r="H1202" s="67" cm="1">
        <f ca="1" t="array" ref="H1202">MIN(30-SUM(I1202:L1202),_xlfn.XLOOKUP($D1202&amp;"_"&amp;H$61,$B$23:$B$45&amp;"_"&amp;$C$23:$C$45,$D$23:$D$45)*$E1202,18)</f>
        <v>11.2790826605152</v>
      </c>
      <c r="I1202" s="67" cm="1">
        <f ca="1" t="array" ref="I1202">MIN(30-SUM(J1202:L1202),6-L1202,_xlfn.XLOOKUP($D1202&amp;"_"&amp;I$61,$B$23:$B$45&amp;"_"&amp;$C$23:$C$45,$D$23:$D$45)*$E1202)</f>
        <v>0</v>
      </c>
      <c r="J1202" s="67" cm="1">
        <f ca="1" t="array" ref="J1202">MIN(8,_xlfn.XLOOKUP($D1202&amp;"_"&amp;J$61,$B$23:$B$45&amp;"_"&amp;$C$23:$C$45,$D$23:$D$45)*$E1202)</f>
        <v>8</v>
      </c>
      <c r="K1202" s="67" cm="1">
        <f ca="1" t="array" ref="K1202">MIN(18,_xlfn.XLOOKUP($D1202&amp;"_"&amp;K$61,$B$23:$B$45&amp;"_"&amp;$C$23:$C$45,$D$23:$D$45)*$E1202)</f>
        <v>4.72091733948482</v>
      </c>
      <c r="L1202" s="67" cm="1">
        <f ca="1" t="array" ref="L1202">MIN(6,_xlfn.XLOOKUP($D1202&amp;"_"&amp;L$61,$B$23:$B$45&amp;"_"&amp;$C$23:$C$45,$D$23:$D$45)*$E1202)</f>
        <v>6</v>
      </c>
      <c r="M1202" s="67" cm="1">
        <f ca="1" t="array" ref="M1202">(1+SUMPRODUCT(G1202:H1202,OFFSET($H$49:$I$49,D1202,0)))*(1+OFFSET($J$49,D1202,0))^I1202*(1+OFFSET($K$49,D1202,0))^J1202*(1+OFFSET($L$49,D1202,0))^K1202*(1+OFFSET($M$49,D1202,0))^L1202</f>
        <v>375.407615431303</v>
      </c>
      <c r="N1202" s="67">
        <f ca="1">MAX(MAX($N$62:N1201),OFFSET($C$61,MATCH(M1202*1.07,$M$62:$M$2061,1),0)-C1202)</f>
        <v>50400</v>
      </c>
    </row>
    <row r="1203" spans="2:14">
      <c r="B1203" s="67">
        <v>1142</v>
      </c>
      <c r="C1203" s="67">
        <f t="shared" si="116"/>
        <v>411120</v>
      </c>
      <c r="D1203" s="67">
        <f t="shared" si="111"/>
        <v>5</v>
      </c>
      <c r="E1203" s="67">
        <f ca="1" t="shared" si="112"/>
        <v>1172</v>
      </c>
      <c r="F1203" s="67">
        <f ca="1" t="shared" si="117"/>
        <v>0</v>
      </c>
      <c r="G1203" s="67">
        <f ca="1" t="shared" si="118"/>
        <v>0</v>
      </c>
      <c r="H1203" s="67" cm="1">
        <f ca="1" t="array" ref="H1203">MIN(30-SUM(I1203:L1203),_xlfn.XLOOKUP($D1203&amp;"_"&amp;H$61,$B$23:$B$45&amp;"_"&amp;$C$23:$C$45,$D$23:$D$45)*$E1203,18)</f>
        <v>11.2750511341792</v>
      </c>
      <c r="I1203" s="67" cm="1">
        <f ca="1" t="array" ref="I1203">MIN(30-SUM(J1203:L1203),6-L1203,_xlfn.XLOOKUP($D1203&amp;"_"&amp;I$61,$B$23:$B$45&amp;"_"&amp;$C$23:$C$45,$D$23:$D$45)*$E1203)</f>
        <v>0</v>
      </c>
      <c r="J1203" s="67" cm="1">
        <f ca="1" t="array" ref="J1203">MIN(8,_xlfn.XLOOKUP($D1203&amp;"_"&amp;J$61,$B$23:$B$45&amp;"_"&amp;$C$23:$C$45,$D$23:$D$45)*$E1203)</f>
        <v>8</v>
      </c>
      <c r="K1203" s="67" cm="1">
        <f ca="1" t="array" ref="K1203">MIN(18,_xlfn.XLOOKUP($D1203&amp;"_"&amp;K$61,$B$23:$B$45&amp;"_"&amp;$C$23:$C$45,$D$23:$D$45)*$E1203)</f>
        <v>4.72494886582084</v>
      </c>
      <c r="L1203" s="67" cm="1">
        <f ca="1" t="array" ref="L1203">MIN(6,_xlfn.XLOOKUP($D1203&amp;"_"&amp;L$61,$B$23:$B$45&amp;"_"&amp;$C$23:$C$45,$D$23:$D$45)*$E1203)</f>
        <v>6</v>
      </c>
      <c r="M1203" s="67" cm="1">
        <f ca="1" t="array" ref="M1203">(1+SUMPRODUCT(G1203:H1203,OFFSET($H$49:$I$49,D1203,0)))*(1+OFFSET($J$49,D1203,0))^I1203*(1+OFFSET($K$49,D1203,0))^J1203*(1+OFFSET($L$49,D1203,0))^K1203*(1+OFFSET($M$49,D1203,0))^L1203</f>
        <v>375.590615965597</v>
      </c>
      <c r="N1203" s="67">
        <f ca="1">MAX(MAX($N$62:N1202),OFFSET($C$61,MATCH(M1203*1.07,$M$62:$M$2061,1),0)-C1203)</f>
        <v>50400</v>
      </c>
    </row>
    <row r="1204" spans="2:14">
      <c r="B1204" s="67">
        <v>1143</v>
      </c>
      <c r="C1204" s="67">
        <f t="shared" si="116"/>
        <v>411480</v>
      </c>
      <c r="D1204" s="67">
        <f t="shared" si="111"/>
        <v>5</v>
      </c>
      <c r="E1204" s="67">
        <f ca="1" t="shared" si="112"/>
        <v>1173</v>
      </c>
      <c r="F1204" s="67">
        <f ca="1" t="shared" si="117"/>
        <v>0</v>
      </c>
      <c r="G1204" s="67">
        <f ca="1" t="shared" si="118"/>
        <v>0</v>
      </c>
      <c r="H1204" s="67" cm="1">
        <f ca="1" t="array" ref="H1204">MIN(30-SUM(I1204:L1204),_xlfn.XLOOKUP($D1204&amp;"_"&amp;H$61,$B$23:$B$45&amp;"_"&amp;$C$23:$C$45,$D$23:$D$45)*$E1204,18)</f>
        <v>11.2710196078431</v>
      </c>
      <c r="I1204" s="67" cm="1">
        <f ca="1" t="array" ref="I1204">MIN(30-SUM(J1204:L1204),6-L1204,_xlfn.XLOOKUP($D1204&amp;"_"&amp;I$61,$B$23:$B$45&amp;"_"&amp;$C$23:$C$45,$D$23:$D$45)*$E1204)</f>
        <v>0</v>
      </c>
      <c r="J1204" s="67" cm="1">
        <f ca="1" t="array" ref="J1204">MIN(8,_xlfn.XLOOKUP($D1204&amp;"_"&amp;J$61,$B$23:$B$45&amp;"_"&amp;$C$23:$C$45,$D$23:$D$45)*$E1204)</f>
        <v>8</v>
      </c>
      <c r="K1204" s="67" cm="1">
        <f ca="1" t="array" ref="K1204">MIN(18,_xlfn.XLOOKUP($D1204&amp;"_"&amp;K$61,$B$23:$B$45&amp;"_"&amp;$C$23:$C$45,$D$23:$D$45)*$E1204)</f>
        <v>4.72898039215687</v>
      </c>
      <c r="L1204" s="67" cm="1">
        <f ca="1" t="array" ref="L1204">MIN(6,_xlfn.XLOOKUP($D1204&amp;"_"&amp;L$61,$B$23:$B$45&amp;"_"&amp;$C$23:$C$45,$D$23:$D$45)*$E1204)</f>
        <v>6</v>
      </c>
      <c r="M1204" s="67" cm="1">
        <f ca="1" t="array" ref="M1204">(1+SUMPRODUCT(G1204:H1204,OFFSET($H$49:$I$49,D1204,0)))*(1+OFFSET($J$49,D1204,0))^I1204*(1+OFFSET($K$49,D1204,0))^J1204*(1+OFFSET($L$49,D1204,0))^K1204*(1+OFFSET($M$49,D1204,0))^L1204</f>
        <v>375.773682649497</v>
      </c>
      <c r="N1204" s="67">
        <f ca="1">MAX(MAX($N$62:N1203),OFFSET($C$61,MATCH(M1204*1.07,$M$62:$M$2061,1),0)-C1204)</f>
        <v>50400</v>
      </c>
    </row>
    <row r="1205" spans="2:14">
      <c r="B1205" s="67">
        <v>1144</v>
      </c>
      <c r="C1205" s="67">
        <f t="shared" si="116"/>
        <v>411840</v>
      </c>
      <c r="D1205" s="67">
        <f t="shared" si="111"/>
        <v>5</v>
      </c>
      <c r="E1205" s="67">
        <f ca="1" t="shared" si="112"/>
        <v>1174</v>
      </c>
      <c r="F1205" s="67">
        <f ca="1" t="shared" si="117"/>
        <v>0</v>
      </c>
      <c r="G1205" s="67">
        <f ca="1" t="shared" si="118"/>
        <v>0</v>
      </c>
      <c r="H1205" s="67" cm="1">
        <f ca="1" t="array" ref="H1205">MIN(30-SUM(I1205:L1205),_xlfn.XLOOKUP($D1205&amp;"_"&amp;H$61,$B$23:$B$45&amp;"_"&amp;$C$23:$C$45,$D$23:$D$45)*$E1205,18)</f>
        <v>11.2669880815071</v>
      </c>
      <c r="I1205" s="67" cm="1">
        <f ca="1" t="array" ref="I1205">MIN(30-SUM(J1205:L1205),6-L1205,_xlfn.XLOOKUP($D1205&amp;"_"&amp;I$61,$B$23:$B$45&amp;"_"&amp;$C$23:$C$45,$D$23:$D$45)*$E1205)</f>
        <v>0</v>
      </c>
      <c r="J1205" s="67" cm="1">
        <f ca="1" t="array" ref="J1205">MIN(8,_xlfn.XLOOKUP($D1205&amp;"_"&amp;J$61,$B$23:$B$45&amp;"_"&amp;$C$23:$C$45,$D$23:$D$45)*$E1205)</f>
        <v>8</v>
      </c>
      <c r="K1205" s="67" cm="1">
        <f ca="1" t="array" ref="K1205">MIN(18,_xlfn.XLOOKUP($D1205&amp;"_"&amp;K$61,$B$23:$B$45&amp;"_"&amp;$C$23:$C$45,$D$23:$D$45)*$E1205)</f>
        <v>4.73301191849289</v>
      </c>
      <c r="L1205" s="67" cm="1">
        <f ca="1" t="array" ref="L1205">MIN(6,_xlfn.XLOOKUP($D1205&amp;"_"&amp;L$61,$B$23:$B$45&amp;"_"&amp;$C$23:$C$45,$D$23:$D$45)*$E1205)</f>
        <v>6</v>
      </c>
      <c r="M1205" s="67" cm="1">
        <f ca="1" t="array" ref="M1205">(1+SUMPRODUCT(G1205:H1205,OFFSET($H$49:$I$49,D1205,0)))*(1+OFFSET($J$49,D1205,0))^I1205*(1+OFFSET($K$49,D1205,0))^J1205*(1+OFFSET($L$49,D1205,0))^K1205*(1+OFFSET($M$49,D1205,0))^L1205</f>
        <v>375.956815481341</v>
      </c>
      <c r="N1205" s="67">
        <f ca="1">MAX(MAX($N$62:N1204),OFFSET($C$61,MATCH(M1205*1.07,$M$62:$M$2061,1),0)-C1205)</f>
        <v>50400</v>
      </c>
    </row>
    <row r="1206" spans="2:14">
      <c r="B1206" s="67">
        <v>1145</v>
      </c>
      <c r="C1206" s="67">
        <f t="shared" si="116"/>
        <v>412200</v>
      </c>
      <c r="D1206" s="67">
        <f t="shared" si="111"/>
        <v>5</v>
      </c>
      <c r="E1206" s="67">
        <f ca="1" t="shared" si="112"/>
        <v>1175</v>
      </c>
      <c r="F1206" s="67">
        <f ca="1" t="shared" si="117"/>
        <v>0</v>
      </c>
      <c r="G1206" s="67">
        <f ca="1" t="shared" si="118"/>
        <v>0</v>
      </c>
      <c r="H1206" s="67" cm="1">
        <f ca="1" t="array" ref="H1206">MIN(30-SUM(I1206:L1206),_xlfn.XLOOKUP($D1206&amp;"_"&amp;H$61,$B$23:$B$45&amp;"_"&amp;$C$23:$C$45,$D$23:$D$45)*$E1206,18)</f>
        <v>11.2629565551711</v>
      </c>
      <c r="I1206" s="67" cm="1">
        <f ca="1" t="array" ref="I1206">MIN(30-SUM(J1206:L1206),6-L1206,_xlfn.XLOOKUP($D1206&amp;"_"&amp;I$61,$B$23:$B$45&amp;"_"&amp;$C$23:$C$45,$D$23:$D$45)*$E1206)</f>
        <v>0</v>
      </c>
      <c r="J1206" s="67" cm="1">
        <f ca="1" t="array" ref="J1206">MIN(8,_xlfn.XLOOKUP($D1206&amp;"_"&amp;J$61,$B$23:$B$45&amp;"_"&amp;$C$23:$C$45,$D$23:$D$45)*$E1206)</f>
        <v>8</v>
      </c>
      <c r="K1206" s="67" cm="1">
        <f ca="1" t="array" ref="K1206">MIN(18,_xlfn.XLOOKUP($D1206&amp;"_"&amp;K$61,$B$23:$B$45&amp;"_"&amp;$C$23:$C$45,$D$23:$D$45)*$E1206)</f>
        <v>4.73704344482892</v>
      </c>
      <c r="L1206" s="67" cm="1">
        <f ca="1" t="array" ref="L1206">MIN(6,_xlfn.XLOOKUP($D1206&amp;"_"&amp;L$61,$B$23:$B$45&amp;"_"&amp;$C$23:$C$45,$D$23:$D$45)*$E1206)</f>
        <v>6</v>
      </c>
      <c r="M1206" s="67" cm="1">
        <f ca="1" t="array" ref="M1206">(1+SUMPRODUCT(G1206:H1206,OFFSET($H$49:$I$49,D1206,0)))*(1+OFFSET($J$49,D1206,0))^I1206*(1+OFFSET($K$49,D1206,0))^J1206*(1+OFFSET($L$49,D1206,0))^K1206*(1+OFFSET($M$49,D1206,0))^L1206</f>
        <v>376.140014459427</v>
      </c>
      <c r="N1206" s="67">
        <f ca="1">MAX(MAX($N$62:N1205),OFFSET($C$61,MATCH(M1206*1.07,$M$62:$M$2061,1),0)-C1206)</f>
        <v>50400</v>
      </c>
    </row>
    <row r="1207" spans="2:14">
      <c r="B1207" s="67">
        <v>1146</v>
      </c>
      <c r="C1207" s="67">
        <f t="shared" si="116"/>
        <v>412560</v>
      </c>
      <c r="D1207" s="67">
        <f t="shared" si="111"/>
        <v>5</v>
      </c>
      <c r="E1207" s="67">
        <f ca="1" t="shared" si="112"/>
        <v>1176</v>
      </c>
      <c r="F1207" s="67">
        <f ca="1" t="shared" si="117"/>
        <v>0</v>
      </c>
      <c r="G1207" s="67">
        <f ca="1" t="shared" si="118"/>
        <v>0</v>
      </c>
      <c r="H1207" s="67" cm="1">
        <f ca="1" t="array" ref="H1207">MIN(30-SUM(I1207:L1207),_xlfn.XLOOKUP($D1207&amp;"_"&amp;H$61,$B$23:$B$45&amp;"_"&amp;$C$23:$C$45,$D$23:$D$45)*$E1207,18)</f>
        <v>11.2589250288351</v>
      </c>
      <c r="I1207" s="67" cm="1">
        <f ca="1" t="array" ref="I1207">MIN(30-SUM(J1207:L1207),6-L1207,_xlfn.XLOOKUP($D1207&amp;"_"&amp;I$61,$B$23:$B$45&amp;"_"&amp;$C$23:$C$45,$D$23:$D$45)*$E1207)</f>
        <v>0</v>
      </c>
      <c r="J1207" s="67" cm="1">
        <f ca="1" t="array" ref="J1207">MIN(8,_xlfn.XLOOKUP($D1207&amp;"_"&amp;J$61,$B$23:$B$45&amp;"_"&amp;$C$23:$C$45,$D$23:$D$45)*$E1207)</f>
        <v>8</v>
      </c>
      <c r="K1207" s="67" cm="1">
        <f ca="1" t="array" ref="K1207">MIN(18,_xlfn.XLOOKUP($D1207&amp;"_"&amp;K$61,$B$23:$B$45&amp;"_"&amp;$C$23:$C$45,$D$23:$D$45)*$E1207)</f>
        <v>4.74107497116494</v>
      </c>
      <c r="L1207" s="67" cm="1">
        <f ca="1" t="array" ref="L1207">MIN(6,_xlfn.XLOOKUP($D1207&amp;"_"&amp;L$61,$B$23:$B$45&amp;"_"&amp;$C$23:$C$45,$D$23:$D$45)*$E1207)</f>
        <v>6</v>
      </c>
      <c r="M1207" s="67" cm="1">
        <f ca="1" t="array" ref="M1207">(1+SUMPRODUCT(G1207:H1207,OFFSET($H$49:$I$49,D1207,0)))*(1+OFFSET($J$49,D1207,0))^I1207*(1+OFFSET($K$49,D1207,0))^J1207*(1+OFFSET($L$49,D1207,0))^K1207*(1+OFFSET($M$49,D1207,0))^L1207</f>
        <v>376.323279582015</v>
      </c>
      <c r="N1207" s="67">
        <f ca="1">MAX(MAX($N$62:N1206),OFFSET($C$61,MATCH(M1207*1.07,$M$62:$M$2061,1),0)-C1207)</f>
        <v>50400</v>
      </c>
    </row>
    <row r="1208" spans="2:14">
      <c r="B1208" s="67">
        <v>1147</v>
      </c>
      <c r="C1208" s="67">
        <f t="shared" si="116"/>
        <v>412920</v>
      </c>
      <c r="D1208" s="67">
        <f t="shared" si="111"/>
        <v>5</v>
      </c>
      <c r="E1208" s="67">
        <f ca="1" t="shared" si="112"/>
        <v>1177</v>
      </c>
      <c r="F1208" s="67">
        <f ca="1" t="shared" si="117"/>
        <v>0</v>
      </c>
      <c r="G1208" s="67">
        <f ca="1" t="shared" si="118"/>
        <v>0</v>
      </c>
      <c r="H1208" s="67" cm="1">
        <f ca="1" t="array" ref="H1208">MIN(30-SUM(I1208:L1208),_xlfn.XLOOKUP($D1208&amp;"_"&amp;H$61,$B$23:$B$45&amp;"_"&amp;$C$23:$C$45,$D$23:$D$45)*$E1208,18)</f>
        <v>11.254893502499</v>
      </c>
      <c r="I1208" s="67" cm="1">
        <f ca="1" t="array" ref="I1208">MIN(30-SUM(J1208:L1208),6-L1208,_xlfn.XLOOKUP($D1208&amp;"_"&amp;I$61,$B$23:$B$45&amp;"_"&amp;$C$23:$C$45,$D$23:$D$45)*$E1208)</f>
        <v>0</v>
      </c>
      <c r="J1208" s="67" cm="1">
        <f ca="1" t="array" ref="J1208">MIN(8,_xlfn.XLOOKUP($D1208&amp;"_"&amp;J$61,$B$23:$B$45&amp;"_"&amp;$C$23:$C$45,$D$23:$D$45)*$E1208)</f>
        <v>8</v>
      </c>
      <c r="K1208" s="67" cm="1">
        <f ca="1" t="array" ref="K1208">MIN(18,_xlfn.XLOOKUP($D1208&amp;"_"&amp;K$61,$B$23:$B$45&amp;"_"&amp;$C$23:$C$45,$D$23:$D$45)*$E1208)</f>
        <v>4.74510649750097</v>
      </c>
      <c r="L1208" s="67" cm="1">
        <f ca="1" t="array" ref="L1208">MIN(6,_xlfn.XLOOKUP($D1208&amp;"_"&amp;L$61,$B$23:$B$45&amp;"_"&amp;$C$23:$C$45,$D$23:$D$45)*$E1208)</f>
        <v>6</v>
      </c>
      <c r="M1208" s="67" cm="1">
        <f ca="1" t="array" ref="M1208">(1+SUMPRODUCT(G1208:H1208,OFFSET($H$49:$I$49,D1208,0)))*(1+OFFSET($J$49,D1208,0))^I1208*(1+OFFSET($K$49,D1208,0))^J1208*(1+OFFSET($L$49,D1208,0))^K1208*(1+OFFSET($M$49,D1208,0))^L1208</f>
        <v>376.506610847328</v>
      </c>
      <c r="N1208" s="67">
        <f ca="1">MAX(MAX($N$62:N1207),OFFSET($C$61,MATCH(M1208*1.07,$M$62:$M$2061,1),0)-C1208)</f>
        <v>50400</v>
      </c>
    </row>
    <row r="1209" spans="2:14">
      <c r="B1209" s="67">
        <v>1148</v>
      </c>
      <c r="C1209" s="67">
        <f t="shared" si="116"/>
        <v>413280</v>
      </c>
      <c r="D1209" s="67">
        <f t="shared" si="111"/>
        <v>5</v>
      </c>
      <c r="E1209" s="67">
        <f ca="1" t="shared" si="112"/>
        <v>1178</v>
      </c>
      <c r="F1209" s="67">
        <f ca="1" t="shared" si="117"/>
        <v>0</v>
      </c>
      <c r="G1209" s="67">
        <f ca="1" t="shared" si="118"/>
        <v>0</v>
      </c>
      <c r="H1209" s="67" cm="1">
        <f ca="1" t="array" ref="H1209">MIN(30-SUM(I1209:L1209),_xlfn.XLOOKUP($D1209&amp;"_"&amp;H$61,$B$23:$B$45&amp;"_"&amp;$C$23:$C$45,$D$23:$D$45)*$E1209,18)</f>
        <v>11.250861976163</v>
      </c>
      <c r="I1209" s="67" cm="1">
        <f ca="1" t="array" ref="I1209">MIN(30-SUM(J1209:L1209),6-L1209,_xlfn.XLOOKUP($D1209&amp;"_"&amp;I$61,$B$23:$B$45&amp;"_"&amp;$C$23:$C$45,$D$23:$D$45)*$E1209)</f>
        <v>0</v>
      </c>
      <c r="J1209" s="67" cm="1">
        <f ca="1" t="array" ref="J1209">MIN(8,_xlfn.XLOOKUP($D1209&amp;"_"&amp;J$61,$B$23:$B$45&amp;"_"&amp;$C$23:$C$45,$D$23:$D$45)*$E1209)</f>
        <v>8</v>
      </c>
      <c r="K1209" s="67" cm="1">
        <f ca="1" t="array" ref="K1209">MIN(18,_xlfn.XLOOKUP($D1209&amp;"_"&amp;K$61,$B$23:$B$45&amp;"_"&amp;$C$23:$C$45,$D$23:$D$45)*$E1209)</f>
        <v>4.74913802383699</v>
      </c>
      <c r="L1209" s="67" cm="1">
        <f ca="1" t="array" ref="L1209">MIN(6,_xlfn.XLOOKUP($D1209&amp;"_"&amp;L$61,$B$23:$B$45&amp;"_"&amp;$C$23:$C$45,$D$23:$D$45)*$E1209)</f>
        <v>6</v>
      </c>
      <c r="M1209" s="67" cm="1">
        <f ca="1" t="array" ref="M1209">(1+SUMPRODUCT(G1209:H1209,OFFSET($H$49:$I$49,D1209,0)))*(1+OFFSET($J$49,D1209,0))^I1209*(1+OFFSET($K$49,D1209,0))^J1209*(1+OFFSET($L$49,D1209,0))^K1209*(1+OFFSET($M$49,D1209,0))^L1209</f>
        <v>376.690008253548</v>
      </c>
      <c r="N1209" s="67">
        <f ca="1">MAX(MAX($N$62:N1208),OFFSET($C$61,MATCH(M1209*1.07,$M$62:$M$2061,1),0)-C1209)</f>
        <v>50400</v>
      </c>
    </row>
    <row r="1210" spans="2:14">
      <c r="B1210" s="67">
        <v>1149</v>
      </c>
      <c r="C1210" s="67">
        <f t="shared" si="116"/>
        <v>413640</v>
      </c>
      <c r="D1210" s="67">
        <f t="shared" si="111"/>
        <v>5</v>
      </c>
      <c r="E1210" s="67">
        <f ca="1" t="shared" si="112"/>
        <v>1179</v>
      </c>
      <c r="F1210" s="67">
        <f ca="1" t="shared" si="117"/>
        <v>0</v>
      </c>
      <c r="G1210" s="67">
        <f ca="1" t="shared" si="118"/>
        <v>0</v>
      </c>
      <c r="H1210" s="67" cm="1">
        <f ca="1" t="array" ref="H1210">MIN(30-SUM(I1210:L1210),_xlfn.XLOOKUP($D1210&amp;"_"&amp;H$61,$B$23:$B$45&amp;"_"&amp;$C$23:$C$45,$D$23:$D$45)*$E1210,18)</f>
        <v>11.246830449827</v>
      </c>
      <c r="I1210" s="67" cm="1">
        <f ca="1" t="array" ref="I1210">MIN(30-SUM(J1210:L1210),6-L1210,_xlfn.XLOOKUP($D1210&amp;"_"&amp;I$61,$B$23:$B$45&amp;"_"&amp;$C$23:$C$45,$D$23:$D$45)*$E1210)</f>
        <v>0</v>
      </c>
      <c r="J1210" s="67" cm="1">
        <f ca="1" t="array" ref="J1210">MIN(8,_xlfn.XLOOKUP($D1210&amp;"_"&amp;J$61,$B$23:$B$45&amp;"_"&amp;$C$23:$C$45,$D$23:$D$45)*$E1210)</f>
        <v>8</v>
      </c>
      <c r="K1210" s="67" cm="1">
        <f ca="1" t="array" ref="K1210">MIN(18,_xlfn.XLOOKUP($D1210&amp;"_"&amp;K$61,$B$23:$B$45&amp;"_"&amp;$C$23:$C$45,$D$23:$D$45)*$E1210)</f>
        <v>4.75316955017301</v>
      </c>
      <c r="L1210" s="67" cm="1">
        <f ca="1" t="array" ref="L1210">MIN(6,_xlfn.XLOOKUP($D1210&amp;"_"&amp;L$61,$B$23:$B$45&amp;"_"&amp;$C$23:$C$45,$D$23:$D$45)*$E1210)</f>
        <v>6</v>
      </c>
      <c r="M1210" s="67" cm="1">
        <f ca="1" t="array" ref="M1210">(1+SUMPRODUCT(G1210:H1210,OFFSET($H$49:$I$49,D1210,0)))*(1+OFFSET($J$49,D1210,0))^I1210*(1+OFFSET($K$49,D1210,0))^J1210*(1+OFFSET($L$49,D1210,0))^K1210*(1+OFFSET($M$49,D1210,0))^L1210</f>
        <v>376.873471798822</v>
      </c>
      <c r="N1210" s="67">
        <f ca="1">MAX(MAX($N$62:N1209),OFFSET($C$61,MATCH(M1210*1.07,$M$62:$M$2061,1),0)-C1210)</f>
        <v>50400</v>
      </c>
    </row>
    <row r="1211" spans="2:14">
      <c r="B1211" s="67">
        <v>1150</v>
      </c>
      <c r="C1211" s="67">
        <f t="shared" si="116"/>
        <v>414000</v>
      </c>
      <c r="D1211" s="67">
        <f t="shared" si="111"/>
        <v>5</v>
      </c>
      <c r="E1211" s="67">
        <f ca="1" t="shared" si="112"/>
        <v>1180</v>
      </c>
      <c r="F1211" s="67">
        <f ca="1" t="shared" si="117"/>
        <v>0</v>
      </c>
      <c r="G1211" s="67">
        <f ca="1" t="shared" si="118"/>
        <v>0</v>
      </c>
      <c r="H1211" s="67" cm="1">
        <f ca="1" t="array" ref="H1211">MIN(30-SUM(I1211:L1211),_xlfn.XLOOKUP($D1211&amp;"_"&amp;H$61,$B$23:$B$45&amp;"_"&amp;$C$23:$C$45,$D$23:$D$45)*$E1211,18)</f>
        <v>11.242798923491</v>
      </c>
      <c r="I1211" s="67" cm="1">
        <f ca="1" t="array" ref="I1211">MIN(30-SUM(J1211:L1211),6-L1211,_xlfn.XLOOKUP($D1211&amp;"_"&amp;I$61,$B$23:$B$45&amp;"_"&amp;$C$23:$C$45,$D$23:$D$45)*$E1211)</f>
        <v>0</v>
      </c>
      <c r="J1211" s="67" cm="1">
        <f ca="1" t="array" ref="J1211">MIN(8,_xlfn.XLOOKUP($D1211&amp;"_"&amp;J$61,$B$23:$B$45&amp;"_"&amp;$C$23:$C$45,$D$23:$D$45)*$E1211)</f>
        <v>8</v>
      </c>
      <c r="K1211" s="67" cm="1">
        <f ca="1" t="array" ref="K1211">MIN(18,_xlfn.XLOOKUP($D1211&amp;"_"&amp;K$61,$B$23:$B$45&amp;"_"&amp;$C$23:$C$45,$D$23:$D$45)*$E1211)</f>
        <v>4.75720107650904</v>
      </c>
      <c r="L1211" s="67" cm="1">
        <f ca="1" t="array" ref="L1211">MIN(6,_xlfn.XLOOKUP($D1211&amp;"_"&amp;L$61,$B$23:$B$45&amp;"_"&amp;$C$23:$C$45,$D$23:$D$45)*$E1211)</f>
        <v>6</v>
      </c>
      <c r="M1211" s="67" cm="1">
        <f ca="1" t="array" ref="M1211">(1+SUMPRODUCT(G1211:H1211,OFFSET($H$49:$I$49,D1211,0)))*(1+OFFSET($J$49,D1211,0))^I1211*(1+OFFSET($K$49,D1211,0))^J1211*(1+OFFSET($L$49,D1211,0))^K1211*(1+OFFSET($M$49,D1211,0))^L1211</f>
        <v>377.057001481256</v>
      </c>
      <c r="N1211" s="67">
        <f ca="1">MAX(MAX($N$62:N1210),OFFSET($C$61,MATCH(M1211*1.07,$M$62:$M$2061,1),0)-C1211)</f>
        <v>50400</v>
      </c>
    </row>
    <row r="1212" spans="2:14">
      <c r="B1212" s="67">
        <v>1151</v>
      </c>
      <c r="C1212" s="67">
        <f t="shared" si="116"/>
        <v>414360</v>
      </c>
      <c r="D1212" s="67">
        <f t="shared" si="111"/>
        <v>5</v>
      </c>
      <c r="E1212" s="67">
        <f ca="1" t="shared" si="112"/>
        <v>1181</v>
      </c>
      <c r="F1212" s="67">
        <f ca="1" t="shared" si="117"/>
        <v>0</v>
      </c>
      <c r="G1212" s="67">
        <f ca="1" t="shared" si="118"/>
        <v>0</v>
      </c>
      <c r="H1212" s="67" cm="1">
        <f ca="1" t="array" ref="H1212">MIN(30-SUM(I1212:L1212),_xlfn.XLOOKUP($D1212&amp;"_"&amp;H$61,$B$23:$B$45&amp;"_"&amp;$C$23:$C$45,$D$23:$D$45)*$E1212,18)</f>
        <v>11.2387673971549</v>
      </c>
      <c r="I1212" s="67" cm="1">
        <f ca="1" t="array" ref="I1212">MIN(30-SUM(J1212:L1212),6-L1212,_xlfn.XLOOKUP($D1212&amp;"_"&amp;I$61,$B$23:$B$45&amp;"_"&amp;$C$23:$C$45,$D$23:$D$45)*$E1212)</f>
        <v>0</v>
      </c>
      <c r="J1212" s="67" cm="1">
        <f ca="1" t="array" ref="J1212">MIN(8,_xlfn.XLOOKUP($D1212&amp;"_"&amp;J$61,$B$23:$B$45&amp;"_"&amp;$C$23:$C$45,$D$23:$D$45)*$E1212)</f>
        <v>8</v>
      </c>
      <c r="K1212" s="67" cm="1">
        <f ca="1" t="array" ref="K1212">MIN(18,_xlfn.XLOOKUP($D1212&amp;"_"&amp;K$61,$B$23:$B$45&amp;"_"&amp;$C$23:$C$45,$D$23:$D$45)*$E1212)</f>
        <v>4.76123260284506</v>
      </c>
      <c r="L1212" s="67" cm="1">
        <f ca="1" t="array" ref="L1212">MIN(6,_xlfn.XLOOKUP($D1212&amp;"_"&amp;L$61,$B$23:$B$45&amp;"_"&amp;$C$23:$C$45,$D$23:$D$45)*$E1212)</f>
        <v>6</v>
      </c>
      <c r="M1212" s="67" cm="1">
        <f ca="1" t="array" ref="M1212">(1+SUMPRODUCT(G1212:H1212,OFFSET($H$49:$I$49,D1212,0)))*(1+OFFSET($J$49,D1212,0))^I1212*(1+OFFSET($K$49,D1212,0))^J1212*(1+OFFSET($L$49,D1212,0))^K1212*(1+OFFSET($M$49,D1212,0))^L1212</f>
        <v>377.240597298919</v>
      </c>
      <c r="N1212" s="67">
        <f ca="1">MAX(MAX($N$62:N1211),OFFSET($C$61,MATCH(M1212*1.07,$M$62:$M$2061,1),0)-C1212)</f>
        <v>50400</v>
      </c>
    </row>
    <row r="1213" spans="2:14">
      <c r="B1213" s="67">
        <v>1152</v>
      </c>
      <c r="C1213" s="67">
        <f t="shared" si="116"/>
        <v>414720</v>
      </c>
      <c r="D1213" s="67">
        <f t="shared" si="111"/>
        <v>5</v>
      </c>
      <c r="E1213" s="67">
        <f ca="1" t="shared" si="112"/>
        <v>1182</v>
      </c>
      <c r="F1213" s="67">
        <f ca="1" t="shared" si="117"/>
        <v>0</v>
      </c>
      <c r="G1213" s="67">
        <f ca="1" t="shared" si="118"/>
        <v>0</v>
      </c>
      <c r="H1213" s="67" cm="1">
        <f ca="1" t="array" ref="H1213">MIN(30-SUM(I1213:L1213),_xlfn.XLOOKUP($D1213&amp;"_"&amp;H$61,$B$23:$B$45&amp;"_"&amp;$C$23:$C$45,$D$23:$D$45)*$E1213,18)</f>
        <v>11.2347358708189</v>
      </c>
      <c r="I1213" s="67" cm="1">
        <f ca="1" t="array" ref="I1213">MIN(30-SUM(J1213:L1213),6-L1213,_xlfn.XLOOKUP($D1213&amp;"_"&amp;I$61,$B$23:$B$45&amp;"_"&amp;$C$23:$C$45,$D$23:$D$45)*$E1213)</f>
        <v>0</v>
      </c>
      <c r="J1213" s="67" cm="1">
        <f ca="1" t="array" ref="J1213">MIN(8,_xlfn.XLOOKUP($D1213&amp;"_"&amp;J$61,$B$23:$B$45&amp;"_"&amp;$C$23:$C$45,$D$23:$D$45)*$E1213)</f>
        <v>8</v>
      </c>
      <c r="K1213" s="67" cm="1">
        <f ca="1" t="array" ref="K1213">MIN(18,_xlfn.XLOOKUP($D1213&amp;"_"&amp;K$61,$B$23:$B$45&amp;"_"&amp;$C$23:$C$45,$D$23:$D$45)*$E1213)</f>
        <v>4.76526412918109</v>
      </c>
      <c r="L1213" s="67" cm="1">
        <f ca="1" t="array" ref="L1213">MIN(6,_xlfn.XLOOKUP($D1213&amp;"_"&amp;L$61,$B$23:$B$45&amp;"_"&amp;$C$23:$C$45,$D$23:$D$45)*$E1213)</f>
        <v>6</v>
      </c>
      <c r="M1213" s="67" cm="1">
        <f ca="1" t="array" ref="M1213">(1+SUMPRODUCT(G1213:H1213,OFFSET($H$49:$I$49,D1213,0)))*(1+OFFSET($J$49,D1213,0))^I1213*(1+OFFSET($K$49,D1213,0))^J1213*(1+OFFSET($L$49,D1213,0))^K1213*(1+OFFSET($M$49,D1213,0))^L1213</f>
        <v>377.424259249838</v>
      </c>
      <c r="N1213" s="67">
        <f ca="1">MAX(MAX($N$62:N1212),OFFSET($C$61,MATCH(M1213*1.07,$M$62:$M$2061,1),0)-C1213)</f>
        <v>50400</v>
      </c>
    </row>
    <row r="1214" spans="2:14">
      <c r="B1214" s="67">
        <v>1153</v>
      </c>
      <c r="C1214" s="67">
        <f t="shared" si="116"/>
        <v>415080</v>
      </c>
      <c r="D1214" s="67">
        <f t="shared" si="111"/>
        <v>5</v>
      </c>
      <c r="E1214" s="67">
        <f ca="1" t="shared" si="112"/>
        <v>1183</v>
      </c>
      <c r="F1214" s="67">
        <f ca="1" t="shared" si="117"/>
        <v>0</v>
      </c>
      <c r="G1214" s="67">
        <f ca="1" t="shared" si="118"/>
        <v>0</v>
      </c>
      <c r="H1214" s="67" cm="1">
        <f ca="1" t="array" ref="H1214">MIN(30-SUM(I1214:L1214),_xlfn.XLOOKUP($D1214&amp;"_"&amp;H$61,$B$23:$B$45&amp;"_"&amp;$C$23:$C$45,$D$23:$D$45)*$E1214,18)</f>
        <v>11.2307043444829</v>
      </c>
      <c r="I1214" s="67" cm="1">
        <f ca="1" t="array" ref="I1214">MIN(30-SUM(J1214:L1214),6-L1214,_xlfn.XLOOKUP($D1214&amp;"_"&amp;I$61,$B$23:$B$45&amp;"_"&amp;$C$23:$C$45,$D$23:$D$45)*$E1214)</f>
        <v>0</v>
      </c>
      <c r="J1214" s="67" cm="1">
        <f ca="1" t="array" ref="J1214">MIN(8,_xlfn.XLOOKUP($D1214&amp;"_"&amp;J$61,$B$23:$B$45&amp;"_"&amp;$C$23:$C$45,$D$23:$D$45)*$E1214)</f>
        <v>8</v>
      </c>
      <c r="K1214" s="67" cm="1">
        <f ca="1" t="array" ref="K1214">MIN(18,_xlfn.XLOOKUP($D1214&amp;"_"&amp;K$61,$B$23:$B$45&amp;"_"&amp;$C$23:$C$45,$D$23:$D$45)*$E1214)</f>
        <v>4.76929565551711</v>
      </c>
      <c r="L1214" s="67" cm="1">
        <f ca="1" t="array" ref="L1214">MIN(6,_xlfn.XLOOKUP($D1214&amp;"_"&amp;L$61,$B$23:$B$45&amp;"_"&amp;$C$23:$C$45,$D$23:$D$45)*$E1214)</f>
        <v>6</v>
      </c>
      <c r="M1214" s="67" cm="1">
        <f ca="1" t="array" ref="M1214">(1+SUMPRODUCT(G1214:H1214,OFFSET($H$49:$I$49,D1214,0)))*(1+OFFSET($J$49,D1214,0))^I1214*(1+OFFSET($K$49,D1214,0))^J1214*(1+OFFSET($L$49,D1214,0))^K1214*(1+OFFSET($M$49,D1214,0))^L1214</f>
        <v>377.607987332007</v>
      </c>
      <c r="N1214" s="67">
        <f ca="1">MAX(MAX($N$62:N1213),OFFSET($C$61,MATCH(M1214*1.07,$M$62:$M$2061,1),0)-C1214)</f>
        <v>50400</v>
      </c>
    </row>
    <row r="1215" spans="2:14">
      <c r="B1215" s="67">
        <v>1154</v>
      </c>
      <c r="C1215" s="67">
        <f t="shared" si="116"/>
        <v>415440</v>
      </c>
      <c r="D1215" s="67">
        <f t="shared" ref="D1215:D1278" si="119">_xlfn.XLOOKUP("非R",$B$49:$B$54,$C$49:$C$54)</f>
        <v>5</v>
      </c>
      <c r="E1215" s="67">
        <f ca="1" t="shared" ref="E1215:E1278" si="120">INT(C1215/_xlfn.XLOOKUP(D1215,$R$14:$R$21,$S$14:$S$21))+OFFSET($R$49,D1215,0)</f>
        <v>1184</v>
      </c>
      <c r="F1215" s="67">
        <f ca="1" t="shared" si="117"/>
        <v>0</v>
      </c>
      <c r="G1215" s="67">
        <f ca="1" t="shared" si="118"/>
        <v>0</v>
      </c>
      <c r="H1215" s="67" cm="1">
        <f ca="1" t="array" ref="H1215">MIN(30-SUM(I1215:L1215),_xlfn.XLOOKUP($D1215&amp;"_"&amp;H$61,$B$23:$B$45&amp;"_"&amp;$C$23:$C$45,$D$23:$D$45)*$E1215,18)</f>
        <v>11.2266728181469</v>
      </c>
      <c r="I1215" s="67" cm="1">
        <f ca="1" t="array" ref="I1215">MIN(30-SUM(J1215:L1215),6-L1215,_xlfn.XLOOKUP($D1215&amp;"_"&amp;I$61,$B$23:$B$45&amp;"_"&amp;$C$23:$C$45,$D$23:$D$45)*$E1215)</f>
        <v>0</v>
      </c>
      <c r="J1215" s="67" cm="1">
        <f ca="1" t="array" ref="J1215">MIN(8,_xlfn.XLOOKUP($D1215&amp;"_"&amp;J$61,$B$23:$B$45&amp;"_"&amp;$C$23:$C$45,$D$23:$D$45)*$E1215)</f>
        <v>8</v>
      </c>
      <c r="K1215" s="67" cm="1">
        <f ca="1" t="array" ref="K1215">MIN(18,_xlfn.XLOOKUP($D1215&amp;"_"&amp;K$61,$B$23:$B$45&amp;"_"&amp;$C$23:$C$45,$D$23:$D$45)*$E1215)</f>
        <v>4.77332718185314</v>
      </c>
      <c r="L1215" s="67" cm="1">
        <f ca="1" t="array" ref="L1215">MIN(6,_xlfn.XLOOKUP($D1215&amp;"_"&amp;L$61,$B$23:$B$45&amp;"_"&amp;$C$23:$C$45,$D$23:$D$45)*$E1215)</f>
        <v>6</v>
      </c>
      <c r="M1215" s="67" cm="1">
        <f ca="1" t="array" ref="M1215">(1+SUMPRODUCT(G1215:H1215,OFFSET($H$49:$I$49,D1215,0)))*(1+OFFSET($J$49,D1215,0))^I1215*(1+OFFSET($K$49,D1215,0))^J1215*(1+OFFSET($L$49,D1215,0))^K1215*(1+OFFSET($M$49,D1215,0))^L1215</f>
        <v>377.791781543377</v>
      </c>
      <c r="N1215" s="67">
        <f ca="1">MAX(MAX($N$62:N1214),OFFSET($C$61,MATCH(M1215*1.07,$M$62:$M$2061,1),0)-C1215)</f>
        <v>50400</v>
      </c>
    </row>
    <row r="1216" spans="2:14">
      <c r="B1216" s="67">
        <v>1155</v>
      </c>
      <c r="C1216" s="67">
        <f t="shared" si="116"/>
        <v>415800</v>
      </c>
      <c r="D1216" s="67">
        <f t="shared" si="119"/>
        <v>5</v>
      </c>
      <c r="E1216" s="67">
        <f ca="1" t="shared" si="120"/>
        <v>1185</v>
      </c>
      <c r="F1216" s="67">
        <f ca="1" t="shared" si="117"/>
        <v>0</v>
      </c>
      <c r="G1216" s="67">
        <f ca="1" t="shared" si="118"/>
        <v>0</v>
      </c>
      <c r="H1216" s="67" cm="1">
        <f ca="1" t="array" ref="H1216">MIN(30-SUM(I1216:L1216),_xlfn.XLOOKUP($D1216&amp;"_"&amp;H$61,$B$23:$B$45&amp;"_"&amp;$C$23:$C$45,$D$23:$D$45)*$E1216,18)</f>
        <v>11.2226412918108</v>
      </c>
      <c r="I1216" s="67" cm="1">
        <f ca="1" t="array" ref="I1216">MIN(30-SUM(J1216:L1216),6-L1216,_xlfn.XLOOKUP($D1216&amp;"_"&amp;I$61,$B$23:$B$45&amp;"_"&amp;$C$23:$C$45,$D$23:$D$45)*$E1216)</f>
        <v>0</v>
      </c>
      <c r="J1216" s="67" cm="1">
        <f ca="1" t="array" ref="J1216">MIN(8,_xlfn.XLOOKUP($D1216&amp;"_"&amp;J$61,$B$23:$B$45&amp;"_"&amp;$C$23:$C$45,$D$23:$D$45)*$E1216)</f>
        <v>8</v>
      </c>
      <c r="K1216" s="67" cm="1">
        <f ca="1" t="array" ref="K1216">MIN(18,_xlfn.XLOOKUP($D1216&amp;"_"&amp;K$61,$B$23:$B$45&amp;"_"&amp;$C$23:$C$45,$D$23:$D$45)*$E1216)</f>
        <v>4.77735870818916</v>
      </c>
      <c r="L1216" s="67" cm="1">
        <f ca="1" t="array" ref="L1216">MIN(6,_xlfn.XLOOKUP($D1216&amp;"_"&amp;L$61,$B$23:$B$45&amp;"_"&amp;$C$23:$C$45,$D$23:$D$45)*$E1216)</f>
        <v>6</v>
      </c>
      <c r="M1216" s="67" cm="1">
        <f ca="1" t="array" ref="M1216">(1+SUMPRODUCT(G1216:H1216,OFFSET($H$49:$I$49,D1216,0)))*(1+OFFSET($J$49,D1216,0))^I1216*(1+OFFSET($K$49,D1216,0))^J1216*(1+OFFSET($L$49,D1216,0))^K1216*(1+OFFSET($M$49,D1216,0))^L1216</f>
        <v>377.975641881861</v>
      </c>
      <c r="N1216" s="67">
        <f ca="1">MAX(MAX($N$62:N1215),OFFSET($C$61,MATCH(M1216*1.07,$M$62:$M$2061,1),0)-C1216)</f>
        <v>50400</v>
      </c>
    </row>
    <row r="1217" spans="2:14">
      <c r="B1217" s="67">
        <v>1156</v>
      </c>
      <c r="C1217" s="67">
        <f t="shared" si="116"/>
        <v>416160</v>
      </c>
      <c r="D1217" s="67">
        <f t="shared" si="119"/>
        <v>5</v>
      </c>
      <c r="E1217" s="67">
        <f ca="1" t="shared" si="120"/>
        <v>1186</v>
      </c>
      <c r="F1217" s="67">
        <f ca="1" t="shared" si="117"/>
        <v>0</v>
      </c>
      <c r="G1217" s="67">
        <f ca="1" t="shared" si="118"/>
        <v>0</v>
      </c>
      <c r="H1217" s="67" cm="1">
        <f ca="1" t="array" ref="H1217">MIN(30-SUM(I1217:L1217),_xlfn.XLOOKUP($D1217&amp;"_"&amp;H$61,$B$23:$B$45&amp;"_"&amp;$C$23:$C$45,$D$23:$D$45)*$E1217,18)</f>
        <v>11.2186097654748</v>
      </c>
      <c r="I1217" s="67" cm="1">
        <f ca="1" t="array" ref="I1217">MIN(30-SUM(J1217:L1217),6-L1217,_xlfn.XLOOKUP($D1217&amp;"_"&amp;I$61,$B$23:$B$45&amp;"_"&amp;$C$23:$C$45,$D$23:$D$45)*$E1217)</f>
        <v>0</v>
      </c>
      <c r="J1217" s="67" cm="1">
        <f ca="1" t="array" ref="J1217">MIN(8,_xlfn.XLOOKUP($D1217&amp;"_"&amp;J$61,$B$23:$B$45&amp;"_"&amp;$C$23:$C$45,$D$23:$D$45)*$E1217)</f>
        <v>8</v>
      </c>
      <c r="K1217" s="67" cm="1">
        <f ca="1" t="array" ref="K1217">MIN(18,_xlfn.XLOOKUP($D1217&amp;"_"&amp;K$61,$B$23:$B$45&amp;"_"&amp;$C$23:$C$45,$D$23:$D$45)*$E1217)</f>
        <v>4.78139023452519</v>
      </c>
      <c r="L1217" s="67" cm="1">
        <f ca="1" t="array" ref="L1217">MIN(6,_xlfn.XLOOKUP($D1217&amp;"_"&amp;L$61,$B$23:$B$45&amp;"_"&amp;$C$23:$C$45,$D$23:$D$45)*$E1217)</f>
        <v>6</v>
      </c>
      <c r="M1217" s="67" cm="1">
        <f ca="1" t="array" ref="M1217">(1+SUMPRODUCT(G1217:H1217,OFFSET($H$49:$I$49,D1217,0)))*(1+OFFSET($J$49,D1217,0))^I1217*(1+OFFSET($K$49,D1217,0))^J1217*(1+OFFSET($L$49,D1217,0))^K1217*(1+OFFSET($M$49,D1217,0))^L1217</f>
        <v>378.159568345334</v>
      </c>
      <c r="N1217" s="67">
        <f ca="1">MAX(MAX($N$62:N1216),OFFSET($C$61,MATCH(M1217*1.07,$M$62:$M$2061,1),0)-C1217)</f>
        <v>50400</v>
      </c>
    </row>
    <row r="1218" spans="2:14">
      <c r="B1218" s="67">
        <v>1157</v>
      </c>
      <c r="C1218" s="67">
        <f t="shared" si="116"/>
        <v>416520</v>
      </c>
      <c r="D1218" s="67">
        <f t="shared" si="119"/>
        <v>5</v>
      </c>
      <c r="E1218" s="67">
        <f ca="1" t="shared" si="120"/>
        <v>1187</v>
      </c>
      <c r="F1218" s="67">
        <f ca="1" t="shared" si="117"/>
        <v>0</v>
      </c>
      <c r="G1218" s="67">
        <f ca="1" t="shared" si="118"/>
        <v>0</v>
      </c>
      <c r="H1218" s="67" cm="1">
        <f ca="1" t="array" ref="H1218">MIN(30-SUM(I1218:L1218),_xlfn.XLOOKUP($D1218&amp;"_"&amp;H$61,$B$23:$B$45&amp;"_"&amp;$C$23:$C$45,$D$23:$D$45)*$E1218,18)</f>
        <v>11.2145782391388</v>
      </c>
      <c r="I1218" s="67" cm="1">
        <f ca="1" t="array" ref="I1218">MIN(30-SUM(J1218:L1218),6-L1218,_xlfn.XLOOKUP($D1218&amp;"_"&amp;I$61,$B$23:$B$45&amp;"_"&amp;$C$23:$C$45,$D$23:$D$45)*$E1218)</f>
        <v>0</v>
      </c>
      <c r="J1218" s="67" cm="1">
        <f ca="1" t="array" ref="J1218">MIN(8,_xlfn.XLOOKUP($D1218&amp;"_"&amp;J$61,$B$23:$B$45&amp;"_"&amp;$C$23:$C$45,$D$23:$D$45)*$E1218)</f>
        <v>8</v>
      </c>
      <c r="K1218" s="67" cm="1">
        <f ca="1" t="array" ref="K1218">MIN(18,_xlfn.XLOOKUP($D1218&amp;"_"&amp;K$61,$B$23:$B$45&amp;"_"&amp;$C$23:$C$45,$D$23:$D$45)*$E1218)</f>
        <v>4.78542176086121</v>
      </c>
      <c r="L1218" s="67" cm="1">
        <f ca="1" t="array" ref="L1218">MIN(6,_xlfn.XLOOKUP($D1218&amp;"_"&amp;L$61,$B$23:$B$45&amp;"_"&amp;$C$23:$C$45,$D$23:$D$45)*$E1218)</f>
        <v>6</v>
      </c>
      <c r="M1218" s="67" cm="1">
        <f ca="1" t="array" ref="M1218">(1+SUMPRODUCT(G1218:H1218,OFFSET($H$49:$I$49,D1218,0)))*(1+OFFSET($J$49,D1218,0))^I1218*(1+OFFSET($K$49,D1218,0))^J1218*(1+OFFSET($L$49,D1218,0))^K1218*(1+OFFSET($M$49,D1218,0))^L1218</f>
        <v>378.343560931631</v>
      </c>
      <c r="N1218" s="67">
        <f ca="1">MAX(MAX($N$62:N1217),OFFSET($C$61,MATCH(M1218*1.07,$M$62:$M$2061,1),0)-C1218)</f>
        <v>50400</v>
      </c>
    </row>
    <row r="1219" spans="2:14">
      <c r="B1219" s="67">
        <v>1158</v>
      </c>
      <c r="C1219" s="67">
        <f t="shared" si="116"/>
        <v>416880</v>
      </c>
      <c r="D1219" s="67">
        <f t="shared" si="119"/>
        <v>5</v>
      </c>
      <c r="E1219" s="67">
        <f ca="1" t="shared" si="120"/>
        <v>1188</v>
      </c>
      <c r="F1219" s="67">
        <f ca="1" t="shared" si="117"/>
        <v>0</v>
      </c>
      <c r="G1219" s="67">
        <f ca="1" t="shared" si="118"/>
        <v>0</v>
      </c>
      <c r="H1219" s="67" cm="1">
        <f ca="1" t="array" ref="H1219">MIN(30-SUM(I1219:L1219),_xlfn.XLOOKUP($D1219&amp;"_"&amp;H$61,$B$23:$B$45&amp;"_"&amp;$C$23:$C$45,$D$23:$D$45)*$E1219,18)</f>
        <v>11.2105467128028</v>
      </c>
      <c r="I1219" s="67" cm="1">
        <f ca="1" t="array" ref="I1219">MIN(30-SUM(J1219:L1219),6-L1219,_xlfn.XLOOKUP($D1219&amp;"_"&amp;I$61,$B$23:$B$45&amp;"_"&amp;$C$23:$C$45,$D$23:$D$45)*$E1219)</f>
        <v>0</v>
      </c>
      <c r="J1219" s="67" cm="1">
        <f ca="1" t="array" ref="J1219">MIN(8,_xlfn.XLOOKUP($D1219&amp;"_"&amp;J$61,$B$23:$B$45&amp;"_"&amp;$C$23:$C$45,$D$23:$D$45)*$E1219)</f>
        <v>8</v>
      </c>
      <c r="K1219" s="67" cm="1">
        <f ca="1" t="array" ref="K1219">MIN(18,_xlfn.XLOOKUP($D1219&amp;"_"&amp;K$61,$B$23:$B$45&amp;"_"&amp;$C$23:$C$45,$D$23:$D$45)*$E1219)</f>
        <v>4.78945328719724</v>
      </c>
      <c r="L1219" s="67" cm="1">
        <f ca="1" t="array" ref="L1219">MIN(6,_xlfn.XLOOKUP($D1219&amp;"_"&amp;L$61,$B$23:$B$45&amp;"_"&amp;$C$23:$C$45,$D$23:$D$45)*$E1219)</f>
        <v>6</v>
      </c>
      <c r="M1219" s="67" cm="1">
        <f ca="1" t="array" ref="M1219">(1+SUMPRODUCT(G1219:H1219,OFFSET($H$49:$I$49,D1219,0)))*(1+OFFSET($J$49,D1219,0))^I1219*(1+OFFSET($K$49,D1219,0))^J1219*(1+OFFSET($L$49,D1219,0))^K1219*(1+OFFSET($M$49,D1219,0))^L1219</f>
        <v>378.527619638551</v>
      </c>
      <c r="N1219" s="67">
        <f ca="1">MAX(MAX($N$62:N1218),OFFSET($C$61,MATCH(M1219*1.07,$M$62:$M$2061,1),0)-C1219)</f>
        <v>50400</v>
      </c>
    </row>
    <row r="1220" spans="2:14">
      <c r="B1220" s="67">
        <v>1159</v>
      </c>
      <c r="C1220" s="67">
        <f t="shared" si="116"/>
        <v>417240</v>
      </c>
      <c r="D1220" s="67">
        <f t="shared" si="119"/>
        <v>5</v>
      </c>
      <c r="E1220" s="67">
        <f ca="1" t="shared" si="120"/>
        <v>1189</v>
      </c>
      <c r="F1220" s="67">
        <f ca="1" t="shared" si="117"/>
        <v>0</v>
      </c>
      <c r="G1220" s="67">
        <f ca="1" t="shared" si="118"/>
        <v>0</v>
      </c>
      <c r="H1220" s="67" cm="1">
        <f ca="1" t="array" ref="H1220">MIN(30-SUM(I1220:L1220),_xlfn.XLOOKUP($D1220&amp;"_"&amp;H$61,$B$23:$B$45&amp;"_"&amp;$C$23:$C$45,$D$23:$D$45)*$E1220,18)</f>
        <v>11.2065151864667</v>
      </c>
      <c r="I1220" s="67" cm="1">
        <f ca="1" t="array" ref="I1220">MIN(30-SUM(J1220:L1220),6-L1220,_xlfn.XLOOKUP($D1220&amp;"_"&amp;I$61,$B$23:$B$45&amp;"_"&amp;$C$23:$C$45,$D$23:$D$45)*$E1220)</f>
        <v>0</v>
      </c>
      <c r="J1220" s="67" cm="1">
        <f ca="1" t="array" ref="J1220">MIN(8,_xlfn.XLOOKUP($D1220&amp;"_"&amp;J$61,$B$23:$B$45&amp;"_"&amp;$C$23:$C$45,$D$23:$D$45)*$E1220)</f>
        <v>8</v>
      </c>
      <c r="K1220" s="67" cm="1">
        <f ca="1" t="array" ref="K1220">MIN(18,_xlfn.XLOOKUP($D1220&amp;"_"&amp;K$61,$B$23:$B$45&amp;"_"&amp;$C$23:$C$45,$D$23:$D$45)*$E1220)</f>
        <v>4.79348481353326</v>
      </c>
      <c r="L1220" s="67" cm="1">
        <f ca="1" t="array" ref="L1220">MIN(6,_xlfn.XLOOKUP($D1220&amp;"_"&amp;L$61,$B$23:$B$45&amp;"_"&amp;$C$23:$C$45,$D$23:$D$45)*$E1220)</f>
        <v>6</v>
      </c>
      <c r="M1220" s="67" cm="1">
        <f ca="1" t="array" ref="M1220">(1+SUMPRODUCT(G1220:H1220,OFFSET($H$49:$I$49,D1220,0)))*(1+OFFSET($J$49,D1220,0))^I1220*(1+OFFSET($K$49,D1220,0))^J1220*(1+OFFSET($L$49,D1220,0))^K1220*(1+OFFSET($M$49,D1220,0))^L1220</f>
        <v>378.711744463849</v>
      </c>
      <c r="N1220" s="67">
        <f ca="1">MAX(MAX($N$62:N1219),OFFSET($C$61,MATCH(M1220*1.07,$M$62:$M$2061,1),0)-C1220)</f>
        <v>50400</v>
      </c>
    </row>
    <row r="1221" spans="2:14">
      <c r="B1221" s="67">
        <v>1160</v>
      </c>
      <c r="C1221" s="67">
        <f t="shared" si="116"/>
        <v>417600</v>
      </c>
      <c r="D1221" s="67">
        <f t="shared" si="119"/>
        <v>5</v>
      </c>
      <c r="E1221" s="67">
        <f ca="1" t="shared" si="120"/>
        <v>1190</v>
      </c>
      <c r="F1221" s="67">
        <f ca="1" t="shared" si="117"/>
        <v>0</v>
      </c>
      <c r="G1221" s="67">
        <f ca="1" t="shared" si="118"/>
        <v>0</v>
      </c>
      <c r="H1221" s="67" cm="1">
        <f ca="1" t="array" ref="H1221">MIN(30-SUM(I1221:L1221),_xlfn.XLOOKUP($D1221&amp;"_"&amp;H$61,$B$23:$B$45&amp;"_"&amp;$C$23:$C$45,$D$23:$D$45)*$E1221,18)</f>
        <v>11.2024836601307</v>
      </c>
      <c r="I1221" s="67" cm="1">
        <f ca="1" t="array" ref="I1221">MIN(30-SUM(J1221:L1221),6-L1221,_xlfn.XLOOKUP($D1221&amp;"_"&amp;I$61,$B$23:$B$45&amp;"_"&amp;$C$23:$C$45,$D$23:$D$45)*$E1221)</f>
        <v>0</v>
      </c>
      <c r="J1221" s="67" cm="1">
        <f ca="1" t="array" ref="J1221">MIN(8,_xlfn.XLOOKUP($D1221&amp;"_"&amp;J$61,$B$23:$B$45&amp;"_"&amp;$C$23:$C$45,$D$23:$D$45)*$E1221)</f>
        <v>8</v>
      </c>
      <c r="K1221" s="67" cm="1">
        <f ca="1" t="array" ref="K1221">MIN(18,_xlfn.XLOOKUP($D1221&amp;"_"&amp;K$61,$B$23:$B$45&amp;"_"&amp;$C$23:$C$45,$D$23:$D$45)*$E1221)</f>
        <v>4.79751633986929</v>
      </c>
      <c r="L1221" s="67" cm="1">
        <f ca="1" t="array" ref="L1221">MIN(6,_xlfn.XLOOKUP($D1221&amp;"_"&amp;L$61,$B$23:$B$45&amp;"_"&amp;$C$23:$C$45,$D$23:$D$45)*$E1221)</f>
        <v>6</v>
      </c>
      <c r="M1221" s="67" cm="1">
        <f ca="1" t="array" ref="M1221">(1+SUMPRODUCT(G1221:H1221,OFFSET($H$49:$I$49,D1221,0)))*(1+OFFSET($J$49,D1221,0))^I1221*(1+OFFSET($K$49,D1221,0))^J1221*(1+OFFSET($L$49,D1221,0))^K1221*(1+OFFSET($M$49,D1221,0))^L1221</f>
        <v>378.895935405247</v>
      </c>
      <c r="N1221" s="67">
        <f ca="1">MAX(MAX($N$62:N1220),OFFSET($C$61,MATCH(M1221*1.07,$M$62:$M$2061,1),0)-C1221)</f>
        <v>50400</v>
      </c>
    </row>
    <row r="1222" spans="2:14">
      <c r="B1222" s="67">
        <v>1161</v>
      </c>
      <c r="C1222" s="67">
        <f t="shared" ref="C1222:C1261" si="121">C1221+360</f>
        <v>417960</v>
      </c>
      <c r="D1222" s="67">
        <f t="shared" si="119"/>
        <v>5</v>
      </c>
      <c r="E1222" s="67">
        <f ca="1" t="shared" si="120"/>
        <v>1191</v>
      </c>
      <c r="F1222" s="67">
        <f ca="1" t="shared" ref="F1222:F1261" si="122">30-SUM(G1222:L1222)</f>
        <v>0</v>
      </c>
      <c r="G1222" s="67">
        <f ca="1" t="shared" ref="G1222:G1261" si="123">30-SUM(H1222:L1222)</f>
        <v>0</v>
      </c>
      <c r="H1222" s="67" cm="1">
        <f ca="1" t="array" ref="H1222">MIN(30-SUM(I1222:L1222),_xlfn.XLOOKUP($D1222&amp;"_"&amp;H$61,$B$23:$B$45&amp;"_"&amp;$C$23:$C$45,$D$23:$D$45)*$E1222,18)</f>
        <v>11.1984521337947</v>
      </c>
      <c r="I1222" s="67" cm="1">
        <f ca="1" t="array" ref="I1222">MIN(30-SUM(J1222:L1222),6-L1222,_xlfn.XLOOKUP($D1222&amp;"_"&amp;I$61,$B$23:$B$45&amp;"_"&amp;$C$23:$C$45,$D$23:$D$45)*$E1222)</f>
        <v>0</v>
      </c>
      <c r="J1222" s="67" cm="1">
        <f ca="1" t="array" ref="J1222">MIN(8,_xlfn.XLOOKUP($D1222&amp;"_"&amp;J$61,$B$23:$B$45&amp;"_"&amp;$C$23:$C$45,$D$23:$D$45)*$E1222)</f>
        <v>8</v>
      </c>
      <c r="K1222" s="67" cm="1">
        <f ca="1" t="array" ref="K1222">MIN(18,_xlfn.XLOOKUP($D1222&amp;"_"&amp;K$61,$B$23:$B$45&amp;"_"&amp;$C$23:$C$45,$D$23:$D$45)*$E1222)</f>
        <v>4.80154786620531</v>
      </c>
      <c r="L1222" s="67" cm="1">
        <f ca="1" t="array" ref="L1222">MIN(6,_xlfn.XLOOKUP($D1222&amp;"_"&amp;L$61,$B$23:$B$45&amp;"_"&amp;$C$23:$C$45,$D$23:$D$45)*$E1222)</f>
        <v>6</v>
      </c>
      <c r="M1222" s="67" cm="1">
        <f ca="1" t="array" ref="M1222">(1+SUMPRODUCT(G1222:H1222,OFFSET($H$49:$I$49,D1222,0)))*(1+OFFSET($J$49,D1222,0))^I1222*(1+OFFSET($K$49,D1222,0))^J1222*(1+OFFSET($L$49,D1222,0))^K1222*(1+OFFSET($M$49,D1222,0))^L1222</f>
        <v>379.080192460421</v>
      </c>
      <c r="N1222" s="67">
        <f ca="1">MAX(MAX($N$62:N1221),OFFSET($C$61,MATCH(M1222*1.07,$M$62:$M$2061,1),0)-C1222)</f>
        <v>50400</v>
      </c>
    </row>
    <row r="1223" spans="2:14">
      <c r="B1223" s="67">
        <v>1162</v>
      </c>
      <c r="C1223" s="67">
        <f t="shared" si="121"/>
        <v>418320</v>
      </c>
      <c r="D1223" s="67">
        <f t="shared" si="119"/>
        <v>5</v>
      </c>
      <c r="E1223" s="67">
        <f ca="1" t="shared" si="120"/>
        <v>1192</v>
      </c>
      <c r="F1223" s="67">
        <f ca="1" t="shared" si="122"/>
        <v>0</v>
      </c>
      <c r="G1223" s="67">
        <f ca="1" t="shared" si="123"/>
        <v>0</v>
      </c>
      <c r="H1223" s="67" cm="1">
        <f ca="1" t="array" ref="H1223">MIN(30-SUM(I1223:L1223),_xlfn.XLOOKUP($D1223&amp;"_"&amp;H$61,$B$23:$B$45&amp;"_"&amp;$C$23:$C$45,$D$23:$D$45)*$E1223,18)</f>
        <v>11.1944206074587</v>
      </c>
      <c r="I1223" s="67" cm="1">
        <f ca="1" t="array" ref="I1223">MIN(30-SUM(J1223:L1223),6-L1223,_xlfn.XLOOKUP($D1223&amp;"_"&amp;I$61,$B$23:$B$45&amp;"_"&amp;$C$23:$C$45,$D$23:$D$45)*$E1223)</f>
        <v>0</v>
      </c>
      <c r="J1223" s="67" cm="1">
        <f ca="1" t="array" ref="J1223">MIN(8,_xlfn.XLOOKUP($D1223&amp;"_"&amp;J$61,$B$23:$B$45&amp;"_"&amp;$C$23:$C$45,$D$23:$D$45)*$E1223)</f>
        <v>8</v>
      </c>
      <c r="K1223" s="67" cm="1">
        <f ca="1" t="array" ref="K1223">MIN(18,_xlfn.XLOOKUP($D1223&amp;"_"&amp;K$61,$B$23:$B$45&amp;"_"&amp;$C$23:$C$45,$D$23:$D$45)*$E1223)</f>
        <v>4.80557939254133</v>
      </c>
      <c r="L1223" s="67" cm="1">
        <f ca="1" t="array" ref="L1223">MIN(6,_xlfn.XLOOKUP($D1223&amp;"_"&amp;L$61,$B$23:$B$45&amp;"_"&amp;$C$23:$C$45,$D$23:$D$45)*$E1223)</f>
        <v>6</v>
      </c>
      <c r="M1223" s="67" cm="1">
        <f ca="1" t="array" ref="M1223">(1+SUMPRODUCT(G1223:H1223,OFFSET($H$49:$I$49,D1223,0)))*(1+OFFSET($J$49,D1223,0))^I1223*(1+OFFSET($K$49,D1223,0))^J1223*(1+OFFSET($L$49,D1223,0))^K1223*(1+OFFSET($M$49,D1223,0))^L1223</f>
        <v>379.264515627015</v>
      </c>
      <c r="N1223" s="67">
        <f ca="1">MAX(MAX($N$62:N1222),OFFSET($C$61,MATCH(M1223*1.07,$M$62:$M$2061,1),0)-C1223)</f>
        <v>50400</v>
      </c>
    </row>
    <row r="1224" spans="2:14">
      <c r="B1224" s="67">
        <v>1163</v>
      </c>
      <c r="C1224" s="67">
        <f t="shared" si="121"/>
        <v>418680</v>
      </c>
      <c r="D1224" s="67">
        <f t="shared" si="119"/>
        <v>5</v>
      </c>
      <c r="E1224" s="67">
        <f ca="1" t="shared" si="120"/>
        <v>1193</v>
      </c>
      <c r="F1224" s="67">
        <f ca="1" t="shared" si="122"/>
        <v>0</v>
      </c>
      <c r="G1224" s="67">
        <f ca="1" t="shared" si="123"/>
        <v>0</v>
      </c>
      <c r="H1224" s="67" cm="1">
        <f ca="1" t="array" ref="H1224">MIN(30-SUM(I1224:L1224),_xlfn.XLOOKUP($D1224&amp;"_"&amp;H$61,$B$23:$B$45&amp;"_"&amp;$C$23:$C$45,$D$23:$D$45)*$E1224,18)</f>
        <v>11.1903890811226</v>
      </c>
      <c r="I1224" s="67" cm="1">
        <f ca="1" t="array" ref="I1224">MIN(30-SUM(J1224:L1224),6-L1224,_xlfn.XLOOKUP($D1224&amp;"_"&amp;I$61,$B$23:$B$45&amp;"_"&amp;$C$23:$C$45,$D$23:$D$45)*$E1224)</f>
        <v>0</v>
      </c>
      <c r="J1224" s="67" cm="1">
        <f ca="1" t="array" ref="J1224">MIN(8,_xlfn.XLOOKUP($D1224&amp;"_"&amp;J$61,$B$23:$B$45&amp;"_"&amp;$C$23:$C$45,$D$23:$D$45)*$E1224)</f>
        <v>8</v>
      </c>
      <c r="K1224" s="67" cm="1">
        <f ca="1" t="array" ref="K1224">MIN(18,_xlfn.XLOOKUP($D1224&amp;"_"&amp;K$61,$B$23:$B$45&amp;"_"&amp;$C$23:$C$45,$D$23:$D$45)*$E1224)</f>
        <v>4.80961091887736</v>
      </c>
      <c r="L1224" s="67" cm="1">
        <f ca="1" t="array" ref="L1224">MIN(6,_xlfn.XLOOKUP($D1224&amp;"_"&amp;L$61,$B$23:$B$45&amp;"_"&amp;$C$23:$C$45,$D$23:$D$45)*$E1224)</f>
        <v>6</v>
      </c>
      <c r="M1224" s="67" cm="1">
        <f ca="1" t="array" ref="M1224">(1+SUMPRODUCT(G1224:H1224,OFFSET($H$49:$I$49,D1224,0)))*(1+OFFSET($J$49,D1224,0))^I1224*(1+OFFSET($K$49,D1224,0))^J1224*(1+OFFSET($L$49,D1224,0))^K1224*(1+OFFSET($M$49,D1224,0))^L1224</f>
        <v>379.448904902628</v>
      </c>
      <c r="N1224" s="67">
        <f ca="1">MAX(MAX($N$62:N1223),OFFSET($C$61,MATCH(M1224*1.07,$M$62:$M$2061,1),0)-C1224)</f>
        <v>50400</v>
      </c>
    </row>
    <row r="1225" spans="2:14">
      <c r="B1225" s="67">
        <v>1164</v>
      </c>
      <c r="C1225" s="67">
        <f t="shared" si="121"/>
        <v>419040</v>
      </c>
      <c r="D1225" s="67">
        <f t="shared" si="119"/>
        <v>5</v>
      </c>
      <c r="E1225" s="67">
        <f ca="1" t="shared" si="120"/>
        <v>1194</v>
      </c>
      <c r="F1225" s="67">
        <f ca="1" t="shared" si="122"/>
        <v>0</v>
      </c>
      <c r="G1225" s="67">
        <f ca="1" t="shared" si="123"/>
        <v>0</v>
      </c>
      <c r="H1225" s="67" cm="1">
        <f ca="1" t="array" ref="H1225">MIN(30-SUM(I1225:L1225),_xlfn.XLOOKUP($D1225&amp;"_"&amp;H$61,$B$23:$B$45&amp;"_"&amp;$C$23:$C$45,$D$23:$D$45)*$E1225,18)</f>
        <v>11.1863575547866</v>
      </c>
      <c r="I1225" s="67" cm="1">
        <f ca="1" t="array" ref="I1225">MIN(30-SUM(J1225:L1225),6-L1225,_xlfn.XLOOKUP($D1225&amp;"_"&amp;I$61,$B$23:$B$45&amp;"_"&amp;$C$23:$C$45,$D$23:$D$45)*$E1225)</f>
        <v>0</v>
      </c>
      <c r="J1225" s="67" cm="1">
        <f ca="1" t="array" ref="J1225">MIN(8,_xlfn.XLOOKUP($D1225&amp;"_"&amp;J$61,$B$23:$B$45&amp;"_"&amp;$C$23:$C$45,$D$23:$D$45)*$E1225)</f>
        <v>8</v>
      </c>
      <c r="K1225" s="67" cm="1">
        <f ca="1" t="array" ref="K1225">MIN(18,_xlfn.XLOOKUP($D1225&amp;"_"&amp;K$61,$B$23:$B$45&amp;"_"&amp;$C$23:$C$45,$D$23:$D$45)*$E1225)</f>
        <v>4.81364244521338</v>
      </c>
      <c r="L1225" s="67" cm="1">
        <f ca="1" t="array" ref="L1225">MIN(6,_xlfn.XLOOKUP($D1225&amp;"_"&amp;L$61,$B$23:$B$45&amp;"_"&amp;$C$23:$C$45,$D$23:$D$45)*$E1225)</f>
        <v>6</v>
      </c>
      <c r="M1225" s="67" cm="1">
        <f ca="1" t="array" ref="M1225">(1+SUMPRODUCT(G1225:H1225,OFFSET($H$49:$I$49,D1225,0)))*(1+OFFSET($J$49,D1225,0))^I1225*(1+OFFSET($K$49,D1225,0))^J1225*(1+OFFSET($L$49,D1225,0))^K1225*(1+OFFSET($M$49,D1225,0))^L1225</f>
        <v>379.633360284823</v>
      </c>
      <c r="N1225" s="67">
        <f ca="1">MAX(MAX($N$62:N1224),OFFSET($C$61,MATCH(M1225*1.07,$M$62:$M$2061,1),0)-C1225)</f>
        <v>50400</v>
      </c>
    </row>
    <row r="1226" spans="2:14">
      <c r="B1226" s="67">
        <v>1165</v>
      </c>
      <c r="C1226" s="67">
        <f t="shared" si="121"/>
        <v>419400</v>
      </c>
      <c r="D1226" s="67">
        <f t="shared" si="119"/>
        <v>5</v>
      </c>
      <c r="E1226" s="67">
        <f ca="1" t="shared" si="120"/>
        <v>1195</v>
      </c>
      <c r="F1226" s="67">
        <f ca="1" t="shared" si="122"/>
        <v>0</v>
      </c>
      <c r="G1226" s="67">
        <f ca="1" t="shared" si="123"/>
        <v>0</v>
      </c>
      <c r="H1226" s="67" cm="1">
        <f ca="1" t="array" ref="H1226">MIN(30-SUM(I1226:L1226),_xlfn.XLOOKUP($D1226&amp;"_"&amp;H$61,$B$23:$B$45&amp;"_"&amp;$C$23:$C$45,$D$23:$D$45)*$E1226,18)</f>
        <v>11.1823260284506</v>
      </c>
      <c r="I1226" s="67" cm="1">
        <f ca="1" t="array" ref="I1226">MIN(30-SUM(J1226:L1226),6-L1226,_xlfn.XLOOKUP($D1226&amp;"_"&amp;I$61,$B$23:$B$45&amp;"_"&amp;$C$23:$C$45,$D$23:$D$45)*$E1226)</f>
        <v>0</v>
      </c>
      <c r="J1226" s="67" cm="1">
        <f ca="1" t="array" ref="J1226">MIN(8,_xlfn.XLOOKUP($D1226&amp;"_"&amp;J$61,$B$23:$B$45&amp;"_"&amp;$C$23:$C$45,$D$23:$D$45)*$E1226)</f>
        <v>8</v>
      </c>
      <c r="K1226" s="67" cm="1">
        <f ca="1" t="array" ref="K1226">MIN(18,_xlfn.XLOOKUP($D1226&amp;"_"&amp;K$61,$B$23:$B$45&amp;"_"&amp;$C$23:$C$45,$D$23:$D$45)*$E1226)</f>
        <v>4.81767397154941</v>
      </c>
      <c r="L1226" s="67" cm="1">
        <f ca="1" t="array" ref="L1226">MIN(6,_xlfn.XLOOKUP($D1226&amp;"_"&amp;L$61,$B$23:$B$45&amp;"_"&amp;$C$23:$C$45,$D$23:$D$45)*$E1226)</f>
        <v>6</v>
      </c>
      <c r="M1226" s="67" cm="1">
        <f ca="1" t="array" ref="M1226">(1+SUMPRODUCT(G1226:H1226,OFFSET($H$49:$I$49,D1226,0)))*(1+OFFSET($J$49,D1226,0))^I1226*(1+OFFSET($K$49,D1226,0))^J1226*(1+OFFSET($L$49,D1226,0))^K1226*(1+OFFSET($M$49,D1226,0))^L1226</f>
        <v>379.817881771122</v>
      </c>
      <c r="N1226" s="67">
        <f ca="1">MAX(MAX($N$62:N1225),OFFSET($C$61,MATCH(M1226*1.07,$M$62:$M$2061,1),0)-C1226)</f>
        <v>50400</v>
      </c>
    </row>
    <row r="1227" spans="2:14">
      <c r="B1227" s="67">
        <v>1166</v>
      </c>
      <c r="C1227" s="67">
        <f t="shared" si="121"/>
        <v>419760</v>
      </c>
      <c r="D1227" s="67">
        <f t="shared" si="119"/>
        <v>5</v>
      </c>
      <c r="E1227" s="67">
        <f ca="1" t="shared" si="120"/>
        <v>1196</v>
      </c>
      <c r="F1227" s="67">
        <f ca="1" t="shared" si="122"/>
        <v>0</v>
      </c>
      <c r="G1227" s="67">
        <f ca="1" t="shared" si="123"/>
        <v>0</v>
      </c>
      <c r="H1227" s="67" cm="1">
        <f ca="1" t="array" ref="H1227">MIN(30-SUM(I1227:L1227),_xlfn.XLOOKUP($D1227&amp;"_"&amp;H$61,$B$23:$B$45&amp;"_"&amp;$C$23:$C$45,$D$23:$D$45)*$E1227,18)</f>
        <v>11.1782945021146</v>
      </c>
      <c r="I1227" s="67" cm="1">
        <f ca="1" t="array" ref="I1227">MIN(30-SUM(J1227:L1227),6-L1227,_xlfn.XLOOKUP($D1227&amp;"_"&amp;I$61,$B$23:$B$45&amp;"_"&amp;$C$23:$C$45,$D$23:$D$45)*$E1227)</f>
        <v>0</v>
      </c>
      <c r="J1227" s="67" cm="1">
        <f ca="1" t="array" ref="J1227">MIN(8,_xlfn.XLOOKUP($D1227&amp;"_"&amp;J$61,$B$23:$B$45&amp;"_"&amp;$C$23:$C$45,$D$23:$D$45)*$E1227)</f>
        <v>8</v>
      </c>
      <c r="K1227" s="67" cm="1">
        <f ca="1" t="array" ref="K1227">MIN(18,_xlfn.XLOOKUP($D1227&amp;"_"&amp;K$61,$B$23:$B$45&amp;"_"&amp;$C$23:$C$45,$D$23:$D$45)*$E1227)</f>
        <v>4.82170549788543</v>
      </c>
      <c r="L1227" s="67" cm="1">
        <f ca="1" t="array" ref="L1227">MIN(6,_xlfn.XLOOKUP($D1227&amp;"_"&amp;L$61,$B$23:$B$45&amp;"_"&amp;$C$23:$C$45,$D$23:$D$45)*$E1227)</f>
        <v>6</v>
      </c>
      <c r="M1227" s="67" cm="1">
        <f ca="1" t="array" ref="M1227">(1+SUMPRODUCT(G1227:H1227,OFFSET($H$49:$I$49,D1227,0)))*(1+OFFSET($J$49,D1227,0))^I1227*(1+OFFSET($K$49,D1227,0))^J1227*(1+OFFSET($L$49,D1227,0))^K1227*(1+OFFSET($M$49,D1227,0))^L1227</f>
        <v>380.002469359009</v>
      </c>
      <c r="N1227" s="67">
        <f ca="1">MAX(MAX($N$62:N1226),OFFSET($C$61,MATCH(M1227*1.07,$M$62:$M$2061,1),0)-C1227)</f>
        <v>50400</v>
      </c>
    </row>
    <row r="1228" spans="2:14">
      <c r="B1228" s="67">
        <v>1167</v>
      </c>
      <c r="C1228" s="67">
        <f t="shared" si="121"/>
        <v>420120</v>
      </c>
      <c r="D1228" s="67">
        <f t="shared" si="119"/>
        <v>5</v>
      </c>
      <c r="E1228" s="67">
        <f ca="1" t="shared" si="120"/>
        <v>1197</v>
      </c>
      <c r="F1228" s="67">
        <f ca="1" t="shared" si="122"/>
        <v>0</v>
      </c>
      <c r="G1228" s="67">
        <f ca="1" t="shared" si="123"/>
        <v>0</v>
      </c>
      <c r="H1228" s="67" cm="1">
        <f ca="1" t="array" ref="H1228">MIN(30-SUM(I1228:L1228),_xlfn.XLOOKUP($D1228&amp;"_"&amp;H$61,$B$23:$B$45&amp;"_"&amp;$C$23:$C$45,$D$23:$D$45)*$E1228,18)</f>
        <v>11.1742629757785</v>
      </c>
      <c r="I1228" s="67" cm="1">
        <f ca="1" t="array" ref="I1228">MIN(30-SUM(J1228:L1228),6-L1228,_xlfn.XLOOKUP($D1228&amp;"_"&amp;I$61,$B$23:$B$45&amp;"_"&amp;$C$23:$C$45,$D$23:$D$45)*$E1228)</f>
        <v>0</v>
      </c>
      <c r="J1228" s="67" cm="1">
        <f ca="1" t="array" ref="J1228">MIN(8,_xlfn.XLOOKUP($D1228&amp;"_"&amp;J$61,$B$23:$B$45&amp;"_"&amp;$C$23:$C$45,$D$23:$D$45)*$E1228)</f>
        <v>8</v>
      </c>
      <c r="K1228" s="67" cm="1">
        <f ca="1" t="array" ref="K1228">MIN(18,_xlfn.XLOOKUP($D1228&amp;"_"&amp;K$61,$B$23:$B$45&amp;"_"&amp;$C$23:$C$45,$D$23:$D$45)*$E1228)</f>
        <v>4.82573702422146</v>
      </c>
      <c r="L1228" s="67" cm="1">
        <f ca="1" t="array" ref="L1228">MIN(6,_xlfn.XLOOKUP($D1228&amp;"_"&amp;L$61,$B$23:$B$45&amp;"_"&amp;$C$23:$C$45,$D$23:$D$45)*$E1228)</f>
        <v>6</v>
      </c>
      <c r="M1228" s="67" cm="1">
        <f ca="1" t="array" ref="M1228">(1+SUMPRODUCT(G1228:H1228,OFFSET($H$49:$I$49,D1228,0)))*(1+OFFSET($J$49,D1228,0))^I1228*(1+OFFSET($K$49,D1228,0))^J1228*(1+OFFSET($L$49,D1228,0))^K1228*(1+OFFSET($M$49,D1228,0))^L1228</f>
        <v>380.187123045928</v>
      </c>
      <c r="N1228" s="67">
        <f ca="1">MAX(MAX($N$62:N1227),OFFSET($C$61,MATCH(M1228*1.07,$M$62:$M$2061,1),0)-C1228)</f>
        <v>50400</v>
      </c>
    </row>
    <row r="1229" spans="2:14">
      <c r="B1229" s="67">
        <v>1168</v>
      </c>
      <c r="C1229" s="67">
        <f t="shared" si="121"/>
        <v>420480</v>
      </c>
      <c r="D1229" s="67">
        <f t="shared" si="119"/>
        <v>5</v>
      </c>
      <c r="E1229" s="67">
        <f ca="1" t="shared" si="120"/>
        <v>1198</v>
      </c>
      <c r="F1229" s="67">
        <f ca="1" t="shared" si="122"/>
        <v>0</v>
      </c>
      <c r="G1229" s="67">
        <f ca="1" t="shared" si="123"/>
        <v>0</v>
      </c>
      <c r="H1229" s="67" cm="1">
        <f ca="1" t="array" ref="H1229">MIN(30-SUM(I1229:L1229),_xlfn.XLOOKUP($D1229&amp;"_"&amp;H$61,$B$23:$B$45&amp;"_"&amp;$C$23:$C$45,$D$23:$D$45)*$E1229,18)</f>
        <v>11.1702314494425</v>
      </c>
      <c r="I1229" s="67" cm="1">
        <f ca="1" t="array" ref="I1229">MIN(30-SUM(J1229:L1229),6-L1229,_xlfn.XLOOKUP($D1229&amp;"_"&amp;I$61,$B$23:$B$45&amp;"_"&amp;$C$23:$C$45,$D$23:$D$45)*$E1229)</f>
        <v>0</v>
      </c>
      <c r="J1229" s="67" cm="1">
        <f ca="1" t="array" ref="J1229">MIN(8,_xlfn.XLOOKUP($D1229&amp;"_"&amp;J$61,$B$23:$B$45&amp;"_"&amp;$C$23:$C$45,$D$23:$D$45)*$E1229)</f>
        <v>8</v>
      </c>
      <c r="K1229" s="67" cm="1">
        <f ca="1" t="array" ref="K1229">MIN(18,_xlfn.XLOOKUP($D1229&amp;"_"&amp;K$61,$B$23:$B$45&amp;"_"&amp;$C$23:$C$45,$D$23:$D$45)*$E1229)</f>
        <v>4.82976855055748</v>
      </c>
      <c r="L1229" s="67" cm="1">
        <f ca="1" t="array" ref="L1229">MIN(6,_xlfn.XLOOKUP($D1229&amp;"_"&amp;L$61,$B$23:$B$45&amp;"_"&amp;$C$23:$C$45,$D$23:$D$45)*$E1229)</f>
        <v>6</v>
      </c>
      <c r="M1229" s="67" cm="1">
        <f ca="1" t="array" ref="M1229">(1+SUMPRODUCT(G1229:H1229,OFFSET($H$49:$I$49,D1229,0)))*(1+OFFSET($J$49,D1229,0))^I1229*(1+OFFSET($K$49,D1229,0))^J1229*(1+OFFSET($L$49,D1229,0))^K1229*(1+OFFSET($M$49,D1229,0))^L1229</f>
        <v>380.371842829283</v>
      </c>
      <c r="N1229" s="67">
        <f ca="1">MAX(MAX($N$62:N1228),OFFSET($C$61,MATCH(M1229*1.07,$M$62:$M$2061,1),0)-C1229)</f>
        <v>50400</v>
      </c>
    </row>
    <row r="1230" spans="2:14">
      <c r="B1230" s="67">
        <v>1169</v>
      </c>
      <c r="C1230" s="67">
        <f t="shared" si="121"/>
        <v>420840</v>
      </c>
      <c r="D1230" s="67">
        <f t="shared" si="119"/>
        <v>5</v>
      </c>
      <c r="E1230" s="67">
        <f ca="1" t="shared" si="120"/>
        <v>1199</v>
      </c>
      <c r="F1230" s="67">
        <f ca="1" t="shared" si="122"/>
        <v>0</v>
      </c>
      <c r="G1230" s="67">
        <f ca="1" t="shared" si="123"/>
        <v>0</v>
      </c>
      <c r="H1230" s="67" cm="1">
        <f ca="1" t="array" ref="H1230">MIN(30-SUM(I1230:L1230),_xlfn.XLOOKUP($D1230&amp;"_"&amp;H$61,$B$23:$B$45&amp;"_"&amp;$C$23:$C$45,$D$23:$D$45)*$E1230,18)</f>
        <v>11.1661999231065</v>
      </c>
      <c r="I1230" s="67" cm="1">
        <f ca="1" t="array" ref="I1230">MIN(30-SUM(J1230:L1230),6-L1230,_xlfn.XLOOKUP($D1230&amp;"_"&amp;I$61,$B$23:$B$45&amp;"_"&amp;$C$23:$C$45,$D$23:$D$45)*$E1230)</f>
        <v>0</v>
      </c>
      <c r="J1230" s="67" cm="1">
        <f ca="1" t="array" ref="J1230">MIN(8,_xlfn.XLOOKUP($D1230&amp;"_"&amp;J$61,$B$23:$B$45&amp;"_"&amp;$C$23:$C$45,$D$23:$D$45)*$E1230)</f>
        <v>8</v>
      </c>
      <c r="K1230" s="67" cm="1">
        <f ca="1" t="array" ref="K1230">MIN(18,_xlfn.XLOOKUP($D1230&amp;"_"&amp;K$61,$B$23:$B$45&amp;"_"&amp;$C$23:$C$45,$D$23:$D$45)*$E1230)</f>
        <v>4.83380007689351</v>
      </c>
      <c r="L1230" s="67" cm="1">
        <f ca="1" t="array" ref="L1230">MIN(6,_xlfn.XLOOKUP($D1230&amp;"_"&amp;L$61,$B$23:$B$45&amp;"_"&amp;$C$23:$C$45,$D$23:$D$45)*$E1230)</f>
        <v>6</v>
      </c>
      <c r="M1230" s="67" cm="1">
        <f ca="1" t="array" ref="M1230">(1+SUMPRODUCT(G1230:H1230,OFFSET($H$49:$I$49,D1230,0)))*(1+OFFSET($J$49,D1230,0))^I1230*(1+OFFSET($K$49,D1230,0))^J1230*(1+OFFSET($L$49,D1230,0))^K1230*(1+OFFSET($M$49,D1230,0))^L1230</f>
        <v>380.556628706438</v>
      </c>
      <c r="N1230" s="67">
        <f ca="1">MAX(MAX($N$62:N1229),OFFSET($C$61,MATCH(M1230*1.07,$M$62:$M$2061,1),0)-C1230)</f>
        <v>50400</v>
      </c>
    </row>
    <row r="1231" spans="2:14">
      <c r="B1231" s="67">
        <v>1170</v>
      </c>
      <c r="C1231" s="67">
        <f t="shared" si="121"/>
        <v>421200</v>
      </c>
      <c r="D1231" s="67">
        <f t="shared" si="119"/>
        <v>5</v>
      </c>
      <c r="E1231" s="67">
        <f ca="1" t="shared" si="120"/>
        <v>1200</v>
      </c>
      <c r="F1231" s="67">
        <f ca="1" t="shared" si="122"/>
        <v>0</v>
      </c>
      <c r="G1231" s="67">
        <f ca="1" t="shared" si="123"/>
        <v>0</v>
      </c>
      <c r="H1231" s="67" cm="1">
        <f ca="1" t="array" ref="H1231">MIN(30-SUM(I1231:L1231),_xlfn.XLOOKUP($D1231&amp;"_"&amp;H$61,$B$23:$B$45&amp;"_"&amp;$C$23:$C$45,$D$23:$D$45)*$E1231,18)</f>
        <v>11.1621683967705</v>
      </c>
      <c r="I1231" s="67" cm="1">
        <f ca="1" t="array" ref="I1231">MIN(30-SUM(J1231:L1231),6-L1231,_xlfn.XLOOKUP($D1231&amp;"_"&amp;I$61,$B$23:$B$45&amp;"_"&amp;$C$23:$C$45,$D$23:$D$45)*$E1231)</f>
        <v>0</v>
      </c>
      <c r="J1231" s="67" cm="1">
        <f ca="1" t="array" ref="J1231">MIN(8,_xlfn.XLOOKUP($D1231&amp;"_"&amp;J$61,$B$23:$B$45&amp;"_"&amp;$C$23:$C$45,$D$23:$D$45)*$E1231)</f>
        <v>8</v>
      </c>
      <c r="K1231" s="67" cm="1">
        <f ca="1" t="array" ref="K1231">MIN(18,_xlfn.XLOOKUP($D1231&amp;"_"&amp;K$61,$B$23:$B$45&amp;"_"&amp;$C$23:$C$45,$D$23:$D$45)*$E1231)</f>
        <v>4.83783160322953</v>
      </c>
      <c r="L1231" s="67" cm="1">
        <f ca="1" t="array" ref="L1231">MIN(6,_xlfn.XLOOKUP($D1231&amp;"_"&amp;L$61,$B$23:$B$45&amp;"_"&amp;$C$23:$C$45,$D$23:$D$45)*$E1231)</f>
        <v>6</v>
      </c>
      <c r="M1231" s="67" cm="1">
        <f ca="1" t="array" ref="M1231">(1+SUMPRODUCT(G1231:H1231,OFFSET($H$49:$I$49,D1231,0)))*(1+OFFSET($J$49,D1231,0))^I1231*(1+OFFSET($K$49,D1231,0))^J1231*(1+OFFSET($L$49,D1231,0))^K1231*(1+OFFSET($M$49,D1231,0))^L1231</f>
        <v>380.74148067472</v>
      </c>
      <c r="N1231" s="67">
        <f ca="1">MAX(MAX($N$62:N1230),OFFSET($C$61,MATCH(M1231*1.07,$M$62:$M$2061,1),0)-C1231)</f>
        <v>50400</v>
      </c>
    </row>
    <row r="1232" spans="2:14">
      <c r="B1232" s="67">
        <v>1171</v>
      </c>
      <c r="C1232" s="67">
        <f t="shared" si="121"/>
        <v>421560</v>
      </c>
      <c r="D1232" s="67">
        <f t="shared" si="119"/>
        <v>5</v>
      </c>
      <c r="E1232" s="67">
        <f ca="1" t="shared" si="120"/>
        <v>1201</v>
      </c>
      <c r="F1232" s="67">
        <f ca="1" t="shared" si="122"/>
        <v>0</v>
      </c>
      <c r="G1232" s="67">
        <f ca="1" t="shared" si="123"/>
        <v>0</v>
      </c>
      <c r="H1232" s="67" cm="1">
        <f ca="1" t="array" ref="H1232">MIN(30-SUM(I1232:L1232),_xlfn.XLOOKUP($D1232&amp;"_"&amp;H$61,$B$23:$B$45&amp;"_"&amp;$C$23:$C$45,$D$23:$D$45)*$E1232,18)</f>
        <v>11.1581368704344</v>
      </c>
      <c r="I1232" s="67" cm="1">
        <f ca="1" t="array" ref="I1232">MIN(30-SUM(J1232:L1232),6-L1232,_xlfn.XLOOKUP($D1232&amp;"_"&amp;I$61,$B$23:$B$45&amp;"_"&amp;$C$23:$C$45,$D$23:$D$45)*$E1232)</f>
        <v>0</v>
      </c>
      <c r="J1232" s="67" cm="1">
        <f ca="1" t="array" ref="J1232">MIN(8,_xlfn.XLOOKUP($D1232&amp;"_"&amp;J$61,$B$23:$B$45&amp;"_"&amp;$C$23:$C$45,$D$23:$D$45)*$E1232)</f>
        <v>8</v>
      </c>
      <c r="K1232" s="67" cm="1">
        <f ca="1" t="array" ref="K1232">MIN(18,_xlfn.XLOOKUP($D1232&amp;"_"&amp;K$61,$B$23:$B$45&amp;"_"&amp;$C$23:$C$45,$D$23:$D$45)*$E1232)</f>
        <v>4.84186312956556</v>
      </c>
      <c r="L1232" s="67" cm="1">
        <f ca="1" t="array" ref="L1232">MIN(6,_xlfn.XLOOKUP($D1232&amp;"_"&amp;L$61,$B$23:$B$45&amp;"_"&amp;$C$23:$C$45,$D$23:$D$45)*$E1232)</f>
        <v>6</v>
      </c>
      <c r="M1232" s="67" cm="1">
        <f ca="1" t="array" ref="M1232">(1+SUMPRODUCT(G1232:H1232,OFFSET($H$49:$I$49,D1232,0)))*(1+OFFSET($J$49,D1232,0))^I1232*(1+OFFSET($K$49,D1232,0))^J1232*(1+OFFSET($L$49,D1232,0))^K1232*(1+OFFSET($M$49,D1232,0))^L1232</f>
        <v>380.926398731413</v>
      </c>
      <c r="N1232" s="67">
        <f ca="1">MAX(MAX($N$62:N1231),OFFSET($C$61,MATCH(M1232*1.07,$M$62:$M$2061,1),0)-C1232)</f>
        <v>50400</v>
      </c>
    </row>
    <row r="1233" spans="2:14">
      <c r="B1233" s="67">
        <v>1172</v>
      </c>
      <c r="C1233" s="67">
        <f t="shared" si="121"/>
        <v>421920</v>
      </c>
      <c r="D1233" s="67">
        <f t="shared" si="119"/>
        <v>5</v>
      </c>
      <c r="E1233" s="67">
        <f ca="1" t="shared" si="120"/>
        <v>1202</v>
      </c>
      <c r="F1233" s="67">
        <f ca="1" t="shared" si="122"/>
        <v>0</v>
      </c>
      <c r="G1233" s="67">
        <f ca="1" t="shared" si="123"/>
        <v>0</v>
      </c>
      <c r="H1233" s="67" cm="1">
        <f ca="1" t="array" ref="H1233">MIN(30-SUM(I1233:L1233),_xlfn.XLOOKUP($D1233&amp;"_"&amp;H$61,$B$23:$B$45&amp;"_"&amp;$C$23:$C$45,$D$23:$D$45)*$E1233,18)</f>
        <v>11.1541053440984</v>
      </c>
      <c r="I1233" s="67" cm="1">
        <f ca="1" t="array" ref="I1233">MIN(30-SUM(J1233:L1233),6-L1233,_xlfn.XLOOKUP($D1233&amp;"_"&amp;I$61,$B$23:$B$45&amp;"_"&amp;$C$23:$C$45,$D$23:$D$45)*$E1233)</f>
        <v>0</v>
      </c>
      <c r="J1233" s="67" cm="1">
        <f ca="1" t="array" ref="J1233">MIN(8,_xlfn.XLOOKUP($D1233&amp;"_"&amp;J$61,$B$23:$B$45&amp;"_"&amp;$C$23:$C$45,$D$23:$D$45)*$E1233)</f>
        <v>8</v>
      </c>
      <c r="K1233" s="67" cm="1">
        <f ca="1" t="array" ref="K1233">MIN(18,_xlfn.XLOOKUP($D1233&amp;"_"&amp;K$61,$B$23:$B$45&amp;"_"&amp;$C$23:$C$45,$D$23:$D$45)*$E1233)</f>
        <v>4.84589465590158</v>
      </c>
      <c r="L1233" s="67" cm="1">
        <f ca="1" t="array" ref="L1233">MIN(6,_xlfn.XLOOKUP($D1233&amp;"_"&amp;L$61,$B$23:$B$45&amp;"_"&amp;$C$23:$C$45,$D$23:$D$45)*$E1233)</f>
        <v>6</v>
      </c>
      <c r="M1233" s="67" cm="1">
        <f ca="1" t="array" ref="M1233">(1+SUMPRODUCT(G1233:H1233,OFFSET($H$49:$I$49,D1233,0)))*(1+OFFSET($J$49,D1233,0))^I1233*(1+OFFSET($K$49,D1233,0))^J1233*(1+OFFSET($L$49,D1233,0))^K1233*(1+OFFSET($M$49,D1233,0))^L1233</f>
        <v>381.111382873764</v>
      </c>
      <c r="N1233" s="67">
        <f ca="1">MAX(MAX($N$62:N1232),OFFSET($C$61,MATCH(M1233*1.07,$M$62:$M$2061,1),0)-C1233)</f>
        <v>50400</v>
      </c>
    </row>
    <row r="1234" spans="2:14">
      <c r="B1234" s="67">
        <v>1173</v>
      </c>
      <c r="C1234" s="67">
        <f t="shared" si="121"/>
        <v>422280</v>
      </c>
      <c r="D1234" s="67">
        <f t="shared" si="119"/>
        <v>5</v>
      </c>
      <c r="E1234" s="67">
        <f ca="1" t="shared" si="120"/>
        <v>1203</v>
      </c>
      <c r="F1234" s="67">
        <f ca="1" t="shared" si="122"/>
        <v>0</v>
      </c>
      <c r="G1234" s="67">
        <f ca="1" t="shared" si="123"/>
        <v>0</v>
      </c>
      <c r="H1234" s="67" cm="1">
        <f ca="1" t="array" ref="H1234">MIN(30-SUM(I1234:L1234),_xlfn.XLOOKUP($D1234&amp;"_"&amp;H$61,$B$23:$B$45&amp;"_"&amp;$C$23:$C$45,$D$23:$D$45)*$E1234,18)</f>
        <v>11.1500738177624</v>
      </c>
      <c r="I1234" s="67" cm="1">
        <f ca="1" t="array" ref="I1234">MIN(30-SUM(J1234:L1234),6-L1234,_xlfn.XLOOKUP($D1234&amp;"_"&amp;I$61,$B$23:$B$45&amp;"_"&amp;$C$23:$C$45,$D$23:$D$45)*$E1234)</f>
        <v>0</v>
      </c>
      <c r="J1234" s="67" cm="1">
        <f ca="1" t="array" ref="J1234">MIN(8,_xlfn.XLOOKUP($D1234&amp;"_"&amp;J$61,$B$23:$B$45&amp;"_"&amp;$C$23:$C$45,$D$23:$D$45)*$E1234)</f>
        <v>8</v>
      </c>
      <c r="K1234" s="67" cm="1">
        <f ca="1" t="array" ref="K1234">MIN(18,_xlfn.XLOOKUP($D1234&amp;"_"&amp;K$61,$B$23:$B$45&amp;"_"&amp;$C$23:$C$45,$D$23:$D$45)*$E1234)</f>
        <v>4.84992618223761</v>
      </c>
      <c r="L1234" s="67" cm="1">
        <f ca="1" t="array" ref="L1234">MIN(6,_xlfn.XLOOKUP($D1234&amp;"_"&amp;L$61,$B$23:$B$45&amp;"_"&amp;$C$23:$C$45,$D$23:$D$45)*$E1234)</f>
        <v>6</v>
      </c>
      <c r="M1234" s="67" cm="1">
        <f ca="1" t="array" ref="M1234">(1+SUMPRODUCT(G1234:H1234,OFFSET($H$49:$I$49,D1234,0)))*(1+OFFSET($J$49,D1234,0))^I1234*(1+OFFSET($K$49,D1234,0))^J1234*(1+OFFSET($L$49,D1234,0))^K1234*(1+OFFSET($M$49,D1234,0))^L1234</f>
        <v>381.296433098978</v>
      </c>
      <c r="N1234" s="67">
        <f ca="1">MAX(MAX($N$62:N1233),OFFSET($C$61,MATCH(M1234*1.07,$M$62:$M$2061,1),0)-C1234)</f>
        <v>50400</v>
      </c>
    </row>
    <row r="1235" spans="2:14">
      <c r="B1235" s="67">
        <v>1174</v>
      </c>
      <c r="C1235" s="67">
        <f t="shared" si="121"/>
        <v>422640</v>
      </c>
      <c r="D1235" s="67">
        <f t="shared" si="119"/>
        <v>5</v>
      </c>
      <c r="E1235" s="67">
        <f ca="1" t="shared" si="120"/>
        <v>1204</v>
      </c>
      <c r="F1235" s="67">
        <f ca="1" t="shared" si="122"/>
        <v>0</v>
      </c>
      <c r="G1235" s="67">
        <f ca="1" t="shared" si="123"/>
        <v>0</v>
      </c>
      <c r="H1235" s="67" cm="1">
        <f ca="1" t="array" ref="H1235">MIN(30-SUM(I1235:L1235),_xlfn.XLOOKUP($D1235&amp;"_"&amp;H$61,$B$23:$B$45&amp;"_"&amp;$C$23:$C$45,$D$23:$D$45)*$E1235,18)</f>
        <v>11.1460422914264</v>
      </c>
      <c r="I1235" s="67" cm="1">
        <f ca="1" t="array" ref="I1235">MIN(30-SUM(J1235:L1235),6-L1235,_xlfn.XLOOKUP($D1235&amp;"_"&amp;I$61,$B$23:$B$45&amp;"_"&amp;$C$23:$C$45,$D$23:$D$45)*$E1235)</f>
        <v>0</v>
      </c>
      <c r="J1235" s="67" cm="1">
        <f ca="1" t="array" ref="J1235">MIN(8,_xlfn.XLOOKUP($D1235&amp;"_"&amp;J$61,$B$23:$B$45&amp;"_"&amp;$C$23:$C$45,$D$23:$D$45)*$E1235)</f>
        <v>8</v>
      </c>
      <c r="K1235" s="67" cm="1">
        <f ca="1" t="array" ref="K1235">MIN(18,_xlfn.XLOOKUP($D1235&amp;"_"&amp;K$61,$B$23:$B$45&amp;"_"&amp;$C$23:$C$45,$D$23:$D$45)*$E1235)</f>
        <v>4.85395770857363</v>
      </c>
      <c r="L1235" s="67" cm="1">
        <f ca="1" t="array" ref="L1235">MIN(6,_xlfn.XLOOKUP($D1235&amp;"_"&amp;L$61,$B$23:$B$45&amp;"_"&amp;$C$23:$C$45,$D$23:$D$45)*$E1235)</f>
        <v>6</v>
      </c>
      <c r="M1235" s="67" cm="1">
        <f ca="1" t="array" ref="M1235">(1+SUMPRODUCT(G1235:H1235,OFFSET($H$49:$I$49,D1235,0)))*(1+OFFSET($J$49,D1235,0))^I1235*(1+OFFSET($K$49,D1235,0))^J1235*(1+OFFSET($L$49,D1235,0))^K1235*(1+OFFSET($M$49,D1235,0))^L1235</f>
        <v>381.481549404222</v>
      </c>
      <c r="N1235" s="67">
        <f ca="1">MAX(MAX($N$62:N1234),OFFSET($C$61,MATCH(M1235*1.07,$M$62:$M$2061,1),0)-C1235)</f>
        <v>50400</v>
      </c>
    </row>
    <row r="1236" spans="2:14">
      <c r="B1236" s="67">
        <v>1175</v>
      </c>
      <c r="C1236" s="67">
        <f t="shared" si="121"/>
        <v>423000</v>
      </c>
      <c r="D1236" s="67">
        <f t="shared" si="119"/>
        <v>5</v>
      </c>
      <c r="E1236" s="67">
        <f ca="1" t="shared" si="120"/>
        <v>1205</v>
      </c>
      <c r="F1236" s="67">
        <f ca="1" t="shared" si="122"/>
        <v>0</v>
      </c>
      <c r="G1236" s="67">
        <f ca="1" t="shared" si="123"/>
        <v>0</v>
      </c>
      <c r="H1236" s="67" cm="1">
        <f ca="1" t="array" ref="H1236">MIN(30-SUM(I1236:L1236),_xlfn.XLOOKUP($D1236&amp;"_"&amp;H$61,$B$23:$B$45&amp;"_"&amp;$C$23:$C$45,$D$23:$D$45)*$E1236,18)</f>
        <v>11.1420107650903</v>
      </c>
      <c r="I1236" s="67" cm="1">
        <f ca="1" t="array" ref="I1236">MIN(30-SUM(J1236:L1236),6-L1236,_xlfn.XLOOKUP($D1236&amp;"_"&amp;I$61,$B$23:$B$45&amp;"_"&amp;$C$23:$C$45,$D$23:$D$45)*$E1236)</f>
        <v>0</v>
      </c>
      <c r="J1236" s="67" cm="1">
        <f ca="1" t="array" ref="J1236">MIN(8,_xlfn.XLOOKUP($D1236&amp;"_"&amp;J$61,$B$23:$B$45&amp;"_"&amp;$C$23:$C$45,$D$23:$D$45)*$E1236)</f>
        <v>8</v>
      </c>
      <c r="K1236" s="67" cm="1">
        <f ca="1" t="array" ref="K1236">MIN(18,_xlfn.XLOOKUP($D1236&amp;"_"&amp;K$61,$B$23:$B$45&amp;"_"&amp;$C$23:$C$45,$D$23:$D$45)*$E1236)</f>
        <v>4.85798923490965</v>
      </c>
      <c r="L1236" s="67" cm="1">
        <f ca="1" t="array" ref="L1236">MIN(6,_xlfn.XLOOKUP($D1236&amp;"_"&amp;L$61,$B$23:$B$45&amp;"_"&amp;$C$23:$C$45,$D$23:$D$45)*$E1236)</f>
        <v>6</v>
      </c>
      <c r="M1236" s="67" cm="1">
        <f ca="1" t="array" ref="M1236">(1+SUMPRODUCT(G1236:H1236,OFFSET($H$49:$I$49,D1236,0)))*(1+OFFSET($J$49,D1236,0))^I1236*(1+OFFSET($K$49,D1236,0))^J1236*(1+OFFSET($L$49,D1236,0))^K1236*(1+OFFSET($M$49,D1236,0))^L1236</f>
        <v>381.666731786622</v>
      </c>
      <c r="N1236" s="67">
        <f ca="1">MAX(MAX($N$62:N1235),OFFSET($C$61,MATCH(M1236*1.07,$M$62:$M$2061,1),0)-C1236)</f>
        <v>50400</v>
      </c>
    </row>
    <row r="1237" spans="2:14">
      <c r="B1237" s="67">
        <v>1176</v>
      </c>
      <c r="C1237" s="67">
        <f t="shared" si="121"/>
        <v>423360</v>
      </c>
      <c r="D1237" s="67">
        <f t="shared" si="119"/>
        <v>5</v>
      </c>
      <c r="E1237" s="67">
        <f ca="1" t="shared" si="120"/>
        <v>1206</v>
      </c>
      <c r="F1237" s="67">
        <f ca="1" t="shared" si="122"/>
        <v>0</v>
      </c>
      <c r="G1237" s="67">
        <f ca="1" t="shared" si="123"/>
        <v>0</v>
      </c>
      <c r="H1237" s="67" cm="1">
        <f ca="1" t="array" ref="H1237">MIN(30-SUM(I1237:L1237),_xlfn.XLOOKUP($D1237&amp;"_"&amp;H$61,$B$23:$B$45&amp;"_"&amp;$C$23:$C$45,$D$23:$D$45)*$E1237,18)</f>
        <v>11.1379792387543</v>
      </c>
      <c r="I1237" s="67" cm="1">
        <f ca="1" t="array" ref="I1237">MIN(30-SUM(J1237:L1237),6-L1237,_xlfn.XLOOKUP($D1237&amp;"_"&amp;I$61,$B$23:$B$45&amp;"_"&amp;$C$23:$C$45,$D$23:$D$45)*$E1237)</f>
        <v>0</v>
      </c>
      <c r="J1237" s="67" cm="1">
        <f ca="1" t="array" ref="J1237">MIN(8,_xlfn.XLOOKUP($D1237&amp;"_"&amp;J$61,$B$23:$B$45&amp;"_"&amp;$C$23:$C$45,$D$23:$D$45)*$E1237)</f>
        <v>8</v>
      </c>
      <c r="K1237" s="67" cm="1">
        <f ca="1" t="array" ref="K1237">MIN(18,_xlfn.XLOOKUP($D1237&amp;"_"&amp;K$61,$B$23:$B$45&amp;"_"&amp;$C$23:$C$45,$D$23:$D$45)*$E1237)</f>
        <v>4.86202076124568</v>
      </c>
      <c r="L1237" s="67" cm="1">
        <f ca="1" t="array" ref="L1237">MIN(6,_xlfn.XLOOKUP($D1237&amp;"_"&amp;L$61,$B$23:$B$45&amp;"_"&amp;$C$23:$C$45,$D$23:$D$45)*$E1237)</f>
        <v>6</v>
      </c>
      <c r="M1237" s="67" cm="1">
        <f ca="1" t="array" ref="M1237">(1+SUMPRODUCT(G1237:H1237,OFFSET($H$49:$I$49,D1237,0)))*(1+OFFSET($J$49,D1237,0))^I1237*(1+OFFSET($K$49,D1237,0))^J1237*(1+OFFSET($L$49,D1237,0))^K1237*(1+OFFSET($M$49,D1237,0))^L1237</f>
        <v>381.851980243264</v>
      </c>
      <c r="N1237" s="67">
        <f ca="1">MAX(MAX($N$62:N1236),OFFSET($C$61,MATCH(M1237*1.07,$M$62:$M$2061,1),0)-C1237)</f>
        <v>50400</v>
      </c>
    </row>
    <row r="1238" spans="2:14">
      <c r="B1238" s="67">
        <v>1177</v>
      </c>
      <c r="C1238" s="67">
        <f t="shared" si="121"/>
        <v>423720</v>
      </c>
      <c r="D1238" s="67">
        <f t="shared" si="119"/>
        <v>5</v>
      </c>
      <c r="E1238" s="67">
        <f ca="1" t="shared" si="120"/>
        <v>1207</v>
      </c>
      <c r="F1238" s="67">
        <f ca="1" t="shared" si="122"/>
        <v>0</v>
      </c>
      <c r="G1238" s="67">
        <f ca="1" t="shared" si="123"/>
        <v>0</v>
      </c>
      <c r="H1238" s="67" cm="1">
        <f ca="1" t="array" ref="H1238">MIN(30-SUM(I1238:L1238),_xlfn.XLOOKUP($D1238&amp;"_"&amp;H$61,$B$23:$B$45&amp;"_"&amp;$C$23:$C$45,$D$23:$D$45)*$E1238,18)</f>
        <v>11.1339477124183</v>
      </c>
      <c r="I1238" s="67" cm="1">
        <f ca="1" t="array" ref="I1238">MIN(30-SUM(J1238:L1238),6-L1238,_xlfn.XLOOKUP($D1238&amp;"_"&amp;I$61,$B$23:$B$45&amp;"_"&amp;$C$23:$C$45,$D$23:$D$45)*$E1238)</f>
        <v>0</v>
      </c>
      <c r="J1238" s="67" cm="1">
        <f ca="1" t="array" ref="J1238">MIN(8,_xlfn.XLOOKUP($D1238&amp;"_"&amp;J$61,$B$23:$B$45&amp;"_"&amp;$C$23:$C$45,$D$23:$D$45)*$E1238)</f>
        <v>8</v>
      </c>
      <c r="K1238" s="67" cm="1">
        <f ca="1" t="array" ref="K1238">MIN(18,_xlfn.XLOOKUP($D1238&amp;"_"&amp;K$61,$B$23:$B$45&amp;"_"&amp;$C$23:$C$45,$D$23:$D$45)*$E1238)</f>
        <v>4.8660522875817</v>
      </c>
      <c r="L1238" s="67" cm="1">
        <f ca="1" t="array" ref="L1238">MIN(6,_xlfn.XLOOKUP($D1238&amp;"_"&amp;L$61,$B$23:$B$45&amp;"_"&amp;$C$23:$C$45,$D$23:$D$45)*$E1238)</f>
        <v>6</v>
      </c>
      <c r="M1238" s="67" cm="1">
        <f ca="1" t="array" ref="M1238">(1+SUMPRODUCT(G1238:H1238,OFFSET($H$49:$I$49,D1238,0)))*(1+OFFSET($J$49,D1238,0))^I1238*(1+OFFSET($K$49,D1238,0))^J1238*(1+OFFSET($L$49,D1238,0))^K1238*(1+OFFSET($M$49,D1238,0))^L1238</f>
        <v>382.037294771195</v>
      </c>
      <c r="N1238" s="67">
        <f ca="1">MAX(MAX($N$62:N1237),OFFSET($C$61,MATCH(M1238*1.07,$M$62:$M$2061,1),0)-C1238)</f>
        <v>50400</v>
      </c>
    </row>
    <row r="1239" spans="2:14">
      <c r="B1239" s="67">
        <v>1178</v>
      </c>
      <c r="C1239" s="67">
        <f t="shared" si="121"/>
        <v>424080</v>
      </c>
      <c r="D1239" s="67">
        <f t="shared" si="119"/>
        <v>5</v>
      </c>
      <c r="E1239" s="67">
        <f ca="1" t="shared" si="120"/>
        <v>1208</v>
      </c>
      <c r="F1239" s="67">
        <f ca="1" t="shared" si="122"/>
        <v>0</v>
      </c>
      <c r="G1239" s="67">
        <f ca="1" t="shared" si="123"/>
        <v>0</v>
      </c>
      <c r="H1239" s="67" cm="1">
        <f ca="1" t="array" ref="H1239">MIN(30-SUM(I1239:L1239),_xlfn.XLOOKUP($D1239&amp;"_"&amp;H$61,$B$23:$B$45&amp;"_"&amp;$C$23:$C$45,$D$23:$D$45)*$E1239,18)</f>
        <v>11.1299161860823</v>
      </c>
      <c r="I1239" s="67" cm="1">
        <f ca="1" t="array" ref="I1239">MIN(30-SUM(J1239:L1239),6-L1239,_xlfn.XLOOKUP($D1239&amp;"_"&amp;I$61,$B$23:$B$45&amp;"_"&amp;$C$23:$C$45,$D$23:$D$45)*$E1239)</f>
        <v>0</v>
      </c>
      <c r="J1239" s="67" cm="1">
        <f ca="1" t="array" ref="J1239">MIN(8,_xlfn.XLOOKUP($D1239&amp;"_"&amp;J$61,$B$23:$B$45&amp;"_"&amp;$C$23:$C$45,$D$23:$D$45)*$E1239)</f>
        <v>8</v>
      </c>
      <c r="K1239" s="67" cm="1">
        <f ca="1" t="array" ref="K1239">MIN(18,_xlfn.XLOOKUP($D1239&amp;"_"&amp;K$61,$B$23:$B$45&amp;"_"&amp;$C$23:$C$45,$D$23:$D$45)*$E1239)</f>
        <v>4.87008381391773</v>
      </c>
      <c r="L1239" s="67" cm="1">
        <f ca="1" t="array" ref="L1239">MIN(6,_xlfn.XLOOKUP($D1239&amp;"_"&amp;L$61,$B$23:$B$45&amp;"_"&amp;$C$23:$C$45,$D$23:$D$45)*$E1239)</f>
        <v>6</v>
      </c>
      <c r="M1239" s="67" cm="1">
        <f ca="1" t="array" ref="M1239">(1+SUMPRODUCT(G1239:H1239,OFFSET($H$49:$I$49,D1239,0)))*(1+OFFSET($J$49,D1239,0))^I1239*(1+OFFSET($K$49,D1239,0))^J1239*(1+OFFSET($L$49,D1239,0))^K1239*(1+OFFSET($M$49,D1239,0))^L1239</f>
        <v>382.222675367421</v>
      </c>
      <c r="N1239" s="67">
        <f ca="1">MAX(MAX($N$62:N1238),OFFSET($C$61,MATCH(M1239*1.07,$M$62:$M$2061,1),0)-C1239)</f>
        <v>50400</v>
      </c>
    </row>
    <row r="1240" spans="2:14">
      <c r="B1240" s="67">
        <v>1179</v>
      </c>
      <c r="C1240" s="67">
        <f t="shared" si="121"/>
        <v>424440</v>
      </c>
      <c r="D1240" s="67">
        <f t="shared" si="119"/>
        <v>5</v>
      </c>
      <c r="E1240" s="67">
        <f ca="1" t="shared" si="120"/>
        <v>1209</v>
      </c>
      <c r="F1240" s="67">
        <f ca="1" t="shared" si="122"/>
        <v>0</v>
      </c>
      <c r="G1240" s="67">
        <f ca="1" t="shared" si="123"/>
        <v>0</v>
      </c>
      <c r="H1240" s="67" cm="1">
        <f ca="1" t="array" ref="H1240">MIN(30-SUM(I1240:L1240),_xlfn.XLOOKUP($D1240&amp;"_"&amp;H$61,$B$23:$B$45&amp;"_"&amp;$C$23:$C$45,$D$23:$D$45)*$E1240,18)</f>
        <v>11.1258846597462</v>
      </c>
      <c r="I1240" s="67" cm="1">
        <f ca="1" t="array" ref="I1240">MIN(30-SUM(J1240:L1240),6-L1240,_xlfn.XLOOKUP($D1240&amp;"_"&amp;I$61,$B$23:$B$45&amp;"_"&amp;$C$23:$C$45,$D$23:$D$45)*$E1240)</f>
        <v>0</v>
      </c>
      <c r="J1240" s="67" cm="1">
        <f ca="1" t="array" ref="J1240">MIN(8,_xlfn.XLOOKUP($D1240&amp;"_"&amp;J$61,$B$23:$B$45&amp;"_"&amp;$C$23:$C$45,$D$23:$D$45)*$E1240)</f>
        <v>8</v>
      </c>
      <c r="K1240" s="67" cm="1">
        <f ca="1" t="array" ref="K1240">MIN(18,_xlfn.XLOOKUP($D1240&amp;"_"&amp;K$61,$B$23:$B$45&amp;"_"&amp;$C$23:$C$45,$D$23:$D$45)*$E1240)</f>
        <v>4.87411534025375</v>
      </c>
      <c r="L1240" s="67" cm="1">
        <f ca="1" t="array" ref="L1240">MIN(6,_xlfn.XLOOKUP($D1240&amp;"_"&amp;L$61,$B$23:$B$45&amp;"_"&amp;$C$23:$C$45,$D$23:$D$45)*$E1240)</f>
        <v>6</v>
      </c>
      <c r="M1240" s="67" cm="1">
        <f ca="1" t="array" ref="M1240">(1+SUMPRODUCT(G1240:H1240,OFFSET($H$49:$I$49,D1240,0)))*(1+OFFSET($J$49,D1240,0))^I1240*(1+OFFSET($K$49,D1240,0))^J1240*(1+OFFSET($L$49,D1240,0))^K1240*(1+OFFSET($M$49,D1240,0))^L1240</f>
        <v>382.408122028908</v>
      </c>
      <c r="N1240" s="67">
        <f ca="1">MAX(MAX($N$62:N1239),OFFSET($C$61,MATCH(M1240*1.07,$M$62:$M$2061,1),0)-C1240)</f>
        <v>50400</v>
      </c>
    </row>
    <row r="1241" spans="2:14">
      <c r="B1241" s="67">
        <v>1180</v>
      </c>
      <c r="C1241" s="67">
        <f t="shared" si="121"/>
        <v>424800</v>
      </c>
      <c r="D1241" s="67">
        <f t="shared" si="119"/>
        <v>5</v>
      </c>
      <c r="E1241" s="67">
        <f ca="1" t="shared" si="120"/>
        <v>1210</v>
      </c>
      <c r="F1241" s="67">
        <f ca="1" t="shared" si="122"/>
        <v>0</v>
      </c>
      <c r="G1241" s="67">
        <f ca="1" t="shared" si="123"/>
        <v>0</v>
      </c>
      <c r="H1241" s="67" cm="1">
        <f ca="1" t="array" ref="H1241">MIN(30-SUM(I1241:L1241),_xlfn.XLOOKUP($D1241&amp;"_"&amp;H$61,$B$23:$B$45&amp;"_"&amp;$C$23:$C$45,$D$23:$D$45)*$E1241,18)</f>
        <v>11.1218531334102</v>
      </c>
      <c r="I1241" s="67" cm="1">
        <f ca="1" t="array" ref="I1241">MIN(30-SUM(J1241:L1241),6-L1241,_xlfn.XLOOKUP($D1241&amp;"_"&amp;I$61,$B$23:$B$45&amp;"_"&amp;$C$23:$C$45,$D$23:$D$45)*$E1241)</f>
        <v>0</v>
      </c>
      <c r="J1241" s="67" cm="1">
        <f ca="1" t="array" ref="J1241">MIN(8,_xlfn.XLOOKUP($D1241&amp;"_"&amp;J$61,$B$23:$B$45&amp;"_"&amp;$C$23:$C$45,$D$23:$D$45)*$E1241)</f>
        <v>8</v>
      </c>
      <c r="K1241" s="67" cm="1">
        <f ca="1" t="array" ref="K1241">MIN(18,_xlfn.XLOOKUP($D1241&amp;"_"&amp;K$61,$B$23:$B$45&amp;"_"&amp;$C$23:$C$45,$D$23:$D$45)*$E1241)</f>
        <v>4.87814686658978</v>
      </c>
      <c r="L1241" s="67" cm="1">
        <f ca="1" t="array" ref="L1241">MIN(6,_xlfn.XLOOKUP($D1241&amp;"_"&amp;L$61,$B$23:$B$45&amp;"_"&amp;$C$23:$C$45,$D$23:$D$45)*$E1241)</f>
        <v>6</v>
      </c>
      <c r="M1241" s="67" cm="1">
        <f ca="1" t="array" ref="M1241">(1+SUMPRODUCT(G1241:H1241,OFFSET($H$49:$I$49,D1241,0)))*(1+OFFSET($J$49,D1241,0))^I1241*(1+OFFSET($K$49,D1241,0))^J1241*(1+OFFSET($L$49,D1241,0))^K1241*(1+OFFSET($M$49,D1241,0))^L1241</f>
        <v>382.593634752582</v>
      </c>
      <c r="N1241" s="67">
        <f ca="1">MAX(MAX($N$62:N1240),OFFSET($C$61,MATCH(M1241*1.07,$M$62:$M$2061,1),0)-C1241)</f>
        <v>50400</v>
      </c>
    </row>
    <row r="1242" spans="2:14">
      <c r="B1242" s="67">
        <v>1181</v>
      </c>
      <c r="C1242" s="67">
        <f t="shared" si="121"/>
        <v>425160</v>
      </c>
      <c r="D1242" s="67">
        <f t="shared" si="119"/>
        <v>5</v>
      </c>
      <c r="E1242" s="67">
        <f ca="1" t="shared" si="120"/>
        <v>1211</v>
      </c>
      <c r="F1242" s="67">
        <f ca="1" t="shared" si="122"/>
        <v>0</v>
      </c>
      <c r="G1242" s="67">
        <f ca="1" t="shared" si="123"/>
        <v>0</v>
      </c>
      <c r="H1242" s="67" cm="1">
        <f ca="1" t="array" ref="H1242">MIN(30-SUM(I1242:L1242),_xlfn.XLOOKUP($D1242&amp;"_"&amp;H$61,$B$23:$B$45&amp;"_"&amp;$C$23:$C$45,$D$23:$D$45)*$E1242,18)</f>
        <v>11.1178216070742</v>
      </c>
      <c r="I1242" s="67" cm="1">
        <f ca="1" t="array" ref="I1242">MIN(30-SUM(J1242:L1242),6-L1242,_xlfn.XLOOKUP($D1242&amp;"_"&amp;I$61,$B$23:$B$45&amp;"_"&amp;$C$23:$C$45,$D$23:$D$45)*$E1242)</f>
        <v>0</v>
      </c>
      <c r="J1242" s="67" cm="1">
        <f ca="1" t="array" ref="J1242">MIN(8,_xlfn.XLOOKUP($D1242&amp;"_"&amp;J$61,$B$23:$B$45&amp;"_"&amp;$C$23:$C$45,$D$23:$D$45)*$E1242)</f>
        <v>8</v>
      </c>
      <c r="K1242" s="67" cm="1">
        <f ca="1" t="array" ref="K1242">MIN(18,_xlfn.XLOOKUP($D1242&amp;"_"&amp;K$61,$B$23:$B$45&amp;"_"&amp;$C$23:$C$45,$D$23:$D$45)*$E1242)</f>
        <v>4.8821783929258</v>
      </c>
      <c r="L1242" s="67" cm="1">
        <f ca="1" t="array" ref="L1242">MIN(6,_xlfn.XLOOKUP($D1242&amp;"_"&amp;L$61,$B$23:$B$45&amp;"_"&amp;$C$23:$C$45,$D$23:$D$45)*$E1242)</f>
        <v>6</v>
      </c>
      <c r="M1242" s="67" cm="1">
        <f ca="1" t="array" ref="M1242">(1+SUMPRODUCT(G1242:H1242,OFFSET($H$49:$I$49,D1242,0)))*(1+OFFSET($J$49,D1242,0))^I1242*(1+OFFSET($K$49,D1242,0))^J1242*(1+OFFSET($L$49,D1242,0))^K1242*(1+OFFSET($M$49,D1242,0))^L1242</f>
        <v>382.779213535328</v>
      </c>
      <c r="N1242" s="67">
        <f ca="1">MAX(MAX($N$62:N1241),OFFSET($C$61,MATCH(M1242*1.07,$M$62:$M$2061,1),0)-C1242)</f>
        <v>50400</v>
      </c>
    </row>
    <row r="1243" spans="2:14">
      <c r="B1243" s="67">
        <v>1182</v>
      </c>
      <c r="C1243" s="67">
        <f t="shared" si="121"/>
        <v>425520</v>
      </c>
      <c r="D1243" s="67">
        <f t="shared" si="119"/>
        <v>5</v>
      </c>
      <c r="E1243" s="67">
        <f ca="1" t="shared" si="120"/>
        <v>1212</v>
      </c>
      <c r="F1243" s="67">
        <f ca="1" t="shared" si="122"/>
        <v>0</v>
      </c>
      <c r="G1243" s="67">
        <f ca="1" t="shared" si="123"/>
        <v>0</v>
      </c>
      <c r="H1243" s="67" cm="1">
        <f ca="1" t="array" ref="H1243">MIN(30-SUM(I1243:L1243),_xlfn.XLOOKUP($D1243&amp;"_"&amp;H$61,$B$23:$B$45&amp;"_"&amp;$C$23:$C$45,$D$23:$D$45)*$E1243,18)</f>
        <v>11.1137900807382</v>
      </c>
      <c r="I1243" s="67" cm="1">
        <f ca="1" t="array" ref="I1243">MIN(30-SUM(J1243:L1243),6-L1243,_xlfn.XLOOKUP($D1243&amp;"_"&amp;I$61,$B$23:$B$45&amp;"_"&amp;$C$23:$C$45,$D$23:$D$45)*$E1243)</f>
        <v>0</v>
      </c>
      <c r="J1243" s="67" cm="1">
        <f ca="1" t="array" ref="J1243">MIN(8,_xlfn.XLOOKUP($D1243&amp;"_"&amp;J$61,$B$23:$B$45&amp;"_"&amp;$C$23:$C$45,$D$23:$D$45)*$E1243)</f>
        <v>8</v>
      </c>
      <c r="K1243" s="67" cm="1">
        <f ca="1" t="array" ref="K1243">MIN(18,_xlfn.XLOOKUP($D1243&amp;"_"&amp;K$61,$B$23:$B$45&amp;"_"&amp;$C$23:$C$45,$D$23:$D$45)*$E1243)</f>
        <v>4.88620991926183</v>
      </c>
      <c r="L1243" s="67" cm="1">
        <f ca="1" t="array" ref="L1243">MIN(6,_xlfn.XLOOKUP($D1243&amp;"_"&amp;L$61,$B$23:$B$45&amp;"_"&amp;$C$23:$C$45,$D$23:$D$45)*$E1243)</f>
        <v>6</v>
      </c>
      <c r="M1243" s="67" cm="1">
        <f ca="1" t="array" ref="M1243">(1+SUMPRODUCT(G1243:H1243,OFFSET($H$49:$I$49,D1243,0)))*(1+OFFSET($J$49,D1243,0))^I1243*(1+OFFSET($K$49,D1243,0))^J1243*(1+OFFSET($L$49,D1243,0))^K1243*(1+OFFSET($M$49,D1243,0))^L1243</f>
        <v>382.964858373993</v>
      </c>
      <c r="N1243" s="67">
        <f ca="1">MAX(MAX($N$62:N1242),OFFSET($C$61,MATCH(M1243*1.07,$M$62:$M$2061,1),0)-C1243)</f>
        <v>50400</v>
      </c>
    </row>
    <row r="1244" spans="2:14">
      <c r="B1244" s="67">
        <v>1183</v>
      </c>
      <c r="C1244" s="67">
        <f t="shared" si="121"/>
        <v>425880</v>
      </c>
      <c r="D1244" s="67">
        <f t="shared" si="119"/>
        <v>5</v>
      </c>
      <c r="E1244" s="67">
        <f ca="1" t="shared" si="120"/>
        <v>1213</v>
      </c>
      <c r="F1244" s="67">
        <f ca="1" t="shared" si="122"/>
        <v>0</v>
      </c>
      <c r="G1244" s="67">
        <f ca="1" t="shared" si="123"/>
        <v>0</v>
      </c>
      <c r="H1244" s="67" cm="1">
        <f ca="1" t="array" ref="H1244">MIN(30-SUM(I1244:L1244),_xlfn.XLOOKUP($D1244&amp;"_"&amp;H$61,$B$23:$B$45&amp;"_"&amp;$C$23:$C$45,$D$23:$D$45)*$E1244,18)</f>
        <v>11.1097585544021</v>
      </c>
      <c r="I1244" s="67" cm="1">
        <f ca="1" t="array" ref="I1244">MIN(30-SUM(J1244:L1244),6-L1244,_xlfn.XLOOKUP($D1244&amp;"_"&amp;I$61,$B$23:$B$45&amp;"_"&amp;$C$23:$C$45,$D$23:$D$45)*$E1244)</f>
        <v>0</v>
      </c>
      <c r="J1244" s="67" cm="1">
        <f ca="1" t="array" ref="J1244">MIN(8,_xlfn.XLOOKUP($D1244&amp;"_"&amp;J$61,$B$23:$B$45&amp;"_"&amp;$C$23:$C$45,$D$23:$D$45)*$E1244)</f>
        <v>8</v>
      </c>
      <c r="K1244" s="67" cm="1">
        <f ca="1" t="array" ref="K1244">MIN(18,_xlfn.XLOOKUP($D1244&amp;"_"&amp;K$61,$B$23:$B$45&amp;"_"&amp;$C$23:$C$45,$D$23:$D$45)*$E1244)</f>
        <v>4.89024144559785</v>
      </c>
      <c r="L1244" s="67" cm="1">
        <f ca="1" t="array" ref="L1244">MIN(6,_xlfn.XLOOKUP($D1244&amp;"_"&amp;L$61,$B$23:$B$45&amp;"_"&amp;$C$23:$C$45,$D$23:$D$45)*$E1244)</f>
        <v>6</v>
      </c>
      <c r="M1244" s="67" cm="1">
        <f ca="1" t="array" ref="M1244">(1+SUMPRODUCT(G1244:H1244,OFFSET($H$49:$I$49,D1244,0)))*(1+OFFSET($J$49,D1244,0))^I1244*(1+OFFSET($K$49,D1244,0))^J1244*(1+OFFSET($L$49,D1244,0))^K1244*(1+OFFSET($M$49,D1244,0))^L1244</f>
        <v>383.150569265381</v>
      </c>
      <c r="N1244" s="67">
        <f ca="1">MAX(MAX($N$62:N1243),OFFSET($C$61,MATCH(M1244*1.07,$M$62:$M$2061,1),0)-C1244)</f>
        <v>50400</v>
      </c>
    </row>
    <row r="1245" spans="2:14">
      <c r="B1245" s="67">
        <v>1184</v>
      </c>
      <c r="C1245" s="67">
        <f t="shared" si="121"/>
        <v>426240</v>
      </c>
      <c r="D1245" s="67">
        <f t="shared" si="119"/>
        <v>5</v>
      </c>
      <c r="E1245" s="67">
        <f ca="1" t="shared" si="120"/>
        <v>1214</v>
      </c>
      <c r="F1245" s="67">
        <f ca="1" t="shared" si="122"/>
        <v>0</v>
      </c>
      <c r="G1245" s="67">
        <f ca="1" t="shared" si="123"/>
        <v>0</v>
      </c>
      <c r="H1245" s="67" cm="1">
        <f ca="1" t="array" ref="H1245">MIN(30-SUM(I1245:L1245),_xlfn.XLOOKUP($D1245&amp;"_"&amp;H$61,$B$23:$B$45&amp;"_"&amp;$C$23:$C$45,$D$23:$D$45)*$E1245,18)</f>
        <v>11.1057270280661</v>
      </c>
      <c r="I1245" s="67" cm="1">
        <f ca="1" t="array" ref="I1245">MIN(30-SUM(J1245:L1245),6-L1245,_xlfn.XLOOKUP($D1245&amp;"_"&amp;I$61,$B$23:$B$45&amp;"_"&amp;$C$23:$C$45,$D$23:$D$45)*$E1245)</f>
        <v>0</v>
      </c>
      <c r="J1245" s="67" cm="1">
        <f ca="1" t="array" ref="J1245">MIN(8,_xlfn.XLOOKUP($D1245&amp;"_"&amp;J$61,$B$23:$B$45&amp;"_"&amp;$C$23:$C$45,$D$23:$D$45)*$E1245)</f>
        <v>8</v>
      </c>
      <c r="K1245" s="67" cm="1">
        <f ca="1" t="array" ref="K1245">MIN(18,_xlfn.XLOOKUP($D1245&amp;"_"&amp;K$61,$B$23:$B$45&amp;"_"&amp;$C$23:$C$45,$D$23:$D$45)*$E1245)</f>
        <v>4.89427297193388</v>
      </c>
      <c r="L1245" s="67" cm="1">
        <f ca="1" t="array" ref="L1245">MIN(6,_xlfn.XLOOKUP($D1245&amp;"_"&amp;L$61,$B$23:$B$45&amp;"_"&amp;$C$23:$C$45,$D$23:$D$45)*$E1245)</f>
        <v>6</v>
      </c>
      <c r="M1245" s="67" cm="1">
        <f ca="1" t="array" ref="M1245">(1+SUMPRODUCT(G1245:H1245,OFFSET($H$49:$I$49,D1245,0)))*(1+OFFSET($J$49,D1245,0))^I1245*(1+OFFSET($K$49,D1245,0))^J1245*(1+OFFSET($L$49,D1245,0))^K1245*(1+OFFSET($M$49,D1245,0))^L1245</f>
        <v>383.336346206257</v>
      </c>
      <c r="N1245" s="67">
        <f ca="1">MAX(MAX($N$62:N1244),OFFSET($C$61,MATCH(M1245*1.07,$M$62:$M$2061,1),0)-C1245)</f>
        <v>50400</v>
      </c>
    </row>
    <row r="1246" spans="2:14">
      <c r="B1246" s="67">
        <v>1185</v>
      </c>
      <c r="C1246" s="67">
        <f t="shared" si="121"/>
        <v>426600</v>
      </c>
      <c r="D1246" s="67">
        <f t="shared" si="119"/>
        <v>5</v>
      </c>
      <c r="E1246" s="67">
        <f ca="1" t="shared" si="120"/>
        <v>1215</v>
      </c>
      <c r="F1246" s="67">
        <f ca="1" t="shared" si="122"/>
        <v>0</v>
      </c>
      <c r="G1246" s="67">
        <f ca="1" t="shared" si="123"/>
        <v>0</v>
      </c>
      <c r="H1246" s="67" cm="1">
        <f ca="1" t="array" ref="H1246">MIN(30-SUM(I1246:L1246),_xlfn.XLOOKUP($D1246&amp;"_"&amp;H$61,$B$23:$B$45&amp;"_"&amp;$C$23:$C$45,$D$23:$D$45)*$E1246,18)</f>
        <v>11.1016955017301</v>
      </c>
      <c r="I1246" s="67" cm="1">
        <f ca="1" t="array" ref="I1246">MIN(30-SUM(J1246:L1246),6-L1246,_xlfn.XLOOKUP($D1246&amp;"_"&amp;I$61,$B$23:$B$45&amp;"_"&amp;$C$23:$C$45,$D$23:$D$45)*$E1246)</f>
        <v>0</v>
      </c>
      <c r="J1246" s="67" cm="1">
        <f ca="1" t="array" ref="J1246">MIN(8,_xlfn.XLOOKUP($D1246&amp;"_"&amp;J$61,$B$23:$B$45&amp;"_"&amp;$C$23:$C$45,$D$23:$D$45)*$E1246)</f>
        <v>8</v>
      </c>
      <c r="K1246" s="67" cm="1">
        <f ca="1" t="array" ref="K1246">MIN(18,_xlfn.XLOOKUP($D1246&amp;"_"&amp;K$61,$B$23:$B$45&amp;"_"&amp;$C$23:$C$45,$D$23:$D$45)*$E1246)</f>
        <v>4.8983044982699</v>
      </c>
      <c r="L1246" s="67" cm="1">
        <f ca="1" t="array" ref="L1246">MIN(6,_xlfn.XLOOKUP($D1246&amp;"_"&amp;L$61,$B$23:$B$45&amp;"_"&amp;$C$23:$C$45,$D$23:$D$45)*$E1246)</f>
        <v>6</v>
      </c>
      <c r="M1246" s="67" cm="1">
        <f ca="1" t="array" ref="M1246">(1+SUMPRODUCT(G1246:H1246,OFFSET($H$49:$I$49,D1246,0)))*(1+OFFSET($J$49,D1246,0))^I1246*(1+OFFSET($K$49,D1246,0))^J1246*(1+OFFSET($L$49,D1246,0))^K1246*(1+OFFSET($M$49,D1246,0))^L1246</f>
        <v>383.522189193344</v>
      </c>
      <c r="N1246" s="67">
        <f ca="1">MAX(MAX($N$62:N1245),OFFSET($C$61,MATCH(M1246*1.07,$M$62:$M$2061,1),0)-C1246)</f>
        <v>50400</v>
      </c>
    </row>
    <row r="1247" spans="2:14">
      <c r="B1247" s="67">
        <v>1186</v>
      </c>
      <c r="C1247" s="67">
        <f t="shared" si="121"/>
        <v>426960</v>
      </c>
      <c r="D1247" s="67">
        <f t="shared" si="119"/>
        <v>5</v>
      </c>
      <c r="E1247" s="67">
        <f ca="1" t="shared" si="120"/>
        <v>1216</v>
      </c>
      <c r="F1247" s="67">
        <f ca="1" t="shared" si="122"/>
        <v>0</v>
      </c>
      <c r="G1247" s="67">
        <f ca="1" t="shared" si="123"/>
        <v>0</v>
      </c>
      <c r="H1247" s="67" cm="1">
        <f ca="1" t="array" ref="H1247">MIN(30-SUM(I1247:L1247),_xlfn.XLOOKUP($D1247&amp;"_"&amp;H$61,$B$23:$B$45&amp;"_"&amp;$C$23:$C$45,$D$23:$D$45)*$E1247,18)</f>
        <v>11.0976639753941</v>
      </c>
      <c r="I1247" s="67" cm="1">
        <f ca="1" t="array" ref="I1247">MIN(30-SUM(J1247:L1247),6-L1247,_xlfn.XLOOKUP($D1247&amp;"_"&amp;I$61,$B$23:$B$45&amp;"_"&amp;$C$23:$C$45,$D$23:$D$45)*$E1247)</f>
        <v>0</v>
      </c>
      <c r="J1247" s="67" cm="1">
        <f ca="1" t="array" ref="J1247">MIN(8,_xlfn.XLOOKUP($D1247&amp;"_"&amp;J$61,$B$23:$B$45&amp;"_"&amp;$C$23:$C$45,$D$23:$D$45)*$E1247)</f>
        <v>8</v>
      </c>
      <c r="K1247" s="67" cm="1">
        <f ca="1" t="array" ref="K1247">MIN(18,_xlfn.XLOOKUP($D1247&amp;"_"&amp;K$61,$B$23:$B$45&amp;"_"&amp;$C$23:$C$45,$D$23:$D$45)*$E1247)</f>
        <v>4.90233602460593</v>
      </c>
      <c r="L1247" s="67" cm="1">
        <f ca="1" t="array" ref="L1247">MIN(6,_xlfn.XLOOKUP($D1247&amp;"_"&amp;L$61,$B$23:$B$45&amp;"_"&amp;$C$23:$C$45,$D$23:$D$45)*$E1247)</f>
        <v>6</v>
      </c>
      <c r="M1247" s="67" cm="1">
        <f ca="1" t="array" ref="M1247">(1+SUMPRODUCT(G1247:H1247,OFFSET($H$49:$I$49,D1247,0)))*(1+OFFSET($J$49,D1247,0))^I1247*(1+OFFSET($K$49,D1247,0))^J1247*(1+OFFSET($L$49,D1247,0))^K1247*(1+OFFSET($M$49,D1247,0))^L1247</f>
        <v>383.708098223328</v>
      </c>
      <c r="N1247" s="67">
        <f ca="1">MAX(MAX($N$62:N1246),OFFSET($C$61,MATCH(M1247*1.07,$M$62:$M$2061,1),0)-C1247)</f>
        <v>50400</v>
      </c>
    </row>
    <row r="1248" spans="2:14">
      <c r="B1248" s="67">
        <v>1187</v>
      </c>
      <c r="C1248" s="67">
        <f t="shared" si="121"/>
        <v>427320</v>
      </c>
      <c r="D1248" s="67">
        <f t="shared" si="119"/>
        <v>5</v>
      </c>
      <c r="E1248" s="67">
        <f ca="1" t="shared" si="120"/>
        <v>1217</v>
      </c>
      <c r="F1248" s="67">
        <f ca="1" t="shared" si="122"/>
        <v>0</v>
      </c>
      <c r="G1248" s="67">
        <f ca="1" t="shared" si="123"/>
        <v>0</v>
      </c>
      <c r="H1248" s="67" cm="1">
        <f ca="1" t="array" ref="H1248">MIN(30-SUM(I1248:L1248),_xlfn.XLOOKUP($D1248&amp;"_"&amp;H$61,$B$23:$B$45&amp;"_"&amp;$C$23:$C$45,$D$23:$D$45)*$E1248,18)</f>
        <v>11.093632449058</v>
      </c>
      <c r="I1248" s="67" cm="1">
        <f ca="1" t="array" ref="I1248">MIN(30-SUM(J1248:L1248),6-L1248,_xlfn.XLOOKUP($D1248&amp;"_"&amp;I$61,$B$23:$B$45&amp;"_"&amp;$C$23:$C$45,$D$23:$D$45)*$E1248)</f>
        <v>0</v>
      </c>
      <c r="J1248" s="67" cm="1">
        <f ca="1" t="array" ref="J1248">MIN(8,_xlfn.XLOOKUP($D1248&amp;"_"&amp;J$61,$B$23:$B$45&amp;"_"&amp;$C$23:$C$45,$D$23:$D$45)*$E1248)</f>
        <v>8</v>
      </c>
      <c r="K1248" s="67" cm="1">
        <f ca="1" t="array" ref="K1248">MIN(18,_xlfn.XLOOKUP($D1248&amp;"_"&amp;K$61,$B$23:$B$45&amp;"_"&amp;$C$23:$C$45,$D$23:$D$45)*$E1248)</f>
        <v>4.90636755094195</v>
      </c>
      <c r="L1248" s="67" cm="1">
        <f ca="1" t="array" ref="L1248">MIN(6,_xlfn.XLOOKUP($D1248&amp;"_"&amp;L$61,$B$23:$B$45&amp;"_"&amp;$C$23:$C$45,$D$23:$D$45)*$E1248)</f>
        <v>6</v>
      </c>
      <c r="M1248" s="67" cm="1">
        <f ca="1" t="array" ref="M1248">(1+SUMPRODUCT(G1248:H1248,OFFSET($H$49:$I$49,D1248,0)))*(1+OFFSET($J$49,D1248,0))^I1248*(1+OFFSET($K$49,D1248,0))^J1248*(1+OFFSET($L$49,D1248,0))^K1248*(1+OFFSET($M$49,D1248,0))^L1248</f>
        <v>383.89407329285</v>
      </c>
      <c r="N1248" s="67">
        <f ca="1">MAX(MAX($N$62:N1247),OFFSET($C$61,MATCH(M1248*1.07,$M$62:$M$2061,1),0)-C1248)</f>
        <v>50400</v>
      </c>
    </row>
    <row r="1249" spans="2:14">
      <c r="B1249" s="67">
        <v>1188</v>
      </c>
      <c r="C1249" s="67">
        <f t="shared" si="121"/>
        <v>427680</v>
      </c>
      <c r="D1249" s="67">
        <f t="shared" si="119"/>
        <v>5</v>
      </c>
      <c r="E1249" s="67">
        <f ca="1" t="shared" si="120"/>
        <v>1218</v>
      </c>
      <c r="F1249" s="67">
        <f ca="1" t="shared" si="122"/>
        <v>0</v>
      </c>
      <c r="G1249" s="67">
        <f ca="1" t="shared" si="123"/>
        <v>0</v>
      </c>
      <c r="H1249" s="67" cm="1">
        <f ca="1" t="array" ref="H1249">MIN(30-SUM(I1249:L1249),_xlfn.XLOOKUP($D1249&amp;"_"&amp;H$61,$B$23:$B$45&amp;"_"&amp;$C$23:$C$45,$D$23:$D$45)*$E1249,18)</f>
        <v>11.089600922722</v>
      </c>
      <c r="I1249" s="67" cm="1">
        <f ca="1" t="array" ref="I1249">MIN(30-SUM(J1249:L1249),6-L1249,_xlfn.XLOOKUP($D1249&amp;"_"&amp;I$61,$B$23:$B$45&amp;"_"&amp;$C$23:$C$45,$D$23:$D$45)*$E1249)</f>
        <v>0</v>
      </c>
      <c r="J1249" s="67" cm="1">
        <f ca="1" t="array" ref="J1249">MIN(8,_xlfn.XLOOKUP($D1249&amp;"_"&amp;J$61,$B$23:$B$45&amp;"_"&amp;$C$23:$C$45,$D$23:$D$45)*$E1249)</f>
        <v>8</v>
      </c>
      <c r="K1249" s="67" cm="1">
        <f ca="1" t="array" ref="K1249">MIN(18,_xlfn.XLOOKUP($D1249&amp;"_"&amp;K$61,$B$23:$B$45&amp;"_"&amp;$C$23:$C$45,$D$23:$D$45)*$E1249)</f>
        <v>4.91039907727798</v>
      </c>
      <c r="L1249" s="67" cm="1">
        <f ca="1" t="array" ref="L1249">MIN(6,_xlfn.XLOOKUP($D1249&amp;"_"&amp;L$61,$B$23:$B$45&amp;"_"&amp;$C$23:$C$45,$D$23:$D$45)*$E1249)</f>
        <v>6</v>
      </c>
      <c r="M1249" s="67" cm="1">
        <f ca="1" t="array" ref="M1249">(1+SUMPRODUCT(G1249:H1249,OFFSET($H$49:$I$49,D1249,0)))*(1+OFFSET($J$49,D1249,0))^I1249*(1+OFFSET($K$49,D1249,0))^J1249*(1+OFFSET($L$49,D1249,0))^K1249*(1+OFFSET($M$49,D1249,0))^L1249</f>
        <v>384.080114398514</v>
      </c>
      <c r="N1249" s="67">
        <f ca="1">MAX(MAX($N$62:N1248),OFFSET($C$61,MATCH(M1249*1.07,$M$62:$M$2061,1),0)-C1249)</f>
        <v>50400</v>
      </c>
    </row>
    <row r="1250" spans="2:14">
      <c r="B1250" s="67">
        <v>1189</v>
      </c>
      <c r="C1250" s="67">
        <f t="shared" si="121"/>
        <v>428040</v>
      </c>
      <c r="D1250" s="67">
        <f t="shared" si="119"/>
        <v>5</v>
      </c>
      <c r="E1250" s="67">
        <f ca="1" t="shared" si="120"/>
        <v>1219</v>
      </c>
      <c r="F1250" s="67">
        <f ca="1" t="shared" si="122"/>
        <v>0</v>
      </c>
      <c r="G1250" s="67">
        <f ca="1" t="shared" si="123"/>
        <v>0</v>
      </c>
      <c r="H1250" s="67" cm="1">
        <f ca="1" t="array" ref="H1250">MIN(30-SUM(I1250:L1250),_xlfn.XLOOKUP($D1250&amp;"_"&amp;H$61,$B$23:$B$45&amp;"_"&amp;$C$23:$C$45,$D$23:$D$45)*$E1250,18)</f>
        <v>11.085569396386</v>
      </c>
      <c r="I1250" s="67" cm="1">
        <f ca="1" t="array" ref="I1250">MIN(30-SUM(J1250:L1250),6-L1250,_xlfn.XLOOKUP($D1250&amp;"_"&amp;I$61,$B$23:$B$45&amp;"_"&amp;$C$23:$C$45,$D$23:$D$45)*$E1250)</f>
        <v>0</v>
      </c>
      <c r="J1250" s="67" cm="1">
        <f ca="1" t="array" ref="J1250">MIN(8,_xlfn.XLOOKUP($D1250&amp;"_"&amp;J$61,$B$23:$B$45&amp;"_"&amp;$C$23:$C$45,$D$23:$D$45)*$E1250)</f>
        <v>8</v>
      </c>
      <c r="K1250" s="67" cm="1">
        <f ca="1" t="array" ref="K1250">MIN(18,_xlfn.XLOOKUP($D1250&amp;"_"&amp;K$61,$B$23:$B$45&amp;"_"&amp;$C$23:$C$45,$D$23:$D$45)*$E1250)</f>
        <v>4.914430603614</v>
      </c>
      <c r="L1250" s="67" cm="1">
        <f ca="1" t="array" ref="L1250">MIN(6,_xlfn.XLOOKUP($D1250&amp;"_"&amp;L$61,$B$23:$B$45&amp;"_"&amp;$C$23:$C$45,$D$23:$D$45)*$E1250)</f>
        <v>6</v>
      </c>
      <c r="M1250" s="67" cm="1">
        <f ca="1" t="array" ref="M1250">(1+SUMPRODUCT(G1250:H1250,OFFSET($H$49:$I$49,D1250,0)))*(1+OFFSET($J$49,D1250,0))^I1250*(1+OFFSET($K$49,D1250,0))^J1250*(1+OFFSET($L$49,D1250,0))^K1250*(1+OFFSET($M$49,D1250,0))^L1250</f>
        <v>384.26622153688</v>
      </c>
      <c r="N1250" s="67">
        <f ca="1">MAX(MAX($N$62:N1249),OFFSET($C$61,MATCH(M1250*1.07,$M$62:$M$2061,1),0)-C1250)</f>
        <v>50400</v>
      </c>
    </row>
    <row r="1251" spans="2:14">
      <c r="B1251" s="67">
        <v>1190</v>
      </c>
      <c r="C1251" s="67">
        <f t="shared" si="121"/>
        <v>428400</v>
      </c>
      <c r="D1251" s="67">
        <f t="shared" si="119"/>
        <v>5</v>
      </c>
      <c r="E1251" s="67">
        <f ca="1" t="shared" si="120"/>
        <v>1220</v>
      </c>
      <c r="F1251" s="67">
        <f ca="1" t="shared" si="122"/>
        <v>0</v>
      </c>
      <c r="G1251" s="67">
        <f ca="1" t="shared" si="123"/>
        <v>0</v>
      </c>
      <c r="H1251" s="67" cm="1">
        <f ca="1" t="array" ref="H1251">MIN(30-SUM(I1251:L1251),_xlfn.XLOOKUP($D1251&amp;"_"&amp;H$61,$B$23:$B$45&amp;"_"&amp;$C$23:$C$45,$D$23:$D$45)*$E1251,18)</f>
        <v>11.08153787005</v>
      </c>
      <c r="I1251" s="67" cm="1">
        <f ca="1" t="array" ref="I1251">MIN(30-SUM(J1251:L1251),6-L1251,_xlfn.XLOOKUP($D1251&amp;"_"&amp;I$61,$B$23:$B$45&amp;"_"&amp;$C$23:$C$45,$D$23:$D$45)*$E1251)</f>
        <v>0</v>
      </c>
      <c r="J1251" s="67" cm="1">
        <f ca="1" t="array" ref="J1251">MIN(8,_xlfn.XLOOKUP($D1251&amp;"_"&amp;J$61,$B$23:$B$45&amp;"_"&amp;$C$23:$C$45,$D$23:$D$45)*$E1251)</f>
        <v>8</v>
      </c>
      <c r="K1251" s="67" cm="1">
        <f ca="1" t="array" ref="K1251">MIN(18,_xlfn.XLOOKUP($D1251&amp;"_"&amp;K$61,$B$23:$B$45&amp;"_"&amp;$C$23:$C$45,$D$23:$D$45)*$E1251)</f>
        <v>4.91846212995002</v>
      </c>
      <c r="L1251" s="67" cm="1">
        <f ca="1" t="array" ref="L1251">MIN(6,_xlfn.XLOOKUP($D1251&amp;"_"&amp;L$61,$B$23:$B$45&amp;"_"&amp;$C$23:$C$45,$D$23:$D$45)*$E1251)</f>
        <v>6</v>
      </c>
      <c r="M1251" s="67" cm="1">
        <f ca="1" t="array" ref="M1251">(1+SUMPRODUCT(G1251:H1251,OFFSET($H$49:$I$49,D1251,0)))*(1+OFFSET($J$49,D1251,0))^I1251*(1+OFFSET($K$49,D1251,0))^J1251*(1+OFFSET($L$49,D1251,0))^K1251*(1+OFFSET($M$49,D1251,0))^L1251</f>
        <v>384.45239470447</v>
      </c>
      <c r="N1251" s="67">
        <f ca="1">MAX(MAX($N$62:N1250),OFFSET($C$61,MATCH(M1251*1.07,$M$62:$M$2061,1),0)-C1251)</f>
        <v>50760</v>
      </c>
    </row>
    <row r="1252" spans="2:14">
      <c r="B1252" s="67">
        <v>1191</v>
      </c>
      <c r="C1252" s="67">
        <f t="shared" si="121"/>
        <v>428760</v>
      </c>
      <c r="D1252" s="67">
        <f t="shared" si="119"/>
        <v>5</v>
      </c>
      <c r="E1252" s="67">
        <f ca="1" t="shared" si="120"/>
        <v>1221</v>
      </c>
      <c r="F1252" s="67">
        <f ca="1" t="shared" si="122"/>
        <v>0</v>
      </c>
      <c r="G1252" s="67">
        <f ca="1" t="shared" si="123"/>
        <v>0</v>
      </c>
      <c r="H1252" s="67" cm="1">
        <f ca="1" t="array" ref="H1252">MIN(30-SUM(I1252:L1252),_xlfn.XLOOKUP($D1252&amp;"_"&amp;H$61,$B$23:$B$45&amp;"_"&amp;$C$23:$C$45,$D$23:$D$45)*$E1252,18)</f>
        <v>11.0775063437139</v>
      </c>
      <c r="I1252" s="67" cm="1">
        <f ca="1" t="array" ref="I1252">MIN(30-SUM(J1252:L1252),6-L1252,_xlfn.XLOOKUP($D1252&amp;"_"&amp;I$61,$B$23:$B$45&amp;"_"&amp;$C$23:$C$45,$D$23:$D$45)*$E1252)</f>
        <v>0</v>
      </c>
      <c r="J1252" s="67" cm="1">
        <f ca="1" t="array" ref="J1252">MIN(8,_xlfn.XLOOKUP($D1252&amp;"_"&amp;J$61,$B$23:$B$45&amp;"_"&amp;$C$23:$C$45,$D$23:$D$45)*$E1252)</f>
        <v>8</v>
      </c>
      <c r="K1252" s="67" cm="1">
        <f ca="1" t="array" ref="K1252">MIN(18,_xlfn.XLOOKUP($D1252&amp;"_"&amp;K$61,$B$23:$B$45&amp;"_"&amp;$C$23:$C$45,$D$23:$D$45)*$E1252)</f>
        <v>4.92249365628605</v>
      </c>
      <c r="L1252" s="67" cm="1">
        <f ca="1" t="array" ref="L1252">MIN(6,_xlfn.XLOOKUP($D1252&amp;"_"&amp;L$61,$B$23:$B$45&amp;"_"&amp;$C$23:$C$45,$D$23:$D$45)*$E1252)</f>
        <v>6</v>
      </c>
      <c r="M1252" s="67" cm="1">
        <f ca="1" t="array" ref="M1252">(1+SUMPRODUCT(G1252:H1252,OFFSET($H$49:$I$49,D1252,0)))*(1+OFFSET($J$49,D1252,0))^I1252*(1+OFFSET($K$49,D1252,0))^J1252*(1+OFFSET($L$49,D1252,0))^K1252*(1+OFFSET($M$49,D1252,0))^L1252</f>
        <v>384.638633897764</v>
      </c>
      <c r="N1252" s="67">
        <f ca="1">MAX(MAX($N$62:N1251),OFFSET($C$61,MATCH(M1252*1.07,$M$62:$M$2061,1),0)-C1252)</f>
        <v>50760</v>
      </c>
    </row>
    <row r="1253" spans="2:14">
      <c r="B1253" s="67">
        <v>1192</v>
      </c>
      <c r="C1253" s="67">
        <f t="shared" si="121"/>
        <v>429120</v>
      </c>
      <c r="D1253" s="67">
        <f t="shared" si="119"/>
        <v>5</v>
      </c>
      <c r="E1253" s="67">
        <f ca="1" t="shared" si="120"/>
        <v>1222</v>
      </c>
      <c r="F1253" s="67">
        <f ca="1" t="shared" si="122"/>
        <v>0</v>
      </c>
      <c r="G1253" s="67">
        <f ca="1" t="shared" si="123"/>
        <v>0</v>
      </c>
      <c r="H1253" s="67" cm="1">
        <f ca="1" t="array" ref="H1253">MIN(30-SUM(I1253:L1253),_xlfn.XLOOKUP($D1253&amp;"_"&amp;H$61,$B$23:$B$45&amp;"_"&amp;$C$23:$C$45,$D$23:$D$45)*$E1253,18)</f>
        <v>11.0734748173779</v>
      </c>
      <c r="I1253" s="67" cm="1">
        <f ca="1" t="array" ref="I1253">MIN(30-SUM(J1253:L1253),6-L1253,_xlfn.XLOOKUP($D1253&amp;"_"&amp;I$61,$B$23:$B$45&amp;"_"&amp;$C$23:$C$45,$D$23:$D$45)*$E1253)</f>
        <v>0</v>
      </c>
      <c r="J1253" s="67" cm="1">
        <f ca="1" t="array" ref="J1253">MIN(8,_xlfn.XLOOKUP($D1253&amp;"_"&amp;J$61,$B$23:$B$45&amp;"_"&amp;$C$23:$C$45,$D$23:$D$45)*$E1253)</f>
        <v>8</v>
      </c>
      <c r="K1253" s="67" cm="1">
        <f ca="1" t="array" ref="K1253">MIN(18,_xlfn.XLOOKUP($D1253&amp;"_"&amp;K$61,$B$23:$B$45&amp;"_"&amp;$C$23:$C$45,$D$23:$D$45)*$E1253)</f>
        <v>4.92652518262207</v>
      </c>
      <c r="L1253" s="67" cm="1">
        <f ca="1" t="array" ref="L1253">MIN(6,_xlfn.XLOOKUP($D1253&amp;"_"&amp;L$61,$B$23:$B$45&amp;"_"&amp;$C$23:$C$45,$D$23:$D$45)*$E1253)</f>
        <v>6</v>
      </c>
      <c r="M1253" s="67" cm="1">
        <f ca="1" t="array" ref="M1253">(1+SUMPRODUCT(G1253:H1253,OFFSET($H$49:$I$49,D1253,0)))*(1+OFFSET($J$49,D1253,0))^I1253*(1+OFFSET($K$49,D1253,0))^J1253*(1+OFFSET($L$49,D1253,0))^K1253*(1+OFFSET($M$49,D1253,0))^L1253</f>
        <v>384.824939113202</v>
      </c>
      <c r="N1253" s="67">
        <f ca="1">MAX(MAX($N$62:N1252),OFFSET($C$61,MATCH(M1253*1.07,$M$62:$M$2061,1),0)-C1253)</f>
        <v>50760</v>
      </c>
    </row>
    <row r="1254" spans="2:14">
      <c r="B1254" s="67">
        <v>1193</v>
      </c>
      <c r="C1254" s="67">
        <f t="shared" si="121"/>
        <v>429480</v>
      </c>
      <c r="D1254" s="67">
        <f t="shared" si="119"/>
        <v>5</v>
      </c>
      <c r="E1254" s="67">
        <f ca="1" t="shared" si="120"/>
        <v>1223</v>
      </c>
      <c r="F1254" s="67">
        <f ca="1" t="shared" si="122"/>
        <v>0</v>
      </c>
      <c r="G1254" s="67">
        <f ca="1" t="shared" si="123"/>
        <v>0</v>
      </c>
      <c r="H1254" s="67" cm="1">
        <f ca="1" t="array" ref="H1254">MIN(30-SUM(I1254:L1254),_xlfn.XLOOKUP($D1254&amp;"_"&amp;H$61,$B$23:$B$45&amp;"_"&amp;$C$23:$C$45,$D$23:$D$45)*$E1254,18)</f>
        <v>11.0694432910419</v>
      </c>
      <c r="I1254" s="67" cm="1">
        <f ca="1" t="array" ref="I1254">MIN(30-SUM(J1254:L1254),6-L1254,_xlfn.XLOOKUP($D1254&amp;"_"&amp;I$61,$B$23:$B$45&amp;"_"&amp;$C$23:$C$45,$D$23:$D$45)*$E1254)</f>
        <v>0</v>
      </c>
      <c r="J1254" s="67" cm="1">
        <f ca="1" t="array" ref="J1254">MIN(8,_xlfn.XLOOKUP($D1254&amp;"_"&amp;J$61,$B$23:$B$45&amp;"_"&amp;$C$23:$C$45,$D$23:$D$45)*$E1254)</f>
        <v>8</v>
      </c>
      <c r="K1254" s="67" cm="1">
        <f ca="1" t="array" ref="K1254">MIN(18,_xlfn.XLOOKUP($D1254&amp;"_"&amp;K$61,$B$23:$B$45&amp;"_"&amp;$C$23:$C$45,$D$23:$D$45)*$E1254)</f>
        <v>4.9305567089581</v>
      </c>
      <c r="L1254" s="67" cm="1">
        <f ca="1" t="array" ref="L1254">MIN(6,_xlfn.XLOOKUP($D1254&amp;"_"&amp;L$61,$B$23:$B$45&amp;"_"&amp;$C$23:$C$45,$D$23:$D$45)*$E1254)</f>
        <v>6</v>
      </c>
      <c r="M1254" s="67" cm="1">
        <f ca="1" t="array" ref="M1254">(1+SUMPRODUCT(G1254:H1254,OFFSET($H$49:$I$49,D1254,0)))*(1+OFFSET($J$49,D1254,0))^I1254*(1+OFFSET($K$49,D1254,0))^J1254*(1+OFFSET($L$49,D1254,0))^K1254*(1+OFFSET($M$49,D1254,0))^L1254</f>
        <v>385.011310347181</v>
      </c>
      <c r="N1254" s="67">
        <f ca="1">MAX(MAX($N$62:N1253),OFFSET($C$61,MATCH(M1254*1.07,$M$62:$M$2061,1),0)-C1254)</f>
        <v>50760</v>
      </c>
    </row>
    <row r="1255" spans="2:14">
      <c r="B1255" s="67">
        <v>1194</v>
      </c>
      <c r="C1255" s="67">
        <f t="shared" si="121"/>
        <v>429840</v>
      </c>
      <c r="D1255" s="67">
        <f t="shared" si="119"/>
        <v>5</v>
      </c>
      <c r="E1255" s="67">
        <f ca="1" t="shared" si="120"/>
        <v>1224</v>
      </c>
      <c r="F1255" s="67">
        <f ca="1" t="shared" si="122"/>
        <v>0</v>
      </c>
      <c r="G1255" s="67">
        <f ca="1" t="shared" si="123"/>
        <v>0</v>
      </c>
      <c r="H1255" s="67" cm="1">
        <f ca="1" t="array" ref="H1255">MIN(30-SUM(I1255:L1255),_xlfn.XLOOKUP($D1255&amp;"_"&amp;H$61,$B$23:$B$45&amp;"_"&amp;$C$23:$C$45,$D$23:$D$45)*$E1255,18)</f>
        <v>11.0654117647059</v>
      </c>
      <c r="I1255" s="67" cm="1">
        <f ca="1" t="array" ref="I1255">MIN(30-SUM(J1255:L1255),6-L1255,_xlfn.XLOOKUP($D1255&amp;"_"&amp;I$61,$B$23:$B$45&amp;"_"&amp;$C$23:$C$45,$D$23:$D$45)*$E1255)</f>
        <v>0</v>
      </c>
      <c r="J1255" s="67" cm="1">
        <f ca="1" t="array" ref="J1255">MIN(8,_xlfn.XLOOKUP($D1255&amp;"_"&amp;J$61,$B$23:$B$45&amp;"_"&amp;$C$23:$C$45,$D$23:$D$45)*$E1255)</f>
        <v>8</v>
      </c>
      <c r="K1255" s="67" cm="1">
        <f ca="1" t="array" ref="K1255">MIN(18,_xlfn.XLOOKUP($D1255&amp;"_"&amp;K$61,$B$23:$B$45&amp;"_"&amp;$C$23:$C$45,$D$23:$D$45)*$E1255)</f>
        <v>4.93458823529412</v>
      </c>
      <c r="L1255" s="67" cm="1">
        <f ca="1" t="array" ref="L1255">MIN(6,_xlfn.XLOOKUP($D1255&amp;"_"&amp;L$61,$B$23:$B$45&amp;"_"&amp;$C$23:$C$45,$D$23:$D$45)*$E1255)</f>
        <v>6</v>
      </c>
      <c r="M1255" s="67" cm="1">
        <f ca="1" t="array" ref="M1255">(1+SUMPRODUCT(G1255:H1255,OFFSET($H$49:$I$49,D1255,0)))*(1+OFFSET($J$49,D1255,0))^I1255*(1+OFFSET($K$49,D1255,0))^J1255*(1+OFFSET($L$49,D1255,0))^K1255*(1+OFFSET($M$49,D1255,0))^L1255</f>
        <v>385.197747596059</v>
      </c>
      <c r="N1255" s="67">
        <f ca="1">MAX(MAX($N$62:N1254),OFFSET($C$61,MATCH(M1255*1.07,$M$62:$M$2061,1),0)-C1255)</f>
        <v>50760</v>
      </c>
    </row>
    <row r="1256" spans="2:14">
      <c r="B1256" s="67">
        <v>1195</v>
      </c>
      <c r="C1256" s="67">
        <f t="shared" si="121"/>
        <v>430200</v>
      </c>
      <c r="D1256" s="67">
        <f t="shared" si="119"/>
        <v>5</v>
      </c>
      <c r="E1256" s="67">
        <f ca="1" t="shared" si="120"/>
        <v>1225</v>
      </c>
      <c r="F1256" s="67">
        <f ca="1" t="shared" si="122"/>
        <v>0</v>
      </c>
      <c r="G1256" s="67">
        <f ca="1" t="shared" si="123"/>
        <v>0</v>
      </c>
      <c r="H1256" s="67" cm="1">
        <f ca="1" t="array" ref="H1256">MIN(30-SUM(I1256:L1256),_xlfn.XLOOKUP($D1256&amp;"_"&amp;H$61,$B$23:$B$45&amp;"_"&amp;$C$23:$C$45,$D$23:$D$45)*$E1256,18)</f>
        <v>11.0613802383699</v>
      </c>
      <c r="I1256" s="67" cm="1">
        <f ca="1" t="array" ref="I1256">MIN(30-SUM(J1256:L1256),6-L1256,_xlfn.XLOOKUP($D1256&amp;"_"&amp;I$61,$B$23:$B$45&amp;"_"&amp;$C$23:$C$45,$D$23:$D$45)*$E1256)</f>
        <v>0</v>
      </c>
      <c r="J1256" s="67" cm="1">
        <f ca="1" t="array" ref="J1256">MIN(8,_xlfn.XLOOKUP($D1256&amp;"_"&amp;J$61,$B$23:$B$45&amp;"_"&amp;$C$23:$C$45,$D$23:$D$45)*$E1256)</f>
        <v>8</v>
      </c>
      <c r="K1256" s="67" cm="1">
        <f ca="1" t="array" ref="K1256">MIN(18,_xlfn.XLOOKUP($D1256&amp;"_"&amp;K$61,$B$23:$B$45&amp;"_"&amp;$C$23:$C$45,$D$23:$D$45)*$E1256)</f>
        <v>4.93861976163015</v>
      </c>
      <c r="L1256" s="67" cm="1">
        <f ca="1" t="array" ref="L1256">MIN(6,_xlfn.XLOOKUP($D1256&amp;"_"&amp;L$61,$B$23:$B$45&amp;"_"&amp;$C$23:$C$45,$D$23:$D$45)*$E1256)</f>
        <v>6</v>
      </c>
      <c r="M1256" s="67" cm="1">
        <f ca="1" t="array" ref="M1256">(1+SUMPRODUCT(G1256:H1256,OFFSET($H$49:$I$49,D1256,0)))*(1+OFFSET($J$49,D1256,0))^I1256*(1+OFFSET($K$49,D1256,0))^J1256*(1+OFFSET($L$49,D1256,0))^K1256*(1+OFFSET($M$49,D1256,0))^L1256</f>
        <v>385.384250856152</v>
      </c>
      <c r="N1256" s="67">
        <f ca="1">MAX(MAX($N$62:N1255),OFFSET($C$61,MATCH(M1256*1.07,$M$62:$M$2061,1),0)-C1256)</f>
        <v>50760</v>
      </c>
    </row>
    <row r="1257" spans="2:14">
      <c r="B1257" s="67">
        <v>1196</v>
      </c>
      <c r="C1257" s="67">
        <f t="shared" si="121"/>
        <v>430560</v>
      </c>
      <c r="D1257" s="67">
        <f t="shared" si="119"/>
        <v>5</v>
      </c>
      <c r="E1257" s="67">
        <f ca="1" t="shared" si="120"/>
        <v>1226</v>
      </c>
      <c r="F1257" s="67">
        <f ca="1" t="shared" si="122"/>
        <v>0</v>
      </c>
      <c r="G1257" s="67">
        <f ca="1" t="shared" si="123"/>
        <v>0</v>
      </c>
      <c r="H1257" s="67" cm="1">
        <f ca="1" t="array" ref="H1257">MIN(30-SUM(I1257:L1257),_xlfn.XLOOKUP($D1257&amp;"_"&amp;H$61,$B$23:$B$45&amp;"_"&amp;$C$23:$C$45,$D$23:$D$45)*$E1257,18)</f>
        <v>11.0573487120338</v>
      </c>
      <c r="I1257" s="67" cm="1">
        <f ca="1" t="array" ref="I1257">MIN(30-SUM(J1257:L1257),6-L1257,_xlfn.XLOOKUP($D1257&amp;"_"&amp;I$61,$B$23:$B$45&amp;"_"&amp;$C$23:$C$45,$D$23:$D$45)*$E1257)</f>
        <v>0</v>
      </c>
      <c r="J1257" s="67" cm="1">
        <f ca="1" t="array" ref="J1257">MIN(8,_xlfn.XLOOKUP($D1257&amp;"_"&amp;J$61,$B$23:$B$45&amp;"_"&amp;$C$23:$C$45,$D$23:$D$45)*$E1257)</f>
        <v>8</v>
      </c>
      <c r="K1257" s="67" cm="1">
        <f ca="1" t="array" ref="K1257">MIN(18,_xlfn.XLOOKUP($D1257&amp;"_"&amp;K$61,$B$23:$B$45&amp;"_"&amp;$C$23:$C$45,$D$23:$D$45)*$E1257)</f>
        <v>4.94265128796617</v>
      </c>
      <c r="L1257" s="67" cm="1">
        <f ca="1" t="array" ref="L1257">MIN(6,_xlfn.XLOOKUP($D1257&amp;"_"&amp;L$61,$B$23:$B$45&amp;"_"&amp;$C$23:$C$45,$D$23:$D$45)*$E1257)</f>
        <v>6</v>
      </c>
      <c r="M1257" s="67" cm="1">
        <f ca="1" t="array" ref="M1257">(1+SUMPRODUCT(G1257:H1257,OFFSET($H$49:$I$49,D1257,0)))*(1+OFFSET($J$49,D1257,0))^I1257*(1+OFFSET($K$49,D1257,0))^J1257*(1+OFFSET($L$49,D1257,0))^K1257*(1+OFFSET($M$49,D1257,0))^L1257</f>
        <v>385.570820123736</v>
      </c>
      <c r="N1257" s="67">
        <f ca="1">MAX(MAX($N$62:N1256),OFFSET($C$61,MATCH(M1257*1.07,$M$62:$M$2061,1),0)-C1257)</f>
        <v>50760</v>
      </c>
    </row>
    <row r="1258" spans="2:14">
      <c r="B1258" s="67">
        <v>1197</v>
      </c>
      <c r="C1258" s="67">
        <f t="shared" si="121"/>
        <v>430920</v>
      </c>
      <c r="D1258" s="67">
        <f t="shared" si="119"/>
        <v>5</v>
      </c>
      <c r="E1258" s="67">
        <f ca="1" t="shared" si="120"/>
        <v>1227</v>
      </c>
      <c r="F1258" s="67">
        <f ca="1" t="shared" si="122"/>
        <v>0</v>
      </c>
      <c r="G1258" s="67">
        <f ca="1" t="shared" si="123"/>
        <v>0</v>
      </c>
      <c r="H1258" s="67" cm="1">
        <f ca="1" t="array" ref="H1258">MIN(30-SUM(I1258:L1258),_xlfn.XLOOKUP($D1258&amp;"_"&amp;H$61,$B$23:$B$45&amp;"_"&amp;$C$23:$C$45,$D$23:$D$45)*$E1258,18)</f>
        <v>11.0533171856978</v>
      </c>
      <c r="I1258" s="67" cm="1">
        <f ca="1" t="array" ref="I1258">MIN(30-SUM(J1258:L1258),6-L1258,_xlfn.XLOOKUP($D1258&amp;"_"&amp;I$61,$B$23:$B$45&amp;"_"&amp;$C$23:$C$45,$D$23:$D$45)*$E1258)</f>
        <v>0</v>
      </c>
      <c r="J1258" s="67" cm="1">
        <f ca="1" t="array" ref="J1258">MIN(8,_xlfn.XLOOKUP($D1258&amp;"_"&amp;J$61,$B$23:$B$45&amp;"_"&amp;$C$23:$C$45,$D$23:$D$45)*$E1258)</f>
        <v>8</v>
      </c>
      <c r="K1258" s="67" cm="1">
        <f ca="1" t="array" ref="K1258">MIN(18,_xlfn.XLOOKUP($D1258&amp;"_"&amp;K$61,$B$23:$B$45&amp;"_"&amp;$C$23:$C$45,$D$23:$D$45)*$E1258)</f>
        <v>4.9466828143022</v>
      </c>
      <c r="L1258" s="67" cm="1">
        <f ca="1" t="array" ref="L1258">MIN(6,_xlfn.XLOOKUP($D1258&amp;"_"&amp;L$61,$B$23:$B$45&amp;"_"&amp;$C$23:$C$45,$D$23:$D$45)*$E1258)</f>
        <v>6</v>
      </c>
      <c r="M1258" s="67" cm="1">
        <f ca="1" t="array" ref="M1258">(1+SUMPRODUCT(G1258:H1258,OFFSET($H$49:$I$49,D1258,0)))*(1+OFFSET($J$49,D1258,0))^I1258*(1+OFFSET($K$49,D1258,0))^J1258*(1+OFFSET($L$49,D1258,0))^K1258*(1+OFFSET($M$49,D1258,0))^L1258</f>
        <v>385.757455395044</v>
      </c>
      <c r="N1258" s="67">
        <f ca="1">MAX(MAX($N$62:N1257),OFFSET($C$61,MATCH(M1258*1.07,$M$62:$M$2061,1),0)-C1258)</f>
        <v>50760</v>
      </c>
    </row>
    <row r="1259" spans="2:14">
      <c r="B1259" s="67">
        <v>1198</v>
      </c>
      <c r="C1259" s="67">
        <f t="shared" si="121"/>
        <v>431280</v>
      </c>
      <c r="D1259" s="67">
        <f t="shared" si="119"/>
        <v>5</v>
      </c>
      <c r="E1259" s="67">
        <f ca="1" t="shared" si="120"/>
        <v>1228</v>
      </c>
      <c r="F1259" s="67">
        <f ca="1" t="shared" si="122"/>
        <v>0</v>
      </c>
      <c r="G1259" s="67">
        <f ca="1" t="shared" si="123"/>
        <v>0</v>
      </c>
      <c r="H1259" s="67" cm="1">
        <f ca="1" t="array" ref="H1259">MIN(30-SUM(I1259:L1259),_xlfn.XLOOKUP($D1259&amp;"_"&amp;H$61,$B$23:$B$45&amp;"_"&amp;$C$23:$C$45,$D$23:$D$45)*$E1259,18)</f>
        <v>11.0492856593618</v>
      </c>
      <c r="I1259" s="67" cm="1">
        <f ca="1" t="array" ref="I1259">MIN(30-SUM(J1259:L1259),6-L1259,_xlfn.XLOOKUP($D1259&amp;"_"&amp;I$61,$B$23:$B$45&amp;"_"&amp;$C$23:$C$45,$D$23:$D$45)*$E1259)</f>
        <v>0</v>
      </c>
      <c r="J1259" s="67" cm="1">
        <f ca="1" t="array" ref="J1259">MIN(8,_xlfn.XLOOKUP($D1259&amp;"_"&amp;J$61,$B$23:$B$45&amp;"_"&amp;$C$23:$C$45,$D$23:$D$45)*$E1259)</f>
        <v>8</v>
      </c>
      <c r="K1259" s="67" cm="1">
        <f ca="1" t="array" ref="K1259">MIN(18,_xlfn.XLOOKUP($D1259&amp;"_"&amp;K$61,$B$23:$B$45&amp;"_"&amp;$C$23:$C$45,$D$23:$D$45)*$E1259)</f>
        <v>4.95071434063822</v>
      </c>
      <c r="L1259" s="67" cm="1">
        <f ca="1" t="array" ref="L1259">MIN(6,_xlfn.XLOOKUP($D1259&amp;"_"&amp;L$61,$B$23:$B$45&amp;"_"&amp;$C$23:$C$45,$D$23:$D$45)*$E1259)</f>
        <v>6</v>
      </c>
      <c r="M1259" s="67" cm="1">
        <f ca="1" t="array" ref="M1259">(1+SUMPRODUCT(G1259:H1259,OFFSET($H$49:$I$49,D1259,0)))*(1+OFFSET($J$49,D1259,0))^I1259*(1+OFFSET($K$49,D1259,0))^J1259*(1+OFFSET($L$49,D1259,0))^K1259*(1+OFFSET($M$49,D1259,0))^L1259</f>
        <v>385.944156666269</v>
      </c>
      <c r="N1259" s="67">
        <f ca="1">MAX(MAX($N$62:N1258),OFFSET($C$61,MATCH(M1259*1.07,$M$62:$M$2061,1),0)-C1259)</f>
        <v>50760</v>
      </c>
    </row>
    <row r="1260" spans="2:14">
      <c r="B1260" s="67">
        <v>1199</v>
      </c>
      <c r="C1260" s="67">
        <f t="shared" si="121"/>
        <v>431640</v>
      </c>
      <c r="D1260" s="67">
        <f t="shared" si="119"/>
        <v>5</v>
      </c>
      <c r="E1260" s="67">
        <f ca="1" t="shared" si="120"/>
        <v>1229</v>
      </c>
      <c r="F1260" s="67">
        <f ca="1" t="shared" si="122"/>
        <v>0</v>
      </c>
      <c r="G1260" s="67">
        <f ca="1" t="shared" si="123"/>
        <v>0</v>
      </c>
      <c r="H1260" s="67" cm="1">
        <f ca="1" t="array" ref="H1260">MIN(30-SUM(I1260:L1260),_xlfn.XLOOKUP($D1260&amp;"_"&amp;H$61,$B$23:$B$45&amp;"_"&amp;$C$23:$C$45,$D$23:$D$45)*$E1260,18)</f>
        <v>11.0452541330258</v>
      </c>
      <c r="I1260" s="67" cm="1">
        <f ca="1" t="array" ref="I1260">MIN(30-SUM(J1260:L1260),6-L1260,_xlfn.XLOOKUP($D1260&amp;"_"&amp;I$61,$B$23:$B$45&amp;"_"&amp;$C$23:$C$45,$D$23:$D$45)*$E1260)</f>
        <v>0</v>
      </c>
      <c r="J1260" s="67" cm="1">
        <f ca="1" t="array" ref="J1260">MIN(8,_xlfn.XLOOKUP($D1260&amp;"_"&amp;J$61,$B$23:$B$45&amp;"_"&amp;$C$23:$C$45,$D$23:$D$45)*$E1260)</f>
        <v>8</v>
      </c>
      <c r="K1260" s="67" cm="1">
        <f ca="1" t="array" ref="K1260">MIN(18,_xlfn.XLOOKUP($D1260&amp;"_"&amp;K$61,$B$23:$B$45&amp;"_"&amp;$C$23:$C$45,$D$23:$D$45)*$E1260)</f>
        <v>4.95474586697425</v>
      </c>
      <c r="L1260" s="67" cm="1">
        <f ca="1" t="array" ref="L1260">MIN(6,_xlfn.XLOOKUP($D1260&amp;"_"&amp;L$61,$B$23:$B$45&amp;"_"&amp;$C$23:$C$45,$D$23:$D$45)*$E1260)</f>
        <v>6</v>
      </c>
      <c r="M1260" s="67" cm="1">
        <f ca="1" t="array" ref="M1260">(1+SUMPRODUCT(G1260:H1260,OFFSET($H$49:$I$49,D1260,0)))*(1+OFFSET($J$49,D1260,0))^I1260*(1+OFFSET($K$49,D1260,0))^J1260*(1+OFFSET($L$49,D1260,0))^K1260*(1+OFFSET($M$49,D1260,0))^L1260</f>
        <v>386.130923933563</v>
      </c>
      <c r="N1260" s="67">
        <f ca="1">MAX(MAX($N$62:N1259),OFFSET($C$61,MATCH(M1260*1.07,$M$62:$M$2061,1),0)-C1260)</f>
        <v>50760</v>
      </c>
    </row>
    <row r="1261" spans="2:14">
      <c r="B1261" s="67">
        <v>1200</v>
      </c>
      <c r="C1261" s="67">
        <f t="shared" si="121"/>
        <v>432000</v>
      </c>
      <c r="D1261" s="67">
        <f t="shared" si="119"/>
        <v>5</v>
      </c>
      <c r="E1261" s="67">
        <f ca="1" t="shared" si="120"/>
        <v>1230</v>
      </c>
      <c r="F1261" s="67">
        <f ca="1" t="shared" si="122"/>
        <v>0</v>
      </c>
      <c r="G1261" s="67">
        <f ca="1" t="shared" si="123"/>
        <v>0</v>
      </c>
      <c r="H1261" s="67" cm="1">
        <f ca="1" t="array" ref="H1261">MIN(30-SUM(I1261:L1261),_xlfn.XLOOKUP($D1261&amp;"_"&amp;H$61,$B$23:$B$45&amp;"_"&amp;$C$23:$C$45,$D$23:$D$45)*$E1261,18)</f>
        <v>11.0412226066897</v>
      </c>
      <c r="I1261" s="67" cm="1">
        <f ca="1" t="array" ref="I1261">MIN(30-SUM(J1261:L1261),6-L1261,_xlfn.XLOOKUP($D1261&amp;"_"&amp;I$61,$B$23:$B$45&amp;"_"&amp;$C$23:$C$45,$D$23:$D$45)*$E1261)</f>
        <v>0</v>
      </c>
      <c r="J1261" s="67" cm="1">
        <f ca="1" t="array" ref="J1261">MIN(8,_xlfn.XLOOKUP($D1261&amp;"_"&amp;J$61,$B$23:$B$45&amp;"_"&amp;$C$23:$C$45,$D$23:$D$45)*$E1261)</f>
        <v>8</v>
      </c>
      <c r="K1261" s="67" cm="1">
        <f ca="1" t="array" ref="K1261">MIN(18,_xlfn.XLOOKUP($D1261&amp;"_"&amp;K$61,$B$23:$B$45&amp;"_"&amp;$C$23:$C$45,$D$23:$D$45)*$E1261)</f>
        <v>4.95877739331027</v>
      </c>
      <c r="L1261" s="67" cm="1">
        <f ca="1" t="array" ref="L1261">MIN(6,_xlfn.XLOOKUP($D1261&amp;"_"&amp;L$61,$B$23:$B$45&amp;"_"&amp;$C$23:$C$45,$D$23:$D$45)*$E1261)</f>
        <v>6</v>
      </c>
      <c r="M1261" s="67" cm="1">
        <f ca="1" t="array" ref="M1261">(1+SUMPRODUCT(G1261:H1261,OFFSET($H$49:$I$49,D1261,0)))*(1+OFFSET($J$49,D1261,0))^I1261*(1+OFFSET($K$49,D1261,0))^J1261*(1+OFFSET($L$49,D1261,0))^K1261*(1+OFFSET($M$49,D1261,0))^L1261</f>
        <v>386.317757193036</v>
      </c>
      <c r="N1261" s="67">
        <f ca="1">MAX(MAX($N$62:N1260),OFFSET($C$61,MATCH(M1261*1.07,$M$62:$M$2061,1),0)-C1261)</f>
        <v>50760</v>
      </c>
    </row>
    <row r="1262" spans="2:14">
      <c r="B1262" s="67">
        <v>1201</v>
      </c>
      <c r="C1262" s="67">
        <f t="shared" ref="C1262:C1325" si="124">C1261+360</f>
        <v>432360</v>
      </c>
      <c r="D1262" s="67">
        <f t="shared" si="119"/>
        <v>5</v>
      </c>
      <c r="E1262" s="67">
        <f ca="1" t="shared" si="120"/>
        <v>1231</v>
      </c>
      <c r="F1262" s="67">
        <f ca="1" t="shared" ref="F1262:F1325" si="125">30-SUM(G1262:L1262)</f>
        <v>0</v>
      </c>
      <c r="G1262" s="67">
        <f ca="1" t="shared" ref="G1262:G1325" si="126">30-SUM(H1262:L1262)</f>
        <v>0</v>
      </c>
      <c r="H1262" s="67" cm="1">
        <f ca="1" t="array" ref="H1262">MIN(30-SUM(I1262:L1262),_xlfn.XLOOKUP($D1262&amp;"_"&amp;H$61,$B$23:$B$45&amp;"_"&amp;$C$23:$C$45,$D$23:$D$45)*$E1262,18)</f>
        <v>11.0371910803537</v>
      </c>
      <c r="I1262" s="67" cm="1">
        <f ca="1" t="array" ref="I1262">MIN(30-SUM(J1262:L1262),6-L1262,_xlfn.XLOOKUP($D1262&amp;"_"&amp;I$61,$B$23:$B$45&amp;"_"&amp;$C$23:$C$45,$D$23:$D$45)*$E1262)</f>
        <v>0</v>
      </c>
      <c r="J1262" s="67" cm="1">
        <f ca="1" t="array" ref="J1262">MIN(8,_xlfn.XLOOKUP($D1262&amp;"_"&amp;J$61,$B$23:$B$45&amp;"_"&amp;$C$23:$C$45,$D$23:$D$45)*$E1262)</f>
        <v>8</v>
      </c>
      <c r="K1262" s="67" cm="1">
        <f ca="1" t="array" ref="K1262">MIN(18,_xlfn.XLOOKUP($D1262&amp;"_"&amp;K$61,$B$23:$B$45&amp;"_"&amp;$C$23:$C$45,$D$23:$D$45)*$E1262)</f>
        <v>4.9628089196463</v>
      </c>
      <c r="L1262" s="67" cm="1">
        <f ca="1" t="array" ref="L1262">MIN(6,_xlfn.XLOOKUP($D1262&amp;"_"&amp;L$61,$B$23:$B$45&amp;"_"&amp;$C$23:$C$45,$D$23:$D$45)*$E1262)</f>
        <v>6</v>
      </c>
      <c r="M1262" s="67" cm="1">
        <f ca="1" t="array" ref="M1262">(1+SUMPRODUCT(G1262:H1262,OFFSET($H$49:$I$49,D1262,0)))*(1+OFFSET($J$49,D1262,0))^I1262*(1+OFFSET($K$49,D1262,0))^J1262*(1+OFFSET($L$49,D1262,0))^K1262*(1+OFFSET($M$49,D1262,0))^L1262</f>
        <v>386.504656440756</v>
      </c>
      <c r="N1262" s="67">
        <f ca="1">MAX(MAX($N$62:N1261),OFFSET($C$61,MATCH(M1262*1.07,$M$62:$M$2061,1),0)-C1262)</f>
        <v>50760</v>
      </c>
    </row>
    <row r="1263" spans="2:14">
      <c r="B1263" s="67">
        <v>1202</v>
      </c>
      <c r="C1263" s="67">
        <f t="shared" si="124"/>
        <v>432720</v>
      </c>
      <c r="D1263" s="67">
        <f t="shared" si="119"/>
        <v>5</v>
      </c>
      <c r="E1263" s="67">
        <f ca="1" t="shared" si="120"/>
        <v>1232</v>
      </c>
      <c r="F1263" s="67">
        <f ca="1" t="shared" si="125"/>
        <v>0</v>
      </c>
      <c r="G1263" s="67">
        <f ca="1" t="shared" si="126"/>
        <v>0</v>
      </c>
      <c r="H1263" s="67" cm="1">
        <f ca="1" t="array" ref="H1263">MIN(30-SUM(I1263:L1263),_xlfn.XLOOKUP($D1263&amp;"_"&amp;H$61,$B$23:$B$45&amp;"_"&amp;$C$23:$C$45,$D$23:$D$45)*$E1263,18)</f>
        <v>11.0331595540177</v>
      </c>
      <c r="I1263" s="67" cm="1">
        <f ca="1" t="array" ref="I1263">MIN(30-SUM(J1263:L1263),6-L1263,_xlfn.XLOOKUP($D1263&amp;"_"&amp;I$61,$B$23:$B$45&amp;"_"&amp;$C$23:$C$45,$D$23:$D$45)*$E1263)</f>
        <v>0</v>
      </c>
      <c r="J1263" s="67" cm="1">
        <f ca="1" t="array" ref="J1263">MIN(8,_xlfn.XLOOKUP($D1263&amp;"_"&amp;J$61,$B$23:$B$45&amp;"_"&amp;$C$23:$C$45,$D$23:$D$45)*$E1263)</f>
        <v>8</v>
      </c>
      <c r="K1263" s="67" cm="1">
        <f ca="1" t="array" ref="K1263">MIN(18,_xlfn.XLOOKUP($D1263&amp;"_"&amp;K$61,$B$23:$B$45&amp;"_"&amp;$C$23:$C$45,$D$23:$D$45)*$E1263)</f>
        <v>4.96684044598232</v>
      </c>
      <c r="L1263" s="67" cm="1">
        <f ca="1" t="array" ref="L1263">MIN(6,_xlfn.XLOOKUP($D1263&amp;"_"&amp;L$61,$B$23:$B$45&amp;"_"&amp;$C$23:$C$45,$D$23:$D$45)*$E1263)</f>
        <v>6</v>
      </c>
      <c r="M1263" s="67" cm="1">
        <f ca="1" t="array" ref="M1263">(1+SUMPRODUCT(G1263:H1263,OFFSET($H$49:$I$49,D1263,0)))*(1+OFFSET($J$49,D1263,0))^I1263*(1+OFFSET($K$49,D1263,0))^J1263*(1+OFFSET($L$49,D1263,0))^K1263*(1+OFFSET($M$49,D1263,0))^L1263</f>
        <v>386.691621672751</v>
      </c>
      <c r="N1263" s="67">
        <f ca="1">MAX(MAX($N$62:N1262),OFFSET($C$61,MATCH(M1263*1.07,$M$62:$M$2061,1),0)-C1263)</f>
        <v>50760</v>
      </c>
    </row>
    <row r="1264" spans="2:14">
      <c r="B1264" s="67">
        <v>1203</v>
      </c>
      <c r="C1264" s="67">
        <f t="shared" si="124"/>
        <v>433080</v>
      </c>
      <c r="D1264" s="67">
        <f t="shared" si="119"/>
        <v>5</v>
      </c>
      <c r="E1264" s="67">
        <f ca="1" t="shared" si="120"/>
        <v>1233</v>
      </c>
      <c r="F1264" s="67">
        <f ca="1" t="shared" si="125"/>
        <v>0</v>
      </c>
      <c r="G1264" s="67">
        <f ca="1" t="shared" si="126"/>
        <v>0</v>
      </c>
      <c r="H1264" s="67" cm="1">
        <f ca="1" t="array" ref="H1264">MIN(30-SUM(I1264:L1264),_xlfn.XLOOKUP($D1264&amp;"_"&amp;H$61,$B$23:$B$45&amp;"_"&amp;$C$23:$C$45,$D$23:$D$45)*$E1264,18)</f>
        <v>11.0291280276817</v>
      </c>
      <c r="I1264" s="67" cm="1">
        <f ca="1" t="array" ref="I1264">MIN(30-SUM(J1264:L1264),6-L1264,_xlfn.XLOOKUP($D1264&amp;"_"&amp;I$61,$B$23:$B$45&amp;"_"&amp;$C$23:$C$45,$D$23:$D$45)*$E1264)</f>
        <v>0</v>
      </c>
      <c r="J1264" s="67" cm="1">
        <f ca="1" t="array" ref="J1264">MIN(8,_xlfn.XLOOKUP($D1264&amp;"_"&amp;J$61,$B$23:$B$45&amp;"_"&amp;$C$23:$C$45,$D$23:$D$45)*$E1264)</f>
        <v>8</v>
      </c>
      <c r="K1264" s="67" cm="1">
        <f ca="1" t="array" ref="K1264">MIN(18,_xlfn.XLOOKUP($D1264&amp;"_"&amp;K$61,$B$23:$B$45&amp;"_"&amp;$C$23:$C$45,$D$23:$D$45)*$E1264)</f>
        <v>4.97087197231834</v>
      </c>
      <c r="L1264" s="67" cm="1">
        <f ca="1" t="array" ref="L1264">MIN(6,_xlfn.XLOOKUP($D1264&amp;"_"&amp;L$61,$B$23:$B$45&amp;"_"&amp;$C$23:$C$45,$D$23:$D$45)*$E1264)</f>
        <v>6</v>
      </c>
      <c r="M1264" s="67" cm="1">
        <f ca="1" t="array" ref="M1264">(1+SUMPRODUCT(G1264:H1264,OFFSET($H$49:$I$49,D1264,0)))*(1+OFFSET($J$49,D1264,0))^I1264*(1+OFFSET($K$49,D1264,0))^J1264*(1+OFFSET($L$49,D1264,0))^K1264*(1+OFFSET($M$49,D1264,0))^L1264</f>
        <v>386.878652885007</v>
      </c>
      <c r="N1264" s="67">
        <f ca="1">MAX(MAX($N$62:N1263),OFFSET($C$61,MATCH(M1264*1.07,$M$62:$M$2061,1),0)-C1264)</f>
        <v>50760</v>
      </c>
    </row>
    <row r="1265" spans="2:14">
      <c r="B1265" s="67">
        <v>1204</v>
      </c>
      <c r="C1265" s="67">
        <f t="shared" si="124"/>
        <v>433440</v>
      </c>
      <c r="D1265" s="67">
        <f t="shared" si="119"/>
        <v>5</v>
      </c>
      <c r="E1265" s="67">
        <f ca="1" t="shared" si="120"/>
        <v>1234</v>
      </c>
      <c r="F1265" s="67">
        <f ca="1" t="shared" si="125"/>
        <v>0</v>
      </c>
      <c r="G1265" s="67">
        <f ca="1" t="shared" si="126"/>
        <v>0</v>
      </c>
      <c r="H1265" s="67" cm="1">
        <f ca="1" t="array" ref="H1265">MIN(30-SUM(I1265:L1265),_xlfn.XLOOKUP($D1265&amp;"_"&amp;H$61,$B$23:$B$45&amp;"_"&amp;$C$23:$C$45,$D$23:$D$45)*$E1265,18)</f>
        <v>11.0250965013456</v>
      </c>
      <c r="I1265" s="67" cm="1">
        <f ca="1" t="array" ref="I1265">MIN(30-SUM(J1265:L1265),6-L1265,_xlfn.XLOOKUP($D1265&amp;"_"&amp;I$61,$B$23:$B$45&amp;"_"&amp;$C$23:$C$45,$D$23:$D$45)*$E1265)</f>
        <v>0</v>
      </c>
      <c r="J1265" s="67" cm="1">
        <f ca="1" t="array" ref="J1265">MIN(8,_xlfn.XLOOKUP($D1265&amp;"_"&amp;J$61,$B$23:$B$45&amp;"_"&amp;$C$23:$C$45,$D$23:$D$45)*$E1265)</f>
        <v>8</v>
      </c>
      <c r="K1265" s="67" cm="1">
        <f ca="1" t="array" ref="K1265">MIN(18,_xlfn.XLOOKUP($D1265&amp;"_"&amp;K$61,$B$23:$B$45&amp;"_"&amp;$C$23:$C$45,$D$23:$D$45)*$E1265)</f>
        <v>4.97490349865437</v>
      </c>
      <c r="L1265" s="67" cm="1">
        <f ca="1" t="array" ref="L1265">MIN(6,_xlfn.XLOOKUP($D1265&amp;"_"&amp;L$61,$B$23:$B$45&amp;"_"&amp;$C$23:$C$45,$D$23:$D$45)*$E1265)</f>
        <v>6</v>
      </c>
      <c r="M1265" s="67" cm="1">
        <f ca="1" t="array" ref="M1265">(1+SUMPRODUCT(G1265:H1265,OFFSET($H$49:$I$49,D1265,0)))*(1+OFFSET($J$49,D1265,0))^I1265*(1+OFFSET($K$49,D1265,0))^J1265*(1+OFFSET($L$49,D1265,0))^K1265*(1+OFFSET($M$49,D1265,0))^L1265</f>
        <v>387.065750073468</v>
      </c>
      <c r="N1265" s="67">
        <f ca="1">MAX(MAX($N$62:N1264),OFFSET($C$61,MATCH(M1265*1.07,$M$62:$M$2061,1),0)-C1265)</f>
        <v>50760</v>
      </c>
    </row>
    <row r="1266" spans="2:14">
      <c r="B1266" s="67">
        <v>1205</v>
      </c>
      <c r="C1266" s="67">
        <f t="shared" si="124"/>
        <v>433800</v>
      </c>
      <c r="D1266" s="67">
        <f t="shared" si="119"/>
        <v>5</v>
      </c>
      <c r="E1266" s="67">
        <f ca="1" t="shared" si="120"/>
        <v>1235</v>
      </c>
      <c r="F1266" s="67">
        <f ca="1" t="shared" si="125"/>
        <v>0</v>
      </c>
      <c r="G1266" s="67">
        <f ca="1" t="shared" si="126"/>
        <v>0</v>
      </c>
      <c r="H1266" s="67" cm="1">
        <f ca="1" t="array" ref="H1266">MIN(30-SUM(I1266:L1266),_xlfn.XLOOKUP($D1266&amp;"_"&amp;H$61,$B$23:$B$45&amp;"_"&amp;$C$23:$C$45,$D$23:$D$45)*$E1266,18)</f>
        <v>11.0210649750096</v>
      </c>
      <c r="I1266" s="67" cm="1">
        <f ca="1" t="array" ref="I1266">MIN(30-SUM(J1266:L1266),6-L1266,_xlfn.XLOOKUP($D1266&amp;"_"&amp;I$61,$B$23:$B$45&amp;"_"&amp;$C$23:$C$45,$D$23:$D$45)*$E1266)</f>
        <v>0</v>
      </c>
      <c r="J1266" s="67" cm="1">
        <f ca="1" t="array" ref="J1266">MIN(8,_xlfn.XLOOKUP($D1266&amp;"_"&amp;J$61,$B$23:$B$45&amp;"_"&amp;$C$23:$C$45,$D$23:$D$45)*$E1266)</f>
        <v>8</v>
      </c>
      <c r="K1266" s="67" cm="1">
        <f ca="1" t="array" ref="K1266">MIN(18,_xlfn.XLOOKUP($D1266&amp;"_"&amp;K$61,$B$23:$B$45&amp;"_"&amp;$C$23:$C$45,$D$23:$D$45)*$E1266)</f>
        <v>4.97893502499039</v>
      </c>
      <c r="L1266" s="67" cm="1">
        <f ca="1" t="array" ref="L1266">MIN(6,_xlfn.XLOOKUP($D1266&amp;"_"&amp;L$61,$B$23:$B$45&amp;"_"&amp;$C$23:$C$45,$D$23:$D$45)*$E1266)</f>
        <v>6</v>
      </c>
      <c r="M1266" s="67" cm="1">
        <f ca="1" t="array" ref="M1266">(1+SUMPRODUCT(G1266:H1266,OFFSET($H$49:$I$49,D1266,0)))*(1+OFFSET($J$49,D1266,0))^I1266*(1+OFFSET($K$49,D1266,0))^J1266*(1+OFFSET($L$49,D1266,0))^K1266*(1+OFFSET($M$49,D1266,0))^L1266</f>
        <v>387.252913234035</v>
      </c>
      <c r="N1266" s="67">
        <f ca="1">MAX(MAX($N$62:N1265),OFFSET($C$61,MATCH(M1266*1.07,$M$62:$M$2061,1),0)-C1266)</f>
        <v>50760</v>
      </c>
    </row>
    <row r="1267" spans="2:14">
      <c r="B1267" s="67">
        <v>1206</v>
      </c>
      <c r="C1267" s="67">
        <f t="shared" si="124"/>
        <v>434160</v>
      </c>
      <c r="D1267" s="67">
        <f t="shared" si="119"/>
        <v>5</v>
      </c>
      <c r="E1267" s="67">
        <f ca="1" t="shared" si="120"/>
        <v>1236</v>
      </c>
      <c r="F1267" s="67">
        <f ca="1" t="shared" si="125"/>
        <v>0</v>
      </c>
      <c r="G1267" s="67">
        <f ca="1" t="shared" si="126"/>
        <v>0</v>
      </c>
      <c r="H1267" s="67" cm="1">
        <f ca="1" t="array" ref="H1267">MIN(30-SUM(I1267:L1267),_xlfn.XLOOKUP($D1267&amp;"_"&amp;H$61,$B$23:$B$45&amp;"_"&amp;$C$23:$C$45,$D$23:$D$45)*$E1267,18)</f>
        <v>11.0170334486736</v>
      </c>
      <c r="I1267" s="67" cm="1">
        <f ca="1" t="array" ref="I1267">MIN(30-SUM(J1267:L1267),6-L1267,_xlfn.XLOOKUP($D1267&amp;"_"&amp;I$61,$B$23:$B$45&amp;"_"&amp;$C$23:$C$45,$D$23:$D$45)*$E1267)</f>
        <v>0</v>
      </c>
      <c r="J1267" s="67" cm="1">
        <f ca="1" t="array" ref="J1267">MIN(8,_xlfn.XLOOKUP($D1267&amp;"_"&amp;J$61,$B$23:$B$45&amp;"_"&amp;$C$23:$C$45,$D$23:$D$45)*$E1267)</f>
        <v>8</v>
      </c>
      <c r="K1267" s="67" cm="1">
        <f ca="1" t="array" ref="K1267">MIN(18,_xlfn.XLOOKUP($D1267&amp;"_"&amp;K$61,$B$23:$B$45&amp;"_"&amp;$C$23:$C$45,$D$23:$D$45)*$E1267)</f>
        <v>4.98296655132642</v>
      </c>
      <c r="L1267" s="67" cm="1">
        <f ca="1" t="array" ref="L1267">MIN(6,_xlfn.XLOOKUP($D1267&amp;"_"&amp;L$61,$B$23:$B$45&amp;"_"&amp;$C$23:$C$45,$D$23:$D$45)*$E1267)</f>
        <v>6</v>
      </c>
      <c r="M1267" s="67" cm="1">
        <f ca="1" t="array" ref="M1267">(1+SUMPRODUCT(G1267:H1267,OFFSET($H$49:$I$49,D1267,0)))*(1+OFFSET($J$49,D1267,0))^I1267*(1+OFFSET($K$49,D1267,0))^J1267*(1+OFFSET($L$49,D1267,0))^K1267*(1+OFFSET($M$49,D1267,0))^L1267</f>
        <v>387.440142362572</v>
      </c>
      <c r="N1267" s="67">
        <f ca="1">MAX(MAX($N$62:N1266),OFFSET($C$61,MATCH(M1267*1.07,$M$62:$M$2061,1),0)-C1267)</f>
        <v>50760</v>
      </c>
    </row>
    <row r="1268" spans="2:14">
      <c r="B1268" s="67">
        <v>1207</v>
      </c>
      <c r="C1268" s="67">
        <f t="shared" si="124"/>
        <v>434520</v>
      </c>
      <c r="D1268" s="67">
        <f t="shared" si="119"/>
        <v>5</v>
      </c>
      <c r="E1268" s="67">
        <f ca="1" t="shared" si="120"/>
        <v>1237</v>
      </c>
      <c r="F1268" s="67">
        <f ca="1" t="shared" si="125"/>
        <v>0</v>
      </c>
      <c r="G1268" s="67">
        <f ca="1" t="shared" si="126"/>
        <v>0</v>
      </c>
      <c r="H1268" s="67" cm="1">
        <f ca="1" t="array" ref="H1268">MIN(30-SUM(I1268:L1268),_xlfn.XLOOKUP($D1268&amp;"_"&amp;H$61,$B$23:$B$45&amp;"_"&amp;$C$23:$C$45,$D$23:$D$45)*$E1268,18)</f>
        <v>11.0130019223376</v>
      </c>
      <c r="I1268" s="67" cm="1">
        <f ca="1" t="array" ref="I1268">MIN(30-SUM(J1268:L1268),6-L1268,_xlfn.XLOOKUP($D1268&amp;"_"&amp;I$61,$B$23:$B$45&amp;"_"&amp;$C$23:$C$45,$D$23:$D$45)*$E1268)</f>
        <v>0</v>
      </c>
      <c r="J1268" s="67" cm="1">
        <f ca="1" t="array" ref="J1268">MIN(8,_xlfn.XLOOKUP($D1268&amp;"_"&amp;J$61,$B$23:$B$45&amp;"_"&amp;$C$23:$C$45,$D$23:$D$45)*$E1268)</f>
        <v>8</v>
      </c>
      <c r="K1268" s="67" cm="1">
        <f ca="1" t="array" ref="K1268">MIN(18,_xlfn.XLOOKUP($D1268&amp;"_"&amp;K$61,$B$23:$B$45&amp;"_"&amp;$C$23:$C$45,$D$23:$D$45)*$E1268)</f>
        <v>4.98699807766244</v>
      </c>
      <c r="L1268" s="67" cm="1">
        <f ca="1" t="array" ref="L1268">MIN(6,_xlfn.XLOOKUP($D1268&amp;"_"&amp;L$61,$B$23:$B$45&amp;"_"&amp;$C$23:$C$45,$D$23:$D$45)*$E1268)</f>
        <v>6</v>
      </c>
      <c r="M1268" s="67" cm="1">
        <f ca="1" t="array" ref="M1268">(1+SUMPRODUCT(G1268:H1268,OFFSET($H$49:$I$49,D1268,0)))*(1+OFFSET($J$49,D1268,0))^I1268*(1+OFFSET($K$49,D1268,0))^J1268*(1+OFFSET($L$49,D1268,0))^K1268*(1+OFFSET($M$49,D1268,0))^L1268</f>
        <v>387.627437454895</v>
      </c>
      <c r="N1268" s="67">
        <f ca="1">MAX(MAX($N$62:N1267),OFFSET($C$61,MATCH(M1268*1.07,$M$62:$M$2061,1),0)-C1268)</f>
        <v>50760</v>
      </c>
    </row>
    <row r="1269" spans="2:14">
      <c r="B1269" s="67">
        <v>1208</v>
      </c>
      <c r="C1269" s="67">
        <f t="shared" si="124"/>
        <v>434880</v>
      </c>
      <c r="D1269" s="67">
        <f t="shared" si="119"/>
        <v>5</v>
      </c>
      <c r="E1269" s="67">
        <f ca="1" t="shared" si="120"/>
        <v>1238</v>
      </c>
      <c r="F1269" s="67">
        <f ca="1" t="shared" si="125"/>
        <v>0</v>
      </c>
      <c r="G1269" s="67">
        <f ca="1" t="shared" si="126"/>
        <v>0</v>
      </c>
      <c r="H1269" s="67" cm="1">
        <f ca="1" t="array" ref="H1269">MIN(30-SUM(I1269:L1269),_xlfn.XLOOKUP($D1269&amp;"_"&amp;H$61,$B$23:$B$45&amp;"_"&amp;$C$23:$C$45,$D$23:$D$45)*$E1269,18)</f>
        <v>11.0089703960015</v>
      </c>
      <c r="I1269" s="67" cm="1">
        <f ca="1" t="array" ref="I1269">MIN(30-SUM(J1269:L1269),6-L1269,_xlfn.XLOOKUP($D1269&amp;"_"&amp;I$61,$B$23:$B$45&amp;"_"&amp;$C$23:$C$45,$D$23:$D$45)*$E1269)</f>
        <v>0</v>
      </c>
      <c r="J1269" s="67" cm="1">
        <f ca="1" t="array" ref="J1269">MIN(8,_xlfn.XLOOKUP($D1269&amp;"_"&amp;J$61,$B$23:$B$45&amp;"_"&amp;$C$23:$C$45,$D$23:$D$45)*$E1269)</f>
        <v>8</v>
      </c>
      <c r="K1269" s="67" cm="1">
        <f ca="1" t="array" ref="K1269">MIN(18,_xlfn.XLOOKUP($D1269&amp;"_"&amp;K$61,$B$23:$B$45&amp;"_"&amp;$C$23:$C$45,$D$23:$D$45)*$E1269)</f>
        <v>4.99102960399847</v>
      </c>
      <c r="L1269" s="67" cm="1">
        <f ca="1" t="array" ref="L1269">MIN(6,_xlfn.XLOOKUP($D1269&amp;"_"&amp;L$61,$B$23:$B$45&amp;"_"&amp;$C$23:$C$45,$D$23:$D$45)*$E1269)</f>
        <v>6</v>
      </c>
      <c r="M1269" s="67" cm="1">
        <f ca="1" t="array" ref="M1269">(1+SUMPRODUCT(G1269:H1269,OFFSET($H$49:$I$49,D1269,0)))*(1+OFFSET($J$49,D1269,0))^I1269*(1+OFFSET($K$49,D1269,0))^J1269*(1+OFFSET($L$49,D1269,0))^K1269*(1+OFFSET($M$49,D1269,0))^L1269</f>
        <v>387.814798506783</v>
      </c>
      <c r="N1269" s="67">
        <f ca="1">MAX(MAX($N$62:N1268),OFFSET($C$61,MATCH(M1269*1.07,$M$62:$M$2061,1),0)-C1269)</f>
        <v>50760</v>
      </c>
    </row>
    <row r="1270" spans="2:14">
      <c r="B1270" s="67">
        <v>1209</v>
      </c>
      <c r="C1270" s="67">
        <f t="shared" si="124"/>
        <v>435240</v>
      </c>
      <c r="D1270" s="67">
        <f t="shared" si="119"/>
        <v>5</v>
      </c>
      <c r="E1270" s="67">
        <f ca="1" t="shared" si="120"/>
        <v>1239</v>
      </c>
      <c r="F1270" s="67">
        <f ca="1" t="shared" si="125"/>
        <v>0</v>
      </c>
      <c r="G1270" s="67">
        <f ca="1" t="shared" si="126"/>
        <v>0</v>
      </c>
      <c r="H1270" s="67" cm="1">
        <f ca="1" t="array" ref="H1270">MIN(30-SUM(I1270:L1270),_xlfn.XLOOKUP($D1270&amp;"_"&amp;H$61,$B$23:$B$45&amp;"_"&amp;$C$23:$C$45,$D$23:$D$45)*$E1270,18)</f>
        <v>11.0049388696655</v>
      </c>
      <c r="I1270" s="67" cm="1">
        <f ca="1" t="array" ref="I1270">MIN(30-SUM(J1270:L1270),6-L1270,_xlfn.XLOOKUP($D1270&amp;"_"&amp;I$61,$B$23:$B$45&amp;"_"&amp;$C$23:$C$45,$D$23:$D$45)*$E1270)</f>
        <v>0</v>
      </c>
      <c r="J1270" s="67" cm="1">
        <f ca="1" t="array" ref="J1270">MIN(8,_xlfn.XLOOKUP($D1270&amp;"_"&amp;J$61,$B$23:$B$45&amp;"_"&amp;$C$23:$C$45,$D$23:$D$45)*$E1270)</f>
        <v>8</v>
      </c>
      <c r="K1270" s="67" cm="1">
        <f ca="1" t="array" ref="K1270">MIN(18,_xlfn.XLOOKUP($D1270&amp;"_"&amp;K$61,$B$23:$B$45&amp;"_"&amp;$C$23:$C$45,$D$23:$D$45)*$E1270)</f>
        <v>4.99506113033449</v>
      </c>
      <c r="L1270" s="67" cm="1">
        <f ca="1" t="array" ref="L1270">MIN(6,_xlfn.XLOOKUP($D1270&amp;"_"&amp;L$61,$B$23:$B$45&amp;"_"&amp;$C$23:$C$45,$D$23:$D$45)*$E1270)</f>
        <v>6</v>
      </c>
      <c r="M1270" s="67" cm="1">
        <f ca="1" t="array" ref="M1270">(1+SUMPRODUCT(G1270:H1270,OFFSET($H$49:$I$49,D1270,0)))*(1+OFFSET($J$49,D1270,0))^I1270*(1+OFFSET($K$49,D1270,0))^J1270*(1+OFFSET($L$49,D1270,0))^K1270*(1+OFFSET($M$49,D1270,0))^L1270</f>
        <v>388.002225513971</v>
      </c>
      <c r="N1270" s="67">
        <f ca="1">MAX(MAX($N$62:N1269),OFFSET($C$61,MATCH(M1270*1.07,$M$62:$M$2061,1),0)-C1270)</f>
        <v>50760</v>
      </c>
    </row>
    <row r="1271" spans="2:14">
      <c r="B1271" s="67">
        <v>1210</v>
      </c>
      <c r="C1271" s="67">
        <f t="shared" si="124"/>
        <v>435600</v>
      </c>
      <c r="D1271" s="67">
        <f t="shared" si="119"/>
        <v>5</v>
      </c>
      <c r="E1271" s="67">
        <f ca="1" t="shared" si="120"/>
        <v>1240</v>
      </c>
      <c r="F1271" s="67">
        <f ca="1" t="shared" si="125"/>
        <v>0</v>
      </c>
      <c r="G1271" s="67">
        <f ca="1" t="shared" si="126"/>
        <v>0</v>
      </c>
      <c r="H1271" s="67" cm="1">
        <f ca="1" t="array" ref="H1271">MIN(30-SUM(I1271:L1271),_xlfn.XLOOKUP($D1271&amp;"_"&amp;H$61,$B$23:$B$45&amp;"_"&amp;$C$23:$C$45,$D$23:$D$45)*$E1271,18)</f>
        <v>11.0009073433295</v>
      </c>
      <c r="I1271" s="67" cm="1">
        <f ca="1" t="array" ref="I1271">MIN(30-SUM(J1271:L1271),6-L1271,_xlfn.XLOOKUP($D1271&amp;"_"&amp;I$61,$B$23:$B$45&amp;"_"&amp;$C$23:$C$45,$D$23:$D$45)*$E1271)</f>
        <v>0</v>
      </c>
      <c r="J1271" s="67" cm="1">
        <f ca="1" t="array" ref="J1271">MIN(8,_xlfn.XLOOKUP($D1271&amp;"_"&amp;J$61,$B$23:$B$45&amp;"_"&amp;$C$23:$C$45,$D$23:$D$45)*$E1271)</f>
        <v>8</v>
      </c>
      <c r="K1271" s="67" cm="1">
        <f ca="1" t="array" ref="K1271">MIN(18,_xlfn.XLOOKUP($D1271&amp;"_"&amp;K$61,$B$23:$B$45&amp;"_"&amp;$C$23:$C$45,$D$23:$D$45)*$E1271)</f>
        <v>4.99909265667052</v>
      </c>
      <c r="L1271" s="67" cm="1">
        <f ca="1" t="array" ref="L1271">MIN(6,_xlfn.XLOOKUP($D1271&amp;"_"&amp;L$61,$B$23:$B$45&amp;"_"&amp;$C$23:$C$45,$D$23:$D$45)*$E1271)</f>
        <v>6</v>
      </c>
      <c r="M1271" s="67" cm="1">
        <f ca="1" t="array" ref="M1271">(1+SUMPRODUCT(G1271:H1271,OFFSET($H$49:$I$49,D1271,0)))*(1+OFFSET($J$49,D1271,0))^I1271*(1+OFFSET($K$49,D1271,0))^J1271*(1+OFFSET($L$49,D1271,0))^K1271*(1+OFFSET($M$49,D1271,0))^L1271</f>
        <v>388.189718472152</v>
      </c>
      <c r="N1271" s="67">
        <f ca="1">MAX(MAX($N$62:N1270),OFFSET($C$61,MATCH(M1271*1.07,$M$62:$M$2061,1),0)-C1271)</f>
        <v>50760</v>
      </c>
    </row>
    <row r="1272" spans="2:14">
      <c r="B1272" s="67">
        <v>1211</v>
      </c>
      <c r="C1272" s="67">
        <f t="shared" si="124"/>
        <v>435960</v>
      </c>
      <c r="D1272" s="67">
        <f t="shared" si="119"/>
        <v>5</v>
      </c>
      <c r="E1272" s="67">
        <f ca="1" t="shared" si="120"/>
        <v>1241</v>
      </c>
      <c r="F1272" s="67">
        <f ca="1" t="shared" si="125"/>
        <v>0</v>
      </c>
      <c r="G1272" s="67">
        <f ca="1" t="shared" si="126"/>
        <v>0</v>
      </c>
      <c r="H1272" s="67" cm="1">
        <f ca="1" t="array" ref="H1272">MIN(30-SUM(I1272:L1272),_xlfn.XLOOKUP($D1272&amp;"_"&amp;H$61,$B$23:$B$45&amp;"_"&amp;$C$23:$C$45,$D$23:$D$45)*$E1272,18)</f>
        <v>10.9968758169935</v>
      </c>
      <c r="I1272" s="67" cm="1">
        <f ca="1" t="array" ref="I1272">MIN(30-SUM(J1272:L1272),6-L1272,_xlfn.XLOOKUP($D1272&amp;"_"&amp;I$61,$B$23:$B$45&amp;"_"&amp;$C$23:$C$45,$D$23:$D$45)*$E1272)</f>
        <v>0</v>
      </c>
      <c r="J1272" s="67" cm="1">
        <f ca="1" t="array" ref="J1272">MIN(8,_xlfn.XLOOKUP($D1272&amp;"_"&amp;J$61,$B$23:$B$45&amp;"_"&amp;$C$23:$C$45,$D$23:$D$45)*$E1272)</f>
        <v>8</v>
      </c>
      <c r="K1272" s="67" cm="1">
        <f ca="1" t="array" ref="K1272">MIN(18,_xlfn.XLOOKUP($D1272&amp;"_"&amp;K$61,$B$23:$B$45&amp;"_"&amp;$C$23:$C$45,$D$23:$D$45)*$E1272)</f>
        <v>5.00312418300654</v>
      </c>
      <c r="L1272" s="67" cm="1">
        <f ca="1" t="array" ref="L1272">MIN(6,_xlfn.XLOOKUP($D1272&amp;"_"&amp;L$61,$B$23:$B$45&amp;"_"&amp;$C$23:$C$45,$D$23:$D$45)*$E1272)</f>
        <v>6</v>
      </c>
      <c r="M1272" s="67" cm="1">
        <f ca="1" t="array" ref="M1272">(1+SUMPRODUCT(G1272:H1272,OFFSET($H$49:$I$49,D1272,0)))*(1+OFFSET($J$49,D1272,0))^I1272*(1+OFFSET($K$49,D1272,0))^J1272*(1+OFFSET($L$49,D1272,0))^K1272*(1+OFFSET($M$49,D1272,0))^L1272</f>
        <v>388.377277376979</v>
      </c>
      <c r="N1272" s="67">
        <f ca="1">MAX(MAX($N$62:N1271),OFFSET($C$61,MATCH(M1272*1.07,$M$62:$M$2061,1),0)-C1272)</f>
        <v>50760</v>
      </c>
    </row>
    <row r="1273" spans="2:14">
      <c r="B1273" s="67">
        <v>1212</v>
      </c>
      <c r="C1273" s="67">
        <f t="shared" si="124"/>
        <v>436320</v>
      </c>
      <c r="D1273" s="67">
        <f t="shared" si="119"/>
        <v>5</v>
      </c>
      <c r="E1273" s="67">
        <f ca="1" t="shared" si="120"/>
        <v>1242</v>
      </c>
      <c r="F1273" s="67">
        <f ca="1" t="shared" si="125"/>
        <v>0</v>
      </c>
      <c r="G1273" s="67">
        <f ca="1" t="shared" si="126"/>
        <v>0</v>
      </c>
      <c r="H1273" s="67" cm="1">
        <f ca="1" t="array" ref="H1273">MIN(30-SUM(I1273:L1273),_xlfn.XLOOKUP($D1273&amp;"_"&amp;H$61,$B$23:$B$45&amp;"_"&amp;$C$23:$C$45,$D$23:$D$45)*$E1273,18)</f>
        <v>10.9928442906574</v>
      </c>
      <c r="I1273" s="67" cm="1">
        <f ca="1" t="array" ref="I1273">MIN(30-SUM(J1273:L1273),6-L1273,_xlfn.XLOOKUP($D1273&amp;"_"&amp;I$61,$B$23:$B$45&amp;"_"&amp;$C$23:$C$45,$D$23:$D$45)*$E1273)</f>
        <v>0</v>
      </c>
      <c r="J1273" s="67" cm="1">
        <f ca="1" t="array" ref="J1273">MIN(8,_xlfn.XLOOKUP($D1273&amp;"_"&amp;J$61,$B$23:$B$45&amp;"_"&amp;$C$23:$C$45,$D$23:$D$45)*$E1273)</f>
        <v>8</v>
      </c>
      <c r="K1273" s="67" cm="1">
        <f ca="1" t="array" ref="K1273">MIN(18,_xlfn.XLOOKUP($D1273&amp;"_"&amp;K$61,$B$23:$B$45&amp;"_"&amp;$C$23:$C$45,$D$23:$D$45)*$E1273)</f>
        <v>5.00715570934257</v>
      </c>
      <c r="L1273" s="67" cm="1">
        <f ca="1" t="array" ref="L1273">MIN(6,_xlfn.XLOOKUP($D1273&amp;"_"&amp;L$61,$B$23:$B$45&amp;"_"&amp;$C$23:$C$45,$D$23:$D$45)*$E1273)</f>
        <v>6</v>
      </c>
      <c r="M1273" s="67" cm="1">
        <f ca="1" t="array" ref="M1273">(1+SUMPRODUCT(G1273:H1273,OFFSET($H$49:$I$49,D1273,0)))*(1+OFFSET($J$49,D1273,0))^I1273*(1+OFFSET($K$49,D1273,0))^J1273*(1+OFFSET($L$49,D1273,0))^K1273*(1+OFFSET($M$49,D1273,0))^L1273</f>
        <v>388.56490222406</v>
      </c>
      <c r="N1273" s="67">
        <f ca="1">MAX(MAX($N$62:N1272),OFFSET($C$61,MATCH(M1273*1.07,$M$62:$M$2061,1),0)-C1273)</f>
        <v>50760</v>
      </c>
    </row>
    <row r="1274" spans="2:14">
      <c r="B1274" s="67">
        <v>1213</v>
      </c>
      <c r="C1274" s="67">
        <f t="shared" si="124"/>
        <v>436680</v>
      </c>
      <c r="D1274" s="67">
        <f t="shared" si="119"/>
        <v>5</v>
      </c>
      <c r="E1274" s="67">
        <f ca="1" t="shared" si="120"/>
        <v>1243</v>
      </c>
      <c r="F1274" s="67">
        <f ca="1" t="shared" si="125"/>
        <v>0</v>
      </c>
      <c r="G1274" s="67">
        <f ca="1" t="shared" si="126"/>
        <v>0</v>
      </c>
      <c r="H1274" s="67" cm="1">
        <f ca="1" t="array" ref="H1274">MIN(30-SUM(I1274:L1274),_xlfn.XLOOKUP($D1274&amp;"_"&amp;H$61,$B$23:$B$45&amp;"_"&amp;$C$23:$C$45,$D$23:$D$45)*$E1274,18)</f>
        <v>10.9888127643214</v>
      </c>
      <c r="I1274" s="67" cm="1">
        <f ca="1" t="array" ref="I1274">MIN(30-SUM(J1274:L1274),6-L1274,_xlfn.XLOOKUP($D1274&amp;"_"&amp;I$61,$B$23:$B$45&amp;"_"&amp;$C$23:$C$45,$D$23:$D$45)*$E1274)</f>
        <v>0</v>
      </c>
      <c r="J1274" s="67" cm="1">
        <f ca="1" t="array" ref="J1274">MIN(8,_xlfn.XLOOKUP($D1274&amp;"_"&amp;J$61,$B$23:$B$45&amp;"_"&amp;$C$23:$C$45,$D$23:$D$45)*$E1274)</f>
        <v>8</v>
      </c>
      <c r="K1274" s="67" cm="1">
        <f ca="1" t="array" ref="K1274">MIN(18,_xlfn.XLOOKUP($D1274&amp;"_"&amp;K$61,$B$23:$B$45&amp;"_"&amp;$C$23:$C$45,$D$23:$D$45)*$E1274)</f>
        <v>5.01118723567859</v>
      </c>
      <c r="L1274" s="67" cm="1">
        <f ca="1" t="array" ref="L1274">MIN(6,_xlfn.XLOOKUP($D1274&amp;"_"&amp;L$61,$B$23:$B$45&amp;"_"&amp;$C$23:$C$45,$D$23:$D$45)*$E1274)</f>
        <v>6</v>
      </c>
      <c r="M1274" s="67" cm="1">
        <f ca="1" t="array" ref="M1274">(1+SUMPRODUCT(G1274:H1274,OFFSET($H$49:$I$49,D1274,0)))*(1+OFFSET($J$49,D1274,0))^I1274*(1+OFFSET($K$49,D1274,0))^J1274*(1+OFFSET($L$49,D1274,0))^K1274*(1+OFFSET($M$49,D1274,0))^L1274</f>
        <v>388.752593008962</v>
      </c>
      <c r="N1274" s="67">
        <f ca="1">MAX(MAX($N$62:N1273),OFFSET($C$61,MATCH(M1274*1.07,$M$62:$M$2061,1),0)-C1274)</f>
        <v>50760</v>
      </c>
    </row>
    <row r="1275" spans="2:14">
      <c r="B1275" s="67">
        <v>1214</v>
      </c>
      <c r="C1275" s="67">
        <f t="shared" si="124"/>
        <v>437040</v>
      </c>
      <c r="D1275" s="67">
        <f t="shared" si="119"/>
        <v>5</v>
      </c>
      <c r="E1275" s="67">
        <f ca="1" t="shared" si="120"/>
        <v>1244</v>
      </c>
      <c r="F1275" s="67">
        <f ca="1" t="shared" si="125"/>
        <v>0</v>
      </c>
      <c r="G1275" s="67">
        <f ca="1" t="shared" si="126"/>
        <v>0</v>
      </c>
      <c r="H1275" s="67" cm="1">
        <f ca="1" t="array" ref="H1275">MIN(30-SUM(I1275:L1275),_xlfn.XLOOKUP($D1275&amp;"_"&amp;H$61,$B$23:$B$45&amp;"_"&amp;$C$23:$C$45,$D$23:$D$45)*$E1275,18)</f>
        <v>10.9847812379854</v>
      </c>
      <c r="I1275" s="67" cm="1">
        <f ca="1" t="array" ref="I1275">MIN(30-SUM(J1275:L1275),6-L1275,_xlfn.XLOOKUP($D1275&amp;"_"&amp;I$61,$B$23:$B$45&amp;"_"&amp;$C$23:$C$45,$D$23:$D$45)*$E1275)</f>
        <v>0</v>
      </c>
      <c r="J1275" s="67" cm="1">
        <f ca="1" t="array" ref="J1275">MIN(8,_xlfn.XLOOKUP($D1275&amp;"_"&amp;J$61,$B$23:$B$45&amp;"_"&amp;$C$23:$C$45,$D$23:$D$45)*$E1275)</f>
        <v>8</v>
      </c>
      <c r="K1275" s="67" cm="1">
        <f ca="1" t="array" ref="K1275">MIN(18,_xlfn.XLOOKUP($D1275&amp;"_"&amp;K$61,$B$23:$B$45&amp;"_"&amp;$C$23:$C$45,$D$23:$D$45)*$E1275)</f>
        <v>5.01521876201461</v>
      </c>
      <c r="L1275" s="67" cm="1">
        <f ca="1" t="array" ref="L1275">MIN(6,_xlfn.XLOOKUP($D1275&amp;"_"&amp;L$61,$B$23:$B$45&amp;"_"&amp;$C$23:$C$45,$D$23:$D$45)*$E1275)</f>
        <v>6</v>
      </c>
      <c r="M1275" s="67" cm="1">
        <f ca="1" t="array" ref="M1275">(1+SUMPRODUCT(G1275:H1275,OFFSET($H$49:$I$49,D1275,0)))*(1+OFFSET($J$49,D1275,0))^I1275*(1+OFFSET($K$49,D1275,0))^J1275*(1+OFFSET($L$49,D1275,0))^K1275*(1+OFFSET($M$49,D1275,0))^L1275</f>
        <v>388.940349727211</v>
      </c>
      <c r="N1275" s="67">
        <f ca="1">MAX(MAX($N$62:N1274),OFFSET($C$61,MATCH(M1275*1.07,$M$62:$M$2061,1),0)-C1275)</f>
        <v>50760</v>
      </c>
    </row>
    <row r="1276" spans="2:14">
      <c r="B1276" s="67">
        <v>1215</v>
      </c>
      <c r="C1276" s="67">
        <f t="shared" si="124"/>
        <v>437400</v>
      </c>
      <c r="D1276" s="67">
        <f t="shared" si="119"/>
        <v>5</v>
      </c>
      <c r="E1276" s="67">
        <f ca="1" t="shared" si="120"/>
        <v>1245</v>
      </c>
      <c r="F1276" s="67">
        <f ca="1" t="shared" si="125"/>
        <v>0</v>
      </c>
      <c r="G1276" s="67">
        <f ca="1" t="shared" si="126"/>
        <v>0</v>
      </c>
      <c r="H1276" s="67" cm="1">
        <f ca="1" t="array" ref="H1276">MIN(30-SUM(I1276:L1276),_xlfn.XLOOKUP($D1276&amp;"_"&amp;H$61,$B$23:$B$45&amp;"_"&amp;$C$23:$C$45,$D$23:$D$45)*$E1276,18)</f>
        <v>10.9807497116494</v>
      </c>
      <c r="I1276" s="67" cm="1">
        <f ca="1" t="array" ref="I1276">MIN(30-SUM(J1276:L1276),6-L1276,_xlfn.XLOOKUP($D1276&amp;"_"&amp;I$61,$B$23:$B$45&amp;"_"&amp;$C$23:$C$45,$D$23:$D$45)*$E1276)</f>
        <v>0</v>
      </c>
      <c r="J1276" s="67" cm="1">
        <f ca="1" t="array" ref="J1276">MIN(8,_xlfn.XLOOKUP($D1276&amp;"_"&amp;J$61,$B$23:$B$45&amp;"_"&amp;$C$23:$C$45,$D$23:$D$45)*$E1276)</f>
        <v>8</v>
      </c>
      <c r="K1276" s="67" cm="1">
        <f ca="1" t="array" ref="K1276">MIN(18,_xlfn.XLOOKUP($D1276&amp;"_"&amp;K$61,$B$23:$B$45&amp;"_"&amp;$C$23:$C$45,$D$23:$D$45)*$E1276)</f>
        <v>5.01925028835064</v>
      </c>
      <c r="L1276" s="67" cm="1">
        <f ca="1" t="array" ref="L1276">MIN(6,_xlfn.XLOOKUP($D1276&amp;"_"&amp;L$61,$B$23:$B$45&amp;"_"&amp;$C$23:$C$45,$D$23:$D$45)*$E1276)</f>
        <v>6</v>
      </c>
      <c r="M1276" s="67" cm="1">
        <f ca="1" t="array" ref="M1276">(1+SUMPRODUCT(G1276:H1276,OFFSET($H$49:$I$49,D1276,0)))*(1+OFFSET($J$49,D1276,0))^I1276*(1+OFFSET($K$49,D1276,0))^J1276*(1+OFFSET($L$49,D1276,0))^K1276*(1+OFFSET($M$49,D1276,0))^L1276</f>
        <v>389.12817237429</v>
      </c>
      <c r="N1276" s="67">
        <f ca="1">MAX(MAX($N$62:N1275),OFFSET($C$61,MATCH(M1276*1.07,$M$62:$M$2061,1),0)-C1276)</f>
        <v>50760</v>
      </c>
    </row>
    <row r="1277" spans="2:14">
      <c r="B1277" s="67">
        <v>1216</v>
      </c>
      <c r="C1277" s="67">
        <f t="shared" si="124"/>
        <v>437760</v>
      </c>
      <c r="D1277" s="67">
        <f t="shared" si="119"/>
        <v>5</v>
      </c>
      <c r="E1277" s="67">
        <f ca="1" t="shared" si="120"/>
        <v>1246</v>
      </c>
      <c r="F1277" s="67">
        <f ca="1" t="shared" si="125"/>
        <v>0</v>
      </c>
      <c r="G1277" s="67">
        <f ca="1" t="shared" si="126"/>
        <v>0</v>
      </c>
      <c r="H1277" s="67" cm="1">
        <f ca="1" t="array" ref="H1277">MIN(30-SUM(I1277:L1277),_xlfn.XLOOKUP($D1277&amp;"_"&amp;H$61,$B$23:$B$45&amp;"_"&amp;$C$23:$C$45,$D$23:$D$45)*$E1277,18)</f>
        <v>10.9767181853133</v>
      </c>
      <c r="I1277" s="67" cm="1">
        <f ca="1" t="array" ref="I1277">MIN(30-SUM(J1277:L1277),6-L1277,_xlfn.XLOOKUP($D1277&amp;"_"&amp;I$61,$B$23:$B$45&amp;"_"&amp;$C$23:$C$45,$D$23:$D$45)*$E1277)</f>
        <v>0</v>
      </c>
      <c r="J1277" s="67" cm="1">
        <f ca="1" t="array" ref="J1277">MIN(8,_xlfn.XLOOKUP($D1277&amp;"_"&amp;J$61,$B$23:$B$45&amp;"_"&amp;$C$23:$C$45,$D$23:$D$45)*$E1277)</f>
        <v>8</v>
      </c>
      <c r="K1277" s="67" cm="1">
        <f ca="1" t="array" ref="K1277">MIN(18,_xlfn.XLOOKUP($D1277&amp;"_"&amp;K$61,$B$23:$B$45&amp;"_"&amp;$C$23:$C$45,$D$23:$D$45)*$E1277)</f>
        <v>5.02328181468666</v>
      </c>
      <c r="L1277" s="67" cm="1">
        <f ca="1" t="array" ref="L1277">MIN(6,_xlfn.XLOOKUP($D1277&amp;"_"&amp;L$61,$B$23:$B$45&amp;"_"&amp;$C$23:$C$45,$D$23:$D$45)*$E1277)</f>
        <v>6</v>
      </c>
      <c r="M1277" s="67" cm="1">
        <f ca="1" t="array" ref="M1277">(1+SUMPRODUCT(G1277:H1277,OFFSET($H$49:$I$49,D1277,0)))*(1+OFFSET($J$49,D1277,0))^I1277*(1+OFFSET($K$49,D1277,0))^J1277*(1+OFFSET($L$49,D1277,0))^K1277*(1+OFFSET($M$49,D1277,0))^L1277</f>
        <v>389.316060945639</v>
      </c>
      <c r="N1277" s="67">
        <f ca="1">MAX(MAX($N$62:N1276),OFFSET($C$61,MATCH(M1277*1.07,$M$62:$M$2061,1),0)-C1277)</f>
        <v>50760</v>
      </c>
    </row>
    <row r="1278" spans="2:14">
      <c r="B1278" s="67">
        <v>1217</v>
      </c>
      <c r="C1278" s="67">
        <f t="shared" si="124"/>
        <v>438120</v>
      </c>
      <c r="D1278" s="67">
        <f t="shared" si="119"/>
        <v>5</v>
      </c>
      <c r="E1278" s="67">
        <f ca="1" t="shared" si="120"/>
        <v>1247</v>
      </c>
      <c r="F1278" s="67">
        <f ca="1" t="shared" si="125"/>
        <v>0</v>
      </c>
      <c r="G1278" s="67">
        <f ca="1" t="shared" si="126"/>
        <v>0</v>
      </c>
      <c r="H1278" s="67" cm="1">
        <f ca="1" t="array" ref="H1278">MIN(30-SUM(I1278:L1278),_xlfn.XLOOKUP($D1278&amp;"_"&amp;H$61,$B$23:$B$45&amp;"_"&amp;$C$23:$C$45,$D$23:$D$45)*$E1278,18)</f>
        <v>10.9726866589773</v>
      </c>
      <c r="I1278" s="67" cm="1">
        <f ca="1" t="array" ref="I1278">MIN(30-SUM(J1278:L1278),6-L1278,_xlfn.XLOOKUP($D1278&amp;"_"&amp;I$61,$B$23:$B$45&amp;"_"&amp;$C$23:$C$45,$D$23:$D$45)*$E1278)</f>
        <v>0</v>
      </c>
      <c r="J1278" s="67" cm="1">
        <f ca="1" t="array" ref="J1278">MIN(8,_xlfn.XLOOKUP($D1278&amp;"_"&amp;J$61,$B$23:$B$45&amp;"_"&amp;$C$23:$C$45,$D$23:$D$45)*$E1278)</f>
        <v>8</v>
      </c>
      <c r="K1278" s="67" cm="1">
        <f ca="1" t="array" ref="K1278">MIN(18,_xlfn.XLOOKUP($D1278&amp;"_"&amp;K$61,$B$23:$B$45&amp;"_"&amp;$C$23:$C$45,$D$23:$D$45)*$E1278)</f>
        <v>5.02731334102269</v>
      </c>
      <c r="L1278" s="67" cm="1">
        <f ca="1" t="array" ref="L1278">MIN(6,_xlfn.XLOOKUP($D1278&amp;"_"&amp;L$61,$B$23:$B$45&amp;"_"&amp;$C$23:$C$45,$D$23:$D$45)*$E1278)</f>
        <v>6</v>
      </c>
      <c r="M1278" s="67" cm="1">
        <f ca="1" t="array" ref="M1278">(1+SUMPRODUCT(G1278:H1278,OFFSET($H$49:$I$49,D1278,0)))*(1+OFFSET($J$49,D1278,0))^I1278*(1+OFFSET($K$49,D1278,0))^J1278*(1+OFFSET($L$49,D1278,0))^K1278*(1+OFFSET($M$49,D1278,0))^L1278</f>
        <v>389.504015436657</v>
      </c>
      <c r="N1278" s="67">
        <f ca="1">MAX(MAX($N$62:N1277),OFFSET($C$61,MATCH(M1278*1.07,$M$62:$M$2061,1),0)-C1278)</f>
        <v>50760</v>
      </c>
    </row>
    <row r="1279" spans="2:14">
      <c r="B1279" s="67">
        <v>1218</v>
      </c>
      <c r="C1279" s="67">
        <f t="shared" si="124"/>
        <v>438480</v>
      </c>
      <c r="D1279" s="67">
        <f t="shared" ref="D1279:D1342" si="127">_xlfn.XLOOKUP("非R",$B$49:$B$54,$C$49:$C$54)</f>
        <v>5</v>
      </c>
      <c r="E1279" s="67">
        <f ca="1" t="shared" ref="E1279:E1342" si="128">INT(C1279/_xlfn.XLOOKUP(D1279,$R$14:$R$21,$S$14:$S$21))+OFFSET($R$49,D1279,0)</f>
        <v>1248</v>
      </c>
      <c r="F1279" s="67">
        <f ca="1" t="shared" si="125"/>
        <v>0</v>
      </c>
      <c r="G1279" s="67">
        <f ca="1" t="shared" si="126"/>
        <v>0</v>
      </c>
      <c r="H1279" s="67" cm="1">
        <f ca="1" t="array" ref="H1279">MIN(30-SUM(I1279:L1279),_xlfn.XLOOKUP($D1279&amp;"_"&amp;H$61,$B$23:$B$45&amp;"_"&amp;$C$23:$C$45,$D$23:$D$45)*$E1279,18)</f>
        <v>10.9686551326413</v>
      </c>
      <c r="I1279" s="67" cm="1">
        <f ca="1" t="array" ref="I1279">MIN(30-SUM(J1279:L1279),6-L1279,_xlfn.XLOOKUP($D1279&amp;"_"&amp;I$61,$B$23:$B$45&amp;"_"&amp;$C$23:$C$45,$D$23:$D$45)*$E1279)</f>
        <v>0</v>
      </c>
      <c r="J1279" s="67" cm="1">
        <f ca="1" t="array" ref="J1279">MIN(8,_xlfn.XLOOKUP($D1279&amp;"_"&amp;J$61,$B$23:$B$45&amp;"_"&amp;$C$23:$C$45,$D$23:$D$45)*$E1279)</f>
        <v>8</v>
      </c>
      <c r="K1279" s="67" cm="1">
        <f ca="1" t="array" ref="K1279">MIN(18,_xlfn.XLOOKUP($D1279&amp;"_"&amp;K$61,$B$23:$B$45&amp;"_"&amp;$C$23:$C$45,$D$23:$D$45)*$E1279)</f>
        <v>5.03134486735871</v>
      </c>
      <c r="L1279" s="67" cm="1">
        <f ca="1" t="array" ref="L1279">MIN(6,_xlfn.XLOOKUP($D1279&amp;"_"&amp;L$61,$B$23:$B$45&amp;"_"&amp;$C$23:$C$45,$D$23:$D$45)*$E1279)</f>
        <v>6</v>
      </c>
      <c r="M1279" s="67" cm="1">
        <f ca="1" t="array" ref="M1279">(1+SUMPRODUCT(G1279:H1279,OFFSET($H$49:$I$49,D1279,0)))*(1+OFFSET($J$49,D1279,0))^I1279*(1+OFFSET($K$49,D1279,0))^J1279*(1+OFFSET($L$49,D1279,0))^K1279*(1+OFFSET($M$49,D1279,0))^L1279</f>
        <v>389.692035842699</v>
      </c>
      <c r="N1279" s="67">
        <f ca="1">MAX(MAX($N$62:N1278),OFFSET($C$61,MATCH(M1279*1.07,$M$62:$M$2061,1),0)-C1279)</f>
        <v>50760</v>
      </c>
    </row>
    <row r="1280" spans="2:14">
      <c r="B1280" s="67">
        <v>1219</v>
      </c>
      <c r="C1280" s="67">
        <f t="shared" si="124"/>
        <v>438840</v>
      </c>
      <c r="D1280" s="67">
        <f t="shared" si="127"/>
        <v>5</v>
      </c>
      <c r="E1280" s="67">
        <f ca="1" t="shared" si="128"/>
        <v>1249</v>
      </c>
      <c r="F1280" s="67">
        <f ca="1" t="shared" si="125"/>
        <v>0</v>
      </c>
      <c r="G1280" s="67">
        <f ca="1" t="shared" si="126"/>
        <v>0</v>
      </c>
      <c r="H1280" s="67" cm="1">
        <f ca="1" t="array" ref="H1280">MIN(30-SUM(I1280:L1280),_xlfn.XLOOKUP($D1280&amp;"_"&amp;H$61,$B$23:$B$45&amp;"_"&amp;$C$23:$C$45,$D$23:$D$45)*$E1280,18)</f>
        <v>10.9646236063053</v>
      </c>
      <c r="I1280" s="67" cm="1">
        <f ca="1" t="array" ref="I1280">MIN(30-SUM(J1280:L1280),6-L1280,_xlfn.XLOOKUP($D1280&amp;"_"&amp;I$61,$B$23:$B$45&amp;"_"&amp;$C$23:$C$45,$D$23:$D$45)*$E1280)</f>
        <v>0</v>
      </c>
      <c r="J1280" s="67" cm="1">
        <f ca="1" t="array" ref="J1280">MIN(8,_xlfn.XLOOKUP($D1280&amp;"_"&amp;J$61,$B$23:$B$45&amp;"_"&amp;$C$23:$C$45,$D$23:$D$45)*$E1280)</f>
        <v>8</v>
      </c>
      <c r="K1280" s="67" cm="1">
        <f ca="1" t="array" ref="K1280">MIN(18,_xlfn.XLOOKUP($D1280&amp;"_"&amp;K$61,$B$23:$B$45&amp;"_"&amp;$C$23:$C$45,$D$23:$D$45)*$E1280)</f>
        <v>5.03537639369474</v>
      </c>
      <c r="L1280" s="67" cm="1">
        <f ca="1" t="array" ref="L1280">MIN(6,_xlfn.XLOOKUP($D1280&amp;"_"&amp;L$61,$B$23:$B$45&amp;"_"&amp;$C$23:$C$45,$D$23:$D$45)*$E1280)</f>
        <v>6</v>
      </c>
      <c r="M1280" s="67" cm="1">
        <f ca="1" t="array" ref="M1280">(1+SUMPRODUCT(G1280:H1280,OFFSET($H$49:$I$49,D1280,0)))*(1+OFFSET($J$49,D1280,0))^I1280*(1+OFFSET($K$49,D1280,0))^J1280*(1+OFFSET($L$49,D1280,0))^K1280*(1+OFFSET($M$49,D1280,0))^L1280</f>
        <v>389.88012215908</v>
      </c>
      <c r="N1280" s="67">
        <f ca="1">MAX(MAX($N$62:N1279),OFFSET($C$61,MATCH(M1280*1.07,$M$62:$M$2061,1),0)-C1280)</f>
        <v>50760</v>
      </c>
    </row>
    <row r="1281" spans="2:14">
      <c r="B1281" s="67">
        <v>1220</v>
      </c>
      <c r="C1281" s="67">
        <f t="shared" si="124"/>
        <v>439200</v>
      </c>
      <c r="D1281" s="67">
        <f t="shared" si="127"/>
        <v>5</v>
      </c>
      <c r="E1281" s="67">
        <f ca="1" t="shared" si="128"/>
        <v>1250</v>
      </c>
      <c r="F1281" s="67">
        <f ca="1" t="shared" si="125"/>
        <v>0</v>
      </c>
      <c r="G1281" s="67">
        <f ca="1" t="shared" si="126"/>
        <v>0</v>
      </c>
      <c r="H1281" s="67" cm="1">
        <f ca="1" t="array" ref="H1281">MIN(30-SUM(I1281:L1281),_xlfn.XLOOKUP($D1281&amp;"_"&amp;H$61,$B$23:$B$45&amp;"_"&amp;$C$23:$C$45,$D$23:$D$45)*$E1281,18)</f>
        <v>10.9605920799692</v>
      </c>
      <c r="I1281" s="67" cm="1">
        <f ca="1" t="array" ref="I1281">MIN(30-SUM(J1281:L1281),6-L1281,_xlfn.XLOOKUP($D1281&amp;"_"&amp;I$61,$B$23:$B$45&amp;"_"&amp;$C$23:$C$45,$D$23:$D$45)*$E1281)</f>
        <v>0</v>
      </c>
      <c r="J1281" s="67" cm="1">
        <f ca="1" t="array" ref="J1281">MIN(8,_xlfn.XLOOKUP($D1281&amp;"_"&amp;J$61,$B$23:$B$45&amp;"_"&amp;$C$23:$C$45,$D$23:$D$45)*$E1281)</f>
        <v>8</v>
      </c>
      <c r="K1281" s="67" cm="1">
        <f ca="1" t="array" ref="K1281">MIN(18,_xlfn.XLOOKUP($D1281&amp;"_"&amp;K$61,$B$23:$B$45&amp;"_"&amp;$C$23:$C$45,$D$23:$D$45)*$E1281)</f>
        <v>5.03940792003076</v>
      </c>
      <c r="L1281" s="67" cm="1">
        <f ca="1" t="array" ref="L1281">MIN(6,_xlfn.XLOOKUP($D1281&amp;"_"&amp;L$61,$B$23:$B$45&amp;"_"&amp;$C$23:$C$45,$D$23:$D$45)*$E1281)</f>
        <v>6</v>
      </c>
      <c r="M1281" s="67" cm="1">
        <f ca="1" t="array" ref="M1281">(1+SUMPRODUCT(G1281:H1281,OFFSET($H$49:$I$49,D1281,0)))*(1+OFFSET($J$49,D1281,0))^I1281*(1+OFFSET($K$49,D1281,0))^J1281*(1+OFFSET($L$49,D1281,0))^K1281*(1+OFFSET($M$49,D1281,0))^L1281</f>
        <v>390.068274381068</v>
      </c>
      <c r="N1281" s="67">
        <f ca="1">MAX(MAX($N$62:N1280),OFFSET($C$61,MATCH(M1281*1.07,$M$62:$M$2061,1),0)-C1281)</f>
        <v>50760</v>
      </c>
    </row>
    <row r="1282" spans="2:14">
      <c r="B1282" s="67">
        <v>1221</v>
      </c>
      <c r="C1282" s="67">
        <f t="shared" si="124"/>
        <v>439560</v>
      </c>
      <c r="D1282" s="67">
        <f t="shared" si="127"/>
        <v>5</v>
      </c>
      <c r="E1282" s="67">
        <f ca="1" t="shared" si="128"/>
        <v>1251</v>
      </c>
      <c r="F1282" s="67">
        <f ca="1" t="shared" si="125"/>
        <v>0</v>
      </c>
      <c r="G1282" s="67">
        <f ca="1" t="shared" si="126"/>
        <v>0</v>
      </c>
      <c r="H1282" s="67" cm="1">
        <f ca="1" t="array" ref="H1282">MIN(30-SUM(I1282:L1282),_xlfn.XLOOKUP($D1282&amp;"_"&amp;H$61,$B$23:$B$45&amp;"_"&amp;$C$23:$C$45,$D$23:$D$45)*$E1282,18)</f>
        <v>10.9565605536332</v>
      </c>
      <c r="I1282" s="67" cm="1">
        <f ca="1" t="array" ref="I1282">MIN(30-SUM(J1282:L1282),6-L1282,_xlfn.XLOOKUP($D1282&amp;"_"&amp;I$61,$B$23:$B$45&amp;"_"&amp;$C$23:$C$45,$D$23:$D$45)*$E1282)</f>
        <v>0</v>
      </c>
      <c r="J1282" s="67" cm="1">
        <f ca="1" t="array" ref="J1282">MIN(8,_xlfn.XLOOKUP($D1282&amp;"_"&amp;J$61,$B$23:$B$45&amp;"_"&amp;$C$23:$C$45,$D$23:$D$45)*$E1282)</f>
        <v>8</v>
      </c>
      <c r="K1282" s="67" cm="1">
        <f ca="1" t="array" ref="K1282">MIN(18,_xlfn.XLOOKUP($D1282&amp;"_"&amp;K$61,$B$23:$B$45&amp;"_"&amp;$C$23:$C$45,$D$23:$D$45)*$E1282)</f>
        <v>5.04343944636679</v>
      </c>
      <c r="L1282" s="67" cm="1">
        <f ca="1" t="array" ref="L1282">MIN(6,_xlfn.XLOOKUP($D1282&amp;"_"&amp;L$61,$B$23:$B$45&amp;"_"&amp;$C$23:$C$45,$D$23:$D$45)*$E1282)</f>
        <v>6</v>
      </c>
      <c r="M1282" s="67" cm="1">
        <f ca="1" t="array" ref="M1282">(1+SUMPRODUCT(G1282:H1282,OFFSET($H$49:$I$49,D1282,0)))*(1+OFFSET($J$49,D1282,0))^I1282*(1+OFFSET($K$49,D1282,0))^J1282*(1+OFFSET($L$49,D1282,0))^K1282*(1+OFFSET($M$49,D1282,0))^L1282</f>
        <v>390.256492503894</v>
      </c>
      <c r="N1282" s="67">
        <f ca="1">MAX(MAX($N$62:N1281),OFFSET($C$61,MATCH(M1282*1.07,$M$62:$M$2061,1),0)-C1282)</f>
        <v>50760</v>
      </c>
    </row>
    <row r="1283" spans="2:14">
      <c r="B1283" s="67">
        <v>1222</v>
      </c>
      <c r="C1283" s="67">
        <f t="shared" si="124"/>
        <v>439920</v>
      </c>
      <c r="D1283" s="67">
        <f t="shared" si="127"/>
        <v>5</v>
      </c>
      <c r="E1283" s="67">
        <f ca="1" t="shared" si="128"/>
        <v>1252</v>
      </c>
      <c r="F1283" s="67">
        <f ca="1" t="shared" si="125"/>
        <v>0</v>
      </c>
      <c r="G1283" s="67">
        <f ca="1" t="shared" si="126"/>
        <v>0</v>
      </c>
      <c r="H1283" s="67" cm="1">
        <f ca="1" t="array" ref="H1283">MIN(30-SUM(I1283:L1283),_xlfn.XLOOKUP($D1283&amp;"_"&amp;H$61,$B$23:$B$45&amp;"_"&amp;$C$23:$C$45,$D$23:$D$45)*$E1283,18)</f>
        <v>10.9525290272972</v>
      </c>
      <c r="I1283" s="67" cm="1">
        <f ca="1" t="array" ref="I1283">MIN(30-SUM(J1283:L1283),6-L1283,_xlfn.XLOOKUP($D1283&amp;"_"&amp;I$61,$B$23:$B$45&amp;"_"&amp;$C$23:$C$45,$D$23:$D$45)*$E1283)</f>
        <v>0</v>
      </c>
      <c r="J1283" s="67" cm="1">
        <f ca="1" t="array" ref="J1283">MIN(8,_xlfn.XLOOKUP($D1283&amp;"_"&amp;J$61,$B$23:$B$45&amp;"_"&amp;$C$23:$C$45,$D$23:$D$45)*$E1283)</f>
        <v>8</v>
      </c>
      <c r="K1283" s="67" cm="1">
        <f ca="1" t="array" ref="K1283">MIN(18,_xlfn.XLOOKUP($D1283&amp;"_"&amp;K$61,$B$23:$B$45&amp;"_"&amp;$C$23:$C$45,$D$23:$D$45)*$E1283)</f>
        <v>5.04747097270281</v>
      </c>
      <c r="L1283" s="67" cm="1">
        <f ca="1" t="array" ref="L1283">MIN(6,_xlfn.XLOOKUP($D1283&amp;"_"&amp;L$61,$B$23:$B$45&amp;"_"&amp;$C$23:$C$45,$D$23:$D$45)*$E1283)</f>
        <v>6</v>
      </c>
      <c r="M1283" s="67" cm="1">
        <f ca="1" t="array" ref="M1283">(1+SUMPRODUCT(G1283:H1283,OFFSET($H$49:$I$49,D1283,0)))*(1+OFFSET($J$49,D1283,0))^I1283*(1+OFFSET($K$49,D1283,0))^J1283*(1+OFFSET($L$49,D1283,0))^K1283*(1+OFFSET($M$49,D1283,0))^L1283</f>
        <v>390.444776522743</v>
      </c>
      <c r="N1283" s="67">
        <f ca="1">MAX(MAX($N$62:N1282),OFFSET($C$61,MATCH(M1283*1.07,$M$62:$M$2061,1),0)-C1283)</f>
        <v>50760</v>
      </c>
    </row>
    <row r="1284" spans="2:14">
      <c r="B1284" s="67">
        <v>1223</v>
      </c>
      <c r="C1284" s="67">
        <f t="shared" si="124"/>
        <v>440280</v>
      </c>
      <c r="D1284" s="67">
        <f t="shared" si="127"/>
        <v>5</v>
      </c>
      <c r="E1284" s="67">
        <f ca="1" t="shared" si="128"/>
        <v>1253</v>
      </c>
      <c r="F1284" s="67">
        <f ca="1" t="shared" si="125"/>
        <v>0</v>
      </c>
      <c r="G1284" s="67">
        <f ca="1" t="shared" si="126"/>
        <v>0</v>
      </c>
      <c r="H1284" s="67" cm="1">
        <f ca="1" t="array" ref="H1284">MIN(30-SUM(I1284:L1284),_xlfn.XLOOKUP($D1284&amp;"_"&amp;H$61,$B$23:$B$45&amp;"_"&amp;$C$23:$C$45,$D$23:$D$45)*$E1284,18)</f>
        <v>10.9484975009612</v>
      </c>
      <c r="I1284" s="67" cm="1">
        <f ca="1" t="array" ref="I1284">MIN(30-SUM(J1284:L1284),6-L1284,_xlfn.XLOOKUP($D1284&amp;"_"&amp;I$61,$B$23:$B$45&amp;"_"&amp;$C$23:$C$45,$D$23:$D$45)*$E1284)</f>
        <v>0</v>
      </c>
      <c r="J1284" s="67" cm="1">
        <f ca="1" t="array" ref="J1284">MIN(8,_xlfn.XLOOKUP($D1284&amp;"_"&amp;J$61,$B$23:$B$45&amp;"_"&amp;$C$23:$C$45,$D$23:$D$45)*$E1284)</f>
        <v>8</v>
      </c>
      <c r="K1284" s="67" cm="1">
        <f ca="1" t="array" ref="K1284">MIN(18,_xlfn.XLOOKUP($D1284&amp;"_"&amp;K$61,$B$23:$B$45&amp;"_"&amp;$C$23:$C$45,$D$23:$D$45)*$E1284)</f>
        <v>5.05150249903884</v>
      </c>
      <c r="L1284" s="67" cm="1">
        <f ca="1" t="array" ref="L1284">MIN(6,_xlfn.XLOOKUP($D1284&amp;"_"&amp;L$61,$B$23:$B$45&amp;"_"&amp;$C$23:$C$45,$D$23:$D$45)*$E1284)</f>
        <v>6</v>
      </c>
      <c r="M1284" s="67" cm="1">
        <f ca="1" t="array" ref="M1284">(1+SUMPRODUCT(G1284:H1284,OFFSET($H$49:$I$49,D1284,0)))*(1+OFFSET($J$49,D1284,0))^I1284*(1+OFFSET($K$49,D1284,0))^J1284*(1+OFFSET($L$49,D1284,0))^K1284*(1+OFFSET($M$49,D1284,0))^L1284</f>
        <v>390.633126432757</v>
      </c>
      <c r="N1284" s="67">
        <f ca="1">MAX(MAX($N$62:N1283),OFFSET($C$61,MATCH(M1284*1.07,$M$62:$M$2061,1),0)-C1284)</f>
        <v>50760</v>
      </c>
    </row>
    <row r="1285" spans="2:14">
      <c r="B1285" s="67">
        <v>1224</v>
      </c>
      <c r="C1285" s="67">
        <f t="shared" si="124"/>
        <v>440640</v>
      </c>
      <c r="D1285" s="67">
        <f t="shared" si="127"/>
        <v>5</v>
      </c>
      <c r="E1285" s="67">
        <f ca="1" t="shared" si="128"/>
        <v>1254</v>
      </c>
      <c r="F1285" s="67">
        <f ca="1" t="shared" si="125"/>
        <v>0</v>
      </c>
      <c r="G1285" s="67">
        <f ca="1" t="shared" si="126"/>
        <v>0</v>
      </c>
      <c r="H1285" s="67" cm="1">
        <f ca="1" t="array" ref="H1285">MIN(30-SUM(I1285:L1285),_xlfn.XLOOKUP($D1285&amp;"_"&amp;H$61,$B$23:$B$45&amp;"_"&amp;$C$23:$C$45,$D$23:$D$45)*$E1285,18)</f>
        <v>10.9444659746251</v>
      </c>
      <c r="I1285" s="67" cm="1">
        <f ca="1" t="array" ref="I1285">MIN(30-SUM(J1285:L1285),6-L1285,_xlfn.XLOOKUP($D1285&amp;"_"&amp;I$61,$B$23:$B$45&amp;"_"&amp;$C$23:$C$45,$D$23:$D$45)*$E1285)</f>
        <v>0</v>
      </c>
      <c r="J1285" s="67" cm="1">
        <f ca="1" t="array" ref="J1285">MIN(8,_xlfn.XLOOKUP($D1285&amp;"_"&amp;J$61,$B$23:$B$45&amp;"_"&amp;$C$23:$C$45,$D$23:$D$45)*$E1285)</f>
        <v>8</v>
      </c>
      <c r="K1285" s="67" cm="1">
        <f ca="1" t="array" ref="K1285">MIN(18,_xlfn.XLOOKUP($D1285&amp;"_"&amp;K$61,$B$23:$B$45&amp;"_"&amp;$C$23:$C$45,$D$23:$D$45)*$E1285)</f>
        <v>5.05553402537486</v>
      </c>
      <c r="L1285" s="67" cm="1">
        <f ca="1" t="array" ref="L1285">MIN(6,_xlfn.XLOOKUP($D1285&amp;"_"&amp;L$61,$B$23:$B$45&amp;"_"&amp;$C$23:$C$45,$D$23:$D$45)*$E1285)</f>
        <v>6</v>
      </c>
      <c r="M1285" s="67" cm="1">
        <f ca="1" t="array" ref="M1285">(1+SUMPRODUCT(G1285:H1285,OFFSET($H$49:$I$49,D1285,0)))*(1+OFFSET($J$49,D1285,0))^I1285*(1+OFFSET($K$49,D1285,0))^J1285*(1+OFFSET($L$49,D1285,0))^K1285*(1+OFFSET($M$49,D1285,0))^L1285</f>
        <v>390.821542229036</v>
      </c>
      <c r="N1285" s="67">
        <f ca="1">MAX(MAX($N$62:N1284),OFFSET($C$61,MATCH(M1285*1.07,$M$62:$M$2061,1),0)-C1285)</f>
        <v>50760</v>
      </c>
    </row>
    <row r="1286" spans="2:14">
      <c r="B1286" s="67">
        <v>1225</v>
      </c>
      <c r="C1286" s="67">
        <f t="shared" si="124"/>
        <v>441000</v>
      </c>
      <c r="D1286" s="67">
        <f t="shared" si="127"/>
        <v>5</v>
      </c>
      <c r="E1286" s="67">
        <f ca="1" t="shared" si="128"/>
        <v>1255</v>
      </c>
      <c r="F1286" s="67">
        <f ca="1" t="shared" si="125"/>
        <v>0</v>
      </c>
      <c r="G1286" s="67">
        <f ca="1" t="shared" si="126"/>
        <v>0</v>
      </c>
      <c r="H1286" s="67" cm="1">
        <f ca="1" t="array" ref="H1286">MIN(30-SUM(I1286:L1286),_xlfn.XLOOKUP($D1286&amp;"_"&amp;H$61,$B$23:$B$45&amp;"_"&amp;$C$23:$C$45,$D$23:$D$45)*$E1286,18)</f>
        <v>10.9404344482891</v>
      </c>
      <c r="I1286" s="67" cm="1">
        <f ca="1" t="array" ref="I1286">MIN(30-SUM(J1286:L1286),6-L1286,_xlfn.XLOOKUP($D1286&amp;"_"&amp;I$61,$B$23:$B$45&amp;"_"&amp;$C$23:$C$45,$D$23:$D$45)*$E1286)</f>
        <v>0</v>
      </c>
      <c r="J1286" s="67" cm="1">
        <f ca="1" t="array" ref="J1286">MIN(8,_xlfn.XLOOKUP($D1286&amp;"_"&amp;J$61,$B$23:$B$45&amp;"_"&amp;$C$23:$C$45,$D$23:$D$45)*$E1286)</f>
        <v>8</v>
      </c>
      <c r="K1286" s="67" cm="1">
        <f ca="1" t="array" ref="K1286">MIN(18,_xlfn.XLOOKUP($D1286&amp;"_"&amp;K$61,$B$23:$B$45&amp;"_"&amp;$C$23:$C$45,$D$23:$D$45)*$E1286)</f>
        <v>5.05956555171089</v>
      </c>
      <c r="L1286" s="67" cm="1">
        <f ca="1" t="array" ref="L1286">MIN(6,_xlfn.XLOOKUP($D1286&amp;"_"&amp;L$61,$B$23:$B$45&amp;"_"&amp;$C$23:$C$45,$D$23:$D$45)*$E1286)</f>
        <v>6</v>
      </c>
      <c r="M1286" s="67" cm="1">
        <f ca="1" t="array" ref="M1286">(1+SUMPRODUCT(G1286:H1286,OFFSET($H$49:$I$49,D1286,0)))*(1+OFFSET($J$49,D1286,0))^I1286*(1+OFFSET($K$49,D1286,0))^J1286*(1+OFFSET($L$49,D1286,0))^K1286*(1+OFFSET($M$49,D1286,0))^L1286</f>
        <v>391.010023906638</v>
      </c>
      <c r="N1286" s="67">
        <f ca="1">MAX(MAX($N$62:N1285),OFFSET($C$61,MATCH(M1286*1.07,$M$62:$M$2061,1),0)-C1286)</f>
        <v>50760</v>
      </c>
    </row>
    <row r="1287" spans="2:14">
      <c r="B1287" s="67">
        <v>1226</v>
      </c>
      <c r="C1287" s="67">
        <f t="shared" si="124"/>
        <v>441360</v>
      </c>
      <c r="D1287" s="67">
        <f t="shared" si="127"/>
        <v>5</v>
      </c>
      <c r="E1287" s="67">
        <f ca="1" t="shared" si="128"/>
        <v>1256</v>
      </c>
      <c r="F1287" s="67">
        <f ca="1" t="shared" si="125"/>
        <v>0</v>
      </c>
      <c r="G1287" s="67">
        <f ca="1" t="shared" si="126"/>
        <v>0</v>
      </c>
      <c r="H1287" s="67" cm="1">
        <f ca="1" t="array" ref="H1287">MIN(30-SUM(I1287:L1287),_xlfn.XLOOKUP($D1287&amp;"_"&amp;H$61,$B$23:$B$45&amp;"_"&amp;$C$23:$C$45,$D$23:$D$45)*$E1287,18)</f>
        <v>10.9364029219531</v>
      </c>
      <c r="I1287" s="67" cm="1">
        <f ca="1" t="array" ref="I1287">MIN(30-SUM(J1287:L1287),6-L1287,_xlfn.XLOOKUP($D1287&amp;"_"&amp;I$61,$B$23:$B$45&amp;"_"&amp;$C$23:$C$45,$D$23:$D$45)*$E1287)</f>
        <v>0</v>
      </c>
      <c r="J1287" s="67" cm="1">
        <f ca="1" t="array" ref="J1287">MIN(8,_xlfn.XLOOKUP($D1287&amp;"_"&amp;J$61,$B$23:$B$45&amp;"_"&amp;$C$23:$C$45,$D$23:$D$45)*$E1287)</f>
        <v>8</v>
      </c>
      <c r="K1287" s="67" cm="1">
        <f ca="1" t="array" ref="K1287">MIN(18,_xlfn.XLOOKUP($D1287&amp;"_"&amp;K$61,$B$23:$B$45&amp;"_"&amp;$C$23:$C$45,$D$23:$D$45)*$E1287)</f>
        <v>5.06359707804691</v>
      </c>
      <c r="L1287" s="67" cm="1">
        <f ca="1" t="array" ref="L1287">MIN(6,_xlfn.XLOOKUP($D1287&amp;"_"&amp;L$61,$B$23:$B$45&amp;"_"&amp;$C$23:$C$45,$D$23:$D$45)*$E1287)</f>
        <v>6</v>
      </c>
      <c r="M1287" s="67" cm="1">
        <f ca="1" t="array" ref="M1287">(1+SUMPRODUCT(G1287:H1287,OFFSET($H$49:$I$49,D1287,0)))*(1+OFFSET($J$49,D1287,0))^I1287*(1+OFFSET($K$49,D1287,0))^J1287*(1+OFFSET($L$49,D1287,0))^K1287*(1+OFFSET($M$49,D1287,0))^L1287</f>
        <v>391.198571460578</v>
      </c>
      <c r="N1287" s="67">
        <f ca="1">MAX(MAX($N$62:N1286),OFFSET($C$61,MATCH(M1287*1.07,$M$62:$M$2061,1),0)-C1287)</f>
        <v>50760</v>
      </c>
    </row>
    <row r="1288" spans="2:14">
      <c r="B1288" s="67">
        <v>1227</v>
      </c>
      <c r="C1288" s="67">
        <f t="shared" si="124"/>
        <v>441720</v>
      </c>
      <c r="D1288" s="67">
        <f t="shared" si="127"/>
        <v>5</v>
      </c>
      <c r="E1288" s="67">
        <f ca="1" t="shared" si="128"/>
        <v>1257</v>
      </c>
      <c r="F1288" s="67">
        <f ca="1" t="shared" si="125"/>
        <v>0</v>
      </c>
      <c r="G1288" s="67">
        <f ca="1" t="shared" si="126"/>
        <v>0</v>
      </c>
      <c r="H1288" s="67" cm="1">
        <f ca="1" t="array" ref="H1288">MIN(30-SUM(I1288:L1288),_xlfn.XLOOKUP($D1288&amp;"_"&amp;H$61,$B$23:$B$45&amp;"_"&amp;$C$23:$C$45,$D$23:$D$45)*$E1288,18)</f>
        <v>10.9323713956171</v>
      </c>
      <c r="I1288" s="67" cm="1">
        <f ca="1" t="array" ref="I1288">MIN(30-SUM(J1288:L1288),6-L1288,_xlfn.XLOOKUP($D1288&amp;"_"&amp;I$61,$B$23:$B$45&amp;"_"&amp;$C$23:$C$45,$D$23:$D$45)*$E1288)</f>
        <v>0</v>
      </c>
      <c r="J1288" s="67" cm="1">
        <f ca="1" t="array" ref="J1288">MIN(8,_xlfn.XLOOKUP($D1288&amp;"_"&amp;J$61,$B$23:$B$45&amp;"_"&amp;$C$23:$C$45,$D$23:$D$45)*$E1288)</f>
        <v>8</v>
      </c>
      <c r="K1288" s="67" cm="1">
        <f ca="1" t="array" ref="K1288">MIN(18,_xlfn.XLOOKUP($D1288&amp;"_"&amp;K$61,$B$23:$B$45&amp;"_"&amp;$C$23:$C$45,$D$23:$D$45)*$E1288)</f>
        <v>5.06762860438293</v>
      </c>
      <c r="L1288" s="67" cm="1">
        <f ca="1" t="array" ref="L1288">MIN(6,_xlfn.XLOOKUP($D1288&amp;"_"&amp;L$61,$B$23:$B$45&amp;"_"&amp;$C$23:$C$45,$D$23:$D$45)*$E1288)</f>
        <v>6</v>
      </c>
      <c r="M1288" s="67" cm="1">
        <f ca="1" t="array" ref="M1288">(1+SUMPRODUCT(G1288:H1288,OFFSET($H$49:$I$49,D1288,0)))*(1+OFFSET($J$49,D1288,0))^I1288*(1+OFFSET($K$49,D1288,0))^J1288*(1+OFFSET($L$49,D1288,0))^K1288*(1+OFFSET($M$49,D1288,0))^L1288</f>
        <v>391.387184885826</v>
      </c>
      <c r="N1288" s="67">
        <f ca="1">MAX(MAX($N$62:N1287),OFFSET($C$61,MATCH(M1288*1.07,$M$62:$M$2061,1),0)-C1288)</f>
        <v>50760</v>
      </c>
    </row>
    <row r="1289" spans="2:14">
      <c r="B1289" s="67">
        <v>1228</v>
      </c>
      <c r="C1289" s="67">
        <f t="shared" si="124"/>
        <v>442080</v>
      </c>
      <c r="D1289" s="67">
        <f t="shared" si="127"/>
        <v>5</v>
      </c>
      <c r="E1289" s="67">
        <f ca="1" t="shared" si="128"/>
        <v>1258</v>
      </c>
      <c r="F1289" s="67">
        <f ca="1" t="shared" si="125"/>
        <v>0</v>
      </c>
      <c r="G1289" s="67">
        <f ca="1" t="shared" si="126"/>
        <v>0</v>
      </c>
      <c r="H1289" s="67" cm="1">
        <f ca="1" t="array" ref="H1289">MIN(30-SUM(I1289:L1289),_xlfn.XLOOKUP($D1289&amp;"_"&amp;H$61,$B$23:$B$45&amp;"_"&amp;$C$23:$C$45,$D$23:$D$45)*$E1289,18)</f>
        <v>10.928339869281</v>
      </c>
      <c r="I1289" s="67" cm="1">
        <f ca="1" t="array" ref="I1289">MIN(30-SUM(J1289:L1289),6-L1289,_xlfn.XLOOKUP($D1289&amp;"_"&amp;I$61,$B$23:$B$45&amp;"_"&amp;$C$23:$C$45,$D$23:$D$45)*$E1289)</f>
        <v>0</v>
      </c>
      <c r="J1289" s="67" cm="1">
        <f ca="1" t="array" ref="J1289">MIN(8,_xlfn.XLOOKUP($D1289&amp;"_"&amp;J$61,$B$23:$B$45&amp;"_"&amp;$C$23:$C$45,$D$23:$D$45)*$E1289)</f>
        <v>8</v>
      </c>
      <c r="K1289" s="67" cm="1">
        <f ca="1" t="array" ref="K1289">MIN(18,_xlfn.XLOOKUP($D1289&amp;"_"&amp;K$61,$B$23:$B$45&amp;"_"&amp;$C$23:$C$45,$D$23:$D$45)*$E1289)</f>
        <v>5.07166013071896</v>
      </c>
      <c r="L1289" s="67" cm="1">
        <f ca="1" t="array" ref="L1289">MIN(6,_xlfn.XLOOKUP($D1289&amp;"_"&amp;L$61,$B$23:$B$45&amp;"_"&amp;$C$23:$C$45,$D$23:$D$45)*$E1289)</f>
        <v>6</v>
      </c>
      <c r="M1289" s="67" cm="1">
        <f ca="1" t="array" ref="M1289">(1+SUMPRODUCT(G1289:H1289,OFFSET($H$49:$I$49,D1289,0)))*(1+OFFSET($J$49,D1289,0))^I1289*(1+OFFSET($K$49,D1289,0))^J1289*(1+OFFSET($L$49,D1289,0))^K1289*(1+OFFSET($M$49,D1289,0))^L1289</f>
        <v>391.575864177312</v>
      </c>
      <c r="N1289" s="67">
        <f ca="1">MAX(MAX($N$62:N1288),OFFSET($C$61,MATCH(M1289*1.07,$M$62:$M$2061,1),0)-C1289)</f>
        <v>50760</v>
      </c>
    </row>
    <row r="1290" spans="2:14">
      <c r="B1290" s="67">
        <v>1229</v>
      </c>
      <c r="C1290" s="67">
        <f t="shared" si="124"/>
        <v>442440</v>
      </c>
      <c r="D1290" s="67">
        <f t="shared" si="127"/>
        <v>5</v>
      </c>
      <c r="E1290" s="67">
        <f ca="1" t="shared" si="128"/>
        <v>1259</v>
      </c>
      <c r="F1290" s="67">
        <f ca="1" t="shared" si="125"/>
        <v>0</v>
      </c>
      <c r="G1290" s="67">
        <f ca="1" t="shared" si="126"/>
        <v>0</v>
      </c>
      <c r="H1290" s="67" cm="1">
        <f ca="1" t="array" ref="H1290">MIN(30-SUM(I1290:L1290),_xlfn.XLOOKUP($D1290&amp;"_"&amp;H$61,$B$23:$B$45&amp;"_"&amp;$C$23:$C$45,$D$23:$D$45)*$E1290,18)</f>
        <v>10.924308342945</v>
      </c>
      <c r="I1290" s="67" cm="1">
        <f ca="1" t="array" ref="I1290">MIN(30-SUM(J1290:L1290),6-L1290,_xlfn.XLOOKUP($D1290&amp;"_"&amp;I$61,$B$23:$B$45&amp;"_"&amp;$C$23:$C$45,$D$23:$D$45)*$E1290)</f>
        <v>0</v>
      </c>
      <c r="J1290" s="67" cm="1">
        <f ca="1" t="array" ref="J1290">MIN(8,_xlfn.XLOOKUP($D1290&amp;"_"&amp;J$61,$B$23:$B$45&amp;"_"&amp;$C$23:$C$45,$D$23:$D$45)*$E1290)</f>
        <v>8</v>
      </c>
      <c r="K1290" s="67" cm="1">
        <f ca="1" t="array" ref="K1290">MIN(18,_xlfn.XLOOKUP($D1290&amp;"_"&amp;K$61,$B$23:$B$45&amp;"_"&amp;$C$23:$C$45,$D$23:$D$45)*$E1290)</f>
        <v>5.07569165705498</v>
      </c>
      <c r="L1290" s="67" cm="1">
        <f ca="1" t="array" ref="L1290">MIN(6,_xlfn.XLOOKUP($D1290&amp;"_"&amp;L$61,$B$23:$B$45&amp;"_"&amp;$C$23:$C$45,$D$23:$D$45)*$E1290)</f>
        <v>6</v>
      </c>
      <c r="M1290" s="67" cm="1">
        <f ca="1" t="array" ref="M1290">(1+SUMPRODUCT(G1290:H1290,OFFSET($H$49:$I$49,D1290,0)))*(1+OFFSET($J$49,D1290,0))^I1290*(1+OFFSET($K$49,D1290,0))^J1290*(1+OFFSET($L$49,D1290,0))^K1290*(1+OFFSET($M$49,D1290,0))^L1290</f>
        <v>391.76460932992</v>
      </c>
      <c r="N1290" s="67">
        <f ca="1">MAX(MAX($N$62:N1289),OFFSET($C$61,MATCH(M1290*1.07,$M$62:$M$2061,1),0)-C1290)</f>
        <v>50760</v>
      </c>
    </row>
    <row r="1291" spans="2:14">
      <c r="B1291" s="67">
        <v>1230</v>
      </c>
      <c r="C1291" s="67">
        <f t="shared" si="124"/>
        <v>442800</v>
      </c>
      <c r="D1291" s="67">
        <f t="shared" si="127"/>
        <v>5</v>
      </c>
      <c r="E1291" s="67">
        <f ca="1" t="shared" si="128"/>
        <v>1260</v>
      </c>
      <c r="F1291" s="67">
        <f ca="1" t="shared" si="125"/>
        <v>0</v>
      </c>
      <c r="G1291" s="67">
        <f ca="1" t="shared" si="126"/>
        <v>0</v>
      </c>
      <c r="H1291" s="67" cm="1">
        <f ca="1" t="array" ref="H1291">MIN(30-SUM(I1291:L1291),_xlfn.XLOOKUP($D1291&amp;"_"&amp;H$61,$B$23:$B$45&amp;"_"&amp;$C$23:$C$45,$D$23:$D$45)*$E1291,18)</f>
        <v>10.920276816609</v>
      </c>
      <c r="I1291" s="67" cm="1">
        <f ca="1" t="array" ref="I1291">MIN(30-SUM(J1291:L1291),6-L1291,_xlfn.XLOOKUP($D1291&amp;"_"&amp;I$61,$B$23:$B$45&amp;"_"&amp;$C$23:$C$45,$D$23:$D$45)*$E1291)</f>
        <v>0</v>
      </c>
      <c r="J1291" s="67" cm="1">
        <f ca="1" t="array" ref="J1291">MIN(8,_xlfn.XLOOKUP($D1291&amp;"_"&amp;J$61,$B$23:$B$45&amp;"_"&amp;$C$23:$C$45,$D$23:$D$45)*$E1291)</f>
        <v>8</v>
      </c>
      <c r="K1291" s="67" cm="1">
        <f ca="1" t="array" ref="K1291">MIN(18,_xlfn.XLOOKUP($D1291&amp;"_"&amp;K$61,$B$23:$B$45&amp;"_"&amp;$C$23:$C$45,$D$23:$D$45)*$E1291)</f>
        <v>5.07972318339101</v>
      </c>
      <c r="L1291" s="67" cm="1">
        <f ca="1" t="array" ref="L1291">MIN(6,_xlfn.XLOOKUP($D1291&amp;"_"&amp;L$61,$B$23:$B$45&amp;"_"&amp;$C$23:$C$45,$D$23:$D$45)*$E1291)</f>
        <v>6</v>
      </c>
      <c r="M1291" s="67" cm="1">
        <f ca="1" t="array" ref="M1291">(1+SUMPRODUCT(G1291:H1291,OFFSET($H$49:$I$49,D1291,0)))*(1+OFFSET($J$49,D1291,0))^I1291*(1+OFFSET($K$49,D1291,0))^J1291*(1+OFFSET($L$49,D1291,0))^K1291*(1+OFFSET($M$49,D1291,0))^L1291</f>
        <v>391.953420338493</v>
      </c>
      <c r="N1291" s="67">
        <f ca="1">MAX(MAX($N$62:N1290),OFFSET($C$61,MATCH(M1291*1.07,$M$62:$M$2061,1),0)-C1291)</f>
        <v>50760</v>
      </c>
    </row>
    <row r="1292" spans="2:14">
      <c r="B1292" s="67">
        <v>1231</v>
      </c>
      <c r="C1292" s="67">
        <f t="shared" si="124"/>
        <v>443160</v>
      </c>
      <c r="D1292" s="67">
        <f t="shared" si="127"/>
        <v>5</v>
      </c>
      <c r="E1292" s="67">
        <f ca="1" t="shared" si="128"/>
        <v>1261</v>
      </c>
      <c r="F1292" s="67">
        <f ca="1" t="shared" si="125"/>
        <v>0</v>
      </c>
      <c r="G1292" s="67">
        <f ca="1" t="shared" si="126"/>
        <v>0</v>
      </c>
      <c r="H1292" s="67" cm="1">
        <f ca="1" t="array" ref="H1292">MIN(30-SUM(I1292:L1292),_xlfn.XLOOKUP($D1292&amp;"_"&amp;H$61,$B$23:$B$45&amp;"_"&amp;$C$23:$C$45,$D$23:$D$45)*$E1292,18)</f>
        <v>10.916245290273</v>
      </c>
      <c r="I1292" s="67" cm="1">
        <f ca="1" t="array" ref="I1292">MIN(30-SUM(J1292:L1292),6-L1292,_xlfn.XLOOKUP($D1292&amp;"_"&amp;I$61,$B$23:$B$45&amp;"_"&amp;$C$23:$C$45,$D$23:$D$45)*$E1292)</f>
        <v>0</v>
      </c>
      <c r="J1292" s="67" cm="1">
        <f ca="1" t="array" ref="J1292">MIN(8,_xlfn.XLOOKUP($D1292&amp;"_"&amp;J$61,$B$23:$B$45&amp;"_"&amp;$C$23:$C$45,$D$23:$D$45)*$E1292)</f>
        <v>8</v>
      </c>
      <c r="K1292" s="67" cm="1">
        <f ca="1" t="array" ref="K1292">MIN(18,_xlfn.XLOOKUP($D1292&amp;"_"&amp;K$61,$B$23:$B$45&amp;"_"&amp;$C$23:$C$45,$D$23:$D$45)*$E1292)</f>
        <v>5.08375470972703</v>
      </c>
      <c r="L1292" s="67" cm="1">
        <f ca="1" t="array" ref="L1292">MIN(6,_xlfn.XLOOKUP($D1292&amp;"_"&amp;L$61,$B$23:$B$45&amp;"_"&amp;$C$23:$C$45,$D$23:$D$45)*$E1292)</f>
        <v>6</v>
      </c>
      <c r="M1292" s="67" cm="1">
        <f ca="1" t="array" ref="M1292">(1+SUMPRODUCT(G1292:H1292,OFFSET($H$49:$I$49,D1292,0)))*(1+OFFSET($J$49,D1292,0))^I1292*(1+OFFSET($K$49,D1292,0))^J1292*(1+OFFSET($L$49,D1292,0))^K1292*(1+OFFSET($M$49,D1292,0))^L1292</f>
        <v>392.14229719783</v>
      </c>
      <c r="N1292" s="67">
        <f ca="1">MAX(MAX($N$62:N1291),OFFSET($C$61,MATCH(M1292*1.07,$M$62:$M$2061,1),0)-C1292)</f>
        <v>50760</v>
      </c>
    </row>
    <row r="1293" spans="2:14">
      <c r="B1293" s="67">
        <v>1232</v>
      </c>
      <c r="C1293" s="67">
        <f t="shared" si="124"/>
        <v>443520</v>
      </c>
      <c r="D1293" s="67">
        <f t="shared" si="127"/>
        <v>5</v>
      </c>
      <c r="E1293" s="67">
        <f ca="1" t="shared" si="128"/>
        <v>1262</v>
      </c>
      <c r="F1293" s="67">
        <f ca="1" t="shared" si="125"/>
        <v>0</v>
      </c>
      <c r="G1293" s="67">
        <f ca="1" t="shared" si="126"/>
        <v>0</v>
      </c>
      <c r="H1293" s="67" cm="1">
        <f ca="1" t="array" ref="H1293">MIN(30-SUM(I1293:L1293),_xlfn.XLOOKUP($D1293&amp;"_"&amp;H$61,$B$23:$B$45&amp;"_"&amp;$C$23:$C$45,$D$23:$D$45)*$E1293,18)</f>
        <v>10.9122137639369</v>
      </c>
      <c r="I1293" s="67" cm="1">
        <f ca="1" t="array" ref="I1293">MIN(30-SUM(J1293:L1293),6-L1293,_xlfn.XLOOKUP($D1293&amp;"_"&amp;I$61,$B$23:$B$45&amp;"_"&amp;$C$23:$C$45,$D$23:$D$45)*$E1293)</f>
        <v>0</v>
      </c>
      <c r="J1293" s="67" cm="1">
        <f ca="1" t="array" ref="J1293">MIN(8,_xlfn.XLOOKUP($D1293&amp;"_"&amp;J$61,$B$23:$B$45&amp;"_"&amp;$C$23:$C$45,$D$23:$D$45)*$E1293)</f>
        <v>8</v>
      </c>
      <c r="K1293" s="67" cm="1">
        <f ca="1" t="array" ref="K1293">MIN(18,_xlfn.XLOOKUP($D1293&amp;"_"&amp;K$61,$B$23:$B$45&amp;"_"&amp;$C$23:$C$45,$D$23:$D$45)*$E1293)</f>
        <v>5.08778623606306</v>
      </c>
      <c r="L1293" s="67" cm="1">
        <f ca="1" t="array" ref="L1293">MIN(6,_xlfn.XLOOKUP($D1293&amp;"_"&amp;L$61,$B$23:$B$45&amp;"_"&amp;$C$23:$C$45,$D$23:$D$45)*$E1293)</f>
        <v>6</v>
      </c>
      <c r="M1293" s="67" cm="1">
        <f ca="1" t="array" ref="M1293">(1+SUMPRODUCT(G1293:H1293,OFFSET($H$49:$I$49,D1293,0)))*(1+OFFSET($J$49,D1293,0))^I1293*(1+OFFSET($K$49,D1293,0))^J1293*(1+OFFSET($L$49,D1293,0))^K1293*(1+OFFSET($M$49,D1293,0))^L1293</f>
        <v>392.331239902686</v>
      </c>
      <c r="N1293" s="67">
        <f ca="1">MAX(MAX($N$62:N1292),OFFSET($C$61,MATCH(M1293*1.07,$M$62:$M$2061,1),0)-C1293)</f>
        <v>50760</v>
      </c>
    </row>
    <row r="1294" spans="2:14">
      <c r="B1294" s="67">
        <v>1233</v>
      </c>
      <c r="C1294" s="67">
        <f t="shared" si="124"/>
        <v>443880</v>
      </c>
      <c r="D1294" s="67">
        <f t="shared" si="127"/>
        <v>5</v>
      </c>
      <c r="E1294" s="67">
        <f ca="1" t="shared" si="128"/>
        <v>1263</v>
      </c>
      <c r="F1294" s="67">
        <f ca="1" t="shared" si="125"/>
        <v>0</v>
      </c>
      <c r="G1294" s="67">
        <f ca="1" t="shared" si="126"/>
        <v>0</v>
      </c>
      <c r="H1294" s="67" cm="1">
        <f ca="1" t="array" ref="H1294">MIN(30-SUM(I1294:L1294),_xlfn.XLOOKUP($D1294&amp;"_"&amp;H$61,$B$23:$B$45&amp;"_"&amp;$C$23:$C$45,$D$23:$D$45)*$E1294,18)</f>
        <v>10.9081822376009</v>
      </c>
      <c r="I1294" s="67" cm="1">
        <f ca="1" t="array" ref="I1294">MIN(30-SUM(J1294:L1294),6-L1294,_xlfn.XLOOKUP($D1294&amp;"_"&amp;I$61,$B$23:$B$45&amp;"_"&amp;$C$23:$C$45,$D$23:$D$45)*$E1294)</f>
        <v>0</v>
      </c>
      <c r="J1294" s="67" cm="1">
        <f ca="1" t="array" ref="J1294">MIN(8,_xlfn.XLOOKUP($D1294&amp;"_"&amp;J$61,$B$23:$B$45&amp;"_"&amp;$C$23:$C$45,$D$23:$D$45)*$E1294)</f>
        <v>8</v>
      </c>
      <c r="K1294" s="67" cm="1">
        <f ca="1" t="array" ref="K1294">MIN(18,_xlfn.XLOOKUP($D1294&amp;"_"&amp;K$61,$B$23:$B$45&amp;"_"&amp;$C$23:$C$45,$D$23:$D$45)*$E1294)</f>
        <v>5.09181776239908</v>
      </c>
      <c r="L1294" s="67" cm="1">
        <f ca="1" t="array" ref="L1294">MIN(6,_xlfn.XLOOKUP($D1294&amp;"_"&amp;L$61,$B$23:$B$45&amp;"_"&amp;$C$23:$C$45,$D$23:$D$45)*$E1294)</f>
        <v>6</v>
      </c>
      <c r="M1294" s="67" cm="1">
        <f ca="1" t="array" ref="M1294">(1+SUMPRODUCT(G1294:H1294,OFFSET($H$49:$I$49,D1294,0)))*(1+OFFSET($J$49,D1294,0))^I1294*(1+OFFSET($K$49,D1294,0))^J1294*(1+OFFSET($L$49,D1294,0))^K1294*(1+OFFSET($M$49,D1294,0))^L1294</f>
        <v>392.520248447775</v>
      </c>
      <c r="N1294" s="67">
        <f ca="1">MAX(MAX($N$62:N1293),OFFSET($C$61,MATCH(M1294*1.07,$M$62:$M$2061,1),0)-C1294)</f>
        <v>50760</v>
      </c>
    </row>
    <row r="1295" spans="2:14">
      <c r="B1295" s="67">
        <v>1234</v>
      </c>
      <c r="C1295" s="67">
        <f t="shared" si="124"/>
        <v>444240</v>
      </c>
      <c r="D1295" s="67">
        <f t="shared" si="127"/>
        <v>5</v>
      </c>
      <c r="E1295" s="67">
        <f ca="1" t="shared" si="128"/>
        <v>1264</v>
      </c>
      <c r="F1295" s="67">
        <f ca="1" t="shared" si="125"/>
        <v>0</v>
      </c>
      <c r="G1295" s="67">
        <f ca="1" t="shared" si="126"/>
        <v>0</v>
      </c>
      <c r="H1295" s="67" cm="1">
        <f ca="1" t="array" ref="H1295">MIN(30-SUM(I1295:L1295),_xlfn.XLOOKUP($D1295&amp;"_"&amp;H$61,$B$23:$B$45&amp;"_"&amp;$C$23:$C$45,$D$23:$D$45)*$E1295,18)</f>
        <v>10.9041507112649</v>
      </c>
      <c r="I1295" s="67" cm="1">
        <f ca="1" t="array" ref="I1295">MIN(30-SUM(J1295:L1295),6-L1295,_xlfn.XLOOKUP($D1295&amp;"_"&amp;I$61,$B$23:$B$45&amp;"_"&amp;$C$23:$C$45,$D$23:$D$45)*$E1295)</f>
        <v>0</v>
      </c>
      <c r="J1295" s="67" cm="1">
        <f ca="1" t="array" ref="J1295">MIN(8,_xlfn.XLOOKUP($D1295&amp;"_"&amp;J$61,$B$23:$B$45&amp;"_"&amp;$C$23:$C$45,$D$23:$D$45)*$E1295)</f>
        <v>8</v>
      </c>
      <c r="K1295" s="67" cm="1">
        <f ca="1" t="array" ref="K1295">MIN(18,_xlfn.XLOOKUP($D1295&amp;"_"&amp;K$61,$B$23:$B$45&amp;"_"&amp;$C$23:$C$45,$D$23:$D$45)*$E1295)</f>
        <v>5.09584928873511</v>
      </c>
      <c r="L1295" s="67" cm="1">
        <f ca="1" t="array" ref="L1295">MIN(6,_xlfn.XLOOKUP($D1295&amp;"_"&amp;L$61,$B$23:$B$45&amp;"_"&amp;$C$23:$C$45,$D$23:$D$45)*$E1295)</f>
        <v>6</v>
      </c>
      <c r="M1295" s="67" cm="1">
        <f ca="1" t="array" ref="M1295">(1+SUMPRODUCT(G1295:H1295,OFFSET($H$49:$I$49,D1295,0)))*(1+OFFSET($J$49,D1295,0))^I1295*(1+OFFSET($K$49,D1295,0))^J1295*(1+OFFSET($L$49,D1295,0))^K1295*(1+OFFSET($M$49,D1295,0))^L1295</f>
        <v>392.709322827765</v>
      </c>
      <c r="N1295" s="67">
        <f ca="1">MAX(MAX($N$62:N1294),OFFSET($C$61,MATCH(M1295*1.07,$M$62:$M$2061,1),0)-C1295)</f>
        <v>50760</v>
      </c>
    </row>
    <row r="1296" spans="2:14">
      <c r="B1296" s="67">
        <v>1235</v>
      </c>
      <c r="C1296" s="67">
        <f t="shared" si="124"/>
        <v>444600</v>
      </c>
      <c r="D1296" s="67">
        <f t="shared" si="127"/>
        <v>5</v>
      </c>
      <c r="E1296" s="67">
        <f ca="1" t="shared" si="128"/>
        <v>1265</v>
      </c>
      <c r="F1296" s="67">
        <f ca="1" t="shared" si="125"/>
        <v>0</v>
      </c>
      <c r="G1296" s="67">
        <f ca="1" t="shared" si="126"/>
        <v>0</v>
      </c>
      <c r="H1296" s="67" cm="1">
        <f ca="1" t="array" ref="H1296">MIN(30-SUM(I1296:L1296),_xlfn.XLOOKUP($D1296&amp;"_"&amp;H$61,$B$23:$B$45&amp;"_"&amp;$C$23:$C$45,$D$23:$D$45)*$E1296,18)</f>
        <v>10.9001191849289</v>
      </c>
      <c r="I1296" s="67" cm="1">
        <f ca="1" t="array" ref="I1296">MIN(30-SUM(J1296:L1296),6-L1296,_xlfn.XLOOKUP($D1296&amp;"_"&amp;I$61,$B$23:$B$45&amp;"_"&amp;$C$23:$C$45,$D$23:$D$45)*$E1296)</f>
        <v>0</v>
      </c>
      <c r="J1296" s="67" cm="1">
        <f ca="1" t="array" ref="J1296">MIN(8,_xlfn.XLOOKUP($D1296&amp;"_"&amp;J$61,$B$23:$B$45&amp;"_"&amp;$C$23:$C$45,$D$23:$D$45)*$E1296)</f>
        <v>8</v>
      </c>
      <c r="K1296" s="67" cm="1">
        <f ca="1" t="array" ref="K1296">MIN(18,_xlfn.XLOOKUP($D1296&amp;"_"&amp;K$61,$B$23:$B$45&amp;"_"&amp;$C$23:$C$45,$D$23:$D$45)*$E1296)</f>
        <v>5.09988081507113</v>
      </c>
      <c r="L1296" s="67" cm="1">
        <f ca="1" t="array" ref="L1296">MIN(6,_xlfn.XLOOKUP($D1296&amp;"_"&amp;L$61,$B$23:$B$45&amp;"_"&amp;$C$23:$C$45,$D$23:$D$45)*$E1296)</f>
        <v>6</v>
      </c>
      <c r="M1296" s="67" cm="1">
        <f ca="1" t="array" ref="M1296">(1+SUMPRODUCT(G1296:H1296,OFFSET($H$49:$I$49,D1296,0)))*(1+OFFSET($J$49,D1296,0))^I1296*(1+OFFSET($K$49,D1296,0))^J1296*(1+OFFSET($L$49,D1296,0))^K1296*(1+OFFSET($M$49,D1296,0))^L1296</f>
        <v>392.898463037282</v>
      </c>
      <c r="N1296" s="67">
        <f ca="1">MAX(MAX($N$62:N1295),OFFSET($C$61,MATCH(M1296*1.07,$M$62:$M$2061,1),0)-C1296)</f>
        <v>50760</v>
      </c>
    </row>
    <row r="1297" spans="2:14">
      <c r="B1297" s="67">
        <v>1236</v>
      </c>
      <c r="C1297" s="67">
        <f t="shared" si="124"/>
        <v>444960</v>
      </c>
      <c r="D1297" s="67">
        <f t="shared" si="127"/>
        <v>5</v>
      </c>
      <c r="E1297" s="67">
        <f ca="1" t="shared" si="128"/>
        <v>1266</v>
      </c>
      <c r="F1297" s="67">
        <f ca="1" t="shared" si="125"/>
        <v>0</v>
      </c>
      <c r="G1297" s="67">
        <f ca="1" t="shared" si="126"/>
        <v>0</v>
      </c>
      <c r="H1297" s="67" cm="1">
        <f ca="1" t="array" ref="H1297">MIN(30-SUM(I1297:L1297),_xlfn.XLOOKUP($D1297&amp;"_"&amp;H$61,$B$23:$B$45&amp;"_"&amp;$C$23:$C$45,$D$23:$D$45)*$E1297,18)</f>
        <v>10.8960876585928</v>
      </c>
      <c r="I1297" s="67" cm="1">
        <f ca="1" t="array" ref="I1297">MIN(30-SUM(J1297:L1297),6-L1297,_xlfn.XLOOKUP($D1297&amp;"_"&amp;I$61,$B$23:$B$45&amp;"_"&amp;$C$23:$C$45,$D$23:$D$45)*$E1297)</f>
        <v>0</v>
      </c>
      <c r="J1297" s="67" cm="1">
        <f ca="1" t="array" ref="J1297">MIN(8,_xlfn.XLOOKUP($D1297&amp;"_"&amp;J$61,$B$23:$B$45&amp;"_"&amp;$C$23:$C$45,$D$23:$D$45)*$E1297)</f>
        <v>8</v>
      </c>
      <c r="K1297" s="67" cm="1">
        <f ca="1" t="array" ref="K1297">MIN(18,_xlfn.XLOOKUP($D1297&amp;"_"&amp;K$61,$B$23:$B$45&amp;"_"&amp;$C$23:$C$45,$D$23:$D$45)*$E1297)</f>
        <v>5.10391234140716</v>
      </c>
      <c r="L1297" s="67" cm="1">
        <f ca="1" t="array" ref="L1297">MIN(6,_xlfn.XLOOKUP($D1297&amp;"_"&amp;L$61,$B$23:$B$45&amp;"_"&amp;$C$23:$C$45,$D$23:$D$45)*$E1297)</f>
        <v>6</v>
      </c>
      <c r="M1297" s="67" cm="1">
        <f ca="1" t="array" ref="M1297">(1+SUMPRODUCT(G1297:H1297,OFFSET($H$49:$I$49,D1297,0)))*(1+OFFSET($J$49,D1297,0))^I1297*(1+OFFSET($K$49,D1297,0))^J1297*(1+OFFSET($L$49,D1297,0))^K1297*(1+OFFSET($M$49,D1297,0))^L1297</f>
        <v>393.087669070907</v>
      </c>
      <c r="N1297" s="67">
        <f ca="1">MAX(MAX($N$62:N1296),OFFSET($C$61,MATCH(M1297*1.07,$M$62:$M$2061,1),0)-C1297)</f>
        <v>50760</v>
      </c>
    </row>
    <row r="1298" spans="2:14">
      <c r="B1298" s="67">
        <v>1237</v>
      </c>
      <c r="C1298" s="67">
        <f t="shared" si="124"/>
        <v>445320</v>
      </c>
      <c r="D1298" s="67">
        <f t="shared" si="127"/>
        <v>5</v>
      </c>
      <c r="E1298" s="67">
        <f ca="1" t="shared" si="128"/>
        <v>1267</v>
      </c>
      <c r="F1298" s="67">
        <f ca="1" t="shared" si="125"/>
        <v>0</v>
      </c>
      <c r="G1298" s="67">
        <f ca="1" t="shared" si="126"/>
        <v>0</v>
      </c>
      <c r="H1298" s="67" cm="1">
        <f ca="1" t="array" ref="H1298">MIN(30-SUM(I1298:L1298),_xlfn.XLOOKUP($D1298&amp;"_"&amp;H$61,$B$23:$B$45&amp;"_"&amp;$C$23:$C$45,$D$23:$D$45)*$E1298,18)</f>
        <v>10.8920561322568</v>
      </c>
      <c r="I1298" s="67" cm="1">
        <f ca="1" t="array" ref="I1298">MIN(30-SUM(J1298:L1298),6-L1298,_xlfn.XLOOKUP($D1298&amp;"_"&amp;I$61,$B$23:$B$45&amp;"_"&amp;$C$23:$C$45,$D$23:$D$45)*$E1298)</f>
        <v>0</v>
      </c>
      <c r="J1298" s="67" cm="1">
        <f ca="1" t="array" ref="J1298">MIN(8,_xlfn.XLOOKUP($D1298&amp;"_"&amp;J$61,$B$23:$B$45&amp;"_"&amp;$C$23:$C$45,$D$23:$D$45)*$E1298)</f>
        <v>8</v>
      </c>
      <c r="K1298" s="67" cm="1">
        <f ca="1" t="array" ref="K1298">MIN(18,_xlfn.XLOOKUP($D1298&amp;"_"&amp;K$61,$B$23:$B$45&amp;"_"&amp;$C$23:$C$45,$D$23:$D$45)*$E1298)</f>
        <v>5.10794386774318</v>
      </c>
      <c r="L1298" s="67" cm="1">
        <f ca="1" t="array" ref="L1298">MIN(6,_xlfn.XLOOKUP($D1298&amp;"_"&amp;L$61,$B$23:$B$45&amp;"_"&amp;$C$23:$C$45,$D$23:$D$45)*$E1298)</f>
        <v>6</v>
      </c>
      <c r="M1298" s="67" cm="1">
        <f ca="1" t="array" ref="M1298">(1+SUMPRODUCT(G1298:H1298,OFFSET($H$49:$I$49,D1298,0)))*(1+OFFSET($J$49,D1298,0))^I1298*(1+OFFSET($K$49,D1298,0))^J1298*(1+OFFSET($L$49,D1298,0))^K1298*(1+OFFSET($M$49,D1298,0))^L1298</f>
        <v>393.276940923181</v>
      </c>
      <c r="N1298" s="67">
        <f ca="1">MAX(MAX($N$62:N1297),OFFSET($C$61,MATCH(M1298*1.07,$M$62:$M$2061,1),0)-C1298)</f>
        <v>50760</v>
      </c>
    </row>
    <row r="1299" spans="2:14">
      <c r="B1299" s="67">
        <v>1238</v>
      </c>
      <c r="C1299" s="67">
        <f t="shared" si="124"/>
        <v>445680</v>
      </c>
      <c r="D1299" s="67">
        <f t="shared" si="127"/>
        <v>5</v>
      </c>
      <c r="E1299" s="67">
        <f ca="1" t="shared" si="128"/>
        <v>1268</v>
      </c>
      <c r="F1299" s="67">
        <f ca="1" t="shared" si="125"/>
        <v>0</v>
      </c>
      <c r="G1299" s="67">
        <f ca="1" t="shared" si="126"/>
        <v>0</v>
      </c>
      <c r="H1299" s="67" cm="1">
        <f ca="1" t="array" ref="H1299">MIN(30-SUM(I1299:L1299),_xlfn.XLOOKUP($D1299&amp;"_"&amp;H$61,$B$23:$B$45&amp;"_"&amp;$C$23:$C$45,$D$23:$D$45)*$E1299,18)</f>
        <v>10.8880246059208</v>
      </c>
      <c r="I1299" s="67" cm="1">
        <f ca="1" t="array" ref="I1299">MIN(30-SUM(J1299:L1299),6-L1299,_xlfn.XLOOKUP($D1299&amp;"_"&amp;I$61,$B$23:$B$45&amp;"_"&amp;$C$23:$C$45,$D$23:$D$45)*$E1299)</f>
        <v>0</v>
      </c>
      <c r="J1299" s="67" cm="1">
        <f ca="1" t="array" ref="J1299">MIN(8,_xlfn.XLOOKUP($D1299&amp;"_"&amp;J$61,$B$23:$B$45&amp;"_"&amp;$C$23:$C$45,$D$23:$D$45)*$E1299)</f>
        <v>8</v>
      </c>
      <c r="K1299" s="67" cm="1">
        <f ca="1" t="array" ref="K1299">MIN(18,_xlfn.XLOOKUP($D1299&amp;"_"&amp;K$61,$B$23:$B$45&amp;"_"&amp;$C$23:$C$45,$D$23:$D$45)*$E1299)</f>
        <v>5.1119753940792</v>
      </c>
      <c r="L1299" s="67" cm="1">
        <f ca="1" t="array" ref="L1299">MIN(6,_xlfn.XLOOKUP($D1299&amp;"_"&amp;L$61,$B$23:$B$45&amp;"_"&amp;$C$23:$C$45,$D$23:$D$45)*$E1299)</f>
        <v>6</v>
      </c>
      <c r="M1299" s="67" cm="1">
        <f ca="1" t="array" ref="M1299">(1+SUMPRODUCT(G1299:H1299,OFFSET($H$49:$I$49,D1299,0)))*(1+OFFSET($J$49,D1299,0))^I1299*(1+OFFSET($K$49,D1299,0))^J1299*(1+OFFSET($L$49,D1299,0))^K1299*(1+OFFSET($M$49,D1299,0))^L1299</f>
        <v>393.466278588597</v>
      </c>
      <c r="N1299" s="67">
        <f ca="1">MAX(MAX($N$62:N1298),OFFSET($C$61,MATCH(M1299*1.07,$M$62:$M$2061,1),0)-C1299)</f>
        <v>50760</v>
      </c>
    </row>
    <row r="1300" spans="2:14">
      <c r="B1300" s="67">
        <v>1239</v>
      </c>
      <c r="C1300" s="67">
        <f t="shared" si="124"/>
        <v>446040</v>
      </c>
      <c r="D1300" s="67">
        <f t="shared" si="127"/>
        <v>5</v>
      </c>
      <c r="E1300" s="67">
        <f ca="1" t="shared" si="128"/>
        <v>1269</v>
      </c>
      <c r="F1300" s="67">
        <f ca="1" t="shared" si="125"/>
        <v>0</v>
      </c>
      <c r="G1300" s="67">
        <f ca="1" t="shared" si="126"/>
        <v>0</v>
      </c>
      <c r="H1300" s="67" cm="1">
        <f ca="1" t="array" ref="H1300">MIN(30-SUM(I1300:L1300),_xlfn.XLOOKUP($D1300&amp;"_"&amp;H$61,$B$23:$B$45&amp;"_"&amp;$C$23:$C$45,$D$23:$D$45)*$E1300,18)</f>
        <v>10.8839930795848</v>
      </c>
      <c r="I1300" s="67" cm="1">
        <f ca="1" t="array" ref="I1300">MIN(30-SUM(J1300:L1300),6-L1300,_xlfn.XLOOKUP($D1300&amp;"_"&amp;I$61,$B$23:$B$45&amp;"_"&amp;$C$23:$C$45,$D$23:$D$45)*$E1300)</f>
        <v>0</v>
      </c>
      <c r="J1300" s="67" cm="1">
        <f ca="1" t="array" ref="J1300">MIN(8,_xlfn.XLOOKUP($D1300&amp;"_"&amp;J$61,$B$23:$B$45&amp;"_"&amp;$C$23:$C$45,$D$23:$D$45)*$E1300)</f>
        <v>8</v>
      </c>
      <c r="K1300" s="67" cm="1">
        <f ca="1" t="array" ref="K1300">MIN(18,_xlfn.XLOOKUP($D1300&amp;"_"&amp;K$61,$B$23:$B$45&amp;"_"&amp;$C$23:$C$45,$D$23:$D$45)*$E1300)</f>
        <v>5.11600692041523</v>
      </c>
      <c r="L1300" s="67" cm="1">
        <f ca="1" t="array" ref="L1300">MIN(6,_xlfn.XLOOKUP($D1300&amp;"_"&amp;L$61,$B$23:$B$45&amp;"_"&amp;$C$23:$C$45,$D$23:$D$45)*$E1300)</f>
        <v>6</v>
      </c>
      <c r="M1300" s="67" cm="1">
        <f ca="1" t="array" ref="M1300">(1+SUMPRODUCT(G1300:H1300,OFFSET($H$49:$I$49,D1300,0)))*(1+OFFSET($J$49,D1300,0))^I1300*(1+OFFSET($K$49,D1300,0))^J1300*(1+OFFSET($L$49,D1300,0))^K1300*(1+OFFSET($M$49,D1300,0))^L1300</f>
        <v>393.655682061606</v>
      </c>
      <c r="N1300" s="67">
        <f ca="1">MAX(MAX($N$62:N1299),OFFSET($C$61,MATCH(M1300*1.07,$M$62:$M$2061,1),0)-C1300)</f>
        <v>50760</v>
      </c>
    </row>
    <row r="1301" spans="2:14">
      <c r="B1301" s="67">
        <v>1240</v>
      </c>
      <c r="C1301" s="67">
        <f t="shared" si="124"/>
        <v>446400</v>
      </c>
      <c r="D1301" s="67">
        <f t="shared" si="127"/>
        <v>5</v>
      </c>
      <c r="E1301" s="67">
        <f ca="1" t="shared" si="128"/>
        <v>1270</v>
      </c>
      <c r="F1301" s="67">
        <f ca="1" t="shared" si="125"/>
        <v>0</v>
      </c>
      <c r="G1301" s="67">
        <f ca="1" t="shared" si="126"/>
        <v>0</v>
      </c>
      <c r="H1301" s="67" cm="1">
        <f ca="1" t="array" ref="H1301">MIN(30-SUM(I1301:L1301),_xlfn.XLOOKUP($D1301&amp;"_"&amp;H$61,$B$23:$B$45&amp;"_"&amp;$C$23:$C$45,$D$23:$D$45)*$E1301,18)</f>
        <v>10.8799615532487</v>
      </c>
      <c r="I1301" s="67" cm="1">
        <f ca="1" t="array" ref="I1301">MIN(30-SUM(J1301:L1301),6-L1301,_xlfn.XLOOKUP($D1301&amp;"_"&amp;I$61,$B$23:$B$45&amp;"_"&amp;$C$23:$C$45,$D$23:$D$45)*$E1301)</f>
        <v>0</v>
      </c>
      <c r="J1301" s="67" cm="1">
        <f ca="1" t="array" ref="J1301">MIN(8,_xlfn.XLOOKUP($D1301&amp;"_"&amp;J$61,$B$23:$B$45&amp;"_"&amp;$C$23:$C$45,$D$23:$D$45)*$E1301)</f>
        <v>8</v>
      </c>
      <c r="K1301" s="67" cm="1">
        <f ca="1" t="array" ref="K1301">MIN(18,_xlfn.XLOOKUP($D1301&amp;"_"&amp;K$61,$B$23:$B$45&amp;"_"&amp;$C$23:$C$45,$D$23:$D$45)*$E1301)</f>
        <v>5.12003844675125</v>
      </c>
      <c r="L1301" s="67" cm="1">
        <f ca="1" t="array" ref="L1301">MIN(6,_xlfn.XLOOKUP($D1301&amp;"_"&amp;L$61,$B$23:$B$45&amp;"_"&amp;$C$23:$C$45,$D$23:$D$45)*$E1301)</f>
        <v>6</v>
      </c>
      <c r="M1301" s="67" cm="1">
        <f ca="1" t="array" ref="M1301">(1+SUMPRODUCT(G1301:H1301,OFFSET($H$49:$I$49,D1301,0)))*(1+OFFSET($J$49,D1301,0))^I1301*(1+OFFSET($K$49,D1301,0))^J1301*(1+OFFSET($L$49,D1301,0))^K1301*(1+OFFSET($M$49,D1301,0))^L1301</f>
        <v>393.845151336618</v>
      </c>
      <c r="N1301" s="67">
        <f ca="1">MAX(MAX($N$62:N1300),OFFSET($C$61,MATCH(M1301*1.07,$M$62:$M$2061,1),0)-C1301)</f>
        <v>50760</v>
      </c>
    </row>
    <row r="1302" spans="2:14">
      <c r="B1302" s="67">
        <v>1241</v>
      </c>
      <c r="C1302" s="67">
        <f t="shared" si="124"/>
        <v>446760</v>
      </c>
      <c r="D1302" s="67">
        <f t="shared" si="127"/>
        <v>5</v>
      </c>
      <c r="E1302" s="67">
        <f ca="1" t="shared" si="128"/>
        <v>1271</v>
      </c>
      <c r="F1302" s="67">
        <f ca="1" t="shared" si="125"/>
        <v>0</v>
      </c>
      <c r="G1302" s="67">
        <f ca="1" t="shared" si="126"/>
        <v>0</v>
      </c>
      <c r="H1302" s="67" cm="1">
        <f ca="1" t="array" ref="H1302">MIN(30-SUM(I1302:L1302),_xlfn.XLOOKUP($D1302&amp;"_"&amp;H$61,$B$23:$B$45&amp;"_"&amp;$C$23:$C$45,$D$23:$D$45)*$E1302,18)</f>
        <v>10.8759300269127</v>
      </c>
      <c r="I1302" s="67" cm="1">
        <f ca="1" t="array" ref="I1302">MIN(30-SUM(J1302:L1302),6-L1302,_xlfn.XLOOKUP($D1302&amp;"_"&amp;I$61,$B$23:$B$45&amp;"_"&amp;$C$23:$C$45,$D$23:$D$45)*$E1302)</f>
        <v>0</v>
      </c>
      <c r="J1302" s="67" cm="1">
        <f ca="1" t="array" ref="J1302">MIN(8,_xlfn.XLOOKUP($D1302&amp;"_"&amp;J$61,$B$23:$B$45&amp;"_"&amp;$C$23:$C$45,$D$23:$D$45)*$E1302)</f>
        <v>8</v>
      </c>
      <c r="K1302" s="67" cm="1">
        <f ca="1" t="array" ref="K1302">MIN(18,_xlfn.XLOOKUP($D1302&amp;"_"&amp;K$61,$B$23:$B$45&amp;"_"&amp;$C$23:$C$45,$D$23:$D$45)*$E1302)</f>
        <v>5.12406997308728</v>
      </c>
      <c r="L1302" s="67" cm="1">
        <f ca="1" t="array" ref="L1302">MIN(6,_xlfn.XLOOKUP($D1302&amp;"_"&amp;L$61,$B$23:$B$45&amp;"_"&amp;$C$23:$C$45,$D$23:$D$45)*$E1302)</f>
        <v>6</v>
      </c>
      <c r="M1302" s="67" cm="1">
        <f ca="1" t="array" ref="M1302">(1+SUMPRODUCT(G1302:H1302,OFFSET($H$49:$I$49,D1302,0)))*(1+OFFSET($J$49,D1302,0))^I1302*(1+OFFSET($K$49,D1302,0))^J1302*(1+OFFSET($L$49,D1302,0))^K1302*(1+OFFSET($M$49,D1302,0))^L1302</f>
        <v>394.034686407994</v>
      </c>
      <c r="N1302" s="67">
        <f ca="1">MAX(MAX($N$62:N1301),OFFSET($C$61,MATCH(M1302*1.07,$M$62:$M$2061,1),0)-C1302)</f>
        <v>51120</v>
      </c>
    </row>
    <row r="1303" spans="2:14">
      <c r="B1303" s="67">
        <v>1242</v>
      </c>
      <c r="C1303" s="67">
        <f t="shared" si="124"/>
        <v>447120</v>
      </c>
      <c r="D1303" s="67">
        <f t="shared" si="127"/>
        <v>5</v>
      </c>
      <c r="E1303" s="67">
        <f ca="1" t="shared" si="128"/>
        <v>1272</v>
      </c>
      <c r="F1303" s="67">
        <f ca="1" t="shared" si="125"/>
        <v>0</v>
      </c>
      <c r="G1303" s="67">
        <f ca="1" t="shared" si="126"/>
        <v>0</v>
      </c>
      <c r="H1303" s="67" cm="1">
        <f ca="1" t="array" ref="H1303">MIN(30-SUM(I1303:L1303),_xlfn.XLOOKUP($D1303&amp;"_"&amp;H$61,$B$23:$B$45&amp;"_"&amp;$C$23:$C$45,$D$23:$D$45)*$E1303,18)</f>
        <v>10.8718985005767</v>
      </c>
      <c r="I1303" s="67" cm="1">
        <f ca="1" t="array" ref="I1303">MIN(30-SUM(J1303:L1303),6-L1303,_xlfn.XLOOKUP($D1303&amp;"_"&amp;I$61,$B$23:$B$45&amp;"_"&amp;$C$23:$C$45,$D$23:$D$45)*$E1303)</f>
        <v>0</v>
      </c>
      <c r="J1303" s="67" cm="1">
        <f ca="1" t="array" ref="J1303">MIN(8,_xlfn.XLOOKUP($D1303&amp;"_"&amp;J$61,$B$23:$B$45&amp;"_"&amp;$C$23:$C$45,$D$23:$D$45)*$E1303)</f>
        <v>8</v>
      </c>
      <c r="K1303" s="67" cm="1">
        <f ca="1" t="array" ref="K1303">MIN(18,_xlfn.XLOOKUP($D1303&amp;"_"&amp;K$61,$B$23:$B$45&amp;"_"&amp;$C$23:$C$45,$D$23:$D$45)*$E1303)</f>
        <v>5.1281014994233</v>
      </c>
      <c r="L1303" s="67" cm="1">
        <f ca="1" t="array" ref="L1303">MIN(6,_xlfn.XLOOKUP($D1303&amp;"_"&amp;L$61,$B$23:$B$45&amp;"_"&amp;$C$23:$C$45,$D$23:$D$45)*$E1303)</f>
        <v>6</v>
      </c>
      <c r="M1303" s="67" cm="1">
        <f ca="1" t="array" ref="M1303">(1+SUMPRODUCT(G1303:H1303,OFFSET($H$49:$I$49,D1303,0)))*(1+OFFSET($J$49,D1303,0))^I1303*(1+OFFSET($K$49,D1303,0))^J1303*(1+OFFSET($L$49,D1303,0))^K1303*(1+OFFSET($M$49,D1303,0))^L1303</f>
        <v>394.224287270056</v>
      </c>
      <c r="N1303" s="67">
        <f ca="1">MAX(MAX($N$62:N1302),OFFSET($C$61,MATCH(M1303*1.07,$M$62:$M$2061,1),0)-C1303)</f>
        <v>51120</v>
      </c>
    </row>
    <row r="1304" spans="2:14">
      <c r="B1304" s="67">
        <v>1243</v>
      </c>
      <c r="C1304" s="67">
        <f t="shared" si="124"/>
        <v>447480</v>
      </c>
      <c r="D1304" s="67">
        <f t="shared" si="127"/>
        <v>5</v>
      </c>
      <c r="E1304" s="67">
        <f ca="1" t="shared" si="128"/>
        <v>1273</v>
      </c>
      <c r="F1304" s="67">
        <f ca="1" t="shared" si="125"/>
        <v>0</v>
      </c>
      <c r="G1304" s="67">
        <f ca="1" t="shared" si="126"/>
        <v>0</v>
      </c>
      <c r="H1304" s="67" cm="1">
        <f ca="1" t="array" ref="H1304">MIN(30-SUM(I1304:L1304),_xlfn.XLOOKUP($D1304&amp;"_"&amp;H$61,$B$23:$B$45&amp;"_"&amp;$C$23:$C$45,$D$23:$D$45)*$E1304,18)</f>
        <v>10.8678669742407</v>
      </c>
      <c r="I1304" s="67" cm="1">
        <f ca="1" t="array" ref="I1304">MIN(30-SUM(J1304:L1304),6-L1304,_xlfn.XLOOKUP($D1304&amp;"_"&amp;I$61,$B$23:$B$45&amp;"_"&amp;$C$23:$C$45,$D$23:$D$45)*$E1304)</f>
        <v>0</v>
      </c>
      <c r="J1304" s="67" cm="1">
        <f ca="1" t="array" ref="J1304">MIN(8,_xlfn.XLOOKUP($D1304&amp;"_"&amp;J$61,$B$23:$B$45&amp;"_"&amp;$C$23:$C$45,$D$23:$D$45)*$E1304)</f>
        <v>8</v>
      </c>
      <c r="K1304" s="67" cm="1">
        <f ca="1" t="array" ref="K1304">MIN(18,_xlfn.XLOOKUP($D1304&amp;"_"&amp;K$61,$B$23:$B$45&amp;"_"&amp;$C$23:$C$45,$D$23:$D$45)*$E1304)</f>
        <v>5.13213302575933</v>
      </c>
      <c r="L1304" s="67" cm="1">
        <f ca="1" t="array" ref="L1304">MIN(6,_xlfn.XLOOKUP($D1304&amp;"_"&amp;L$61,$B$23:$B$45&amp;"_"&amp;$C$23:$C$45,$D$23:$D$45)*$E1304)</f>
        <v>6</v>
      </c>
      <c r="M1304" s="67" cm="1">
        <f ca="1" t="array" ref="M1304">(1+SUMPRODUCT(G1304:H1304,OFFSET($H$49:$I$49,D1304,0)))*(1+OFFSET($J$49,D1304,0))^I1304*(1+OFFSET($K$49,D1304,0))^J1304*(1+OFFSET($L$49,D1304,0))^K1304*(1+OFFSET($M$49,D1304,0))^L1304</f>
        <v>394.413953917078</v>
      </c>
      <c r="N1304" s="67">
        <f ca="1">MAX(MAX($N$62:N1303),OFFSET($C$61,MATCH(M1304*1.07,$M$62:$M$2061,1),0)-C1304)</f>
        <v>51120</v>
      </c>
    </row>
    <row r="1305" spans="2:14">
      <c r="B1305" s="67">
        <v>1244</v>
      </c>
      <c r="C1305" s="67">
        <f t="shared" si="124"/>
        <v>447840</v>
      </c>
      <c r="D1305" s="67">
        <f t="shared" si="127"/>
        <v>5</v>
      </c>
      <c r="E1305" s="67">
        <f ca="1" t="shared" si="128"/>
        <v>1274</v>
      </c>
      <c r="F1305" s="67">
        <f ca="1" t="shared" si="125"/>
        <v>0</v>
      </c>
      <c r="G1305" s="67">
        <f ca="1" t="shared" si="126"/>
        <v>0</v>
      </c>
      <c r="H1305" s="67" cm="1">
        <f ca="1" t="array" ref="H1305">MIN(30-SUM(I1305:L1305),_xlfn.XLOOKUP($D1305&amp;"_"&amp;H$61,$B$23:$B$45&amp;"_"&amp;$C$23:$C$45,$D$23:$D$45)*$E1305,18)</f>
        <v>10.8638354479046</v>
      </c>
      <c r="I1305" s="67" cm="1">
        <f ca="1" t="array" ref="I1305">MIN(30-SUM(J1305:L1305),6-L1305,_xlfn.XLOOKUP($D1305&amp;"_"&amp;I$61,$B$23:$B$45&amp;"_"&amp;$C$23:$C$45,$D$23:$D$45)*$E1305)</f>
        <v>0</v>
      </c>
      <c r="J1305" s="67" cm="1">
        <f ca="1" t="array" ref="J1305">MIN(8,_xlfn.XLOOKUP($D1305&amp;"_"&amp;J$61,$B$23:$B$45&amp;"_"&amp;$C$23:$C$45,$D$23:$D$45)*$E1305)</f>
        <v>8</v>
      </c>
      <c r="K1305" s="67" cm="1">
        <f ca="1" t="array" ref="K1305">MIN(18,_xlfn.XLOOKUP($D1305&amp;"_"&amp;K$61,$B$23:$B$45&amp;"_"&amp;$C$23:$C$45,$D$23:$D$45)*$E1305)</f>
        <v>5.13616455209535</v>
      </c>
      <c r="L1305" s="67" cm="1">
        <f ca="1" t="array" ref="L1305">MIN(6,_xlfn.XLOOKUP($D1305&amp;"_"&amp;L$61,$B$23:$B$45&amp;"_"&amp;$C$23:$C$45,$D$23:$D$45)*$E1305)</f>
        <v>6</v>
      </c>
      <c r="M1305" s="67" cm="1">
        <f ca="1" t="array" ref="M1305">(1+SUMPRODUCT(G1305:H1305,OFFSET($H$49:$I$49,D1305,0)))*(1+OFFSET($J$49,D1305,0))^I1305*(1+OFFSET($K$49,D1305,0))^J1305*(1+OFFSET($L$49,D1305,0))^K1305*(1+OFFSET($M$49,D1305,0))^L1305</f>
        <v>394.603686343294</v>
      </c>
      <c r="N1305" s="67">
        <f ca="1">MAX(MAX($N$62:N1304),OFFSET($C$61,MATCH(M1305*1.07,$M$62:$M$2061,1),0)-C1305)</f>
        <v>51120</v>
      </c>
    </row>
    <row r="1306" spans="2:14">
      <c r="B1306" s="67">
        <v>1245</v>
      </c>
      <c r="C1306" s="67">
        <f t="shared" si="124"/>
        <v>448200</v>
      </c>
      <c r="D1306" s="67">
        <f t="shared" si="127"/>
        <v>5</v>
      </c>
      <c r="E1306" s="67">
        <f ca="1" t="shared" si="128"/>
        <v>1275</v>
      </c>
      <c r="F1306" s="67">
        <f ca="1" t="shared" si="125"/>
        <v>0</v>
      </c>
      <c r="G1306" s="67">
        <f ca="1" t="shared" si="126"/>
        <v>0</v>
      </c>
      <c r="H1306" s="67" cm="1">
        <f ca="1" t="array" ref="H1306">MIN(30-SUM(I1306:L1306),_xlfn.XLOOKUP($D1306&amp;"_"&amp;H$61,$B$23:$B$45&amp;"_"&amp;$C$23:$C$45,$D$23:$D$45)*$E1306,18)</f>
        <v>10.8598039215686</v>
      </c>
      <c r="I1306" s="67" cm="1">
        <f ca="1" t="array" ref="I1306">MIN(30-SUM(J1306:L1306),6-L1306,_xlfn.XLOOKUP($D1306&amp;"_"&amp;I$61,$B$23:$B$45&amp;"_"&amp;$C$23:$C$45,$D$23:$D$45)*$E1306)</f>
        <v>0</v>
      </c>
      <c r="J1306" s="67" cm="1">
        <f ca="1" t="array" ref="J1306">MIN(8,_xlfn.XLOOKUP($D1306&amp;"_"&amp;J$61,$B$23:$B$45&amp;"_"&amp;$C$23:$C$45,$D$23:$D$45)*$E1306)</f>
        <v>8</v>
      </c>
      <c r="K1306" s="67" cm="1">
        <f ca="1" t="array" ref="K1306">MIN(18,_xlfn.XLOOKUP($D1306&amp;"_"&amp;K$61,$B$23:$B$45&amp;"_"&amp;$C$23:$C$45,$D$23:$D$45)*$E1306)</f>
        <v>5.14019607843138</v>
      </c>
      <c r="L1306" s="67" cm="1">
        <f ca="1" t="array" ref="L1306">MIN(6,_xlfn.XLOOKUP($D1306&amp;"_"&amp;L$61,$B$23:$B$45&amp;"_"&amp;$C$23:$C$45,$D$23:$D$45)*$E1306)</f>
        <v>6</v>
      </c>
      <c r="M1306" s="67" cm="1">
        <f ca="1" t="array" ref="M1306">(1+SUMPRODUCT(G1306:H1306,OFFSET($H$49:$I$49,D1306,0)))*(1+OFFSET($J$49,D1306,0))^I1306*(1+OFFSET($K$49,D1306,0))^J1306*(1+OFFSET($L$49,D1306,0))^K1306*(1+OFFSET($M$49,D1306,0))^L1306</f>
        <v>394.79348454289</v>
      </c>
      <c r="N1306" s="67">
        <f ca="1">MAX(MAX($N$62:N1305),OFFSET($C$61,MATCH(M1306*1.07,$M$62:$M$2061,1),0)-C1306)</f>
        <v>51120</v>
      </c>
    </row>
    <row r="1307" spans="2:14">
      <c r="B1307" s="67">
        <v>1246</v>
      </c>
      <c r="C1307" s="67">
        <f t="shared" si="124"/>
        <v>448560</v>
      </c>
      <c r="D1307" s="67">
        <f t="shared" si="127"/>
        <v>5</v>
      </c>
      <c r="E1307" s="67">
        <f ca="1" t="shared" si="128"/>
        <v>1276</v>
      </c>
      <c r="F1307" s="67">
        <f ca="1" t="shared" si="125"/>
        <v>0</v>
      </c>
      <c r="G1307" s="67">
        <f ca="1" t="shared" si="126"/>
        <v>0</v>
      </c>
      <c r="H1307" s="67" cm="1">
        <f ca="1" t="array" ref="H1307">MIN(30-SUM(I1307:L1307),_xlfn.XLOOKUP($D1307&amp;"_"&amp;H$61,$B$23:$B$45&amp;"_"&amp;$C$23:$C$45,$D$23:$D$45)*$E1307,18)</f>
        <v>10.8557723952326</v>
      </c>
      <c r="I1307" s="67" cm="1">
        <f ca="1" t="array" ref="I1307">MIN(30-SUM(J1307:L1307),6-L1307,_xlfn.XLOOKUP($D1307&amp;"_"&amp;I$61,$B$23:$B$45&amp;"_"&amp;$C$23:$C$45,$D$23:$D$45)*$E1307)</f>
        <v>0</v>
      </c>
      <c r="J1307" s="67" cm="1">
        <f ca="1" t="array" ref="J1307">MIN(8,_xlfn.XLOOKUP($D1307&amp;"_"&amp;J$61,$B$23:$B$45&amp;"_"&amp;$C$23:$C$45,$D$23:$D$45)*$E1307)</f>
        <v>8</v>
      </c>
      <c r="K1307" s="67" cm="1">
        <f ca="1" t="array" ref="K1307">MIN(18,_xlfn.XLOOKUP($D1307&amp;"_"&amp;K$61,$B$23:$B$45&amp;"_"&amp;$C$23:$C$45,$D$23:$D$45)*$E1307)</f>
        <v>5.1442276047674</v>
      </c>
      <c r="L1307" s="67" cm="1">
        <f ca="1" t="array" ref="L1307">MIN(6,_xlfn.XLOOKUP($D1307&amp;"_"&amp;L$61,$B$23:$B$45&amp;"_"&amp;$C$23:$C$45,$D$23:$D$45)*$E1307)</f>
        <v>6</v>
      </c>
      <c r="M1307" s="67" cm="1">
        <f ca="1" t="array" ref="M1307">(1+SUMPRODUCT(G1307:H1307,OFFSET($H$49:$I$49,D1307,0)))*(1+OFFSET($J$49,D1307,0))^I1307*(1+OFFSET($K$49,D1307,0))^J1307*(1+OFFSET($L$49,D1307,0))^K1307*(1+OFFSET($M$49,D1307,0))^L1307</f>
        <v>394.983348510012</v>
      </c>
      <c r="N1307" s="67">
        <f ca="1">MAX(MAX($N$62:N1306),OFFSET($C$61,MATCH(M1307*1.07,$M$62:$M$2061,1),0)-C1307)</f>
        <v>51120</v>
      </c>
    </row>
    <row r="1308" spans="2:14">
      <c r="B1308" s="67">
        <v>1247</v>
      </c>
      <c r="C1308" s="67">
        <f t="shared" si="124"/>
        <v>448920</v>
      </c>
      <c r="D1308" s="67">
        <f t="shared" si="127"/>
        <v>5</v>
      </c>
      <c r="E1308" s="67">
        <f ca="1" t="shared" si="128"/>
        <v>1277</v>
      </c>
      <c r="F1308" s="67">
        <f ca="1" t="shared" si="125"/>
        <v>0</v>
      </c>
      <c r="G1308" s="67">
        <f ca="1" t="shared" si="126"/>
        <v>0</v>
      </c>
      <c r="H1308" s="67" cm="1">
        <f ca="1" t="array" ref="H1308">MIN(30-SUM(I1308:L1308),_xlfn.XLOOKUP($D1308&amp;"_"&amp;H$61,$B$23:$B$45&amp;"_"&amp;$C$23:$C$45,$D$23:$D$45)*$E1308,18)</f>
        <v>10.8517408688966</v>
      </c>
      <c r="I1308" s="67" cm="1">
        <f ca="1" t="array" ref="I1308">MIN(30-SUM(J1308:L1308),6-L1308,_xlfn.XLOOKUP($D1308&amp;"_"&amp;I$61,$B$23:$B$45&amp;"_"&amp;$C$23:$C$45,$D$23:$D$45)*$E1308)</f>
        <v>0</v>
      </c>
      <c r="J1308" s="67" cm="1">
        <f ca="1" t="array" ref="J1308">MIN(8,_xlfn.XLOOKUP($D1308&amp;"_"&amp;J$61,$B$23:$B$45&amp;"_"&amp;$C$23:$C$45,$D$23:$D$45)*$E1308)</f>
        <v>8</v>
      </c>
      <c r="K1308" s="67" cm="1">
        <f ca="1" t="array" ref="K1308">MIN(18,_xlfn.XLOOKUP($D1308&amp;"_"&amp;K$61,$B$23:$B$45&amp;"_"&amp;$C$23:$C$45,$D$23:$D$45)*$E1308)</f>
        <v>5.14825913110343</v>
      </c>
      <c r="L1308" s="67" cm="1">
        <f ca="1" t="array" ref="L1308">MIN(6,_xlfn.XLOOKUP($D1308&amp;"_"&amp;L$61,$B$23:$B$45&amp;"_"&amp;$C$23:$C$45,$D$23:$D$45)*$E1308)</f>
        <v>6</v>
      </c>
      <c r="M1308" s="67" cm="1">
        <f ca="1" t="array" ref="M1308">(1+SUMPRODUCT(G1308:H1308,OFFSET($H$49:$I$49,D1308,0)))*(1+OFFSET($J$49,D1308,0))^I1308*(1+OFFSET($K$49,D1308,0))^J1308*(1+OFFSET($L$49,D1308,0))^K1308*(1+OFFSET($M$49,D1308,0))^L1308</f>
        <v>395.173278238757</v>
      </c>
      <c r="N1308" s="67">
        <f ca="1">MAX(MAX($N$62:N1307),OFFSET($C$61,MATCH(M1308*1.07,$M$62:$M$2061,1),0)-C1308)</f>
        <v>51120</v>
      </c>
    </row>
    <row r="1309" spans="2:14">
      <c r="B1309" s="67">
        <v>1248</v>
      </c>
      <c r="C1309" s="67">
        <f t="shared" si="124"/>
        <v>449280</v>
      </c>
      <c r="D1309" s="67">
        <f t="shared" si="127"/>
        <v>5</v>
      </c>
      <c r="E1309" s="67">
        <f ca="1" t="shared" si="128"/>
        <v>1278</v>
      </c>
      <c r="F1309" s="67">
        <f ca="1" t="shared" si="125"/>
        <v>0</v>
      </c>
      <c r="G1309" s="67">
        <f ca="1" t="shared" si="126"/>
        <v>0</v>
      </c>
      <c r="H1309" s="67" cm="1">
        <f ca="1" t="array" ref="H1309">MIN(30-SUM(I1309:L1309),_xlfn.XLOOKUP($D1309&amp;"_"&amp;H$61,$B$23:$B$45&amp;"_"&amp;$C$23:$C$45,$D$23:$D$45)*$E1309,18)</f>
        <v>10.8477093425605</v>
      </c>
      <c r="I1309" s="67" cm="1">
        <f ca="1" t="array" ref="I1309">MIN(30-SUM(J1309:L1309),6-L1309,_xlfn.XLOOKUP($D1309&amp;"_"&amp;I$61,$B$23:$B$45&amp;"_"&amp;$C$23:$C$45,$D$23:$D$45)*$E1309)</f>
        <v>0</v>
      </c>
      <c r="J1309" s="67" cm="1">
        <f ca="1" t="array" ref="J1309">MIN(8,_xlfn.XLOOKUP($D1309&amp;"_"&amp;J$61,$B$23:$B$45&amp;"_"&amp;$C$23:$C$45,$D$23:$D$45)*$E1309)</f>
        <v>8</v>
      </c>
      <c r="K1309" s="67" cm="1">
        <f ca="1" t="array" ref="K1309">MIN(18,_xlfn.XLOOKUP($D1309&amp;"_"&amp;K$61,$B$23:$B$45&amp;"_"&amp;$C$23:$C$45,$D$23:$D$45)*$E1309)</f>
        <v>5.15229065743945</v>
      </c>
      <c r="L1309" s="67" cm="1">
        <f ca="1" t="array" ref="L1309">MIN(6,_xlfn.XLOOKUP($D1309&amp;"_"&amp;L$61,$B$23:$B$45&amp;"_"&amp;$C$23:$C$45,$D$23:$D$45)*$E1309)</f>
        <v>6</v>
      </c>
      <c r="M1309" s="67" cm="1">
        <f ca="1" t="array" ref="M1309">(1+SUMPRODUCT(G1309:H1309,OFFSET($H$49:$I$49,D1309,0)))*(1+OFFSET($J$49,D1309,0))^I1309*(1+OFFSET($K$49,D1309,0))^J1309*(1+OFFSET($L$49,D1309,0))^K1309*(1+OFFSET($M$49,D1309,0))^L1309</f>
        <v>395.363273723182</v>
      </c>
      <c r="N1309" s="67">
        <f ca="1">MAX(MAX($N$62:N1308),OFFSET($C$61,MATCH(M1309*1.07,$M$62:$M$2061,1),0)-C1309)</f>
        <v>51120</v>
      </c>
    </row>
    <row r="1310" spans="2:14">
      <c r="B1310" s="67">
        <v>1249</v>
      </c>
      <c r="C1310" s="67">
        <f t="shared" si="124"/>
        <v>449640</v>
      </c>
      <c r="D1310" s="67">
        <f t="shared" si="127"/>
        <v>5</v>
      </c>
      <c r="E1310" s="67">
        <f ca="1" t="shared" si="128"/>
        <v>1279</v>
      </c>
      <c r="F1310" s="67">
        <f ca="1" t="shared" si="125"/>
        <v>0</v>
      </c>
      <c r="G1310" s="67">
        <f ca="1" t="shared" si="126"/>
        <v>0</v>
      </c>
      <c r="H1310" s="67" cm="1">
        <f ca="1" t="array" ref="H1310">MIN(30-SUM(I1310:L1310),_xlfn.XLOOKUP($D1310&amp;"_"&amp;H$61,$B$23:$B$45&amp;"_"&amp;$C$23:$C$45,$D$23:$D$45)*$E1310,18)</f>
        <v>10.8436778162245</v>
      </c>
      <c r="I1310" s="67" cm="1">
        <f ca="1" t="array" ref="I1310">MIN(30-SUM(J1310:L1310),6-L1310,_xlfn.XLOOKUP($D1310&amp;"_"&amp;I$61,$B$23:$B$45&amp;"_"&amp;$C$23:$C$45,$D$23:$D$45)*$E1310)</f>
        <v>0</v>
      </c>
      <c r="J1310" s="67" cm="1">
        <f ca="1" t="array" ref="J1310">MIN(8,_xlfn.XLOOKUP($D1310&amp;"_"&amp;J$61,$B$23:$B$45&amp;"_"&amp;$C$23:$C$45,$D$23:$D$45)*$E1310)</f>
        <v>8</v>
      </c>
      <c r="K1310" s="67" cm="1">
        <f ca="1" t="array" ref="K1310">MIN(18,_xlfn.XLOOKUP($D1310&amp;"_"&amp;K$61,$B$23:$B$45&amp;"_"&amp;$C$23:$C$45,$D$23:$D$45)*$E1310)</f>
        <v>5.15632218377548</v>
      </c>
      <c r="L1310" s="67" cm="1">
        <f ca="1" t="array" ref="L1310">MIN(6,_xlfn.XLOOKUP($D1310&amp;"_"&amp;L$61,$B$23:$B$45&amp;"_"&amp;$C$23:$C$45,$D$23:$D$45)*$E1310)</f>
        <v>6</v>
      </c>
      <c r="M1310" s="67" cm="1">
        <f ca="1" t="array" ref="M1310">(1+SUMPRODUCT(G1310:H1310,OFFSET($H$49:$I$49,D1310,0)))*(1+OFFSET($J$49,D1310,0))^I1310*(1+OFFSET($K$49,D1310,0))^J1310*(1+OFFSET($L$49,D1310,0))^K1310*(1+OFFSET($M$49,D1310,0))^L1310</f>
        <v>395.553334957298</v>
      </c>
      <c r="N1310" s="67">
        <f ca="1">MAX(MAX($N$62:N1309),OFFSET($C$61,MATCH(M1310*1.07,$M$62:$M$2061,1),0)-C1310)</f>
        <v>51120</v>
      </c>
    </row>
    <row r="1311" spans="2:14">
      <c r="B1311" s="67">
        <v>1250</v>
      </c>
      <c r="C1311" s="67">
        <f t="shared" si="124"/>
        <v>450000</v>
      </c>
      <c r="D1311" s="67">
        <f t="shared" si="127"/>
        <v>5</v>
      </c>
      <c r="E1311" s="67">
        <f ca="1" t="shared" si="128"/>
        <v>1280</v>
      </c>
      <c r="F1311" s="67">
        <f ca="1" t="shared" si="125"/>
        <v>0</v>
      </c>
      <c r="G1311" s="67">
        <f ca="1" t="shared" si="126"/>
        <v>0</v>
      </c>
      <c r="H1311" s="67" cm="1">
        <f ca="1" t="array" ref="H1311">MIN(30-SUM(I1311:L1311),_xlfn.XLOOKUP($D1311&amp;"_"&amp;H$61,$B$23:$B$45&amp;"_"&amp;$C$23:$C$45,$D$23:$D$45)*$E1311,18)</f>
        <v>10.8396462898885</v>
      </c>
      <c r="I1311" s="67" cm="1">
        <f ca="1" t="array" ref="I1311">MIN(30-SUM(J1311:L1311),6-L1311,_xlfn.XLOOKUP($D1311&amp;"_"&amp;I$61,$B$23:$B$45&amp;"_"&amp;$C$23:$C$45,$D$23:$D$45)*$E1311)</f>
        <v>0</v>
      </c>
      <c r="J1311" s="67" cm="1">
        <f ca="1" t="array" ref="J1311">MIN(8,_xlfn.XLOOKUP($D1311&amp;"_"&amp;J$61,$B$23:$B$45&amp;"_"&amp;$C$23:$C$45,$D$23:$D$45)*$E1311)</f>
        <v>8</v>
      </c>
      <c r="K1311" s="67" cm="1">
        <f ca="1" t="array" ref="K1311">MIN(18,_xlfn.XLOOKUP($D1311&amp;"_"&amp;K$61,$B$23:$B$45&amp;"_"&amp;$C$23:$C$45,$D$23:$D$45)*$E1311)</f>
        <v>5.1603537101115</v>
      </c>
      <c r="L1311" s="67" cm="1">
        <f ca="1" t="array" ref="L1311">MIN(6,_xlfn.XLOOKUP($D1311&amp;"_"&amp;L$61,$B$23:$B$45&amp;"_"&amp;$C$23:$C$45,$D$23:$D$45)*$E1311)</f>
        <v>6</v>
      </c>
      <c r="M1311" s="67" cm="1">
        <f ca="1" t="array" ref="M1311">(1+SUMPRODUCT(G1311:H1311,OFFSET($H$49:$I$49,D1311,0)))*(1+OFFSET($J$49,D1311,0))^I1311*(1+OFFSET($K$49,D1311,0))^J1311*(1+OFFSET($L$49,D1311,0))^K1311*(1+OFFSET($M$49,D1311,0))^L1311</f>
        <v>395.743461935072</v>
      </c>
      <c r="N1311" s="67">
        <f ca="1">MAX(MAX($N$62:N1310),OFFSET($C$61,MATCH(M1311*1.07,$M$62:$M$2061,1),0)-C1311)</f>
        <v>51120</v>
      </c>
    </row>
    <row r="1312" spans="2:14">
      <c r="B1312" s="67">
        <v>1251</v>
      </c>
      <c r="C1312" s="67">
        <f t="shared" si="124"/>
        <v>450360</v>
      </c>
      <c r="D1312" s="67">
        <f t="shared" si="127"/>
        <v>5</v>
      </c>
      <c r="E1312" s="67">
        <f ca="1" t="shared" si="128"/>
        <v>1281</v>
      </c>
      <c r="F1312" s="67">
        <f ca="1" t="shared" si="125"/>
        <v>0</v>
      </c>
      <c r="G1312" s="67">
        <f ca="1" t="shared" si="126"/>
        <v>0</v>
      </c>
      <c r="H1312" s="67" cm="1">
        <f ca="1" t="array" ref="H1312">MIN(30-SUM(I1312:L1312),_xlfn.XLOOKUP($D1312&amp;"_"&amp;H$61,$B$23:$B$45&amp;"_"&amp;$C$23:$C$45,$D$23:$D$45)*$E1312,18)</f>
        <v>10.8356147635525</v>
      </c>
      <c r="I1312" s="67" cm="1">
        <f ca="1" t="array" ref="I1312">MIN(30-SUM(J1312:L1312),6-L1312,_xlfn.XLOOKUP($D1312&amp;"_"&amp;I$61,$B$23:$B$45&amp;"_"&amp;$C$23:$C$45,$D$23:$D$45)*$E1312)</f>
        <v>0</v>
      </c>
      <c r="J1312" s="67" cm="1">
        <f ca="1" t="array" ref="J1312">MIN(8,_xlfn.XLOOKUP($D1312&amp;"_"&amp;J$61,$B$23:$B$45&amp;"_"&amp;$C$23:$C$45,$D$23:$D$45)*$E1312)</f>
        <v>8</v>
      </c>
      <c r="K1312" s="67" cm="1">
        <f ca="1" t="array" ref="K1312">MIN(18,_xlfn.XLOOKUP($D1312&amp;"_"&amp;K$61,$B$23:$B$45&amp;"_"&amp;$C$23:$C$45,$D$23:$D$45)*$E1312)</f>
        <v>5.16438523644752</v>
      </c>
      <c r="L1312" s="67" cm="1">
        <f ca="1" t="array" ref="L1312">MIN(6,_xlfn.XLOOKUP($D1312&amp;"_"&amp;L$61,$B$23:$B$45&amp;"_"&amp;$C$23:$C$45,$D$23:$D$45)*$E1312)</f>
        <v>6</v>
      </c>
      <c r="M1312" s="67" cm="1">
        <f ca="1" t="array" ref="M1312">(1+SUMPRODUCT(G1312:H1312,OFFSET($H$49:$I$49,D1312,0)))*(1+OFFSET($J$49,D1312,0))^I1312*(1+OFFSET($K$49,D1312,0))^J1312*(1+OFFSET($L$49,D1312,0))^K1312*(1+OFFSET($M$49,D1312,0))^L1312</f>
        <v>395.933654650425</v>
      </c>
      <c r="N1312" s="67">
        <f ca="1">MAX(MAX($N$62:N1311),OFFSET($C$61,MATCH(M1312*1.07,$M$62:$M$2061,1),0)-C1312)</f>
        <v>51120</v>
      </c>
    </row>
    <row r="1313" spans="2:14">
      <c r="B1313" s="67">
        <v>1252</v>
      </c>
      <c r="C1313" s="67">
        <f t="shared" si="124"/>
        <v>450720</v>
      </c>
      <c r="D1313" s="67">
        <f t="shared" si="127"/>
        <v>5</v>
      </c>
      <c r="E1313" s="67">
        <f ca="1" t="shared" si="128"/>
        <v>1282</v>
      </c>
      <c r="F1313" s="67">
        <f ca="1" t="shared" si="125"/>
        <v>0</v>
      </c>
      <c r="G1313" s="67">
        <f ca="1" t="shared" si="126"/>
        <v>0</v>
      </c>
      <c r="H1313" s="67" cm="1">
        <f ca="1" t="array" ref="H1313">MIN(30-SUM(I1313:L1313),_xlfn.XLOOKUP($D1313&amp;"_"&amp;H$61,$B$23:$B$45&amp;"_"&amp;$C$23:$C$45,$D$23:$D$45)*$E1313,18)</f>
        <v>10.8315832372164</v>
      </c>
      <c r="I1313" s="67" cm="1">
        <f ca="1" t="array" ref="I1313">MIN(30-SUM(J1313:L1313),6-L1313,_xlfn.XLOOKUP($D1313&amp;"_"&amp;I$61,$B$23:$B$45&amp;"_"&amp;$C$23:$C$45,$D$23:$D$45)*$E1313)</f>
        <v>0</v>
      </c>
      <c r="J1313" s="67" cm="1">
        <f ca="1" t="array" ref="J1313">MIN(8,_xlfn.XLOOKUP($D1313&amp;"_"&amp;J$61,$B$23:$B$45&amp;"_"&amp;$C$23:$C$45,$D$23:$D$45)*$E1313)</f>
        <v>8</v>
      </c>
      <c r="K1313" s="67" cm="1">
        <f ca="1" t="array" ref="K1313">MIN(18,_xlfn.XLOOKUP($D1313&amp;"_"&amp;K$61,$B$23:$B$45&amp;"_"&amp;$C$23:$C$45,$D$23:$D$45)*$E1313)</f>
        <v>5.16841676278355</v>
      </c>
      <c r="L1313" s="67" cm="1">
        <f ca="1" t="array" ref="L1313">MIN(6,_xlfn.XLOOKUP($D1313&amp;"_"&amp;L$61,$B$23:$B$45&amp;"_"&amp;$C$23:$C$45,$D$23:$D$45)*$E1313)</f>
        <v>6</v>
      </c>
      <c r="M1313" s="67" cm="1">
        <f ca="1" t="array" ref="M1313">(1+SUMPRODUCT(G1313:H1313,OFFSET($H$49:$I$49,D1313,0)))*(1+OFFSET($J$49,D1313,0))^I1313*(1+OFFSET($K$49,D1313,0))^J1313*(1+OFFSET($L$49,D1313,0))^K1313*(1+OFFSET($M$49,D1313,0))^L1313</f>
        <v>396.123913097237</v>
      </c>
      <c r="N1313" s="67">
        <f ca="1">MAX(MAX($N$62:N1312),OFFSET($C$61,MATCH(M1313*1.07,$M$62:$M$2061,1),0)-C1313)</f>
        <v>51120</v>
      </c>
    </row>
    <row r="1314" spans="2:14">
      <c r="B1314" s="67">
        <v>1253</v>
      </c>
      <c r="C1314" s="67">
        <f t="shared" si="124"/>
        <v>451080</v>
      </c>
      <c r="D1314" s="67">
        <f t="shared" si="127"/>
        <v>5</v>
      </c>
      <c r="E1314" s="67">
        <f ca="1" t="shared" si="128"/>
        <v>1283</v>
      </c>
      <c r="F1314" s="67">
        <f ca="1" t="shared" si="125"/>
        <v>0</v>
      </c>
      <c r="G1314" s="67">
        <f ca="1" t="shared" si="126"/>
        <v>0</v>
      </c>
      <c r="H1314" s="67" cm="1">
        <f ca="1" t="array" ref="H1314">MIN(30-SUM(I1314:L1314),_xlfn.XLOOKUP($D1314&amp;"_"&amp;H$61,$B$23:$B$45&amp;"_"&amp;$C$23:$C$45,$D$23:$D$45)*$E1314,18)</f>
        <v>10.8275517108804</v>
      </c>
      <c r="I1314" s="67" cm="1">
        <f ca="1" t="array" ref="I1314">MIN(30-SUM(J1314:L1314),6-L1314,_xlfn.XLOOKUP($D1314&amp;"_"&amp;I$61,$B$23:$B$45&amp;"_"&amp;$C$23:$C$45,$D$23:$D$45)*$E1314)</f>
        <v>0</v>
      </c>
      <c r="J1314" s="67" cm="1">
        <f ca="1" t="array" ref="J1314">MIN(8,_xlfn.XLOOKUP($D1314&amp;"_"&amp;J$61,$B$23:$B$45&amp;"_"&amp;$C$23:$C$45,$D$23:$D$45)*$E1314)</f>
        <v>8</v>
      </c>
      <c r="K1314" s="67" cm="1">
        <f ca="1" t="array" ref="K1314">MIN(18,_xlfn.XLOOKUP($D1314&amp;"_"&amp;K$61,$B$23:$B$45&amp;"_"&amp;$C$23:$C$45,$D$23:$D$45)*$E1314)</f>
        <v>5.17244828911957</v>
      </c>
      <c r="L1314" s="67" cm="1">
        <f ca="1" t="array" ref="L1314">MIN(6,_xlfn.XLOOKUP($D1314&amp;"_"&amp;L$61,$B$23:$B$45&amp;"_"&amp;$C$23:$C$45,$D$23:$D$45)*$E1314)</f>
        <v>6</v>
      </c>
      <c r="M1314" s="67" cm="1">
        <f ca="1" t="array" ref="M1314">(1+SUMPRODUCT(G1314:H1314,OFFSET($H$49:$I$49,D1314,0)))*(1+OFFSET($J$49,D1314,0))^I1314*(1+OFFSET($K$49,D1314,0))^J1314*(1+OFFSET($L$49,D1314,0))^K1314*(1+OFFSET($M$49,D1314,0))^L1314</f>
        <v>396.314237269339</v>
      </c>
      <c r="N1314" s="67">
        <f ca="1">MAX(MAX($N$62:N1313),OFFSET($C$61,MATCH(M1314*1.07,$M$62:$M$2061,1),0)-C1314)</f>
        <v>51120</v>
      </c>
    </row>
    <row r="1315" spans="2:14">
      <c r="B1315" s="67">
        <v>1254</v>
      </c>
      <c r="C1315" s="67">
        <f t="shared" si="124"/>
        <v>451440</v>
      </c>
      <c r="D1315" s="67">
        <f t="shared" si="127"/>
        <v>5</v>
      </c>
      <c r="E1315" s="67">
        <f ca="1" t="shared" si="128"/>
        <v>1284</v>
      </c>
      <c r="F1315" s="67">
        <f ca="1" t="shared" si="125"/>
        <v>0</v>
      </c>
      <c r="G1315" s="67">
        <f ca="1" t="shared" si="126"/>
        <v>0</v>
      </c>
      <c r="H1315" s="67" cm="1">
        <f ca="1" t="array" ref="H1315">MIN(30-SUM(I1315:L1315),_xlfn.XLOOKUP($D1315&amp;"_"&amp;H$61,$B$23:$B$45&amp;"_"&amp;$C$23:$C$45,$D$23:$D$45)*$E1315,18)</f>
        <v>10.8235201845444</v>
      </c>
      <c r="I1315" s="67" cm="1">
        <f ca="1" t="array" ref="I1315">MIN(30-SUM(J1315:L1315),6-L1315,_xlfn.XLOOKUP($D1315&amp;"_"&amp;I$61,$B$23:$B$45&amp;"_"&amp;$C$23:$C$45,$D$23:$D$45)*$E1315)</f>
        <v>0</v>
      </c>
      <c r="J1315" s="67" cm="1">
        <f ca="1" t="array" ref="J1315">MIN(8,_xlfn.XLOOKUP($D1315&amp;"_"&amp;J$61,$B$23:$B$45&amp;"_"&amp;$C$23:$C$45,$D$23:$D$45)*$E1315)</f>
        <v>8</v>
      </c>
      <c r="K1315" s="67" cm="1">
        <f ca="1" t="array" ref="K1315">MIN(18,_xlfn.XLOOKUP($D1315&amp;"_"&amp;K$61,$B$23:$B$45&amp;"_"&amp;$C$23:$C$45,$D$23:$D$45)*$E1315)</f>
        <v>5.1764798154556</v>
      </c>
      <c r="L1315" s="67" cm="1">
        <f ca="1" t="array" ref="L1315">MIN(6,_xlfn.XLOOKUP($D1315&amp;"_"&amp;L$61,$B$23:$B$45&amp;"_"&amp;$C$23:$C$45,$D$23:$D$45)*$E1315)</f>
        <v>6</v>
      </c>
      <c r="M1315" s="67" cm="1">
        <f ca="1" t="array" ref="M1315">(1+SUMPRODUCT(G1315:H1315,OFFSET($H$49:$I$49,D1315,0)))*(1+OFFSET($J$49,D1315,0))^I1315*(1+OFFSET($K$49,D1315,0))^J1315*(1+OFFSET($L$49,D1315,0))^K1315*(1+OFFSET($M$49,D1315,0))^L1315</f>
        <v>396.504627160521</v>
      </c>
      <c r="N1315" s="67">
        <f ca="1">MAX(MAX($N$62:N1314),OFFSET($C$61,MATCH(M1315*1.07,$M$62:$M$2061,1),0)-C1315)</f>
        <v>51120</v>
      </c>
    </row>
    <row r="1316" spans="2:14">
      <c r="B1316" s="67">
        <v>1255</v>
      </c>
      <c r="C1316" s="67">
        <f t="shared" si="124"/>
        <v>451800</v>
      </c>
      <c r="D1316" s="67">
        <f t="shared" si="127"/>
        <v>5</v>
      </c>
      <c r="E1316" s="67">
        <f ca="1" t="shared" si="128"/>
        <v>1285</v>
      </c>
      <c r="F1316" s="67">
        <f ca="1" t="shared" si="125"/>
        <v>0</v>
      </c>
      <c r="G1316" s="67">
        <f ca="1" t="shared" si="126"/>
        <v>0</v>
      </c>
      <c r="H1316" s="67" cm="1">
        <f ca="1" t="array" ref="H1316">MIN(30-SUM(I1316:L1316),_xlfn.XLOOKUP($D1316&amp;"_"&amp;H$61,$B$23:$B$45&amp;"_"&amp;$C$23:$C$45,$D$23:$D$45)*$E1316,18)</f>
        <v>10.8194886582084</v>
      </c>
      <c r="I1316" s="67" cm="1">
        <f ca="1" t="array" ref="I1316">MIN(30-SUM(J1316:L1316),6-L1316,_xlfn.XLOOKUP($D1316&amp;"_"&amp;I$61,$B$23:$B$45&amp;"_"&amp;$C$23:$C$45,$D$23:$D$45)*$E1316)</f>
        <v>0</v>
      </c>
      <c r="J1316" s="67" cm="1">
        <f ca="1" t="array" ref="J1316">MIN(8,_xlfn.XLOOKUP($D1316&amp;"_"&amp;J$61,$B$23:$B$45&amp;"_"&amp;$C$23:$C$45,$D$23:$D$45)*$E1316)</f>
        <v>8</v>
      </c>
      <c r="K1316" s="67" cm="1">
        <f ca="1" t="array" ref="K1316">MIN(18,_xlfn.XLOOKUP($D1316&amp;"_"&amp;K$61,$B$23:$B$45&amp;"_"&amp;$C$23:$C$45,$D$23:$D$45)*$E1316)</f>
        <v>5.18051134179162</v>
      </c>
      <c r="L1316" s="67" cm="1">
        <f ca="1" t="array" ref="L1316">MIN(6,_xlfn.XLOOKUP($D1316&amp;"_"&amp;L$61,$B$23:$B$45&amp;"_"&amp;$C$23:$C$45,$D$23:$D$45)*$E1316)</f>
        <v>6</v>
      </c>
      <c r="M1316" s="67" cm="1">
        <f ca="1" t="array" ref="M1316">(1+SUMPRODUCT(G1316:H1316,OFFSET($H$49:$I$49,D1316,0)))*(1+OFFSET($J$49,D1316,0))^I1316*(1+OFFSET($K$49,D1316,0))^J1316*(1+OFFSET($L$49,D1316,0))^K1316*(1+OFFSET($M$49,D1316,0))^L1316</f>
        <v>396.695082764526</v>
      </c>
      <c r="N1316" s="67">
        <f ca="1">MAX(MAX($N$62:N1315),OFFSET($C$61,MATCH(M1316*1.07,$M$62:$M$2061,1),0)-C1316)</f>
        <v>51120</v>
      </c>
    </row>
    <row r="1317" spans="2:14">
      <c r="B1317" s="67">
        <v>1256</v>
      </c>
      <c r="C1317" s="67">
        <f t="shared" si="124"/>
        <v>452160</v>
      </c>
      <c r="D1317" s="67">
        <f t="shared" si="127"/>
        <v>5</v>
      </c>
      <c r="E1317" s="67">
        <f ca="1" t="shared" si="128"/>
        <v>1286</v>
      </c>
      <c r="F1317" s="67">
        <f ca="1" t="shared" si="125"/>
        <v>0</v>
      </c>
      <c r="G1317" s="67">
        <f ca="1" t="shared" si="126"/>
        <v>0</v>
      </c>
      <c r="H1317" s="67" cm="1">
        <f ca="1" t="array" ref="H1317">MIN(30-SUM(I1317:L1317),_xlfn.XLOOKUP($D1317&amp;"_"&amp;H$61,$B$23:$B$45&amp;"_"&amp;$C$23:$C$45,$D$23:$D$45)*$E1317,18)</f>
        <v>10.8154571318723</v>
      </c>
      <c r="I1317" s="67" cm="1">
        <f ca="1" t="array" ref="I1317">MIN(30-SUM(J1317:L1317),6-L1317,_xlfn.XLOOKUP($D1317&amp;"_"&amp;I$61,$B$23:$B$45&amp;"_"&amp;$C$23:$C$45,$D$23:$D$45)*$E1317)</f>
        <v>0</v>
      </c>
      <c r="J1317" s="67" cm="1">
        <f ca="1" t="array" ref="J1317">MIN(8,_xlfn.XLOOKUP($D1317&amp;"_"&amp;J$61,$B$23:$B$45&amp;"_"&amp;$C$23:$C$45,$D$23:$D$45)*$E1317)</f>
        <v>8</v>
      </c>
      <c r="K1317" s="67" cm="1">
        <f ca="1" t="array" ref="K1317">MIN(18,_xlfn.XLOOKUP($D1317&amp;"_"&amp;K$61,$B$23:$B$45&amp;"_"&amp;$C$23:$C$45,$D$23:$D$45)*$E1317)</f>
        <v>5.18454286812765</v>
      </c>
      <c r="L1317" s="67" cm="1">
        <f ca="1" t="array" ref="L1317">MIN(6,_xlfn.XLOOKUP($D1317&amp;"_"&amp;L$61,$B$23:$B$45&amp;"_"&amp;$C$23:$C$45,$D$23:$D$45)*$E1317)</f>
        <v>6</v>
      </c>
      <c r="M1317" s="67" cm="1">
        <f ca="1" t="array" ref="M1317">(1+SUMPRODUCT(G1317:H1317,OFFSET($H$49:$I$49,D1317,0)))*(1+OFFSET($J$49,D1317,0))^I1317*(1+OFFSET($K$49,D1317,0))^J1317*(1+OFFSET($L$49,D1317,0))^K1317*(1+OFFSET($M$49,D1317,0))^L1317</f>
        <v>396.885604075055</v>
      </c>
      <c r="N1317" s="67">
        <f ca="1">MAX(MAX($N$62:N1316),OFFSET($C$61,MATCH(M1317*1.07,$M$62:$M$2061,1),0)-C1317)</f>
        <v>51120</v>
      </c>
    </row>
    <row r="1318" spans="2:14">
      <c r="B1318" s="67">
        <v>1257</v>
      </c>
      <c r="C1318" s="67">
        <f t="shared" si="124"/>
        <v>452520</v>
      </c>
      <c r="D1318" s="67">
        <f t="shared" si="127"/>
        <v>5</v>
      </c>
      <c r="E1318" s="67">
        <f ca="1" t="shared" si="128"/>
        <v>1287</v>
      </c>
      <c r="F1318" s="67">
        <f ca="1" t="shared" si="125"/>
        <v>0</v>
      </c>
      <c r="G1318" s="67">
        <f ca="1" t="shared" si="126"/>
        <v>0</v>
      </c>
      <c r="H1318" s="67" cm="1">
        <f ca="1" t="array" ref="H1318">MIN(30-SUM(I1318:L1318),_xlfn.XLOOKUP($D1318&amp;"_"&amp;H$61,$B$23:$B$45&amp;"_"&amp;$C$23:$C$45,$D$23:$D$45)*$E1318,18)</f>
        <v>10.8114256055363</v>
      </c>
      <c r="I1318" s="67" cm="1">
        <f ca="1" t="array" ref="I1318">MIN(30-SUM(J1318:L1318),6-L1318,_xlfn.XLOOKUP($D1318&amp;"_"&amp;I$61,$B$23:$B$45&amp;"_"&amp;$C$23:$C$45,$D$23:$D$45)*$E1318)</f>
        <v>0</v>
      </c>
      <c r="J1318" s="67" cm="1">
        <f ca="1" t="array" ref="J1318">MIN(8,_xlfn.XLOOKUP($D1318&amp;"_"&amp;J$61,$B$23:$B$45&amp;"_"&amp;$C$23:$C$45,$D$23:$D$45)*$E1318)</f>
        <v>8</v>
      </c>
      <c r="K1318" s="67" cm="1">
        <f ca="1" t="array" ref="K1318">MIN(18,_xlfn.XLOOKUP($D1318&amp;"_"&amp;K$61,$B$23:$B$45&amp;"_"&amp;$C$23:$C$45,$D$23:$D$45)*$E1318)</f>
        <v>5.18857439446367</v>
      </c>
      <c r="L1318" s="67" cm="1">
        <f ca="1" t="array" ref="L1318">MIN(6,_xlfn.XLOOKUP($D1318&amp;"_"&amp;L$61,$B$23:$B$45&amp;"_"&amp;$C$23:$C$45,$D$23:$D$45)*$E1318)</f>
        <v>6</v>
      </c>
      <c r="M1318" s="67" cm="1">
        <f ca="1" t="array" ref="M1318">(1+SUMPRODUCT(G1318:H1318,OFFSET($H$49:$I$49,D1318,0)))*(1+OFFSET($J$49,D1318,0))^I1318*(1+OFFSET($K$49,D1318,0))^J1318*(1+OFFSET($L$49,D1318,0))^K1318*(1+OFFSET($M$49,D1318,0))^L1318</f>
        <v>397.07619108576</v>
      </c>
      <c r="N1318" s="67">
        <f ca="1">MAX(MAX($N$62:N1317),OFFSET($C$61,MATCH(M1318*1.07,$M$62:$M$2061,1),0)-C1318)</f>
        <v>51120</v>
      </c>
    </row>
    <row r="1319" spans="2:14">
      <c r="B1319" s="67">
        <v>1258</v>
      </c>
      <c r="C1319" s="67">
        <f t="shared" si="124"/>
        <v>452880</v>
      </c>
      <c r="D1319" s="67">
        <f t="shared" si="127"/>
        <v>5</v>
      </c>
      <c r="E1319" s="67">
        <f ca="1" t="shared" si="128"/>
        <v>1288</v>
      </c>
      <c r="F1319" s="67">
        <f ca="1" t="shared" si="125"/>
        <v>0</v>
      </c>
      <c r="G1319" s="67">
        <f ca="1" t="shared" si="126"/>
        <v>0</v>
      </c>
      <c r="H1319" s="67" cm="1">
        <f ca="1" t="array" ref="H1319">MIN(30-SUM(I1319:L1319),_xlfn.XLOOKUP($D1319&amp;"_"&amp;H$61,$B$23:$B$45&amp;"_"&amp;$C$23:$C$45,$D$23:$D$45)*$E1319,18)</f>
        <v>10.8073940792003</v>
      </c>
      <c r="I1319" s="67" cm="1">
        <f ca="1" t="array" ref="I1319">MIN(30-SUM(J1319:L1319),6-L1319,_xlfn.XLOOKUP($D1319&amp;"_"&amp;I$61,$B$23:$B$45&amp;"_"&amp;$C$23:$C$45,$D$23:$D$45)*$E1319)</f>
        <v>0</v>
      </c>
      <c r="J1319" s="67" cm="1">
        <f ca="1" t="array" ref="J1319">MIN(8,_xlfn.XLOOKUP($D1319&amp;"_"&amp;J$61,$B$23:$B$45&amp;"_"&amp;$C$23:$C$45,$D$23:$D$45)*$E1319)</f>
        <v>8</v>
      </c>
      <c r="K1319" s="67" cm="1">
        <f ca="1" t="array" ref="K1319">MIN(18,_xlfn.XLOOKUP($D1319&amp;"_"&amp;K$61,$B$23:$B$45&amp;"_"&amp;$C$23:$C$45,$D$23:$D$45)*$E1319)</f>
        <v>5.1926059207997</v>
      </c>
      <c r="L1319" s="67" cm="1">
        <f ca="1" t="array" ref="L1319">MIN(6,_xlfn.XLOOKUP($D1319&amp;"_"&amp;L$61,$B$23:$B$45&amp;"_"&amp;$C$23:$C$45,$D$23:$D$45)*$E1319)</f>
        <v>6</v>
      </c>
      <c r="M1319" s="67" cm="1">
        <f ca="1" t="array" ref="M1319">(1+SUMPRODUCT(G1319:H1319,OFFSET($H$49:$I$49,D1319,0)))*(1+OFFSET($J$49,D1319,0))^I1319*(1+OFFSET($K$49,D1319,0))^J1319*(1+OFFSET($L$49,D1319,0))^K1319*(1+OFFSET($M$49,D1319,0))^L1319</f>
        <v>397.266843790253</v>
      </c>
      <c r="N1319" s="67">
        <f ca="1">MAX(MAX($N$62:N1318),OFFSET($C$61,MATCH(M1319*1.07,$M$62:$M$2061,1),0)-C1319)</f>
        <v>51120</v>
      </c>
    </row>
    <row r="1320" spans="2:14">
      <c r="B1320" s="67">
        <v>1259</v>
      </c>
      <c r="C1320" s="67">
        <f t="shared" si="124"/>
        <v>453240</v>
      </c>
      <c r="D1320" s="67">
        <f t="shared" si="127"/>
        <v>5</v>
      </c>
      <c r="E1320" s="67">
        <f ca="1" t="shared" si="128"/>
        <v>1289</v>
      </c>
      <c r="F1320" s="67">
        <f ca="1" t="shared" si="125"/>
        <v>0</v>
      </c>
      <c r="G1320" s="67">
        <f ca="1" t="shared" si="126"/>
        <v>0</v>
      </c>
      <c r="H1320" s="67" cm="1">
        <f ca="1" t="array" ref="H1320">MIN(30-SUM(I1320:L1320),_xlfn.XLOOKUP($D1320&amp;"_"&amp;H$61,$B$23:$B$45&amp;"_"&amp;$C$23:$C$45,$D$23:$D$45)*$E1320,18)</f>
        <v>10.8033625528643</v>
      </c>
      <c r="I1320" s="67" cm="1">
        <f ca="1" t="array" ref="I1320">MIN(30-SUM(J1320:L1320),6-L1320,_xlfn.XLOOKUP($D1320&amp;"_"&amp;I$61,$B$23:$B$45&amp;"_"&amp;$C$23:$C$45,$D$23:$D$45)*$E1320)</f>
        <v>0</v>
      </c>
      <c r="J1320" s="67" cm="1">
        <f ca="1" t="array" ref="J1320">MIN(8,_xlfn.XLOOKUP($D1320&amp;"_"&amp;J$61,$B$23:$B$45&amp;"_"&amp;$C$23:$C$45,$D$23:$D$45)*$E1320)</f>
        <v>8</v>
      </c>
      <c r="K1320" s="67" cm="1">
        <f ca="1" t="array" ref="K1320">MIN(18,_xlfn.XLOOKUP($D1320&amp;"_"&amp;K$61,$B$23:$B$45&amp;"_"&amp;$C$23:$C$45,$D$23:$D$45)*$E1320)</f>
        <v>5.19663744713572</v>
      </c>
      <c r="L1320" s="67" cm="1">
        <f ca="1" t="array" ref="L1320">MIN(6,_xlfn.XLOOKUP($D1320&amp;"_"&amp;L$61,$B$23:$B$45&amp;"_"&amp;$C$23:$C$45,$D$23:$D$45)*$E1320)</f>
        <v>6</v>
      </c>
      <c r="M1320" s="67" cm="1">
        <f ca="1" t="array" ref="M1320">(1+SUMPRODUCT(G1320:H1320,OFFSET($H$49:$I$49,D1320,0)))*(1+OFFSET($J$49,D1320,0))^I1320*(1+OFFSET($K$49,D1320,0))^J1320*(1+OFFSET($L$49,D1320,0))^K1320*(1+OFFSET($M$49,D1320,0))^L1320</f>
        <v>397.457562182098</v>
      </c>
      <c r="N1320" s="67">
        <f ca="1">MAX(MAX($N$62:N1319),OFFSET($C$61,MATCH(M1320*1.07,$M$62:$M$2061,1),0)-C1320)</f>
        <v>51120</v>
      </c>
    </row>
    <row r="1321" spans="2:14">
      <c r="B1321" s="67">
        <v>1260</v>
      </c>
      <c r="C1321" s="67">
        <f t="shared" si="124"/>
        <v>453600</v>
      </c>
      <c r="D1321" s="67">
        <f t="shared" si="127"/>
        <v>5</v>
      </c>
      <c r="E1321" s="67">
        <f ca="1" t="shared" si="128"/>
        <v>1290</v>
      </c>
      <c r="F1321" s="67">
        <f ca="1" t="shared" si="125"/>
        <v>0</v>
      </c>
      <c r="G1321" s="67">
        <f ca="1" t="shared" si="126"/>
        <v>0</v>
      </c>
      <c r="H1321" s="67" cm="1">
        <f ca="1" t="array" ref="H1321">MIN(30-SUM(I1321:L1321),_xlfn.XLOOKUP($D1321&amp;"_"&amp;H$61,$B$23:$B$45&amp;"_"&amp;$C$23:$C$45,$D$23:$D$45)*$E1321,18)</f>
        <v>10.7993310265283</v>
      </c>
      <c r="I1321" s="67" cm="1">
        <f ca="1" t="array" ref="I1321">MIN(30-SUM(J1321:L1321),6-L1321,_xlfn.XLOOKUP($D1321&amp;"_"&amp;I$61,$B$23:$B$45&amp;"_"&amp;$C$23:$C$45,$D$23:$D$45)*$E1321)</f>
        <v>0</v>
      </c>
      <c r="J1321" s="67" cm="1">
        <f ca="1" t="array" ref="J1321">MIN(8,_xlfn.XLOOKUP($D1321&amp;"_"&amp;J$61,$B$23:$B$45&amp;"_"&amp;$C$23:$C$45,$D$23:$D$45)*$E1321)</f>
        <v>8</v>
      </c>
      <c r="K1321" s="67" cm="1">
        <f ca="1" t="array" ref="K1321">MIN(18,_xlfn.XLOOKUP($D1321&amp;"_"&amp;K$61,$B$23:$B$45&amp;"_"&amp;$C$23:$C$45,$D$23:$D$45)*$E1321)</f>
        <v>5.20066897347175</v>
      </c>
      <c r="L1321" s="67" cm="1">
        <f ca="1" t="array" ref="L1321">MIN(6,_xlfn.XLOOKUP($D1321&amp;"_"&amp;L$61,$B$23:$B$45&amp;"_"&amp;$C$23:$C$45,$D$23:$D$45)*$E1321)</f>
        <v>6</v>
      </c>
      <c r="M1321" s="67" cm="1">
        <f ca="1" t="array" ref="M1321">(1+SUMPRODUCT(G1321:H1321,OFFSET($H$49:$I$49,D1321,0)))*(1+OFFSET($J$49,D1321,0))^I1321*(1+OFFSET($K$49,D1321,0))^J1321*(1+OFFSET($L$49,D1321,0))^K1321*(1+OFFSET($M$49,D1321,0))^L1321</f>
        <v>397.648346254814</v>
      </c>
      <c r="N1321" s="67">
        <f ca="1">MAX(MAX($N$62:N1320),OFFSET($C$61,MATCH(M1321*1.07,$M$62:$M$2061,1),0)-C1321)</f>
        <v>51120</v>
      </c>
    </row>
    <row r="1322" spans="2:14">
      <c r="B1322" s="67">
        <v>1261</v>
      </c>
      <c r="C1322" s="67">
        <f t="shared" si="124"/>
        <v>453960</v>
      </c>
      <c r="D1322" s="67">
        <f t="shared" si="127"/>
        <v>5</v>
      </c>
      <c r="E1322" s="67">
        <f ca="1" t="shared" si="128"/>
        <v>1291</v>
      </c>
      <c r="F1322" s="67">
        <f ca="1" t="shared" si="125"/>
        <v>0</v>
      </c>
      <c r="G1322" s="67">
        <f ca="1" t="shared" si="126"/>
        <v>0</v>
      </c>
      <c r="H1322" s="67" cm="1">
        <f ca="1" t="array" ref="H1322">MIN(30-SUM(I1322:L1322),_xlfn.XLOOKUP($D1322&amp;"_"&amp;H$61,$B$23:$B$45&amp;"_"&amp;$C$23:$C$45,$D$23:$D$45)*$E1322,18)</f>
        <v>10.7952995001922</v>
      </c>
      <c r="I1322" s="67" cm="1">
        <f ca="1" t="array" ref="I1322">MIN(30-SUM(J1322:L1322),6-L1322,_xlfn.XLOOKUP($D1322&amp;"_"&amp;I$61,$B$23:$B$45&amp;"_"&amp;$C$23:$C$45,$D$23:$D$45)*$E1322)</f>
        <v>0</v>
      </c>
      <c r="J1322" s="67" cm="1">
        <f ca="1" t="array" ref="J1322">MIN(8,_xlfn.XLOOKUP($D1322&amp;"_"&amp;J$61,$B$23:$B$45&amp;"_"&amp;$C$23:$C$45,$D$23:$D$45)*$E1322)</f>
        <v>8</v>
      </c>
      <c r="K1322" s="67" cm="1">
        <f ca="1" t="array" ref="K1322">MIN(18,_xlfn.XLOOKUP($D1322&amp;"_"&amp;K$61,$B$23:$B$45&amp;"_"&amp;$C$23:$C$45,$D$23:$D$45)*$E1322)</f>
        <v>5.20470049980777</v>
      </c>
      <c r="L1322" s="67" cm="1">
        <f ca="1" t="array" ref="L1322">MIN(6,_xlfn.XLOOKUP($D1322&amp;"_"&amp;L$61,$B$23:$B$45&amp;"_"&amp;$C$23:$C$45,$D$23:$D$45)*$E1322)</f>
        <v>6</v>
      </c>
      <c r="M1322" s="67" cm="1">
        <f ca="1" t="array" ref="M1322">(1+SUMPRODUCT(G1322:H1322,OFFSET($H$49:$I$49,D1322,0)))*(1+OFFSET($J$49,D1322,0))^I1322*(1+OFFSET($K$49,D1322,0))^J1322*(1+OFFSET($L$49,D1322,0))^K1322*(1+OFFSET($M$49,D1322,0))^L1322</f>
        <v>397.839196001876</v>
      </c>
      <c r="N1322" s="67">
        <f ca="1">MAX(MAX($N$62:N1321),OFFSET($C$61,MATCH(M1322*1.07,$M$62:$M$2061,1),0)-C1322)</f>
        <v>51120</v>
      </c>
    </row>
    <row r="1323" spans="2:14">
      <c r="B1323" s="67">
        <v>1262</v>
      </c>
      <c r="C1323" s="67">
        <f t="shared" si="124"/>
        <v>454320</v>
      </c>
      <c r="D1323" s="67">
        <f t="shared" si="127"/>
        <v>5</v>
      </c>
      <c r="E1323" s="67">
        <f ca="1" t="shared" si="128"/>
        <v>1292</v>
      </c>
      <c r="F1323" s="67">
        <f ca="1" t="shared" si="125"/>
        <v>0</v>
      </c>
      <c r="G1323" s="67">
        <f ca="1" t="shared" si="126"/>
        <v>0</v>
      </c>
      <c r="H1323" s="67" cm="1">
        <f ca="1" t="array" ref="H1323">MIN(30-SUM(I1323:L1323),_xlfn.XLOOKUP($D1323&amp;"_"&amp;H$61,$B$23:$B$45&amp;"_"&amp;$C$23:$C$45,$D$23:$D$45)*$E1323,18)</f>
        <v>10.7912679738562</v>
      </c>
      <c r="I1323" s="67" cm="1">
        <f ca="1" t="array" ref="I1323">MIN(30-SUM(J1323:L1323),6-L1323,_xlfn.XLOOKUP($D1323&amp;"_"&amp;I$61,$B$23:$B$45&amp;"_"&amp;$C$23:$C$45,$D$23:$D$45)*$E1323)</f>
        <v>0</v>
      </c>
      <c r="J1323" s="67" cm="1">
        <f ca="1" t="array" ref="J1323">MIN(8,_xlfn.XLOOKUP($D1323&amp;"_"&amp;J$61,$B$23:$B$45&amp;"_"&amp;$C$23:$C$45,$D$23:$D$45)*$E1323)</f>
        <v>8</v>
      </c>
      <c r="K1323" s="67" cm="1">
        <f ca="1" t="array" ref="K1323">MIN(18,_xlfn.XLOOKUP($D1323&amp;"_"&amp;K$61,$B$23:$B$45&amp;"_"&amp;$C$23:$C$45,$D$23:$D$45)*$E1323)</f>
        <v>5.2087320261438</v>
      </c>
      <c r="L1323" s="67" cm="1">
        <f ca="1" t="array" ref="L1323">MIN(6,_xlfn.XLOOKUP($D1323&amp;"_"&amp;L$61,$B$23:$B$45&amp;"_"&amp;$C$23:$C$45,$D$23:$D$45)*$E1323)</f>
        <v>6</v>
      </c>
      <c r="M1323" s="67" cm="1">
        <f ca="1" t="array" ref="M1323">(1+SUMPRODUCT(G1323:H1323,OFFSET($H$49:$I$49,D1323,0)))*(1+OFFSET($J$49,D1323,0))^I1323*(1+OFFSET($K$49,D1323,0))^J1323*(1+OFFSET($L$49,D1323,0))^K1323*(1+OFFSET($M$49,D1323,0))^L1323</f>
        <v>398.030111416714</v>
      </c>
      <c r="N1323" s="67">
        <f ca="1">MAX(MAX($N$62:N1322),OFFSET($C$61,MATCH(M1323*1.07,$M$62:$M$2061,1),0)-C1323)</f>
        <v>51120</v>
      </c>
    </row>
    <row r="1324" spans="2:14">
      <c r="B1324" s="67">
        <v>1263</v>
      </c>
      <c r="C1324" s="67">
        <f t="shared" si="124"/>
        <v>454680</v>
      </c>
      <c r="D1324" s="67">
        <f t="shared" si="127"/>
        <v>5</v>
      </c>
      <c r="E1324" s="67">
        <f ca="1" t="shared" si="128"/>
        <v>1293</v>
      </c>
      <c r="F1324" s="67">
        <f ca="1" t="shared" si="125"/>
        <v>0</v>
      </c>
      <c r="G1324" s="67">
        <f ca="1" t="shared" si="126"/>
        <v>0</v>
      </c>
      <c r="H1324" s="67" cm="1">
        <f ca="1" t="array" ref="H1324">MIN(30-SUM(I1324:L1324),_xlfn.XLOOKUP($D1324&amp;"_"&amp;H$61,$B$23:$B$45&amp;"_"&amp;$C$23:$C$45,$D$23:$D$45)*$E1324,18)</f>
        <v>10.7872364475202</v>
      </c>
      <c r="I1324" s="67" cm="1">
        <f ca="1" t="array" ref="I1324">MIN(30-SUM(J1324:L1324),6-L1324,_xlfn.XLOOKUP($D1324&amp;"_"&amp;I$61,$B$23:$B$45&amp;"_"&amp;$C$23:$C$45,$D$23:$D$45)*$E1324)</f>
        <v>0</v>
      </c>
      <c r="J1324" s="67" cm="1">
        <f ca="1" t="array" ref="J1324">MIN(8,_xlfn.XLOOKUP($D1324&amp;"_"&amp;J$61,$B$23:$B$45&amp;"_"&amp;$C$23:$C$45,$D$23:$D$45)*$E1324)</f>
        <v>8</v>
      </c>
      <c r="K1324" s="67" cm="1">
        <f ca="1" t="array" ref="K1324">MIN(18,_xlfn.XLOOKUP($D1324&amp;"_"&amp;K$61,$B$23:$B$45&amp;"_"&amp;$C$23:$C$45,$D$23:$D$45)*$E1324)</f>
        <v>5.21276355247982</v>
      </c>
      <c r="L1324" s="67" cm="1">
        <f ca="1" t="array" ref="L1324">MIN(6,_xlfn.XLOOKUP($D1324&amp;"_"&amp;L$61,$B$23:$B$45&amp;"_"&amp;$C$23:$C$45,$D$23:$D$45)*$E1324)</f>
        <v>6</v>
      </c>
      <c r="M1324" s="67" cm="1">
        <f ca="1" t="array" ref="M1324">(1+SUMPRODUCT(G1324:H1324,OFFSET($H$49:$I$49,D1324,0)))*(1+OFFSET($J$49,D1324,0))^I1324*(1+OFFSET($K$49,D1324,0))^J1324*(1+OFFSET($L$49,D1324,0))^K1324*(1+OFFSET($M$49,D1324,0))^L1324</f>
        <v>398.221092492712</v>
      </c>
      <c r="N1324" s="67">
        <f ca="1">MAX(MAX($N$62:N1323),OFFSET($C$61,MATCH(M1324*1.07,$M$62:$M$2061,1),0)-C1324)</f>
        <v>51120</v>
      </c>
    </row>
    <row r="1325" spans="2:14">
      <c r="B1325" s="67">
        <v>1264</v>
      </c>
      <c r="C1325" s="67">
        <f t="shared" si="124"/>
        <v>455040</v>
      </c>
      <c r="D1325" s="67">
        <f t="shared" si="127"/>
        <v>5</v>
      </c>
      <c r="E1325" s="67">
        <f ca="1" t="shared" si="128"/>
        <v>1294</v>
      </c>
      <c r="F1325" s="67">
        <f ca="1" t="shared" si="125"/>
        <v>0</v>
      </c>
      <c r="G1325" s="67">
        <f ca="1" t="shared" si="126"/>
        <v>0</v>
      </c>
      <c r="H1325" s="67" cm="1">
        <f ca="1" t="array" ref="H1325">MIN(30-SUM(I1325:L1325),_xlfn.XLOOKUP($D1325&amp;"_"&amp;H$61,$B$23:$B$45&amp;"_"&amp;$C$23:$C$45,$D$23:$D$45)*$E1325,18)</f>
        <v>10.7832049211842</v>
      </c>
      <c r="I1325" s="67" cm="1">
        <f ca="1" t="array" ref="I1325">MIN(30-SUM(J1325:L1325),6-L1325,_xlfn.XLOOKUP($D1325&amp;"_"&amp;I$61,$B$23:$B$45&amp;"_"&amp;$C$23:$C$45,$D$23:$D$45)*$E1325)</f>
        <v>0</v>
      </c>
      <c r="J1325" s="67" cm="1">
        <f ca="1" t="array" ref="J1325">MIN(8,_xlfn.XLOOKUP($D1325&amp;"_"&amp;J$61,$B$23:$B$45&amp;"_"&amp;$C$23:$C$45,$D$23:$D$45)*$E1325)</f>
        <v>8</v>
      </c>
      <c r="K1325" s="67" cm="1">
        <f ca="1" t="array" ref="K1325">MIN(18,_xlfn.XLOOKUP($D1325&amp;"_"&amp;K$61,$B$23:$B$45&amp;"_"&amp;$C$23:$C$45,$D$23:$D$45)*$E1325)</f>
        <v>5.21679507881584</v>
      </c>
      <c r="L1325" s="67" cm="1">
        <f ca="1" t="array" ref="L1325">MIN(6,_xlfn.XLOOKUP($D1325&amp;"_"&amp;L$61,$B$23:$B$45&amp;"_"&amp;$C$23:$C$45,$D$23:$D$45)*$E1325)</f>
        <v>6</v>
      </c>
      <c r="M1325" s="67" cm="1">
        <f ca="1" t="array" ref="M1325">(1+SUMPRODUCT(G1325:H1325,OFFSET($H$49:$I$49,D1325,0)))*(1+OFFSET($J$49,D1325,0))^I1325*(1+OFFSET($K$49,D1325,0))^J1325*(1+OFFSET($L$49,D1325,0))^K1325*(1+OFFSET($M$49,D1325,0))^L1325</f>
        <v>398.412139223209</v>
      </c>
      <c r="N1325" s="67">
        <f ca="1">MAX(MAX($N$62:N1324),OFFSET($C$61,MATCH(M1325*1.07,$M$62:$M$2061,1),0)-C1325)</f>
        <v>51120</v>
      </c>
    </row>
    <row r="1326" spans="2:14">
      <c r="B1326" s="67">
        <v>1265</v>
      </c>
      <c r="C1326" s="67">
        <f t="shared" ref="C1326:C1389" si="129">C1325+360</f>
        <v>455400</v>
      </c>
      <c r="D1326" s="67">
        <f t="shared" si="127"/>
        <v>5</v>
      </c>
      <c r="E1326" s="67">
        <f ca="1" t="shared" si="128"/>
        <v>1295</v>
      </c>
      <c r="F1326" s="67">
        <f ca="1" t="shared" ref="F1326:F1389" si="130">30-SUM(G1326:L1326)</f>
        <v>0</v>
      </c>
      <c r="G1326" s="67">
        <f ca="1" t="shared" ref="G1326:G1389" si="131">30-SUM(H1326:L1326)</f>
        <v>0</v>
      </c>
      <c r="H1326" s="67" cm="1">
        <f ca="1" t="array" ref="H1326">MIN(30-SUM(I1326:L1326),_xlfn.XLOOKUP($D1326&amp;"_"&amp;H$61,$B$23:$B$45&amp;"_"&amp;$C$23:$C$45,$D$23:$D$45)*$E1326,18)</f>
        <v>10.7791733948481</v>
      </c>
      <c r="I1326" s="67" cm="1">
        <f ca="1" t="array" ref="I1326">MIN(30-SUM(J1326:L1326),6-L1326,_xlfn.XLOOKUP($D1326&amp;"_"&amp;I$61,$B$23:$B$45&amp;"_"&amp;$C$23:$C$45,$D$23:$D$45)*$E1326)</f>
        <v>0</v>
      </c>
      <c r="J1326" s="67" cm="1">
        <f ca="1" t="array" ref="J1326">MIN(8,_xlfn.XLOOKUP($D1326&amp;"_"&amp;J$61,$B$23:$B$45&amp;"_"&amp;$C$23:$C$45,$D$23:$D$45)*$E1326)</f>
        <v>8</v>
      </c>
      <c r="K1326" s="67" cm="1">
        <f ca="1" t="array" ref="K1326">MIN(18,_xlfn.XLOOKUP($D1326&amp;"_"&amp;K$61,$B$23:$B$45&amp;"_"&amp;$C$23:$C$45,$D$23:$D$45)*$E1326)</f>
        <v>5.22082660515187</v>
      </c>
      <c r="L1326" s="67" cm="1">
        <f ca="1" t="array" ref="L1326">MIN(6,_xlfn.XLOOKUP($D1326&amp;"_"&amp;L$61,$B$23:$B$45&amp;"_"&amp;$C$23:$C$45,$D$23:$D$45)*$E1326)</f>
        <v>6</v>
      </c>
      <c r="M1326" s="67" cm="1">
        <f ca="1" t="array" ref="M1326">(1+SUMPRODUCT(G1326:H1326,OFFSET($H$49:$I$49,D1326,0)))*(1+OFFSET($J$49,D1326,0))^I1326*(1+OFFSET($K$49,D1326,0))^J1326*(1+OFFSET($L$49,D1326,0))^K1326*(1+OFFSET($M$49,D1326,0))^L1326</f>
        <v>398.603251601499</v>
      </c>
      <c r="N1326" s="67">
        <f ca="1">MAX(MAX($N$62:N1325),OFFSET($C$61,MATCH(M1326*1.07,$M$62:$M$2061,1),0)-C1326)</f>
        <v>51120</v>
      </c>
    </row>
    <row r="1327" spans="2:14">
      <c r="B1327" s="67">
        <v>1266</v>
      </c>
      <c r="C1327" s="67">
        <f t="shared" si="129"/>
        <v>455760</v>
      </c>
      <c r="D1327" s="67">
        <f t="shared" si="127"/>
        <v>5</v>
      </c>
      <c r="E1327" s="67">
        <f ca="1" t="shared" si="128"/>
        <v>1296</v>
      </c>
      <c r="F1327" s="67">
        <f ca="1" t="shared" si="130"/>
        <v>0</v>
      </c>
      <c r="G1327" s="67">
        <f ca="1" t="shared" si="131"/>
        <v>0</v>
      </c>
      <c r="H1327" s="67" cm="1">
        <f ca="1" t="array" ref="H1327">MIN(30-SUM(I1327:L1327),_xlfn.XLOOKUP($D1327&amp;"_"&amp;H$61,$B$23:$B$45&amp;"_"&amp;$C$23:$C$45,$D$23:$D$45)*$E1327,18)</f>
        <v>10.7751418685121</v>
      </c>
      <c r="I1327" s="67" cm="1">
        <f ca="1" t="array" ref="I1327">MIN(30-SUM(J1327:L1327),6-L1327,_xlfn.XLOOKUP($D1327&amp;"_"&amp;I$61,$B$23:$B$45&amp;"_"&amp;$C$23:$C$45,$D$23:$D$45)*$E1327)</f>
        <v>0</v>
      </c>
      <c r="J1327" s="67" cm="1">
        <f ca="1" t="array" ref="J1327">MIN(8,_xlfn.XLOOKUP($D1327&amp;"_"&amp;J$61,$B$23:$B$45&amp;"_"&amp;$C$23:$C$45,$D$23:$D$45)*$E1327)</f>
        <v>8</v>
      </c>
      <c r="K1327" s="67" cm="1">
        <f ca="1" t="array" ref="K1327">MIN(18,_xlfn.XLOOKUP($D1327&amp;"_"&amp;K$61,$B$23:$B$45&amp;"_"&amp;$C$23:$C$45,$D$23:$D$45)*$E1327)</f>
        <v>5.22485813148789</v>
      </c>
      <c r="L1327" s="67" cm="1">
        <f ca="1" t="array" ref="L1327">MIN(6,_xlfn.XLOOKUP($D1327&amp;"_"&amp;L$61,$B$23:$B$45&amp;"_"&amp;$C$23:$C$45,$D$23:$D$45)*$E1327)</f>
        <v>6</v>
      </c>
      <c r="M1327" s="67" cm="1">
        <f ca="1" t="array" ref="M1327">(1+SUMPRODUCT(G1327:H1327,OFFSET($H$49:$I$49,D1327,0)))*(1+OFFSET($J$49,D1327,0))^I1327*(1+OFFSET($K$49,D1327,0))^J1327*(1+OFFSET($L$49,D1327,0))^K1327*(1+OFFSET($M$49,D1327,0))^L1327</f>
        <v>398.794429620831</v>
      </c>
      <c r="N1327" s="67">
        <f ca="1">MAX(MAX($N$62:N1326),OFFSET($C$61,MATCH(M1327*1.07,$M$62:$M$2061,1),0)-C1327)</f>
        <v>51120</v>
      </c>
    </row>
    <row r="1328" spans="2:14">
      <c r="B1328" s="67">
        <v>1267</v>
      </c>
      <c r="C1328" s="67">
        <f t="shared" si="129"/>
        <v>456120</v>
      </c>
      <c r="D1328" s="67">
        <f t="shared" si="127"/>
        <v>5</v>
      </c>
      <c r="E1328" s="67">
        <f ca="1" t="shared" si="128"/>
        <v>1297</v>
      </c>
      <c r="F1328" s="67">
        <f ca="1" t="shared" si="130"/>
        <v>0</v>
      </c>
      <c r="G1328" s="67">
        <f ca="1" t="shared" si="131"/>
        <v>0</v>
      </c>
      <c r="H1328" s="67" cm="1">
        <f ca="1" t="array" ref="H1328">MIN(30-SUM(I1328:L1328),_xlfn.XLOOKUP($D1328&amp;"_"&amp;H$61,$B$23:$B$45&amp;"_"&amp;$C$23:$C$45,$D$23:$D$45)*$E1328,18)</f>
        <v>10.7711103421761</v>
      </c>
      <c r="I1328" s="67" cm="1">
        <f ca="1" t="array" ref="I1328">MIN(30-SUM(J1328:L1328),6-L1328,_xlfn.XLOOKUP($D1328&amp;"_"&amp;I$61,$B$23:$B$45&amp;"_"&amp;$C$23:$C$45,$D$23:$D$45)*$E1328)</f>
        <v>0</v>
      </c>
      <c r="J1328" s="67" cm="1">
        <f ca="1" t="array" ref="J1328">MIN(8,_xlfn.XLOOKUP($D1328&amp;"_"&amp;J$61,$B$23:$B$45&amp;"_"&amp;$C$23:$C$45,$D$23:$D$45)*$E1328)</f>
        <v>8</v>
      </c>
      <c r="K1328" s="67" cm="1">
        <f ca="1" t="array" ref="K1328">MIN(18,_xlfn.XLOOKUP($D1328&amp;"_"&amp;K$61,$B$23:$B$45&amp;"_"&amp;$C$23:$C$45,$D$23:$D$45)*$E1328)</f>
        <v>5.22888965782392</v>
      </c>
      <c r="L1328" s="67" cm="1">
        <f ca="1" t="array" ref="L1328">MIN(6,_xlfn.XLOOKUP($D1328&amp;"_"&amp;L$61,$B$23:$B$45&amp;"_"&amp;$C$23:$C$45,$D$23:$D$45)*$E1328)</f>
        <v>6</v>
      </c>
      <c r="M1328" s="67" cm="1">
        <f ca="1" t="array" ref="M1328">(1+SUMPRODUCT(G1328:H1328,OFFSET($H$49:$I$49,D1328,0)))*(1+OFFSET($J$49,D1328,0))^I1328*(1+OFFSET($K$49,D1328,0))^J1328*(1+OFFSET($L$49,D1328,0))^K1328*(1+OFFSET($M$49,D1328,0))^L1328</f>
        <v>398.985673274408</v>
      </c>
      <c r="N1328" s="67">
        <f ca="1">MAX(MAX($N$62:N1327),OFFSET($C$61,MATCH(M1328*1.07,$M$62:$M$2061,1),0)-C1328)</f>
        <v>51120</v>
      </c>
    </row>
    <row r="1329" spans="2:14">
      <c r="B1329" s="67">
        <v>1268</v>
      </c>
      <c r="C1329" s="67">
        <f t="shared" si="129"/>
        <v>456480</v>
      </c>
      <c r="D1329" s="67">
        <f t="shared" si="127"/>
        <v>5</v>
      </c>
      <c r="E1329" s="67">
        <f ca="1" t="shared" si="128"/>
        <v>1298</v>
      </c>
      <c r="F1329" s="67">
        <f ca="1" t="shared" si="130"/>
        <v>0</v>
      </c>
      <c r="G1329" s="67">
        <f ca="1" t="shared" si="131"/>
        <v>0</v>
      </c>
      <c r="H1329" s="67" cm="1">
        <f ca="1" t="array" ref="H1329">MIN(30-SUM(I1329:L1329),_xlfn.XLOOKUP($D1329&amp;"_"&amp;H$61,$B$23:$B$45&amp;"_"&amp;$C$23:$C$45,$D$23:$D$45)*$E1329,18)</f>
        <v>10.7670788158401</v>
      </c>
      <c r="I1329" s="67" cm="1">
        <f ca="1" t="array" ref="I1329">MIN(30-SUM(J1329:L1329),6-L1329,_xlfn.XLOOKUP($D1329&amp;"_"&amp;I$61,$B$23:$B$45&amp;"_"&amp;$C$23:$C$45,$D$23:$D$45)*$E1329)</f>
        <v>0</v>
      </c>
      <c r="J1329" s="67" cm="1">
        <f ca="1" t="array" ref="J1329">MIN(8,_xlfn.XLOOKUP($D1329&amp;"_"&amp;J$61,$B$23:$B$45&amp;"_"&amp;$C$23:$C$45,$D$23:$D$45)*$E1329)</f>
        <v>8</v>
      </c>
      <c r="K1329" s="67" cm="1">
        <f ca="1" t="array" ref="K1329">MIN(18,_xlfn.XLOOKUP($D1329&amp;"_"&amp;K$61,$B$23:$B$45&amp;"_"&amp;$C$23:$C$45,$D$23:$D$45)*$E1329)</f>
        <v>5.23292118415994</v>
      </c>
      <c r="L1329" s="67" cm="1">
        <f ca="1" t="array" ref="L1329">MIN(6,_xlfn.XLOOKUP($D1329&amp;"_"&amp;L$61,$B$23:$B$45&amp;"_"&amp;$C$23:$C$45,$D$23:$D$45)*$E1329)</f>
        <v>6</v>
      </c>
      <c r="M1329" s="67" cm="1">
        <f ca="1" t="array" ref="M1329">(1+SUMPRODUCT(G1329:H1329,OFFSET($H$49:$I$49,D1329,0)))*(1+OFFSET($J$49,D1329,0))^I1329*(1+OFFSET($K$49,D1329,0))^J1329*(1+OFFSET($L$49,D1329,0))^K1329*(1+OFFSET($M$49,D1329,0))^L1329</f>
        <v>399.176982555387</v>
      </c>
      <c r="N1329" s="67">
        <f ca="1">MAX(MAX($N$62:N1328),OFFSET($C$61,MATCH(M1329*1.07,$M$62:$M$2061,1),0)-C1329)</f>
        <v>51120</v>
      </c>
    </row>
    <row r="1330" spans="2:14">
      <c r="B1330" s="67">
        <v>1269</v>
      </c>
      <c r="C1330" s="67">
        <f t="shared" si="129"/>
        <v>456840</v>
      </c>
      <c r="D1330" s="67">
        <f t="shared" si="127"/>
        <v>5</v>
      </c>
      <c r="E1330" s="67">
        <f ca="1" t="shared" si="128"/>
        <v>1299</v>
      </c>
      <c r="F1330" s="67">
        <f ca="1" t="shared" si="130"/>
        <v>0</v>
      </c>
      <c r="G1330" s="67">
        <f ca="1" t="shared" si="131"/>
        <v>0</v>
      </c>
      <c r="H1330" s="67" cm="1">
        <f ca="1" t="array" ref="H1330">MIN(30-SUM(I1330:L1330),_xlfn.XLOOKUP($D1330&amp;"_"&amp;H$61,$B$23:$B$45&amp;"_"&amp;$C$23:$C$45,$D$23:$D$45)*$E1330,18)</f>
        <v>10.763047289504</v>
      </c>
      <c r="I1330" s="67" cm="1">
        <f ca="1" t="array" ref="I1330">MIN(30-SUM(J1330:L1330),6-L1330,_xlfn.XLOOKUP($D1330&amp;"_"&amp;I$61,$B$23:$B$45&amp;"_"&amp;$C$23:$C$45,$D$23:$D$45)*$E1330)</f>
        <v>0</v>
      </c>
      <c r="J1330" s="67" cm="1">
        <f ca="1" t="array" ref="J1330">MIN(8,_xlfn.XLOOKUP($D1330&amp;"_"&amp;J$61,$B$23:$B$45&amp;"_"&amp;$C$23:$C$45,$D$23:$D$45)*$E1330)</f>
        <v>8</v>
      </c>
      <c r="K1330" s="67" cm="1">
        <f ca="1" t="array" ref="K1330">MIN(18,_xlfn.XLOOKUP($D1330&amp;"_"&amp;K$61,$B$23:$B$45&amp;"_"&amp;$C$23:$C$45,$D$23:$D$45)*$E1330)</f>
        <v>5.23695271049597</v>
      </c>
      <c r="L1330" s="67" cm="1">
        <f ca="1" t="array" ref="L1330">MIN(6,_xlfn.XLOOKUP($D1330&amp;"_"&amp;L$61,$B$23:$B$45&amp;"_"&amp;$C$23:$C$45,$D$23:$D$45)*$E1330)</f>
        <v>6</v>
      </c>
      <c r="M1330" s="67" cm="1">
        <f ca="1" t="array" ref="M1330">(1+SUMPRODUCT(G1330:H1330,OFFSET($H$49:$I$49,D1330,0)))*(1+OFFSET($J$49,D1330,0))^I1330*(1+OFFSET($K$49,D1330,0))^J1330*(1+OFFSET($L$49,D1330,0))^K1330*(1+OFFSET($M$49,D1330,0))^L1330</f>
        <v>399.36835745688</v>
      </c>
      <c r="N1330" s="67">
        <f ca="1">MAX(MAX($N$62:N1329),OFFSET($C$61,MATCH(M1330*1.07,$M$62:$M$2061,1),0)-C1330)</f>
        <v>51120</v>
      </c>
    </row>
    <row r="1331" spans="2:14">
      <c r="B1331" s="67">
        <v>1270</v>
      </c>
      <c r="C1331" s="67">
        <f t="shared" si="129"/>
        <v>457200</v>
      </c>
      <c r="D1331" s="67">
        <f t="shared" si="127"/>
        <v>5</v>
      </c>
      <c r="E1331" s="67">
        <f ca="1" t="shared" si="128"/>
        <v>1300</v>
      </c>
      <c r="F1331" s="67">
        <f ca="1" t="shared" si="130"/>
        <v>0</v>
      </c>
      <c r="G1331" s="67">
        <f ca="1" t="shared" si="131"/>
        <v>0</v>
      </c>
      <c r="H1331" s="67" cm="1">
        <f ca="1" t="array" ref="H1331">MIN(30-SUM(I1331:L1331),_xlfn.XLOOKUP($D1331&amp;"_"&amp;H$61,$B$23:$B$45&amp;"_"&amp;$C$23:$C$45,$D$23:$D$45)*$E1331,18)</f>
        <v>10.759015763168</v>
      </c>
      <c r="I1331" s="67" cm="1">
        <f ca="1" t="array" ref="I1331">MIN(30-SUM(J1331:L1331),6-L1331,_xlfn.XLOOKUP($D1331&amp;"_"&amp;I$61,$B$23:$B$45&amp;"_"&amp;$C$23:$C$45,$D$23:$D$45)*$E1331)</f>
        <v>0</v>
      </c>
      <c r="J1331" s="67" cm="1">
        <f ca="1" t="array" ref="J1331">MIN(8,_xlfn.XLOOKUP($D1331&amp;"_"&amp;J$61,$B$23:$B$45&amp;"_"&amp;$C$23:$C$45,$D$23:$D$45)*$E1331)</f>
        <v>8</v>
      </c>
      <c r="K1331" s="67" cm="1">
        <f ca="1" t="array" ref="K1331">MIN(18,_xlfn.XLOOKUP($D1331&amp;"_"&amp;K$61,$B$23:$B$45&amp;"_"&amp;$C$23:$C$45,$D$23:$D$45)*$E1331)</f>
        <v>5.24098423683199</v>
      </c>
      <c r="L1331" s="67" cm="1">
        <f ca="1" t="array" ref="L1331">MIN(6,_xlfn.XLOOKUP($D1331&amp;"_"&amp;L$61,$B$23:$B$45&amp;"_"&amp;$C$23:$C$45,$D$23:$D$45)*$E1331)</f>
        <v>6</v>
      </c>
      <c r="M1331" s="67" cm="1">
        <f ca="1" t="array" ref="M1331">(1+SUMPRODUCT(G1331:H1331,OFFSET($H$49:$I$49,D1331,0)))*(1+OFFSET($J$49,D1331,0))^I1331*(1+OFFSET($K$49,D1331,0))^J1331*(1+OFFSET($L$49,D1331,0))^K1331*(1+OFFSET($M$49,D1331,0))^L1331</f>
        <v>399.559797971954</v>
      </c>
      <c r="N1331" s="67">
        <f ca="1">MAX(MAX($N$62:N1330),OFFSET($C$61,MATCH(M1331*1.07,$M$62:$M$2061,1),0)-C1331)</f>
        <v>51120</v>
      </c>
    </row>
    <row r="1332" spans="2:14">
      <c r="B1332" s="67">
        <v>1271</v>
      </c>
      <c r="C1332" s="67">
        <f t="shared" si="129"/>
        <v>457560</v>
      </c>
      <c r="D1332" s="67">
        <f t="shared" si="127"/>
        <v>5</v>
      </c>
      <c r="E1332" s="67">
        <f ca="1" t="shared" si="128"/>
        <v>1301</v>
      </c>
      <c r="F1332" s="67">
        <f ca="1" t="shared" si="130"/>
        <v>0</v>
      </c>
      <c r="G1332" s="67">
        <f ca="1" t="shared" si="131"/>
        <v>0</v>
      </c>
      <c r="H1332" s="67" cm="1">
        <f ca="1" t="array" ref="H1332">MIN(30-SUM(I1332:L1332),_xlfn.XLOOKUP($D1332&amp;"_"&amp;H$61,$B$23:$B$45&amp;"_"&amp;$C$23:$C$45,$D$23:$D$45)*$E1332,18)</f>
        <v>10.754984236832</v>
      </c>
      <c r="I1332" s="67" cm="1">
        <f ca="1" t="array" ref="I1332">MIN(30-SUM(J1332:L1332),6-L1332,_xlfn.XLOOKUP($D1332&amp;"_"&amp;I$61,$B$23:$B$45&amp;"_"&amp;$C$23:$C$45,$D$23:$D$45)*$E1332)</f>
        <v>0</v>
      </c>
      <c r="J1332" s="67" cm="1">
        <f ca="1" t="array" ref="J1332">MIN(8,_xlfn.XLOOKUP($D1332&amp;"_"&amp;J$61,$B$23:$B$45&amp;"_"&amp;$C$23:$C$45,$D$23:$D$45)*$E1332)</f>
        <v>8</v>
      </c>
      <c r="K1332" s="67" cm="1">
        <f ca="1" t="array" ref="K1332">MIN(18,_xlfn.XLOOKUP($D1332&amp;"_"&amp;K$61,$B$23:$B$45&amp;"_"&amp;$C$23:$C$45,$D$23:$D$45)*$E1332)</f>
        <v>5.24501576316802</v>
      </c>
      <c r="L1332" s="67" cm="1">
        <f ca="1" t="array" ref="L1332">MIN(6,_xlfn.XLOOKUP($D1332&amp;"_"&amp;L$61,$B$23:$B$45&amp;"_"&amp;$C$23:$C$45,$D$23:$D$45)*$E1332)</f>
        <v>6</v>
      </c>
      <c r="M1332" s="67" cm="1">
        <f ca="1" t="array" ref="M1332">(1+SUMPRODUCT(G1332:H1332,OFFSET($H$49:$I$49,D1332,0)))*(1+OFFSET($J$49,D1332,0))^I1332*(1+OFFSET($K$49,D1332,0))^J1332*(1+OFFSET($L$49,D1332,0))^K1332*(1+OFFSET($M$49,D1332,0))^L1332</f>
        <v>399.751304093629</v>
      </c>
      <c r="N1332" s="67">
        <f ca="1">MAX(MAX($N$62:N1331),OFFSET($C$61,MATCH(M1332*1.07,$M$62:$M$2061,1),0)-C1332)</f>
        <v>51120</v>
      </c>
    </row>
    <row r="1333" spans="2:14">
      <c r="B1333" s="67">
        <v>1272</v>
      </c>
      <c r="C1333" s="67">
        <f t="shared" si="129"/>
        <v>457920</v>
      </c>
      <c r="D1333" s="67">
        <f t="shared" si="127"/>
        <v>5</v>
      </c>
      <c r="E1333" s="67">
        <f ca="1" t="shared" si="128"/>
        <v>1302</v>
      </c>
      <c r="F1333" s="67">
        <f ca="1" t="shared" si="130"/>
        <v>0</v>
      </c>
      <c r="G1333" s="67">
        <f ca="1" t="shared" si="131"/>
        <v>0</v>
      </c>
      <c r="H1333" s="67" cm="1">
        <f ca="1" t="array" ref="H1333">MIN(30-SUM(I1333:L1333),_xlfn.XLOOKUP($D1333&amp;"_"&amp;H$61,$B$23:$B$45&amp;"_"&amp;$C$23:$C$45,$D$23:$D$45)*$E1333,18)</f>
        <v>10.750952710496</v>
      </c>
      <c r="I1333" s="67" cm="1">
        <f ca="1" t="array" ref="I1333">MIN(30-SUM(J1333:L1333),6-L1333,_xlfn.XLOOKUP($D1333&amp;"_"&amp;I$61,$B$23:$B$45&amp;"_"&amp;$C$23:$C$45,$D$23:$D$45)*$E1333)</f>
        <v>0</v>
      </c>
      <c r="J1333" s="67" cm="1">
        <f ca="1" t="array" ref="J1333">MIN(8,_xlfn.XLOOKUP($D1333&amp;"_"&amp;J$61,$B$23:$B$45&amp;"_"&amp;$C$23:$C$45,$D$23:$D$45)*$E1333)</f>
        <v>8</v>
      </c>
      <c r="K1333" s="67" cm="1">
        <f ca="1" t="array" ref="K1333">MIN(18,_xlfn.XLOOKUP($D1333&amp;"_"&amp;K$61,$B$23:$B$45&amp;"_"&amp;$C$23:$C$45,$D$23:$D$45)*$E1333)</f>
        <v>5.24904728950404</v>
      </c>
      <c r="L1333" s="67" cm="1">
        <f ca="1" t="array" ref="L1333">MIN(6,_xlfn.XLOOKUP($D1333&amp;"_"&amp;L$61,$B$23:$B$45&amp;"_"&amp;$C$23:$C$45,$D$23:$D$45)*$E1333)</f>
        <v>6</v>
      </c>
      <c r="M1333" s="67" cm="1">
        <f ca="1" t="array" ref="M1333">(1+SUMPRODUCT(G1333:H1333,OFFSET($H$49:$I$49,D1333,0)))*(1+OFFSET($J$49,D1333,0))^I1333*(1+OFFSET($K$49,D1333,0))^J1333*(1+OFFSET($L$49,D1333,0))^K1333*(1+OFFSET($M$49,D1333,0))^L1333</f>
        <v>399.942875814881</v>
      </c>
      <c r="N1333" s="67">
        <f ca="1">MAX(MAX($N$62:N1332),OFFSET($C$61,MATCH(M1333*1.07,$M$62:$M$2061,1),0)-C1333)</f>
        <v>51120</v>
      </c>
    </row>
    <row r="1334" spans="2:14">
      <c r="B1334" s="67">
        <v>1273</v>
      </c>
      <c r="C1334" s="67">
        <f t="shared" si="129"/>
        <v>458280</v>
      </c>
      <c r="D1334" s="67">
        <f t="shared" si="127"/>
        <v>5</v>
      </c>
      <c r="E1334" s="67">
        <f ca="1" t="shared" si="128"/>
        <v>1303</v>
      </c>
      <c r="F1334" s="67">
        <f ca="1" t="shared" si="130"/>
        <v>0</v>
      </c>
      <c r="G1334" s="67">
        <f ca="1" t="shared" si="131"/>
        <v>0</v>
      </c>
      <c r="H1334" s="67" cm="1">
        <f ca="1" t="array" ref="H1334">MIN(30-SUM(I1334:L1334),_xlfn.XLOOKUP($D1334&amp;"_"&amp;H$61,$B$23:$B$45&amp;"_"&amp;$C$23:$C$45,$D$23:$D$45)*$E1334,18)</f>
        <v>10.7469211841599</v>
      </c>
      <c r="I1334" s="67" cm="1">
        <f ca="1" t="array" ref="I1334">MIN(30-SUM(J1334:L1334),6-L1334,_xlfn.XLOOKUP($D1334&amp;"_"&amp;I$61,$B$23:$B$45&amp;"_"&amp;$C$23:$C$45,$D$23:$D$45)*$E1334)</f>
        <v>0</v>
      </c>
      <c r="J1334" s="67" cm="1">
        <f ca="1" t="array" ref="J1334">MIN(8,_xlfn.XLOOKUP($D1334&amp;"_"&amp;J$61,$B$23:$B$45&amp;"_"&amp;$C$23:$C$45,$D$23:$D$45)*$E1334)</f>
        <v>8</v>
      </c>
      <c r="K1334" s="67" cm="1">
        <f ca="1" t="array" ref="K1334">MIN(18,_xlfn.XLOOKUP($D1334&amp;"_"&amp;K$61,$B$23:$B$45&amp;"_"&amp;$C$23:$C$45,$D$23:$D$45)*$E1334)</f>
        <v>5.25307881584007</v>
      </c>
      <c r="L1334" s="67" cm="1">
        <f ca="1" t="array" ref="L1334">MIN(6,_xlfn.XLOOKUP($D1334&amp;"_"&amp;L$61,$B$23:$B$45&amp;"_"&amp;$C$23:$C$45,$D$23:$D$45)*$E1334)</f>
        <v>6</v>
      </c>
      <c r="M1334" s="67" cm="1">
        <f ca="1" t="array" ref="M1334">(1+SUMPRODUCT(G1334:H1334,OFFSET($H$49:$I$49,D1334,0)))*(1+OFFSET($J$49,D1334,0))^I1334*(1+OFFSET($K$49,D1334,0))^J1334*(1+OFFSET($L$49,D1334,0))^K1334*(1+OFFSET($M$49,D1334,0))^L1334</f>
        <v>400.134513128639</v>
      </c>
      <c r="N1334" s="67">
        <f ca="1">MAX(MAX($N$62:N1333),OFFSET($C$61,MATCH(M1334*1.07,$M$62:$M$2061,1),0)-C1334)</f>
        <v>51120</v>
      </c>
    </row>
    <row r="1335" spans="2:14">
      <c r="B1335" s="67">
        <v>1274</v>
      </c>
      <c r="C1335" s="67">
        <f t="shared" si="129"/>
        <v>458640</v>
      </c>
      <c r="D1335" s="67">
        <f t="shared" si="127"/>
        <v>5</v>
      </c>
      <c r="E1335" s="67">
        <f ca="1" t="shared" si="128"/>
        <v>1304</v>
      </c>
      <c r="F1335" s="67">
        <f ca="1" t="shared" si="130"/>
        <v>0</v>
      </c>
      <c r="G1335" s="67">
        <f ca="1" t="shared" si="131"/>
        <v>0</v>
      </c>
      <c r="H1335" s="67" cm="1">
        <f ca="1" t="array" ref="H1335">MIN(30-SUM(I1335:L1335),_xlfn.XLOOKUP($D1335&amp;"_"&amp;H$61,$B$23:$B$45&amp;"_"&amp;$C$23:$C$45,$D$23:$D$45)*$E1335,18)</f>
        <v>10.7428896578239</v>
      </c>
      <c r="I1335" s="67" cm="1">
        <f ca="1" t="array" ref="I1335">MIN(30-SUM(J1335:L1335),6-L1335,_xlfn.XLOOKUP($D1335&amp;"_"&amp;I$61,$B$23:$B$45&amp;"_"&amp;$C$23:$C$45,$D$23:$D$45)*$E1335)</f>
        <v>0</v>
      </c>
      <c r="J1335" s="67" cm="1">
        <f ca="1" t="array" ref="J1335">MIN(8,_xlfn.XLOOKUP($D1335&amp;"_"&amp;J$61,$B$23:$B$45&amp;"_"&amp;$C$23:$C$45,$D$23:$D$45)*$E1335)</f>
        <v>8</v>
      </c>
      <c r="K1335" s="67" cm="1">
        <f ca="1" t="array" ref="K1335">MIN(18,_xlfn.XLOOKUP($D1335&amp;"_"&amp;K$61,$B$23:$B$45&amp;"_"&amp;$C$23:$C$45,$D$23:$D$45)*$E1335)</f>
        <v>5.25711034217609</v>
      </c>
      <c r="L1335" s="67" cm="1">
        <f ca="1" t="array" ref="L1335">MIN(6,_xlfn.XLOOKUP($D1335&amp;"_"&amp;L$61,$B$23:$B$45&amp;"_"&amp;$C$23:$C$45,$D$23:$D$45)*$E1335)</f>
        <v>6</v>
      </c>
      <c r="M1335" s="67" cm="1">
        <f ca="1" t="array" ref="M1335">(1+SUMPRODUCT(G1335:H1335,OFFSET($H$49:$I$49,D1335,0)))*(1+OFFSET($J$49,D1335,0))^I1335*(1+OFFSET($K$49,D1335,0))^J1335*(1+OFFSET($L$49,D1335,0))^K1335*(1+OFFSET($M$49,D1335,0))^L1335</f>
        <v>400.326216027785</v>
      </c>
      <c r="N1335" s="67">
        <f ca="1">MAX(MAX($N$62:N1334),OFFSET($C$61,MATCH(M1335*1.07,$M$62:$M$2061,1),0)-C1335)</f>
        <v>51120</v>
      </c>
    </row>
    <row r="1336" spans="2:14">
      <c r="B1336" s="67">
        <v>1275</v>
      </c>
      <c r="C1336" s="67">
        <f t="shared" si="129"/>
        <v>459000</v>
      </c>
      <c r="D1336" s="67">
        <f t="shared" si="127"/>
        <v>5</v>
      </c>
      <c r="E1336" s="67">
        <f ca="1" t="shared" si="128"/>
        <v>1305</v>
      </c>
      <c r="F1336" s="67">
        <f ca="1" t="shared" si="130"/>
        <v>0</v>
      </c>
      <c r="G1336" s="67">
        <f ca="1" t="shared" si="131"/>
        <v>0</v>
      </c>
      <c r="H1336" s="67" cm="1">
        <f ca="1" t="array" ref="H1336">MIN(30-SUM(I1336:L1336),_xlfn.XLOOKUP($D1336&amp;"_"&amp;H$61,$B$23:$B$45&amp;"_"&amp;$C$23:$C$45,$D$23:$D$45)*$E1336,18)</f>
        <v>10.7388581314879</v>
      </c>
      <c r="I1336" s="67" cm="1">
        <f ca="1" t="array" ref="I1336">MIN(30-SUM(J1336:L1336),6-L1336,_xlfn.XLOOKUP($D1336&amp;"_"&amp;I$61,$B$23:$B$45&amp;"_"&amp;$C$23:$C$45,$D$23:$D$45)*$E1336)</f>
        <v>0</v>
      </c>
      <c r="J1336" s="67" cm="1">
        <f ca="1" t="array" ref="J1336">MIN(8,_xlfn.XLOOKUP($D1336&amp;"_"&amp;J$61,$B$23:$B$45&amp;"_"&amp;$C$23:$C$45,$D$23:$D$45)*$E1336)</f>
        <v>8</v>
      </c>
      <c r="K1336" s="67" cm="1">
        <f ca="1" t="array" ref="K1336">MIN(18,_xlfn.XLOOKUP($D1336&amp;"_"&amp;K$61,$B$23:$B$45&amp;"_"&amp;$C$23:$C$45,$D$23:$D$45)*$E1336)</f>
        <v>5.26114186851212</v>
      </c>
      <c r="L1336" s="67" cm="1">
        <f ca="1" t="array" ref="L1336">MIN(6,_xlfn.XLOOKUP($D1336&amp;"_"&amp;L$61,$B$23:$B$45&amp;"_"&amp;$C$23:$C$45,$D$23:$D$45)*$E1336)</f>
        <v>6</v>
      </c>
      <c r="M1336" s="67" cm="1">
        <f ca="1" t="array" ref="M1336">(1+SUMPRODUCT(G1336:H1336,OFFSET($H$49:$I$49,D1336,0)))*(1+OFFSET($J$49,D1336,0))^I1336*(1+OFFSET($K$49,D1336,0))^J1336*(1+OFFSET($L$49,D1336,0))^K1336*(1+OFFSET($M$49,D1336,0))^L1336</f>
        <v>400.517984505159</v>
      </c>
      <c r="N1336" s="67">
        <f ca="1">MAX(MAX($N$62:N1335),OFFSET($C$61,MATCH(M1336*1.07,$M$62:$M$2061,1),0)-C1336)</f>
        <v>51120</v>
      </c>
    </row>
    <row r="1337" spans="2:14">
      <c r="B1337" s="67">
        <v>1276</v>
      </c>
      <c r="C1337" s="67">
        <f t="shared" si="129"/>
        <v>459360</v>
      </c>
      <c r="D1337" s="67">
        <f t="shared" si="127"/>
        <v>5</v>
      </c>
      <c r="E1337" s="67">
        <f ca="1" t="shared" si="128"/>
        <v>1306</v>
      </c>
      <c r="F1337" s="67">
        <f ca="1" t="shared" si="130"/>
        <v>0</v>
      </c>
      <c r="G1337" s="67">
        <f ca="1" t="shared" si="131"/>
        <v>0</v>
      </c>
      <c r="H1337" s="67" cm="1">
        <f ca="1" t="array" ref="H1337">MIN(30-SUM(I1337:L1337),_xlfn.XLOOKUP($D1337&amp;"_"&amp;H$61,$B$23:$B$45&amp;"_"&amp;$C$23:$C$45,$D$23:$D$45)*$E1337,18)</f>
        <v>10.7348266051519</v>
      </c>
      <c r="I1337" s="67" cm="1">
        <f ca="1" t="array" ref="I1337">MIN(30-SUM(J1337:L1337),6-L1337,_xlfn.XLOOKUP($D1337&amp;"_"&amp;I$61,$B$23:$B$45&amp;"_"&amp;$C$23:$C$45,$D$23:$D$45)*$E1337)</f>
        <v>0</v>
      </c>
      <c r="J1337" s="67" cm="1">
        <f ca="1" t="array" ref="J1337">MIN(8,_xlfn.XLOOKUP($D1337&amp;"_"&amp;J$61,$B$23:$B$45&amp;"_"&amp;$C$23:$C$45,$D$23:$D$45)*$E1337)</f>
        <v>8</v>
      </c>
      <c r="K1337" s="67" cm="1">
        <f ca="1" t="array" ref="K1337">MIN(18,_xlfn.XLOOKUP($D1337&amp;"_"&amp;K$61,$B$23:$B$45&amp;"_"&amp;$C$23:$C$45,$D$23:$D$45)*$E1337)</f>
        <v>5.26517339484814</v>
      </c>
      <c r="L1337" s="67" cm="1">
        <f ca="1" t="array" ref="L1337">MIN(6,_xlfn.XLOOKUP($D1337&amp;"_"&amp;L$61,$B$23:$B$45&amp;"_"&amp;$C$23:$C$45,$D$23:$D$45)*$E1337)</f>
        <v>6</v>
      </c>
      <c r="M1337" s="67" cm="1">
        <f ca="1" t="array" ref="M1337">(1+SUMPRODUCT(G1337:H1337,OFFSET($H$49:$I$49,D1337,0)))*(1+OFFSET($J$49,D1337,0))^I1337*(1+OFFSET($K$49,D1337,0))^J1337*(1+OFFSET($L$49,D1337,0))^K1337*(1+OFFSET($M$49,D1337,0))^L1337</f>
        <v>400.70981855355</v>
      </c>
      <c r="N1337" s="67">
        <f ca="1">MAX(MAX($N$62:N1336),OFFSET($C$61,MATCH(M1337*1.07,$M$62:$M$2061,1),0)-C1337)</f>
        <v>51120</v>
      </c>
    </row>
    <row r="1338" spans="2:14">
      <c r="B1338" s="67">
        <v>1277</v>
      </c>
      <c r="C1338" s="67">
        <f t="shared" si="129"/>
        <v>459720</v>
      </c>
      <c r="D1338" s="67">
        <f t="shared" si="127"/>
        <v>5</v>
      </c>
      <c r="E1338" s="67">
        <f ca="1" t="shared" si="128"/>
        <v>1307</v>
      </c>
      <c r="F1338" s="67">
        <f ca="1" t="shared" si="130"/>
        <v>0</v>
      </c>
      <c r="G1338" s="67">
        <f ca="1" t="shared" si="131"/>
        <v>0</v>
      </c>
      <c r="H1338" s="67" cm="1">
        <f ca="1" t="array" ref="H1338">MIN(30-SUM(I1338:L1338),_xlfn.XLOOKUP($D1338&amp;"_"&amp;H$61,$B$23:$B$45&amp;"_"&amp;$C$23:$C$45,$D$23:$D$45)*$E1338,18)</f>
        <v>10.7307950788158</v>
      </c>
      <c r="I1338" s="67" cm="1">
        <f ca="1" t="array" ref="I1338">MIN(30-SUM(J1338:L1338),6-L1338,_xlfn.XLOOKUP($D1338&amp;"_"&amp;I$61,$B$23:$B$45&amp;"_"&amp;$C$23:$C$45,$D$23:$D$45)*$E1338)</f>
        <v>0</v>
      </c>
      <c r="J1338" s="67" cm="1">
        <f ca="1" t="array" ref="J1338">MIN(8,_xlfn.XLOOKUP($D1338&amp;"_"&amp;J$61,$B$23:$B$45&amp;"_"&amp;$C$23:$C$45,$D$23:$D$45)*$E1338)</f>
        <v>8</v>
      </c>
      <c r="K1338" s="67" cm="1">
        <f ca="1" t="array" ref="K1338">MIN(18,_xlfn.XLOOKUP($D1338&amp;"_"&amp;K$61,$B$23:$B$45&amp;"_"&amp;$C$23:$C$45,$D$23:$D$45)*$E1338)</f>
        <v>5.26920492118416</v>
      </c>
      <c r="L1338" s="67" cm="1">
        <f ca="1" t="array" ref="L1338">MIN(6,_xlfn.XLOOKUP($D1338&amp;"_"&amp;L$61,$B$23:$B$45&amp;"_"&amp;$C$23:$C$45,$D$23:$D$45)*$E1338)</f>
        <v>6</v>
      </c>
      <c r="M1338" s="67" cm="1">
        <f ca="1" t="array" ref="M1338">(1+SUMPRODUCT(G1338:H1338,OFFSET($H$49:$I$49,D1338,0)))*(1+OFFSET($J$49,D1338,0))^I1338*(1+OFFSET($K$49,D1338,0))^J1338*(1+OFFSET($L$49,D1338,0))^K1338*(1+OFFSET($M$49,D1338,0))^L1338</f>
        <v>400.901718165704</v>
      </c>
      <c r="N1338" s="67">
        <f ca="1">MAX(MAX($N$62:N1337),OFFSET($C$61,MATCH(M1338*1.07,$M$62:$M$2061,1),0)-C1338)</f>
        <v>51120</v>
      </c>
    </row>
    <row r="1339" spans="2:14">
      <c r="B1339" s="67">
        <v>1278</v>
      </c>
      <c r="C1339" s="67">
        <f t="shared" si="129"/>
        <v>460080</v>
      </c>
      <c r="D1339" s="67">
        <f t="shared" si="127"/>
        <v>5</v>
      </c>
      <c r="E1339" s="67">
        <f ca="1" t="shared" si="128"/>
        <v>1308</v>
      </c>
      <c r="F1339" s="67">
        <f ca="1" t="shared" si="130"/>
        <v>0</v>
      </c>
      <c r="G1339" s="67">
        <f ca="1" t="shared" si="131"/>
        <v>0</v>
      </c>
      <c r="H1339" s="67" cm="1">
        <f ca="1" t="array" ref="H1339">MIN(30-SUM(I1339:L1339),_xlfn.XLOOKUP($D1339&amp;"_"&amp;H$61,$B$23:$B$45&amp;"_"&amp;$C$23:$C$45,$D$23:$D$45)*$E1339,18)</f>
        <v>10.7267635524798</v>
      </c>
      <c r="I1339" s="67" cm="1">
        <f ca="1" t="array" ref="I1339">MIN(30-SUM(J1339:L1339),6-L1339,_xlfn.XLOOKUP($D1339&amp;"_"&amp;I$61,$B$23:$B$45&amp;"_"&amp;$C$23:$C$45,$D$23:$D$45)*$E1339)</f>
        <v>0</v>
      </c>
      <c r="J1339" s="67" cm="1">
        <f ca="1" t="array" ref="J1339">MIN(8,_xlfn.XLOOKUP($D1339&amp;"_"&amp;J$61,$B$23:$B$45&amp;"_"&amp;$C$23:$C$45,$D$23:$D$45)*$E1339)</f>
        <v>8</v>
      </c>
      <c r="K1339" s="67" cm="1">
        <f ca="1" t="array" ref="K1339">MIN(18,_xlfn.XLOOKUP($D1339&amp;"_"&amp;K$61,$B$23:$B$45&amp;"_"&amp;$C$23:$C$45,$D$23:$D$45)*$E1339)</f>
        <v>5.27323644752019</v>
      </c>
      <c r="L1339" s="67" cm="1">
        <f ca="1" t="array" ref="L1339">MIN(6,_xlfn.XLOOKUP($D1339&amp;"_"&amp;L$61,$B$23:$B$45&amp;"_"&amp;$C$23:$C$45,$D$23:$D$45)*$E1339)</f>
        <v>6</v>
      </c>
      <c r="M1339" s="67" cm="1">
        <f ca="1" t="array" ref="M1339">(1+SUMPRODUCT(G1339:H1339,OFFSET($H$49:$I$49,D1339,0)))*(1+OFFSET($J$49,D1339,0))^I1339*(1+OFFSET($K$49,D1339,0))^J1339*(1+OFFSET($L$49,D1339,0))^K1339*(1+OFFSET($M$49,D1339,0))^L1339</f>
        <v>401.093683334322</v>
      </c>
      <c r="N1339" s="67">
        <f ca="1">MAX(MAX($N$62:N1338),OFFSET($C$61,MATCH(M1339*1.07,$M$62:$M$2061,1),0)-C1339)</f>
        <v>51120</v>
      </c>
    </row>
    <row r="1340" spans="2:14">
      <c r="B1340" s="67">
        <v>1279</v>
      </c>
      <c r="C1340" s="67">
        <f t="shared" si="129"/>
        <v>460440</v>
      </c>
      <c r="D1340" s="67">
        <f t="shared" si="127"/>
        <v>5</v>
      </c>
      <c r="E1340" s="67">
        <f ca="1" t="shared" si="128"/>
        <v>1309</v>
      </c>
      <c r="F1340" s="67">
        <f ca="1" t="shared" si="130"/>
        <v>0</v>
      </c>
      <c r="G1340" s="67">
        <f ca="1" t="shared" si="131"/>
        <v>0</v>
      </c>
      <c r="H1340" s="67" cm="1">
        <f ca="1" t="array" ref="H1340">MIN(30-SUM(I1340:L1340),_xlfn.XLOOKUP($D1340&amp;"_"&amp;H$61,$B$23:$B$45&amp;"_"&amp;$C$23:$C$45,$D$23:$D$45)*$E1340,18)</f>
        <v>10.7227320261438</v>
      </c>
      <c r="I1340" s="67" cm="1">
        <f ca="1" t="array" ref="I1340">MIN(30-SUM(J1340:L1340),6-L1340,_xlfn.XLOOKUP($D1340&amp;"_"&amp;I$61,$B$23:$B$45&amp;"_"&amp;$C$23:$C$45,$D$23:$D$45)*$E1340)</f>
        <v>0</v>
      </c>
      <c r="J1340" s="67" cm="1">
        <f ca="1" t="array" ref="J1340">MIN(8,_xlfn.XLOOKUP($D1340&amp;"_"&amp;J$61,$B$23:$B$45&amp;"_"&amp;$C$23:$C$45,$D$23:$D$45)*$E1340)</f>
        <v>8</v>
      </c>
      <c r="K1340" s="67" cm="1">
        <f ca="1" t="array" ref="K1340">MIN(18,_xlfn.XLOOKUP($D1340&amp;"_"&amp;K$61,$B$23:$B$45&amp;"_"&amp;$C$23:$C$45,$D$23:$D$45)*$E1340)</f>
        <v>5.27726797385621</v>
      </c>
      <c r="L1340" s="67" cm="1">
        <f ca="1" t="array" ref="L1340">MIN(6,_xlfn.XLOOKUP($D1340&amp;"_"&amp;L$61,$B$23:$B$45&amp;"_"&amp;$C$23:$C$45,$D$23:$D$45)*$E1340)</f>
        <v>6</v>
      </c>
      <c r="M1340" s="67" cm="1">
        <f ca="1" t="array" ref="M1340">(1+SUMPRODUCT(G1340:H1340,OFFSET($H$49:$I$49,D1340,0)))*(1+OFFSET($J$49,D1340,0))^I1340*(1+OFFSET($K$49,D1340,0))^J1340*(1+OFFSET($L$49,D1340,0))^K1340*(1+OFFSET($M$49,D1340,0))^L1340</f>
        <v>401.285714052054</v>
      </c>
      <c r="N1340" s="67">
        <f ca="1">MAX(MAX($N$62:N1339),OFFSET($C$61,MATCH(M1340*1.07,$M$62:$M$2061,1),0)-C1340)</f>
        <v>51120</v>
      </c>
    </row>
    <row r="1341" spans="2:14">
      <c r="B1341" s="67">
        <v>1280</v>
      </c>
      <c r="C1341" s="67">
        <f t="shared" si="129"/>
        <v>460800</v>
      </c>
      <c r="D1341" s="67">
        <f t="shared" si="127"/>
        <v>5</v>
      </c>
      <c r="E1341" s="67">
        <f ca="1" t="shared" si="128"/>
        <v>1310</v>
      </c>
      <c r="F1341" s="67">
        <f ca="1" t="shared" si="130"/>
        <v>0</v>
      </c>
      <c r="G1341" s="67">
        <f ca="1" t="shared" si="131"/>
        <v>0</v>
      </c>
      <c r="H1341" s="67" cm="1">
        <f ca="1" t="array" ref="H1341">MIN(30-SUM(I1341:L1341),_xlfn.XLOOKUP($D1341&amp;"_"&amp;H$61,$B$23:$B$45&amp;"_"&amp;$C$23:$C$45,$D$23:$D$45)*$E1341,18)</f>
        <v>10.7187004998078</v>
      </c>
      <c r="I1341" s="67" cm="1">
        <f ca="1" t="array" ref="I1341">MIN(30-SUM(J1341:L1341),6-L1341,_xlfn.XLOOKUP($D1341&amp;"_"&amp;I$61,$B$23:$B$45&amp;"_"&amp;$C$23:$C$45,$D$23:$D$45)*$E1341)</f>
        <v>0</v>
      </c>
      <c r="J1341" s="67" cm="1">
        <f ca="1" t="array" ref="J1341">MIN(8,_xlfn.XLOOKUP($D1341&amp;"_"&amp;J$61,$B$23:$B$45&amp;"_"&amp;$C$23:$C$45,$D$23:$D$45)*$E1341)</f>
        <v>8</v>
      </c>
      <c r="K1341" s="67" cm="1">
        <f ca="1" t="array" ref="K1341">MIN(18,_xlfn.XLOOKUP($D1341&amp;"_"&amp;K$61,$B$23:$B$45&amp;"_"&amp;$C$23:$C$45,$D$23:$D$45)*$E1341)</f>
        <v>5.28129950019224</v>
      </c>
      <c r="L1341" s="67" cm="1">
        <f ca="1" t="array" ref="L1341">MIN(6,_xlfn.XLOOKUP($D1341&amp;"_"&amp;L$61,$B$23:$B$45&amp;"_"&amp;$C$23:$C$45,$D$23:$D$45)*$E1341)</f>
        <v>6</v>
      </c>
      <c r="M1341" s="67" cm="1">
        <f ca="1" t="array" ref="M1341">(1+SUMPRODUCT(G1341:H1341,OFFSET($H$49:$I$49,D1341,0)))*(1+OFFSET($J$49,D1341,0))^I1341*(1+OFFSET($K$49,D1341,0))^J1341*(1+OFFSET($L$49,D1341,0))^K1341*(1+OFFSET($M$49,D1341,0))^L1341</f>
        <v>401.477810311509</v>
      </c>
      <c r="N1341" s="67">
        <f ca="1">MAX(MAX($N$62:N1340),OFFSET($C$61,MATCH(M1341*1.07,$M$62:$M$2061,1),0)-C1341)</f>
        <v>51120</v>
      </c>
    </row>
    <row r="1342" spans="2:14">
      <c r="B1342" s="67">
        <v>1281</v>
      </c>
      <c r="C1342" s="67">
        <f t="shared" si="129"/>
        <v>461160</v>
      </c>
      <c r="D1342" s="67">
        <f t="shared" si="127"/>
        <v>5</v>
      </c>
      <c r="E1342" s="67">
        <f ca="1" t="shared" si="128"/>
        <v>1311</v>
      </c>
      <c r="F1342" s="67">
        <f ca="1" t="shared" si="130"/>
        <v>0</v>
      </c>
      <c r="G1342" s="67">
        <f ca="1" t="shared" si="131"/>
        <v>0</v>
      </c>
      <c r="H1342" s="67" cm="1">
        <f ca="1" t="array" ref="H1342">MIN(30-SUM(I1342:L1342),_xlfn.XLOOKUP($D1342&amp;"_"&amp;H$61,$B$23:$B$45&amp;"_"&amp;$C$23:$C$45,$D$23:$D$45)*$E1342,18)</f>
        <v>10.7146689734717</v>
      </c>
      <c r="I1342" s="67" cm="1">
        <f ca="1" t="array" ref="I1342">MIN(30-SUM(J1342:L1342),6-L1342,_xlfn.XLOOKUP($D1342&amp;"_"&amp;I$61,$B$23:$B$45&amp;"_"&amp;$C$23:$C$45,$D$23:$D$45)*$E1342)</f>
        <v>0</v>
      </c>
      <c r="J1342" s="67" cm="1">
        <f ca="1" t="array" ref="J1342">MIN(8,_xlfn.XLOOKUP($D1342&amp;"_"&amp;J$61,$B$23:$B$45&amp;"_"&amp;$C$23:$C$45,$D$23:$D$45)*$E1342)</f>
        <v>8</v>
      </c>
      <c r="K1342" s="67" cm="1">
        <f ca="1" t="array" ref="K1342">MIN(18,_xlfn.XLOOKUP($D1342&amp;"_"&amp;K$61,$B$23:$B$45&amp;"_"&amp;$C$23:$C$45,$D$23:$D$45)*$E1342)</f>
        <v>5.28533102652826</v>
      </c>
      <c r="L1342" s="67" cm="1">
        <f ca="1" t="array" ref="L1342">MIN(6,_xlfn.XLOOKUP($D1342&amp;"_"&amp;L$61,$B$23:$B$45&amp;"_"&amp;$C$23:$C$45,$D$23:$D$45)*$E1342)</f>
        <v>6</v>
      </c>
      <c r="M1342" s="67" cm="1">
        <f ca="1" t="array" ref="M1342">(1+SUMPRODUCT(G1342:H1342,OFFSET($H$49:$I$49,D1342,0)))*(1+OFFSET($J$49,D1342,0))^I1342*(1+OFFSET($K$49,D1342,0))^J1342*(1+OFFSET($L$49,D1342,0))^K1342*(1+OFFSET($M$49,D1342,0))^L1342</f>
        <v>401.669972105248</v>
      </c>
      <c r="N1342" s="67">
        <f ca="1">MAX(MAX($N$62:N1341),OFFSET($C$61,MATCH(M1342*1.07,$M$62:$M$2061,1),0)-C1342)</f>
        <v>51120</v>
      </c>
    </row>
    <row r="1343" spans="2:14">
      <c r="B1343" s="67">
        <v>1282</v>
      </c>
      <c r="C1343" s="67">
        <f t="shared" si="129"/>
        <v>461520</v>
      </c>
      <c r="D1343" s="67">
        <f t="shared" ref="D1343:D1406" si="132">_xlfn.XLOOKUP("非R",$B$49:$B$54,$C$49:$C$54)</f>
        <v>5</v>
      </c>
      <c r="E1343" s="67">
        <f ca="1" t="shared" ref="E1343:E1406" si="133">INT(C1343/_xlfn.XLOOKUP(D1343,$R$14:$R$21,$S$14:$S$21))+OFFSET($R$49,D1343,0)</f>
        <v>1312</v>
      </c>
      <c r="F1343" s="67">
        <f ca="1" t="shared" si="130"/>
        <v>0</v>
      </c>
      <c r="G1343" s="67">
        <f ca="1" t="shared" si="131"/>
        <v>0</v>
      </c>
      <c r="H1343" s="67" cm="1">
        <f ca="1" t="array" ref="H1343">MIN(30-SUM(I1343:L1343),_xlfn.XLOOKUP($D1343&amp;"_"&amp;H$61,$B$23:$B$45&amp;"_"&amp;$C$23:$C$45,$D$23:$D$45)*$E1343,18)</f>
        <v>10.7106374471357</v>
      </c>
      <c r="I1343" s="67" cm="1">
        <f ca="1" t="array" ref="I1343">MIN(30-SUM(J1343:L1343),6-L1343,_xlfn.XLOOKUP($D1343&amp;"_"&amp;I$61,$B$23:$B$45&amp;"_"&amp;$C$23:$C$45,$D$23:$D$45)*$E1343)</f>
        <v>0</v>
      </c>
      <c r="J1343" s="67" cm="1">
        <f ca="1" t="array" ref="J1343">MIN(8,_xlfn.XLOOKUP($D1343&amp;"_"&amp;J$61,$B$23:$B$45&amp;"_"&amp;$C$23:$C$45,$D$23:$D$45)*$E1343)</f>
        <v>8</v>
      </c>
      <c r="K1343" s="67" cm="1">
        <f ca="1" t="array" ref="K1343">MIN(18,_xlfn.XLOOKUP($D1343&amp;"_"&amp;K$61,$B$23:$B$45&amp;"_"&amp;$C$23:$C$45,$D$23:$D$45)*$E1343)</f>
        <v>5.28936255286429</v>
      </c>
      <c r="L1343" s="67" cm="1">
        <f ca="1" t="array" ref="L1343">MIN(6,_xlfn.XLOOKUP($D1343&amp;"_"&amp;L$61,$B$23:$B$45&amp;"_"&amp;$C$23:$C$45,$D$23:$D$45)*$E1343)</f>
        <v>6</v>
      </c>
      <c r="M1343" s="67" cm="1">
        <f ca="1" t="array" ref="M1343">(1+SUMPRODUCT(G1343:H1343,OFFSET($H$49:$I$49,D1343,0)))*(1+OFFSET($J$49,D1343,0))^I1343*(1+OFFSET($K$49,D1343,0))^J1343*(1+OFFSET($L$49,D1343,0))^K1343*(1+OFFSET($M$49,D1343,0))^L1343</f>
        <v>401.862199425783</v>
      </c>
      <c r="N1343" s="67">
        <f ca="1">MAX(MAX($N$62:N1342),OFFSET($C$61,MATCH(M1343*1.07,$M$62:$M$2061,1),0)-C1343)</f>
        <v>51120</v>
      </c>
    </row>
    <row r="1344" spans="2:14">
      <c r="B1344" s="67">
        <v>1283</v>
      </c>
      <c r="C1344" s="67">
        <f t="shared" si="129"/>
        <v>461880</v>
      </c>
      <c r="D1344" s="67">
        <f t="shared" si="132"/>
        <v>5</v>
      </c>
      <c r="E1344" s="67">
        <f ca="1" t="shared" si="133"/>
        <v>1313</v>
      </c>
      <c r="F1344" s="67">
        <f ca="1" t="shared" si="130"/>
        <v>0</v>
      </c>
      <c r="G1344" s="67">
        <f ca="1" t="shared" si="131"/>
        <v>0</v>
      </c>
      <c r="H1344" s="67" cm="1">
        <f ca="1" t="array" ref="H1344">MIN(30-SUM(I1344:L1344),_xlfn.XLOOKUP($D1344&amp;"_"&amp;H$61,$B$23:$B$45&amp;"_"&amp;$C$23:$C$45,$D$23:$D$45)*$E1344,18)</f>
        <v>10.7066059207997</v>
      </c>
      <c r="I1344" s="67" cm="1">
        <f ca="1" t="array" ref="I1344">MIN(30-SUM(J1344:L1344),6-L1344,_xlfn.XLOOKUP($D1344&amp;"_"&amp;I$61,$B$23:$B$45&amp;"_"&amp;$C$23:$C$45,$D$23:$D$45)*$E1344)</f>
        <v>0</v>
      </c>
      <c r="J1344" s="67" cm="1">
        <f ca="1" t="array" ref="J1344">MIN(8,_xlfn.XLOOKUP($D1344&amp;"_"&amp;J$61,$B$23:$B$45&amp;"_"&amp;$C$23:$C$45,$D$23:$D$45)*$E1344)</f>
        <v>8</v>
      </c>
      <c r="K1344" s="67" cm="1">
        <f ca="1" t="array" ref="K1344">MIN(18,_xlfn.XLOOKUP($D1344&amp;"_"&amp;K$61,$B$23:$B$45&amp;"_"&amp;$C$23:$C$45,$D$23:$D$45)*$E1344)</f>
        <v>5.29339407920031</v>
      </c>
      <c r="L1344" s="67" cm="1">
        <f ca="1" t="array" ref="L1344">MIN(6,_xlfn.XLOOKUP($D1344&amp;"_"&amp;L$61,$B$23:$B$45&amp;"_"&amp;$C$23:$C$45,$D$23:$D$45)*$E1344)</f>
        <v>6</v>
      </c>
      <c r="M1344" s="67" cm="1">
        <f ca="1" t="array" ref="M1344">(1+SUMPRODUCT(G1344:H1344,OFFSET($H$49:$I$49,D1344,0)))*(1+OFFSET($J$49,D1344,0))^I1344*(1+OFFSET($K$49,D1344,0))^J1344*(1+OFFSET($L$49,D1344,0))^K1344*(1+OFFSET($M$49,D1344,0))^L1344</f>
        <v>402.054492265583</v>
      </c>
      <c r="N1344" s="67">
        <f ca="1">MAX(MAX($N$62:N1343),OFFSET($C$61,MATCH(M1344*1.07,$M$62:$M$2061,1),0)-C1344)</f>
        <v>51120</v>
      </c>
    </row>
    <row r="1345" spans="2:14">
      <c r="B1345" s="67">
        <v>1284</v>
      </c>
      <c r="C1345" s="67">
        <f t="shared" si="129"/>
        <v>462240</v>
      </c>
      <c r="D1345" s="67">
        <f t="shared" si="132"/>
        <v>5</v>
      </c>
      <c r="E1345" s="67">
        <f ca="1" t="shared" si="133"/>
        <v>1314</v>
      </c>
      <c r="F1345" s="67">
        <f ca="1" t="shared" si="130"/>
        <v>0</v>
      </c>
      <c r="G1345" s="67">
        <f ca="1" t="shared" si="131"/>
        <v>0</v>
      </c>
      <c r="H1345" s="67" cm="1">
        <f ca="1" t="array" ref="H1345">MIN(30-SUM(I1345:L1345),_xlfn.XLOOKUP($D1345&amp;"_"&amp;H$61,$B$23:$B$45&amp;"_"&amp;$C$23:$C$45,$D$23:$D$45)*$E1345,18)</f>
        <v>10.7025743944637</v>
      </c>
      <c r="I1345" s="67" cm="1">
        <f ca="1" t="array" ref="I1345">MIN(30-SUM(J1345:L1345),6-L1345,_xlfn.XLOOKUP($D1345&amp;"_"&amp;I$61,$B$23:$B$45&amp;"_"&amp;$C$23:$C$45,$D$23:$D$45)*$E1345)</f>
        <v>0</v>
      </c>
      <c r="J1345" s="67" cm="1">
        <f ca="1" t="array" ref="J1345">MIN(8,_xlfn.XLOOKUP($D1345&amp;"_"&amp;J$61,$B$23:$B$45&amp;"_"&amp;$C$23:$C$45,$D$23:$D$45)*$E1345)</f>
        <v>8</v>
      </c>
      <c r="K1345" s="67" cm="1">
        <f ca="1" t="array" ref="K1345">MIN(18,_xlfn.XLOOKUP($D1345&amp;"_"&amp;K$61,$B$23:$B$45&amp;"_"&amp;$C$23:$C$45,$D$23:$D$45)*$E1345)</f>
        <v>5.29742560553634</v>
      </c>
      <c r="L1345" s="67" cm="1">
        <f ca="1" t="array" ref="L1345">MIN(6,_xlfn.XLOOKUP($D1345&amp;"_"&amp;L$61,$B$23:$B$45&amp;"_"&amp;$C$23:$C$45,$D$23:$D$45)*$E1345)</f>
        <v>6</v>
      </c>
      <c r="M1345" s="67" cm="1">
        <f ca="1" t="array" ref="M1345">(1+SUMPRODUCT(G1345:H1345,OFFSET($H$49:$I$49,D1345,0)))*(1+OFFSET($J$49,D1345,0))^I1345*(1+OFFSET($K$49,D1345,0))^J1345*(1+OFFSET($L$49,D1345,0))^K1345*(1+OFFSET($M$49,D1345,0))^L1345</f>
        <v>402.246850617068</v>
      </c>
      <c r="N1345" s="67">
        <f ca="1">MAX(MAX($N$62:N1344),OFFSET($C$61,MATCH(M1345*1.07,$M$62:$M$2061,1),0)-C1345)</f>
        <v>51120</v>
      </c>
    </row>
    <row r="1346" spans="2:14">
      <c r="B1346" s="67">
        <v>1285</v>
      </c>
      <c r="C1346" s="67">
        <f t="shared" si="129"/>
        <v>462600</v>
      </c>
      <c r="D1346" s="67">
        <f t="shared" si="132"/>
        <v>5</v>
      </c>
      <c r="E1346" s="67">
        <f ca="1" t="shared" si="133"/>
        <v>1315</v>
      </c>
      <c r="F1346" s="67">
        <f ca="1" t="shared" si="130"/>
        <v>0</v>
      </c>
      <c r="G1346" s="67">
        <f ca="1" t="shared" si="131"/>
        <v>0</v>
      </c>
      <c r="H1346" s="67" cm="1">
        <f ca="1" t="array" ref="H1346">MIN(30-SUM(I1346:L1346),_xlfn.XLOOKUP($D1346&amp;"_"&amp;H$61,$B$23:$B$45&amp;"_"&amp;$C$23:$C$45,$D$23:$D$45)*$E1346,18)</f>
        <v>10.6985428681276</v>
      </c>
      <c r="I1346" s="67" cm="1">
        <f ca="1" t="array" ref="I1346">MIN(30-SUM(J1346:L1346),6-L1346,_xlfn.XLOOKUP($D1346&amp;"_"&amp;I$61,$B$23:$B$45&amp;"_"&amp;$C$23:$C$45,$D$23:$D$45)*$E1346)</f>
        <v>0</v>
      </c>
      <c r="J1346" s="67" cm="1">
        <f ca="1" t="array" ref="J1346">MIN(8,_xlfn.XLOOKUP($D1346&amp;"_"&amp;J$61,$B$23:$B$45&amp;"_"&amp;$C$23:$C$45,$D$23:$D$45)*$E1346)</f>
        <v>8</v>
      </c>
      <c r="K1346" s="67" cm="1">
        <f ca="1" t="array" ref="K1346">MIN(18,_xlfn.XLOOKUP($D1346&amp;"_"&amp;K$61,$B$23:$B$45&amp;"_"&amp;$C$23:$C$45,$D$23:$D$45)*$E1346)</f>
        <v>5.30145713187236</v>
      </c>
      <c r="L1346" s="67" cm="1">
        <f ca="1" t="array" ref="L1346">MIN(6,_xlfn.XLOOKUP($D1346&amp;"_"&amp;L$61,$B$23:$B$45&amp;"_"&amp;$C$23:$C$45,$D$23:$D$45)*$E1346)</f>
        <v>6</v>
      </c>
      <c r="M1346" s="67" cm="1">
        <f ca="1" t="array" ref="M1346">(1+SUMPRODUCT(G1346:H1346,OFFSET($H$49:$I$49,D1346,0)))*(1+OFFSET($J$49,D1346,0))^I1346*(1+OFFSET($K$49,D1346,0))^J1346*(1+OFFSET($L$49,D1346,0))^K1346*(1+OFFSET($M$49,D1346,0))^L1346</f>
        <v>402.439274472615</v>
      </c>
      <c r="N1346" s="67">
        <f ca="1">MAX(MAX($N$62:N1345),OFFSET($C$61,MATCH(M1346*1.07,$M$62:$M$2061,1),0)-C1346)</f>
        <v>51120</v>
      </c>
    </row>
    <row r="1347" spans="2:14">
      <c r="B1347" s="67">
        <v>1286</v>
      </c>
      <c r="C1347" s="67">
        <f t="shared" si="129"/>
        <v>462960</v>
      </c>
      <c r="D1347" s="67">
        <f t="shared" si="132"/>
        <v>5</v>
      </c>
      <c r="E1347" s="67">
        <f ca="1" t="shared" si="133"/>
        <v>1316</v>
      </c>
      <c r="F1347" s="67">
        <f ca="1" t="shared" si="130"/>
        <v>0</v>
      </c>
      <c r="G1347" s="67">
        <f ca="1" t="shared" si="131"/>
        <v>0</v>
      </c>
      <c r="H1347" s="67" cm="1">
        <f ca="1" t="array" ref="H1347">MIN(30-SUM(I1347:L1347),_xlfn.XLOOKUP($D1347&amp;"_"&amp;H$61,$B$23:$B$45&amp;"_"&amp;$C$23:$C$45,$D$23:$D$45)*$E1347,18)</f>
        <v>10.6945113417916</v>
      </c>
      <c r="I1347" s="67" cm="1">
        <f ca="1" t="array" ref="I1347">MIN(30-SUM(J1347:L1347),6-L1347,_xlfn.XLOOKUP($D1347&amp;"_"&amp;I$61,$B$23:$B$45&amp;"_"&amp;$C$23:$C$45,$D$23:$D$45)*$E1347)</f>
        <v>0</v>
      </c>
      <c r="J1347" s="67" cm="1">
        <f ca="1" t="array" ref="J1347">MIN(8,_xlfn.XLOOKUP($D1347&amp;"_"&amp;J$61,$B$23:$B$45&amp;"_"&amp;$C$23:$C$45,$D$23:$D$45)*$E1347)</f>
        <v>8</v>
      </c>
      <c r="K1347" s="67" cm="1">
        <f ca="1" t="array" ref="K1347">MIN(18,_xlfn.XLOOKUP($D1347&amp;"_"&amp;K$61,$B$23:$B$45&amp;"_"&amp;$C$23:$C$45,$D$23:$D$45)*$E1347)</f>
        <v>5.30548865820839</v>
      </c>
      <c r="L1347" s="67" cm="1">
        <f ca="1" t="array" ref="L1347">MIN(6,_xlfn.XLOOKUP($D1347&amp;"_"&amp;L$61,$B$23:$B$45&amp;"_"&amp;$C$23:$C$45,$D$23:$D$45)*$E1347)</f>
        <v>6</v>
      </c>
      <c r="M1347" s="67" cm="1">
        <f ca="1" t="array" ref="M1347">(1+SUMPRODUCT(G1347:H1347,OFFSET($H$49:$I$49,D1347,0)))*(1+OFFSET($J$49,D1347,0))^I1347*(1+OFFSET($K$49,D1347,0))^J1347*(1+OFFSET($L$49,D1347,0))^K1347*(1+OFFSET($M$49,D1347,0))^L1347</f>
        <v>402.631763824549</v>
      </c>
      <c r="N1347" s="67">
        <f ca="1">MAX(MAX($N$62:N1346),OFFSET($C$61,MATCH(M1347*1.07,$M$62:$M$2061,1),0)-C1347)</f>
        <v>51120</v>
      </c>
    </row>
    <row r="1348" spans="2:14">
      <c r="B1348" s="67">
        <v>1287</v>
      </c>
      <c r="C1348" s="67">
        <f t="shared" si="129"/>
        <v>463320</v>
      </c>
      <c r="D1348" s="67">
        <f t="shared" si="132"/>
        <v>5</v>
      </c>
      <c r="E1348" s="67">
        <f ca="1" t="shared" si="133"/>
        <v>1317</v>
      </c>
      <c r="F1348" s="67">
        <f ca="1" t="shared" si="130"/>
        <v>0</v>
      </c>
      <c r="G1348" s="67">
        <f ca="1" t="shared" si="131"/>
        <v>0</v>
      </c>
      <c r="H1348" s="67" cm="1">
        <f ca="1" t="array" ref="H1348">MIN(30-SUM(I1348:L1348),_xlfn.XLOOKUP($D1348&amp;"_"&amp;H$61,$B$23:$B$45&amp;"_"&amp;$C$23:$C$45,$D$23:$D$45)*$E1348,18)</f>
        <v>10.6904798154556</v>
      </c>
      <c r="I1348" s="67" cm="1">
        <f ca="1" t="array" ref="I1348">MIN(30-SUM(J1348:L1348),6-L1348,_xlfn.XLOOKUP($D1348&amp;"_"&amp;I$61,$B$23:$B$45&amp;"_"&amp;$C$23:$C$45,$D$23:$D$45)*$E1348)</f>
        <v>0</v>
      </c>
      <c r="J1348" s="67" cm="1">
        <f ca="1" t="array" ref="J1348">MIN(8,_xlfn.XLOOKUP($D1348&amp;"_"&amp;J$61,$B$23:$B$45&amp;"_"&amp;$C$23:$C$45,$D$23:$D$45)*$E1348)</f>
        <v>8</v>
      </c>
      <c r="K1348" s="67" cm="1">
        <f ca="1" t="array" ref="K1348">MIN(18,_xlfn.XLOOKUP($D1348&amp;"_"&amp;K$61,$B$23:$B$45&amp;"_"&amp;$C$23:$C$45,$D$23:$D$45)*$E1348)</f>
        <v>5.30952018454441</v>
      </c>
      <c r="L1348" s="67" cm="1">
        <f ca="1" t="array" ref="L1348">MIN(6,_xlfn.XLOOKUP($D1348&amp;"_"&amp;L$61,$B$23:$B$45&amp;"_"&amp;$C$23:$C$45,$D$23:$D$45)*$E1348)</f>
        <v>6</v>
      </c>
      <c r="M1348" s="67" cm="1">
        <f ca="1" t="array" ref="M1348">(1+SUMPRODUCT(G1348:H1348,OFFSET($H$49:$I$49,D1348,0)))*(1+OFFSET($J$49,D1348,0))^I1348*(1+OFFSET($K$49,D1348,0))^J1348*(1+OFFSET($L$49,D1348,0))^K1348*(1+OFFSET($M$49,D1348,0))^L1348</f>
        <v>402.824318665154</v>
      </c>
      <c r="N1348" s="67">
        <f ca="1">MAX(MAX($N$62:N1347),OFFSET($C$61,MATCH(M1348*1.07,$M$62:$M$2061,1),0)-C1348)</f>
        <v>51120</v>
      </c>
    </row>
    <row r="1349" spans="2:14">
      <c r="B1349" s="67">
        <v>1288</v>
      </c>
      <c r="C1349" s="67">
        <f t="shared" si="129"/>
        <v>463680</v>
      </c>
      <c r="D1349" s="67">
        <f t="shared" si="132"/>
        <v>5</v>
      </c>
      <c r="E1349" s="67">
        <f ca="1" t="shared" si="133"/>
        <v>1318</v>
      </c>
      <c r="F1349" s="67">
        <f ca="1" t="shared" si="130"/>
        <v>0</v>
      </c>
      <c r="G1349" s="67">
        <f ca="1" t="shared" si="131"/>
        <v>0</v>
      </c>
      <c r="H1349" s="67" cm="1">
        <f ca="1" t="array" ref="H1349">MIN(30-SUM(I1349:L1349),_xlfn.XLOOKUP($D1349&amp;"_"&amp;H$61,$B$23:$B$45&amp;"_"&amp;$C$23:$C$45,$D$23:$D$45)*$E1349,18)</f>
        <v>10.6864482891196</v>
      </c>
      <c r="I1349" s="67" cm="1">
        <f ca="1" t="array" ref="I1349">MIN(30-SUM(J1349:L1349),6-L1349,_xlfn.XLOOKUP($D1349&amp;"_"&amp;I$61,$B$23:$B$45&amp;"_"&amp;$C$23:$C$45,$D$23:$D$45)*$E1349)</f>
        <v>0</v>
      </c>
      <c r="J1349" s="67" cm="1">
        <f ca="1" t="array" ref="J1349">MIN(8,_xlfn.XLOOKUP($D1349&amp;"_"&amp;J$61,$B$23:$B$45&amp;"_"&amp;$C$23:$C$45,$D$23:$D$45)*$E1349)</f>
        <v>8</v>
      </c>
      <c r="K1349" s="67" cm="1">
        <f ca="1" t="array" ref="K1349">MIN(18,_xlfn.XLOOKUP($D1349&amp;"_"&amp;K$61,$B$23:$B$45&amp;"_"&amp;$C$23:$C$45,$D$23:$D$45)*$E1349)</f>
        <v>5.31355171088044</v>
      </c>
      <c r="L1349" s="67" cm="1">
        <f ca="1" t="array" ref="L1349">MIN(6,_xlfn.XLOOKUP($D1349&amp;"_"&amp;L$61,$B$23:$B$45&amp;"_"&amp;$C$23:$C$45,$D$23:$D$45)*$E1349)</f>
        <v>6</v>
      </c>
      <c r="M1349" s="67" cm="1">
        <f ca="1" t="array" ref="M1349">(1+SUMPRODUCT(G1349:H1349,OFFSET($H$49:$I$49,D1349,0)))*(1+OFFSET($J$49,D1349,0))^I1349*(1+OFFSET($K$49,D1349,0))^J1349*(1+OFFSET($L$49,D1349,0))^K1349*(1+OFFSET($M$49,D1349,0))^L1349</f>
        <v>403.016938986663</v>
      </c>
      <c r="N1349" s="67">
        <f ca="1">MAX(MAX($N$62:N1348),OFFSET($C$61,MATCH(M1349*1.07,$M$62:$M$2061,1),0)-C1349)</f>
        <v>51120</v>
      </c>
    </row>
    <row r="1350" spans="2:14">
      <c r="B1350" s="67">
        <v>1289</v>
      </c>
      <c r="C1350" s="67">
        <f t="shared" si="129"/>
        <v>464040</v>
      </c>
      <c r="D1350" s="67">
        <f t="shared" si="132"/>
        <v>5</v>
      </c>
      <c r="E1350" s="67">
        <f ca="1" t="shared" si="133"/>
        <v>1319</v>
      </c>
      <c r="F1350" s="67">
        <f ca="1" t="shared" si="130"/>
        <v>0</v>
      </c>
      <c r="G1350" s="67">
        <f ca="1" t="shared" si="131"/>
        <v>0</v>
      </c>
      <c r="H1350" s="67" cm="1">
        <f ca="1" t="array" ref="H1350">MIN(30-SUM(I1350:L1350),_xlfn.XLOOKUP($D1350&amp;"_"&amp;H$61,$B$23:$B$45&amp;"_"&amp;$C$23:$C$45,$D$23:$D$45)*$E1350,18)</f>
        <v>10.6824167627835</v>
      </c>
      <c r="I1350" s="67" cm="1">
        <f ca="1" t="array" ref="I1350">MIN(30-SUM(J1350:L1350),6-L1350,_xlfn.XLOOKUP($D1350&amp;"_"&amp;I$61,$B$23:$B$45&amp;"_"&amp;$C$23:$C$45,$D$23:$D$45)*$E1350)</f>
        <v>0</v>
      </c>
      <c r="J1350" s="67" cm="1">
        <f ca="1" t="array" ref="J1350">MIN(8,_xlfn.XLOOKUP($D1350&amp;"_"&amp;J$61,$B$23:$B$45&amp;"_"&amp;$C$23:$C$45,$D$23:$D$45)*$E1350)</f>
        <v>8</v>
      </c>
      <c r="K1350" s="67" cm="1">
        <f ca="1" t="array" ref="K1350">MIN(18,_xlfn.XLOOKUP($D1350&amp;"_"&amp;K$61,$B$23:$B$45&amp;"_"&amp;$C$23:$C$45,$D$23:$D$45)*$E1350)</f>
        <v>5.31758323721646</v>
      </c>
      <c r="L1350" s="67" cm="1">
        <f ca="1" t="array" ref="L1350">MIN(6,_xlfn.XLOOKUP($D1350&amp;"_"&amp;L$61,$B$23:$B$45&amp;"_"&amp;$C$23:$C$45,$D$23:$D$45)*$E1350)</f>
        <v>6</v>
      </c>
      <c r="M1350" s="67" cm="1">
        <f ca="1" t="array" ref="M1350">(1+SUMPRODUCT(G1350:H1350,OFFSET($H$49:$I$49,D1350,0)))*(1+OFFSET($J$49,D1350,0))^I1350*(1+OFFSET($K$49,D1350,0))^J1350*(1+OFFSET($L$49,D1350,0))^K1350*(1+OFFSET($M$49,D1350,0))^L1350</f>
        <v>403.209624781263</v>
      </c>
      <c r="N1350" s="67">
        <f ca="1">MAX(MAX($N$62:N1349),OFFSET($C$61,MATCH(M1350*1.07,$M$62:$M$2061,1),0)-C1350)</f>
        <v>51480</v>
      </c>
    </row>
    <row r="1351" spans="2:14">
      <c r="B1351" s="67">
        <v>1290</v>
      </c>
      <c r="C1351" s="67">
        <f t="shared" si="129"/>
        <v>464400</v>
      </c>
      <c r="D1351" s="67">
        <f t="shared" si="132"/>
        <v>5</v>
      </c>
      <c r="E1351" s="67">
        <f ca="1" t="shared" si="133"/>
        <v>1320</v>
      </c>
      <c r="F1351" s="67">
        <f ca="1" t="shared" si="130"/>
        <v>0</v>
      </c>
      <c r="G1351" s="67">
        <f ca="1" t="shared" si="131"/>
        <v>0</v>
      </c>
      <c r="H1351" s="67" cm="1">
        <f ca="1" t="array" ref="H1351">MIN(30-SUM(I1351:L1351),_xlfn.XLOOKUP($D1351&amp;"_"&amp;H$61,$B$23:$B$45&amp;"_"&amp;$C$23:$C$45,$D$23:$D$45)*$E1351,18)</f>
        <v>10.6783852364475</v>
      </c>
      <c r="I1351" s="67" cm="1">
        <f ca="1" t="array" ref="I1351">MIN(30-SUM(J1351:L1351),6-L1351,_xlfn.XLOOKUP($D1351&amp;"_"&amp;I$61,$B$23:$B$45&amp;"_"&amp;$C$23:$C$45,$D$23:$D$45)*$E1351)</f>
        <v>0</v>
      </c>
      <c r="J1351" s="67" cm="1">
        <f ca="1" t="array" ref="J1351">MIN(8,_xlfn.XLOOKUP($D1351&amp;"_"&amp;J$61,$B$23:$B$45&amp;"_"&amp;$C$23:$C$45,$D$23:$D$45)*$E1351)</f>
        <v>8</v>
      </c>
      <c r="K1351" s="67" cm="1">
        <f ca="1" t="array" ref="K1351">MIN(18,_xlfn.XLOOKUP($D1351&amp;"_"&amp;K$61,$B$23:$B$45&amp;"_"&amp;$C$23:$C$45,$D$23:$D$45)*$E1351)</f>
        <v>5.32161476355248</v>
      </c>
      <c r="L1351" s="67" cm="1">
        <f ca="1" t="array" ref="L1351">MIN(6,_xlfn.XLOOKUP($D1351&amp;"_"&amp;L$61,$B$23:$B$45&amp;"_"&amp;$C$23:$C$45,$D$23:$D$45)*$E1351)</f>
        <v>6</v>
      </c>
      <c r="M1351" s="67" cm="1">
        <f ca="1" t="array" ref="M1351">(1+SUMPRODUCT(G1351:H1351,OFFSET($H$49:$I$49,D1351,0)))*(1+OFFSET($J$49,D1351,0))^I1351*(1+OFFSET($K$49,D1351,0))^J1351*(1+OFFSET($L$49,D1351,0))^K1351*(1+OFFSET($M$49,D1351,0))^L1351</f>
        <v>403.402376041097</v>
      </c>
      <c r="N1351" s="67">
        <f ca="1">MAX(MAX($N$62:N1350),OFFSET($C$61,MATCH(M1351*1.07,$M$62:$M$2061,1),0)-C1351)</f>
        <v>51480</v>
      </c>
    </row>
    <row r="1352" spans="2:14">
      <c r="B1352" s="67">
        <v>1291</v>
      </c>
      <c r="C1352" s="67">
        <f t="shared" si="129"/>
        <v>464760</v>
      </c>
      <c r="D1352" s="67">
        <f t="shared" si="132"/>
        <v>5</v>
      </c>
      <c r="E1352" s="67">
        <f ca="1" t="shared" si="133"/>
        <v>1321</v>
      </c>
      <c r="F1352" s="67">
        <f ca="1" t="shared" si="130"/>
        <v>0</v>
      </c>
      <c r="G1352" s="67">
        <f ca="1" t="shared" si="131"/>
        <v>0</v>
      </c>
      <c r="H1352" s="67" cm="1">
        <f ca="1" t="array" ref="H1352">MIN(30-SUM(I1352:L1352),_xlfn.XLOOKUP($D1352&amp;"_"&amp;H$61,$B$23:$B$45&amp;"_"&amp;$C$23:$C$45,$D$23:$D$45)*$E1352,18)</f>
        <v>10.6743537101115</v>
      </c>
      <c r="I1352" s="67" cm="1">
        <f ca="1" t="array" ref="I1352">MIN(30-SUM(J1352:L1352),6-L1352,_xlfn.XLOOKUP($D1352&amp;"_"&amp;I$61,$B$23:$B$45&amp;"_"&amp;$C$23:$C$45,$D$23:$D$45)*$E1352)</f>
        <v>0</v>
      </c>
      <c r="J1352" s="67" cm="1">
        <f ca="1" t="array" ref="J1352">MIN(8,_xlfn.XLOOKUP($D1352&amp;"_"&amp;J$61,$B$23:$B$45&amp;"_"&amp;$C$23:$C$45,$D$23:$D$45)*$E1352)</f>
        <v>8</v>
      </c>
      <c r="K1352" s="67" cm="1">
        <f ca="1" t="array" ref="K1352">MIN(18,_xlfn.XLOOKUP($D1352&amp;"_"&amp;K$61,$B$23:$B$45&amp;"_"&amp;$C$23:$C$45,$D$23:$D$45)*$E1352)</f>
        <v>5.32564628988851</v>
      </c>
      <c r="L1352" s="67" cm="1">
        <f ca="1" t="array" ref="L1352">MIN(6,_xlfn.XLOOKUP($D1352&amp;"_"&amp;L$61,$B$23:$B$45&amp;"_"&amp;$C$23:$C$45,$D$23:$D$45)*$E1352)</f>
        <v>6</v>
      </c>
      <c r="M1352" s="67" cm="1">
        <f ca="1" t="array" ref="M1352">(1+SUMPRODUCT(G1352:H1352,OFFSET($H$49:$I$49,D1352,0)))*(1+OFFSET($J$49,D1352,0))^I1352*(1+OFFSET($K$49,D1352,0))^J1352*(1+OFFSET($L$49,D1352,0))^K1352*(1+OFFSET($M$49,D1352,0))^L1352</f>
        <v>403.595192758257</v>
      </c>
      <c r="N1352" s="67">
        <f ca="1">MAX(MAX($N$62:N1351),OFFSET($C$61,MATCH(M1352*1.07,$M$62:$M$2061,1),0)-C1352)</f>
        <v>51480</v>
      </c>
    </row>
    <row r="1353" spans="2:14">
      <c r="B1353" s="67">
        <v>1292</v>
      </c>
      <c r="C1353" s="67">
        <f t="shared" si="129"/>
        <v>465120</v>
      </c>
      <c r="D1353" s="67">
        <f t="shared" si="132"/>
        <v>5</v>
      </c>
      <c r="E1353" s="67">
        <f ca="1" t="shared" si="133"/>
        <v>1322</v>
      </c>
      <c r="F1353" s="67">
        <f ca="1" t="shared" si="130"/>
        <v>0</v>
      </c>
      <c r="G1353" s="67">
        <f ca="1" t="shared" si="131"/>
        <v>0</v>
      </c>
      <c r="H1353" s="67" cm="1">
        <f ca="1" t="array" ref="H1353">MIN(30-SUM(I1353:L1353),_xlfn.XLOOKUP($D1353&amp;"_"&amp;H$61,$B$23:$B$45&amp;"_"&amp;$C$23:$C$45,$D$23:$D$45)*$E1353,18)</f>
        <v>10.6703221837755</v>
      </c>
      <c r="I1353" s="67" cm="1">
        <f ca="1" t="array" ref="I1353">MIN(30-SUM(J1353:L1353),6-L1353,_xlfn.XLOOKUP($D1353&amp;"_"&amp;I$61,$B$23:$B$45&amp;"_"&amp;$C$23:$C$45,$D$23:$D$45)*$E1353)</f>
        <v>0</v>
      </c>
      <c r="J1353" s="67" cm="1">
        <f ca="1" t="array" ref="J1353">MIN(8,_xlfn.XLOOKUP($D1353&amp;"_"&amp;J$61,$B$23:$B$45&amp;"_"&amp;$C$23:$C$45,$D$23:$D$45)*$E1353)</f>
        <v>8</v>
      </c>
      <c r="K1353" s="67" cm="1">
        <f ca="1" t="array" ref="K1353">MIN(18,_xlfn.XLOOKUP($D1353&amp;"_"&amp;K$61,$B$23:$B$45&amp;"_"&amp;$C$23:$C$45,$D$23:$D$45)*$E1353)</f>
        <v>5.32967781622453</v>
      </c>
      <c r="L1353" s="67" cm="1">
        <f ca="1" t="array" ref="L1353">MIN(6,_xlfn.XLOOKUP($D1353&amp;"_"&amp;L$61,$B$23:$B$45&amp;"_"&amp;$C$23:$C$45,$D$23:$D$45)*$E1353)</f>
        <v>6</v>
      </c>
      <c r="M1353" s="67" cm="1">
        <f ca="1" t="array" ref="M1353">(1+SUMPRODUCT(G1353:H1353,OFFSET($H$49:$I$49,D1353,0)))*(1+OFFSET($J$49,D1353,0))^I1353*(1+OFFSET($K$49,D1353,0))^J1353*(1+OFFSET($L$49,D1353,0))^K1353*(1+OFFSET($M$49,D1353,0))^L1353</f>
        <v>403.78807492479</v>
      </c>
      <c r="N1353" s="67">
        <f ca="1">MAX(MAX($N$62:N1352),OFFSET($C$61,MATCH(M1353*1.07,$M$62:$M$2061,1),0)-C1353)</f>
        <v>51480</v>
      </c>
    </row>
    <row r="1354" spans="2:14">
      <c r="B1354" s="67">
        <v>1293</v>
      </c>
      <c r="C1354" s="67">
        <f t="shared" si="129"/>
        <v>465480</v>
      </c>
      <c r="D1354" s="67">
        <f t="shared" si="132"/>
        <v>5</v>
      </c>
      <c r="E1354" s="67">
        <f ca="1" t="shared" si="133"/>
        <v>1323</v>
      </c>
      <c r="F1354" s="67">
        <f ca="1" t="shared" si="130"/>
        <v>0</v>
      </c>
      <c r="G1354" s="67">
        <f ca="1" t="shared" si="131"/>
        <v>0</v>
      </c>
      <c r="H1354" s="67" cm="1">
        <f ca="1" t="array" ref="H1354">MIN(30-SUM(I1354:L1354),_xlfn.XLOOKUP($D1354&amp;"_"&amp;H$61,$B$23:$B$45&amp;"_"&amp;$C$23:$C$45,$D$23:$D$45)*$E1354,18)</f>
        <v>10.6662906574394</v>
      </c>
      <c r="I1354" s="67" cm="1">
        <f ca="1" t="array" ref="I1354">MIN(30-SUM(J1354:L1354),6-L1354,_xlfn.XLOOKUP($D1354&amp;"_"&amp;I$61,$B$23:$B$45&amp;"_"&amp;$C$23:$C$45,$D$23:$D$45)*$E1354)</f>
        <v>0</v>
      </c>
      <c r="J1354" s="67" cm="1">
        <f ca="1" t="array" ref="J1354">MIN(8,_xlfn.XLOOKUP($D1354&amp;"_"&amp;J$61,$B$23:$B$45&amp;"_"&amp;$C$23:$C$45,$D$23:$D$45)*$E1354)</f>
        <v>8</v>
      </c>
      <c r="K1354" s="67" cm="1">
        <f ca="1" t="array" ref="K1354">MIN(18,_xlfn.XLOOKUP($D1354&amp;"_"&amp;K$61,$B$23:$B$45&amp;"_"&amp;$C$23:$C$45,$D$23:$D$45)*$E1354)</f>
        <v>5.33370934256056</v>
      </c>
      <c r="L1354" s="67" cm="1">
        <f ca="1" t="array" ref="L1354">MIN(6,_xlfn.XLOOKUP($D1354&amp;"_"&amp;L$61,$B$23:$B$45&amp;"_"&amp;$C$23:$C$45,$D$23:$D$45)*$E1354)</f>
        <v>6</v>
      </c>
      <c r="M1354" s="67" cm="1">
        <f ca="1" t="array" ref="M1354">(1+SUMPRODUCT(G1354:H1354,OFFSET($H$49:$I$49,D1354,0)))*(1+OFFSET($J$49,D1354,0))^I1354*(1+OFFSET($K$49,D1354,0))^J1354*(1+OFFSET($L$49,D1354,0))^K1354*(1+OFFSET($M$49,D1354,0))^L1354</f>
        <v>403.981022532697</v>
      </c>
      <c r="N1354" s="67">
        <f ca="1">MAX(MAX($N$62:N1353),OFFSET($C$61,MATCH(M1354*1.07,$M$62:$M$2061,1),0)-C1354)</f>
        <v>51480</v>
      </c>
    </row>
    <row r="1355" spans="2:14">
      <c r="B1355" s="67">
        <v>1294</v>
      </c>
      <c r="C1355" s="67">
        <f t="shared" si="129"/>
        <v>465840</v>
      </c>
      <c r="D1355" s="67">
        <f t="shared" si="132"/>
        <v>5</v>
      </c>
      <c r="E1355" s="67">
        <f ca="1" t="shared" si="133"/>
        <v>1324</v>
      </c>
      <c r="F1355" s="67">
        <f ca="1" t="shared" si="130"/>
        <v>0</v>
      </c>
      <c r="G1355" s="67">
        <f ca="1" t="shared" si="131"/>
        <v>0</v>
      </c>
      <c r="H1355" s="67" cm="1">
        <f ca="1" t="array" ref="H1355">MIN(30-SUM(I1355:L1355),_xlfn.XLOOKUP($D1355&amp;"_"&amp;H$61,$B$23:$B$45&amp;"_"&amp;$C$23:$C$45,$D$23:$D$45)*$E1355,18)</f>
        <v>10.6622591311034</v>
      </c>
      <c r="I1355" s="67" cm="1">
        <f ca="1" t="array" ref="I1355">MIN(30-SUM(J1355:L1355),6-L1355,_xlfn.XLOOKUP($D1355&amp;"_"&amp;I$61,$B$23:$B$45&amp;"_"&amp;$C$23:$C$45,$D$23:$D$45)*$E1355)</f>
        <v>0</v>
      </c>
      <c r="J1355" s="67" cm="1">
        <f ca="1" t="array" ref="J1355">MIN(8,_xlfn.XLOOKUP($D1355&amp;"_"&amp;J$61,$B$23:$B$45&amp;"_"&amp;$C$23:$C$45,$D$23:$D$45)*$E1355)</f>
        <v>8</v>
      </c>
      <c r="K1355" s="67" cm="1">
        <f ca="1" t="array" ref="K1355">MIN(18,_xlfn.XLOOKUP($D1355&amp;"_"&amp;K$61,$B$23:$B$45&amp;"_"&amp;$C$23:$C$45,$D$23:$D$45)*$E1355)</f>
        <v>5.33774086889658</v>
      </c>
      <c r="L1355" s="67" cm="1">
        <f ca="1" t="array" ref="L1355">MIN(6,_xlfn.XLOOKUP($D1355&amp;"_"&amp;L$61,$B$23:$B$45&amp;"_"&amp;$C$23:$C$45,$D$23:$D$45)*$E1355)</f>
        <v>6</v>
      </c>
      <c r="M1355" s="67" cm="1">
        <f ca="1" t="array" ref="M1355">(1+SUMPRODUCT(G1355:H1355,OFFSET($H$49:$I$49,D1355,0)))*(1+OFFSET($J$49,D1355,0))^I1355*(1+OFFSET($K$49,D1355,0))^J1355*(1+OFFSET($L$49,D1355,0))^K1355*(1+OFFSET($M$49,D1355,0))^L1355</f>
        <v>404.174035573929</v>
      </c>
      <c r="N1355" s="67">
        <f ca="1">MAX(MAX($N$62:N1354),OFFSET($C$61,MATCH(M1355*1.07,$M$62:$M$2061,1),0)-C1355)</f>
        <v>51480</v>
      </c>
    </row>
    <row r="1356" spans="2:14">
      <c r="B1356" s="67">
        <v>1295</v>
      </c>
      <c r="C1356" s="67">
        <f t="shared" si="129"/>
        <v>466200</v>
      </c>
      <c r="D1356" s="67">
        <f t="shared" si="132"/>
        <v>5</v>
      </c>
      <c r="E1356" s="67">
        <f ca="1" t="shared" si="133"/>
        <v>1325</v>
      </c>
      <c r="F1356" s="67">
        <f ca="1" t="shared" si="130"/>
        <v>0</v>
      </c>
      <c r="G1356" s="67">
        <f ca="1" t="shared" si="131"/>
        <v>0</v>
      </c>
      <c r="H1356" s="67" cm="1">
        <f ca="1" t="array" ref="H1356">MIN(30-SUM(I1356:L1356),_xlfn.XLOOKUP($D1356&amp;"_"&amp;H$61,$B$23:$B$45&amp;"_"&amp;$C$23:$C$45,$D$23:$D$45)*$E1356,18)</f>
        <v>10.6582276047674</v>
      </c>
      <c r="I1356" s="67" cm="1">
        <f ca="1" t="array" ref="I1356">MIN(30-SUM(J1356:L1356),6-L1356,_xlfn.XLOOKUP($D1356&amp;"_"&amp;I$61,$B$23:$B$45&amp;"_"&amp;$C$23:$C$45,$D$23:$D$45)*$E1356)</f>
        <v>0</v>
      </c>
      <c r="J1356" s="67" cm="1">
        <f ca="1" t="array" ref="J1356">MIN(8,_xlfn.XLOOKUP($D1356&amp;"_"&amp;J$61,$B$23:$B$45&amp;"_"&amp;$C$23:$C$45,$D$23:$D$45)*$E1356)</f>
        <v>8</v>
      </c>
      <c r="K1356" s="67" cm="1">
        <f ca="1" t="array" ref="K1356">MIN(18,_xlfn.XLOOKUP($D1356&amp;"_"&amp;K$61,$B$23:$B$45&amp;"_"&amp;$C$23:$C$45,$D$23:$D$45)*$E1356)</f>
        <v>5.34177239523261</v>
      </c>
      <c r="L1356" s="67" cm="1">
        <f ca="1" t="array" ref="L1356">MIN(6,_xlfn.XLOOKUP($D1356&amp;"_"&amp;L$61,$B$23:$B$45&amp;"_"&amp;$C$23:$C$45,$D$23:$D$45)*$E1356)</f>
        <v>6</v>
      </c>
      <c r="M1356" s="67" cm="1">
        <f ca="1" t="array" ref="M1356">(1+SUMPRODUCT(G1356:H1356,OFFSET($H$49:$I$49,D1356,0)))*(1+OFFSET($J$49,D1356,0))^I1356*(1+OFFSET($K$49,D1356,0))^J1356*(1+OFFSET($L$49,D1356,0))^K1356*(1+OFFSET($M$49,D1356,0))^L1356</f>
        <v>404.367114040392</v>
      </c>
      <c r="N1356" s="67">
        <f ca="1">MAX(MAX($N$62:N1355),OFFSET($C$61,MATCH(M1356*1.07,$M$62:$M$2061,1),0)-C1356)</f>
        <v>51480</v>
      </c>
    </row>
    <row r="1357" spans="2:14">
      <c r="B1357" s="67">
        <v>1296</v>
      </c>
      <c r="C1357" s="67">
        <f t="shared" si="129"/>
        <v>466560</v>
      </c>
      <c r="D1357" s="67">
        <f t="shared" si="132"/>
        <v>5</v>
      </c>
      <c r="E1357" s="67">
        <f ca="1" t="shared" si="133"/>
        <v>1326</v>
      </c>
      <c r="F1357" s="67">
        <f ca="1" t="shared" si="130"/>
        <v>0</v>
      </c>
      <c r="G1357" s="67">
        <f ca="1" t="shared" si="131"/>
        <v>0</v>
      </c>
      <c r="H1357" s="67" cm="1">
        <f ca="1" t="array" ref="H1357">MIN(30-SUM(I1357:L1357),_xlfn.XLOOKUP($D1357&amp;"_"&amp;H$61,$B$23:$B$45&amp;"_"&amp;$C$23:$C$45,$D$23:$D$45)*$E1357,18)</f>
        <v>10.6541960784314</v>
      </c>
      <c r="I1357" s="67" cm="1">
        <f ca="1" t="array" ref="I1357">MIN(30-SUM(J1357:L1357),6-L1357,_xlfn.XLOOKUP($D1357&amp;"_"&amp;I$61,$B$23:$B$45&amp;"_"&amp;$C$23:$C$45,$D$23:$D$45)*$E1357)</f>
        <v>0</v>
      </c>
      <c r="J1357" s="67" cm="1">
        <f ca="1" t="array" ref="J1357">MIN(8,_xlfn.XLOOKUP($D1357&amp;"_"&amp;J$61,$B$23:$B$45&amp;"_"&amp;$C$23:$C$45,$D$23:$D$45)*$E1357)</f>
        <v>8</v>
      </c>
      <c r="K1357" s="67" cm="1">
        <f ca="1" t="array" ref="K1357">MIN(18,_xlfn.XLOOKUP($D1357&amp;"_"&amp;K$61,$B$23:$B$45&amp;"_"&amp;$C$23:$C$45,$D$23:$D$45)*$E1357)</f>
        <v>5.34580392156863</v>
      </c>
      <c r="L1357" s="67" cm="1">
        <f ca="1" t="array" ref="L1357">MIN(6,_xlfn.XLOOKUP($D1357&amp;"_"&amp;L$61,$B$23:$B$45&amp;"_"&amp;$C$23:$C$45,$D$23:$D$45)*$E1357)</f>
        <v>6</v>
      </c>
      <c r="M1357" s="67" cm="1">
        <f ca="1" t="array" ref="M1357">(1+SUMPRODUCT(G1357:H1357,OFFSET($H$49:$I$49,D1357,0)))*(1+OFFSET($J$49,D1357,0))^I1357*(1+OFFSET($K$49,D1357,0))^J1357*(1+OFFSET($L$49,D1357,0))^K1357*(1+OFFSET($M$49,D1357,0))^L1357</f>
        <v>404.560257923945</v>
      </c>
      <c r="N1357" s="67">
        <f ca="1">MAX(MAX($N$62:N1356),OFFSET($C$61,MATCH(M1357*1.07,$M$62:$M$2061,1),0)-C1357)</f>
        <v>51480</v>
      </c>
    </row>
    <row r="1358" spans="2:14">
      <c r="B1358" s="67">
        <v>1297</v>
      </c>
      <c r="C1358" s="67">
        <f t="shared" si="129"/>
        <v>466920</v>
      </c>
      <c r="D1358" s="67">
        <f t="shared" si="132"/>
        <v>5</v>
      </c>
      <c r="E1358" s="67">
        <f ca="1" t="shared" si="133"/>
        <v>1327</v>
      </c>
      <c r="F1358" s="67">
        <f ca="1" t="shared" si="130"/>
        <v>0</v>
      </c>
      <c r="G1358" s="67">
        <f ca="1" t="shared" si="131"/>
        <v>0</v>
      </c>
      <c r="H1358" s="67" cm="1">
        <f ca="1" t="array" ref="H1358">MIN(30-SUM(I1358:L1358),_xlfn.XLOOKUP($D1358&amp;"_"&amp;H$61,$B$23:$B$45&amp;"_"&amp;$C$23:$C$45,$D$23:$D$45)*$E1358,18)</f>
        <v>10.6501645520953</v>
      </c>
      <c r="I1358" s="67" cm="1">
        <f ca="1" t="array" ref="I1358">MIN(30-SUM(J1358:L1358),6-L1358,_xlfn.XLOOKUP($D1358&amp;"_"&amp;I$61,$B$23:$B$45&amp;"_"&amp;$C$23:$C$45,$D$23:$D$45)*$E1358)</f>
        <v>0</v>
      </c>
      <c r="J1358" s="67" cm="1">
        <f ca="1" t="array" ref="J1358">MIN(8,_xlfn.XLOOKUP($D1358&amp;"_"&amp;J$61,$B$23:$B$45&amp;"_"&amp;$C$23:$C$45,$D$23:$D$45)*$E1358)</f>
        <v>8</v>
      </c>
      <c r="K1358" s="67" cm="1">
        <f ca="1" t="array" ref="K1358">MIN(18,_xlfn.XLOOKUP($D1358&amp;"_"&amp;K$61,$B$23:$B$45&amp;"_"&amp;$C$23:$C$45,$D$23:$D$45)*$E1358)</f>
        <v>5.34983544790466</v>
      </c>
      <c r="L1358" s="67" cm="1">
        <f ca="1" t="array" ref="L1358">MIN(6,_xlfn.XLOOKUP($D1358&amp;"_"&amp;L$61,$B$23:$B$45&amp;"_"&amp;$C$23:$C$45,$D$23:$D$45)*$E1358)</f>
        <v>6</v>
      </c>
      <c r="M1358" s="67" cm="1">
        <f ca="1" t="array" ref="M1358">(1+SUMPRODUCT(G1358:H1358,OFFSET($H$49:$I$49,D1358,0)))*(1+OFFSET($J$49,D1358,0))^I1358*(1+OFFSET($K$49,D1358,0))^J1358*(1+OFFSET($L$49,D1358,0))^K1358*(1+OFFSET($M$49,D1358,0))^L1358</f>
        <v>404.753467216397</v>
      </c>
      <c r="N1358" s="67">
        <f ca="1">MAX(MAX($N$62:N1357),OFFSET($C$61,MATCH(M1358*1.07,$M$62:$M$2061,1),0)-C1358)</f>
        <v>51480</v>
      </c>
    </row>
    <row r="1359" spans="2:14">
      <c r="B1359" s="67">
        <v>1298</v>
      </c>
      <c r="C1359" s="67">
        <f t="shared" si="129"/>
        <v>467280</v>
      </c>
      <c r="D1359" s="67">
        <f t="shared" si="132"/>
        <v>5</v>
      </c>
      <c r="E1359" s="67">
        <f ca="1" t="shared" si="133"/>
        <v>1328</v>
      </c>
      <c r="F1359" s="67">
        <f ca="1" t="shared" si="130"/>
        <v>0</v>
      </c>
      <c r="G1359" s="67">
        <f ca="1" t="shared" si="131"/>
        <v>0</v>
      </c>
      <c r="H1359" s="67" cm="1">
        <f ca="1" t="array" ref="H1359">MIN(30-SUM(I1359:L1359),_xlfn.XLOOKUP($D1359&amp;"_"&amp;H$61,$B$23:$B$45&amp;"_"&amp;$C$23:$C$45,$D$23:$D$45)*$E1359,18)</f>
        <v>10.6461330257593</v>
      </c>
      <c r="I1359" s="67" cm="1">
        <f ca="1" t="array" ref="I1359">MIN(30-SUM(J1359:L1359),6-L1359,_xlfn.XLOOKUP($D1359&amp;"_"&amp;I$61,$B$23:$B$45&amp;"_"&amp;$C$23:$C$45,$D$23:$D$45)*$E1359)</f>
        <v>0</v>
      </c>
      <c r="J1359" s="67" cm="1">
        <f ca="1" t="array" ref="J1359">MIN(8,_xlfn.XLOOKUP($D1359&amp;"_"&amp;J$61,$B$23:$B$45&amp;"_"&amp;$C$23:$C$45,$D$23:$D$45)*$E1359)</f>
        <v>8</v>
      </c>
      <c r="K1359" s="67" cm="1">
        <f ca="1" t="array" ref="K1359">MIN(18,_xlfn.XLOOKUP($D1359&amp;"_"&amp;K$61,$B$23:$B$45&amp;"_"&amp;$C$23:$C$45,$D$23:$D$45)*$E1359)</f>
        <v>5.35386697424068</v>
      </c>
      <c r="L1359" s="67" cm="1">
        <f ca="1" t="array" ref="L1359">MIN(6,_xlfn.XLOOKUP($D1359&amp;"_"&amp;L$61,$B$23:$B$45&amp;"_"&amp;$C$23:$C$45,$D$23:$D$45)*$E1359)</f>
        <v>6</v>
      </c>
      <c r="M1359" s="67" cm="1">
        <f ca="1" t="array" ref="M1359">(1+SUMPRODUCT(G1359:H1359,OFFSET($H$49:$I$49,D1359,0)))*(1+OFFSET($J$49,D1359,0))^I1359*(1+OFFSET($K$49,D1359,0))^J1359*(1+OFFSET($L$49,D1359,0))^K1359*(1+OFFSET($M$49,D1359,0))^L1359</f>
        <v>404.946741909512</v>
      </c>
      <c r="N1359" s="67">
        <f ca="1">MAX(MAX($N$62:N1358),OFFSET($C$61,MATCH(M1359*1.07,$M$62:$M$2061,1),0)-C1359)</f>
        <v>51480</v>
      </c>
    </row>
    <row r="1360" spans="2:14">
      <c r="B1360" s="67">
        <v>1299</v>
      </c>
      <c r="C1360" s="67">
        <f t="shared" si="129"/>
        <v>467640</v>
      </c>
      <c r="D1360" s="67">
        <f t="shared" si="132"/>
        <v>5</v>
      </c>
      <c r="E1360" s="67">
        <f ca="1" t="shared" si="133"/>
        <v>1329</v>
      </c>
      <c r="F1360" s="67">
        <f ca="1" t="shared" si="130"/>
        <v>0</v>
      </c>
      <c r="G1360" s="67">
        <f ca="1" t="shared" si="131"/>
        <v>0</v>
      </c>
      <c r="H1360" s="67" cm="1">
        <f ca="1" t="array" ref="H1360">MIN(30-SUM(I1360:L1360),_xlfn.XLOOKUP($D1360&amp;"_"&amp;H$61,$B$23:$B$45&amp;"_"&amp;$C$23:$C$45,$D$23:$D$45)*$E1360,18)</f>
        <v>10.6421014994233</v>
      </c>
      <c r="I1360" s="67" cm="1">
        <f ca="1" t="array" ref="I1360">MIN(30-SUM(J1360:L1360),6-L1360,_xlfn.XLOOKUP($D1360&amp;"_"&amp;I$61,$B$23:$B$45&amp;"_"&amp;$C$23:$C$45,$D$23:$D$45)*$E1360)</f>
        <v>0</v>
      </c>
      <c r="J1360" s="67" cm="1">
        <f ca="1" t="array" ref="J1360">MIN(8,_xlfn.XLOOKUP($D1360&amp;"_"&amp;J$61,$B$23:$B$45&amp;"_"&amp;$C$23:$C$45,$D$23:$D$45)*$E1360)</f>
        <v>8</v>
      </c>
      <c r="K1360" s="67" cm="1">
        <f ca="1" t="array" ref="K1360">MIN(18,_xlfn.XLOOKUP($D1360&amp;"_"&amp;K$61,$B$23:$B$45&amp;"_"&amp;$C$23:$C$45,$D$23:$D$45)*$E1360)</f>
        <v>5.35789850057671</v>
      </c>
      <c r="L1360" s="67" cm="1">
        <f ca="1" t="array" ref="L1360">MIN(6,_xlfn.XLOOKUP($D1360&amp;"_"&amp;L$61,$B$23:$B$45&amp;"_"&amp;$C$23:$C$45,$D$23:$D$45)*$E1360)</f>
        <v>6</v>
      </c>
      <c r="M1360" s="67" cm="1">
        <f ca="1" t="array" ref="M1360">(1+SUMPRODUCT(G1360:H1360,OFFSET($H$49:$I$49,D1360,0)))*(1+OFFSET($J$49,D1360,0))^I1360*(1+OFFSET($K$49,D1360,0))^J1360*(1+OFFSET($L$49,D1360,0))^K1360*(1+OFFSET($M$49,D1360,0))^L1360</f>
        <v>405.140081995006</v>
      </c>
      <c r="N1360" s="67">
        <f ca="1">MAX(MAX($N$62:N1359),OFFSET($C$61,MATCH(M1360*1.07,$M$62:$M$2061,1),0)-C1360)</f>
        <v>51480</v>
      </c>
    </row>
    <row r="1361" spans="2:14">
      <c r="B1361" s="67">
        <v>1300</v>
      </c>
      <c r="C1361" s="67">
        <f t="shared" si="129"/>
        <v>468000</v>
      </c>
      <c r="D1361" s="67">
        <f t="shared" si="132"/>
        <v>5</v>
      </c>
      <c r="E1361" s="67">
        <f ca="1" t="shared" si="133"/>
        <v>1330</v>
      </c>
      <c r="F1361" s="67">
        <f ca="1" t="shared" si="130"/>
        <v>0</v>
      </c>
      <c r="G1361" s="67">
        <f ca="1" t="shared" si="131"/>
        <v>0</v>
      </c>
      <c r="H1361" s="67" cm="1">
        <f ca="1" t="array" ref="H1361">MIN(30-SUM(I1361:L1361),_xlfn.XLOOKUP($D1361&amp;"_"&amp;H$61,$B$23:$B$45&amp;"_"&amp;$C$23:$C$45,$D$23:$D$45)*$E1361,18)</f>
        <v>10.6380699730873</v>
      </c>
      <c r="I1361" s="67" cm="1">
        <f ca="1" t="array" ref="I1361">MIN(30-SUM(J1361:L1361),6-L1361,_xlfn.XLOOKUP($D1361&amp;"_"&amp;I$61,$B$23:$B$45&amp;"_"&amp;$C$23:$C$45,$D$23:$D$45)*$E1361)</f>
        <v>0</v>
      </c>
      <c r="J1361" s="67" cm="1">
        <f ca="1" t="array" ref="J1361">MIN(8,_xlfn.XLOOKUP($D1361&amp;"_"&amp;J$61,$B$23:$B$45&amp;"_"&amp;$C$23:$C$45,$D$23:$D$45)*$E1361)</f>
        <v>8</v>
      </c>
      <c r="K1361" s="67" cm="1">
        <f ca="1" t="array" ref="K1361">MIN(18,_xlfn.XLOOKUP($D1361&amp;"_"&amp;K$61,$B$23:$B$45&amp;"_"&amp;$C$23:$C$45,$D$23:$D$45)*$E1361)</f>
        <v>5.36193002691273</v>
      </c>
      <c r="L1361" s="67" cm="1">
        <f ca="1" t="array" ref="L1361">MIN(6,_xlfn.XLOOKUP($D1361&amp;"_"&amp;L$61,$B$23:$B$45&amp;"_"&amp;$C$23:$C$45,$D$23:$D$45)*$E1361)</f>
        <v>6</v>
      </c>
      <c r="M1361" s="67" cm="1">
        <f ca="1" t="array" ref="M1361">(1+SUMPRODUCT(G1361:H1361,OFFSET($H$49:$I$49,D1361,0)))*(1+OFFSET($J$49,D1361,0))^I1361*(1+OFFSET($K$49,D1361,0))^J1361*(1+OFFSET($L$49,D1361,0))^K1361*(1+OFFSET($M$49,D1361,0))^L1361</f>
        <v>405.333487464548</v>
      </c>
      <c r="N1361" s="67">
        <f ca="1">MAX(MAX($N$62:N1360),OFFSET($C$61,MATCH(M1361*1.07,$M$62:$M$2061,1),0)-C1361)</f>
        <v>51480</v>
      </c>
    </row>
    <row r="1362" spans="2:14">
      <c r="B1362" s="67">
        <v>1301</v>
      </c>
      <c r="C1362" s="67">
        <f t="shared" si="129"/>
        <v>468360</v>
      </c>
      <c r="D1362" s="67">
        <f t="shared" si="132"/>
        <v>5</v>
      </c>
      <c r="E1362" s="67">
        <f ca="1" t="shared" si="133"/>
        <v>1331</v>
      </c>
      <c r="F1362" s="67">
        <f ca="1" t="shared" si="130"/>
        <v>0</v>
      </c>
      <c r="G1362" s="67">
        <f ca="1" t="shared" si="131"/>
        <v>0</v>
      </c>
      <c r="H1362" s="67" cm="1">
        <f ca="1" t="array" ref="H1362">MIN(30-SUM(I1362:L1362),_xlfn.XLOOKUP($D1362&amp;"_"&amp;H$61,$B$23:$B$45&amp;"_"&amp;$C$23:$C$45,$D$23:$D$45)*$E1362,18)</f>
        <v>10.6340384467512</v>
      </c>
      <c r="I1362" s="67" cm="1">
        <f ca="1" t="array" ref="I1362">MIN(30-SUM(J1362:L1362),6-L1362,_xlfn.XLOOKUP($D1362&amp;"_"&amp;I$61,$B$23:$B$45&amp;"_"&amp;$C$23:$C$45,$D$23:$D$45)*$E1362)</f>
        <v>0</v>
      </c>
      <c r="J1362" s="67" cm="1">
        <f ca="1" t="array" ref="J1362">MIN(8,_xlfn.XLOOKUP($D1362&amp;"_"&amp;J$61,$B$23:$B$45&amp;"_"&amp;$C$23:$C$45,$D$23:$D$45)*$E1362)</f>
        <v>8</v>
      </c>
      <c r="K1362" s="67" cm="1">
        <f ca="1" t="array" ref="K1362">MIN(18,_xlfn.XLOOKUP($D1362&amp;"_"&amp;K$61,$B$23:$B$45&amp;"_"&amp;$C$23:$C$45,$D$23:$D$45)*$E1362)</f>
        <v>5.36596155324876</v>
      </c>
      <c r="L1362" s="67" cm="1">
        <f ca="1" t="array" ref="L1362">MIN(6,_xlfn.XLOOKUP($D1362&amp;"_"&amp;L$61,$B$23:$B$45&amp;"_"&amp;$C$23:$C$45,$D$23:$D$45)*$E1362)</f>
        <v>6</v>
      </c>
      <c r="M1362" s="67" cm="1">
        <f ca="1" t="array" ref="M1362">(1+SUMPRODUCT(G1362:H1362,OFFSET($H$49:$I$49,D1362,0)))*(1+OFFSET($J$49,D1362,0))^I1362*(1+OFFSET($K$49,D1362,0))^J1362*(1+OFFSET($L$49,D1362,0))^K1362*(1+OFFSET($M$49,D1362,0))^L1362</f>
        <v>405.526958309757</v>
      </c>
      <c r="N1362" s="67">
        <f ca="1">MAX(MAX($N$62:N1361),OFFSET($C$61,MATCH(M1362*1.07,$M$62:$M$2061,1),0)-C1362)</f>
        <v>51480</v>
      </c>
    </row>
    <row r="1363" spans="2:14">
      <c r="B1363" s="67">
        <v>1302</v>
      </c>
      <c r="C1363" s="67">
        <f t="shared" si="129"/>
        <v>468720</v>
      </c>
      <c r="D1363" s="67">
        <f t="shared" si="132"/>
        <v>5</v>
      </c>
      <c r="E1363" s="67">
        <f ca="1" t="shared" si="133"/>
        <v>1332</v>
      </c>
      <c r="F1363" s="67">
        <f ca="1" t="shared" si="130"/>
        <v>0</v>
      </c>
      <c r="G1363" s="67">
        <f ca="1" t="shared" si="131"/>
        <v>0</v>
      </c>
      <c r="H1363" s="67" cm="1">
        <f ca="1" t="array" ref="H1363">MIN(30-SUM(I1363:L1363),_xlfn.XLOOKUP($D1363&amp;"_"&amp;H$61,$B$23:$B$45&amp;"_"&amp;$C$23:$C$45,$D$23:$D$45)*$E1363,18)</f>
        <v>10.6300069204152</v>
      </c>
      <c r="I1363" s="67" cm="1">
        <f ca="1" t="array" ref="I1363">MIN(30-SUM(J1363:L1363),6-L1363,_xlfn.XLOOKUP($D1363&amp;"_"&amp;I$61,$B$23:$B$45&amp;"_"&amp;$C$23:$C$45,$D$23:$D$45)*$E1363)</f>
        <v>0</v>
      </c>
      <c r="J1363" s="67" cm="1">
        <f ca="1" t="array" ref="J1363">MIN(8,_xlfn.XLOOKUP($D1363&amp;"_"&amp;J$61,$B$23:$B$45&amp;"_"&amp;$C$23:$C$45,$D$23:$D$45)*$E1363)</f>
        <v>8</v>
      </c>
      <c r="K1363" s="67" cm="1">
        <f ca="1" t="array" ref="K1363">MIN(18,_xlfn.XLOOKUP($D1363&amp;"_"&amp;K$61,$B$23:$B$45&amp;"_"&amp;$C$23:$C$45,$D$23:$D$45)*$E1363)</f>
        <v>5.36999307958478</v>
      </c>
      <c r="L1363" s="67" cm="1">
        <f ca="1" t="array" ref="L1363">MIN(6,_xlfn.XLOOKUP($D1363&amp;"_"&amp;L$61,$B$23:$B$45&amp;"_"&amp;$C$23:$C$45,$D$23:$D$45)*$E1363)</f>
        <v>6</v>
      </c>
      <c r="M1363" s="67" cm="1">
        <f ca="1" t="array" ref="M1363">(1+SUMPRODUCT(G1363:H1363,OFFSET($H$49:$I$49,D1363,0)))*(1+OFFSET($J$49,D1363,0))^I1363*(1+OFFSET($K$49,D1363,0))^J1363*(1+OFFSET($L$49,D1363,0))^K1363*(1+OFFSET($M$49,D1363,0))^L1363</f>
        <v>405.720494522207</v>
      </c>
      <c r="N1363" s="67">
        <f ca="1">MAX(MAX($N$62:N1362),OFFSET($C$61,MATCH(M1363*1.07,$M$62:$M$2061,1),0)-C1363)</f>
        <v>51480</v>
      </c>
    </row>
    <row r="1364" spans="2:14">
      <c r="B1364" s="67">
        <v>1303</v>
      </c>
      <c r="C1364" s="67">
        <f t="shared" si="129"/>
        <v>469080</v>
      </c>
      <c r="D1364" s="67">
        <f t="shared" si="132"/>
        <v>5</v>
      </c>
      <c r="E1364" s="67">
        <f ca="1" t="shared" si="133"/>
        <v>1333</v>
      </c>
      <c r="F1364" s="67">
        <f ca="1" t="shared" si="130"/>
        <v>0</v>
      </c>
      <c r="G1364" s="67">
        <f ca="1" t="shared" si="131"/>
        <v>0</v>
      </c>
      <c r="H1364" s="67" cm="1">
        <f ca="1" t="array" ref="H1364">MIN(30-SUM(I1364:L1364),_xlfn.XLOOKUP($D1364&amp;"_"&amp;H$61,$B$23:$B$45&amp;"_"&amp;$C$23:$C$45,$D$23:$D$45)*$E1364,18)</f>
        <v>10.6259753940792</v>
      </c>
      <c r="I1364" s="67" cm="1">
        <f ca="1" t="array" ref="I1364">MIN(30-SUM(J1364:L1364),6-L1364,_xlfn.XLOOKUP($D1364&amp;"_"&amp;I$61,$B$23:$B$45&amp;"_"&amp;$C$23:$C$45,$D$23:$D$45)*$E1364)</f>
        <v>0</v>
      </c>
      <c r="J1364" s="67" cm="1">
        <f ca="1" t="array" ref="J1364">MIN(8,_xlfn.XLOOKUP($D1364&amp;"_"&amp;J$61,$B$23:$B$45&amp;"_"&amp;$C$23:$C$45,$D$23:$D$45)*$E1364)</f>
        <v>8</v>
      </c>
      <c r="K1364" s="67" cm="1">
        <f ca="1" t="array" ref="K1364">MIN(18,_xlfn.XLOOKUP($D1364&amp;"_"&amp;K$61,$B$23:$B$45&amp;"_"&amp;$C$23:$C$45,$D$23:$D$45)*$E1364)</f>
        <v>5.3740246059208</v>
      </c>
      <c r="L1364" s="67" cm="1">
        <f ca="1" t="array" ref="L1364">MIN(6,_xlfn.XLOOKUP($D1364&amp;"_"&amp;L$61,$B$23:$B$45&amp;"_"&amp;$C$23:$C$45,$D$23:$D$45)*$E1364)</f>
        <v>6</v>
      </c>
      <c r="M1364" s="67" cm="1">
        <f ca="1" t="array" ref="M1364">(1+SUMPRODUCT(G1364:H1364,OFFSET($H$49:$I$49,D1364,0)))*(1+OFFSET($J$49,D1364,0))^I1364*(1+OFFSET($K$49,D1364,0))^J1364*(1+OFFSET($L$49,D1364,0))^K1364*(1+OFFSET($M$49,D1364,0))^L1364</f>
        <v>405.914096093424</v>
      </c>
      <c r="N1364" s="67">
        <f ca="1">MAX(MAX($N$62:N1363),OFFSET($C$61,MATCH(M1364*1.07,$M$62:$M$2061,1),0)-C1364)</f>
        <v>51480</v>
      </c>
    </row>
    <row r="1365" spans="2:14">
      <c r="B1365" s="67">
        <v>1304</v>
      </c>
      <c r="C1365" s="67">
        <f t="shared" si="129"/>
        <v>469440</v>
      </c>
      <c r="D1365" s="67">
        <f t="shared" si="132"/>
        <v>5</v>
      </c>
      <c r="E1365" s="67">
        <f ca="1" t="shared" si="133"/>
        <v>1334</v>
      </c>
      <c r="F1365" s="67">
        <f ca="1" t="shared" si="130"/>
        <v>0</v>
      </c>
      <c r="G1365" s="67">
        <f ca="1" t="shared" si="131"/>
        <v>0</v>
      </c>
      <c r="H1365" s="67" cm="1">
        <f ca="1" t="array" ref="H1365">MIN(30-SUM(I1365:L1365),_xlfn.XLOOKUP($D1365&amp;"_"&amp;H$61,$B$23:$B$45&amp;"_"&amp;$C$23:$C$45,$D$23:$D$45)*$E1365,18)</f>
        <v>10.6219438677432</v>
      </c>
      <c r="I1365" s="67" cm="1">
        <f ca="1" t="array" ref="I1365">MIN(30-SUM(J1365:L1365),6-L1365,_xlfn.XLOOKUP($D1365&amp;"_"&amp;I$61,$B$23:$B$45&amp;"_"&amp;$C$23:$C$45,$D$23:$D$45)*$E1365)</f>
        <v>0</v>
      </c>
      <c r="J1365" s="67" cm="1">
        <f ca="1" t="array" ref="J1365">MIN(8,_xlfn.XLOOKUP($D1365&amp;"_"&amp;J$61,$B$23:$B$45&amp;"_"&amp;$C$23:$C$45,$D$23:$D$45)*$E1365)</f>
        <v>8</v>
      </c>
      <c r="K1365" s="67" cm="1">
        <f ca="1" t="array" ref="K1365">MIN(18,_xlfn.XLOOKUP($D1365&amp;"_"&amp;K$61,$B$23:$B$45&amp;"_"&amp;$C$23:$C$45,$D$23:$D$45)*$E1365)</f>
        <v>5.37805613225683</v>
      </c>
      <c r="L1365" s="67" cm="1">
        <f ca="1" t="array" ref="L1365">MIN(6,_xlfn.XLOOKUP($D1365&amp;"_"&amp;L$61,$B$23:$B$45&amp;"_"&amp;$C$23:$C$45,$D$23:$D$45)*$E1365)</f>
        <v>6</v>
      </c>
      <c r="M1365" s="67" cm="1">
        <f ca="1" t="array" ref="M1365">(1+SUMPRODUCT(G1365:H1365,OFFSET($H$49:$I$49,D1365,0)))*(1+OFFSET($J$49,D1365,0))^I1365*(1+OFFSET($K$49,D1365,0))^J1365*(1+OFFSET($L$49,D1365,0))^K1365*(1+OFFSET($M$49,D1365,0))^L1365</f>
        <v>406.107763014884</v>
      </c>
      <c r="N1365" s="67">
        <f ca="1">MAX(MAX($N$62:N1364),OFFSET($C$61,MATCH(M1365*1.07,$M$62:$M$2061,1),0)-C1365)</f>
        <v>51480</v>
      </c>
    </row>
    <row r="1366" spans="2:14">
      <c r="B1366" s="67">
        <v>1305</v>
      </c>
      <c r="C1366" s="67">
        <f t="shared" si="129"/>
        <v>469800</v>
      </c>
      <c r="D1366" s="67">
        <f t="shared" si="132"/>
        <v>5</v>
      </c>
      <c r="E1366" s="67">
        <f ca="1" t="shared" si="133"/>
        <v>1335</v>
      </c>
      <c r="F1366" s="67">
        <f ca="1" t="shared" si="130"/>
        <v>0</v>
      </c>
      <c r="G1366" s="67">
        <f ca="1" t="shared" si="131"/>
        <v>0</v>
      </c>
      <c r="H1366" s="67" cm="1">
        <f ca="1" t="array" ref="H1366">MIN(30-SUM(I1366:L1366),_xlfn.XLOOKUP($D1366&amp;"_"&amp;H$61,$B$23:$B$45&amp;"_"&amp;$C$23:$C$45,$D$23:$D$45)*$E1366,18)</f>
        <v>10.6179123414071</v>
      </c>
      <c r="I1366" s="67" cm="1">
        <f ca="1" t="array" ref="I1366">MIN(30-SUM(J1366:L1366),6-L1366,_xlfn.XLOOKUP($D1366&amp;"_"&amp;I$61,$B$23:$B$45&amp;"_"&amp;$C$23:$C$45,$D$23:$D$45)*$E1366)</f>
        <v>0</v>
      </c>
      <c r="J1366" s="67" cm="1">
        <f ca="1" t="array" ref="J1366">MIN(8,_xlfn.XLOOKUP($D1366&amp;"_"&amp;J$61,$B$23:$B$45&amp;"_"&amp;$C$23:$C$45,$D$23:$D$45)*$E1366)</f>
        <v>8</v>
      </c>
      <c r="K1366" s="67" cm="1">
        <f ca="1" t="array" ref="K1366">MIN(18,_xlfn.XLOOKUP($D1366&amp;"_"&amp;K$61,$B$23:$B$45&amp;"_"&amp;$C$23:$C$45,$D$23:$D$45)*$E1366)</f>
        <v>5.38208765859285</v>
      </c>
      <c r="L1366" s="67" cm="1">
        <f ca="1" t="array" ref="L1366">MIN(6,_xlfn.XLOOKUP($D1366&amp;"_"&amp;L$61,$B$23:$B$45&amp;"_"&amp;$C$23:$C$45,$D$23:$D$45)*$E1366)</f>
        <v>6</v>
      </c>
      <c r="M1366" s="67" cm="1">
        <f ca="1" t="array" ref="M1366">(1+SUMPRODUCT(G1366:H1366,OFFSET($H$49:$I$49,D1366,0)))*(1+OFFSET($J$49,D1366,0))^I1366*(1+OFFSET($K$49,D1366,0))^J1366*(1+OFFSET($L$49,D1366,0))^K1366*(1+OFFSET($M$49,D1366,0))^L1366</f>
        <v>406.301495278017</v>
      </c>
      <c r="N1366" s="67">
        <f ca="1">MAX(MAX($N$62:N1365),OFFSET($C$61,MATCH(M1366*1.07,$M$62:$M$2061,1),0)-C1366)</f>
        <v>51480</v>
      </c>
    </row>
    <row r="1367" spans="2:14">
      <c r="B1367" s="67">
        <v>1306</v>
      </c>
      <c r="C1367" s="67">
        <f t="shared" si="129"/>
        <v>470160</v>
      </c>
      <c r="D1367" s="67">
        <f t="shared" si="132"/>
        <v>5</v>
      </c>
      <c r="E1367" s="67">
        <f ca="1" t="shared" si="133"/>
        <v>1336</v>
      </c>
      <c r="F1367" s="67">
        <f ca="1" t="shared" si="130"/>
        <v>0</v>
      </c>
      <c r="G1367" s="67">
        <f ca="1" t="shared" si="131"/>
        <v>0</v>
      </c>
      <c r="H1367" s="67" cm="1">
        <f ca="1" t="array" ref="H1367">MIN(30-SUM(I1367:L1367),_xlfn.XLOOKUP($D1367&amp;"_"&amp;H$61,$B$23:$B$45&amp;"_"&amp;$C$23:$C$45,$D$23:$D$45)*$E1367,18)</f>
        <v>10.6138808150711</v>
      </c>
      <c r="I1367" s="67" cm="1">
        <f ca="1" t="array" ref="I1367">MIN(30-SUM(J1367:L1367),6-L1367,_xlfn.XLOOKUP($D1367&amp;"_"&amp;I$61,$B$23:$B$45&amp;"_"&amp;$C$23:$C$45,$D$23:$D$45)*$E1367)</f>
        <v>0</v>
      </c>
      <c r="J1367" s="67" cm="1">
        <f ca="1" t="array" ref="J1367">MIN(8,_xlfn.XLOOKUP($D1367&amp;"_"&amp;J$61,$B$23:$B$45&amp;"_"&amp;$C$23:$C$45,$D$23:$D$45)*$E1367)</f>
        <v>8</v>
      </c>
      <c r="K1367" s="67" cm="1">
        <f ca="1" t="array" ref="K1367">MIN(18,_xlfn.XLOOKUP($D1367&amp;"_"&amp;K$61,$B$23:$B$45&amp;"_"&amp;$C$23:$C$45,$D$23:$D$45)*$E1367)</f>
        <v>5.38611918492888</v>
      </c>
      <c r="L1367" s="67" cm="1">
        <f ca="1" t="array" ref="L1367">MIN(6,_xlfn.XLOOKUP($D1367&amp;"_"&amp;L$61,$B$23:$B$45&amp;"_"&amp;$C$23:$C$45,$D$23:$D$45)*$E1367)</f>
        <v>6</v>
      </c>
      <c r="M1367" s="67" cm="1">
        <f ca="1" t="array" ref="M1367">(1+SUMPRODUCT(G1367:H1367,OFFSET($H$49:$I$49,D1367,0)))*(1+OFFSET($J$49,D1367,0))^I1367*(1+OFFSET($K$49,D1367,0))^J1367*(1+OFFSET($L$49,D1367,0))^K1367*(1+OFFSET($M$49,D1367,0))^L1367</f>
        <v>406.495292874206</v>
      </c>
      <c r="N1367" s="67">
        <f ca="1">MAX(MAX($N$62:N1366),OFFSET($C$61,MATCH(M1367*1.07,$M$62:$M$2061,1),0)-C1367)</f>
        <v>51480</v>
      </c>
    </row>
    <row r="1368" spans="2:14">
      <c r="B1368" s="67">
        <v>1307</v>
      </c>
      <c r="C1368" s="67">
        <f t="shared" si="129"/>
        <v>470520</v>
      </c>
      <c r="D1368" s="67">
        <f t="shared" si="132"/>
        <v>5</v>
      </c>
      <c r="E1368" s="67">
        <f ca="1" t="shared" si="133"/>
        <v>1337</v>
      </c>
      <c r="F1368" s="67">
        <f ca="1" t="shared" si="130"/>
        <v>0</v>
      </c>
      <c r="G1368" s="67">
        <f ca="1" t="shared" si="131"/>
        <v>0</v>
      </c>
      <c r="H1368" s="67" cm="1">
        <f ca="1" t="array" ref="H1368">MIN(30-SUM(I1368:L1368),_xlfn.XLOOKUP($D1368&amp;"_"&amp;H$61,$B$23:$B$45&amp;"_"&amp;$C$23:$C$45,$D$23:$D$45)*$E1368,18)</f>
        <v>10.6098492887351</v>
      </c>
      <c r="I1368" s="67" cm="1">
        <f ca="1" t="array" ref="I1368">MIN(30-SUM(J1368:L1368),6-L1368,_xlfn.XLOOKUP($D1368&amp;"_"&amp;I$61,$B$23:$B$45&amp;"_"&amp;$C$23:$C$45,$D$23:$D$45)*$E1368)</f>
        <v>0</v>
      </c>
      <c r="J1368" s="67" cm="1">
        <f ca="1" t="array" ref="J1368">MIN(8,_xlfn.XLOOKUP($D1368&amp;"_"&amp;J$61,$B$23:$B$45&amp;"_"&amp;$C$23:$C$45,$D$23:$D$45)*$E1368)</f>
        <v>8</v>
      </c>
      <c r="K1368" s="67" cm="1">
        <f ca="1" t="array" ref="K1368">MIN(18,_xlfn.XLOOKUP($D1368&amp;"_"&amp;K$61,$B$23:$B$45&amp;"_"&amp;$C$23:$C$45,$D$23:$D$45)*$E1368)</f>
        <v>5.3901507112649</v>
      </c>
      <c r="L1368" s="67" cm="1">
        <f ca="1" t="array" ref="L1368">MIN(6,_xlfn.XLOOKUP($D1368&amp;"_"&amp;L$61,$B$23:$B$45&amp;"_"&amp;$C$23:$C$45,$D$23:$D$45)*$E1368)</f>
        <v>6</v>
      </c>
      <c r="M1368" s="67" cm="1">
        <f ca="1" t="array" ref="M1368">(1+SUMPRODUCT(G1368:H1368,OFFSET($H$49:$I$49,D1368,0)))*(1+OFFSET($J$49,D1368,0))^I1368*(1+OFFSET($K$49,D1368,0))^J1368*(1+OFFSET($L$49,D1368,0))^K1368*(1+OFFSET($M$49,D1368,0))^L1368</f>
        <v>406.689155794783</v>
      </c>
      <c r="N1368" s="67">
        <f ca="1">MAX(MAX($N$62:N1367),OFFSET($C$61,MATCH(M1368*1.07,$M$62:$M$2061,1),0)-C1368)</f>
        <v>51480</v>
      </c>
    </row>
    <row r="1369" spans="2:14">
      <c r="B1369" s="67">
        <v>1308</v>
      </c>
      <c r="C1369" s="67">
        <f t="shared" si="129"/>
        <v>470880</v>
      </c>
      <c r="D1369" s="67">
        <f t="shared" si="132"/>
        <v>5</v>
      </c>
      <c r="E1369" s="67">
        <f ca="1" t="shared" si="133"/>
        <v>1338</v>
      </c>
      <c r="F1369" s="67">
        <f ca="1" t="shared" si="130"/>
        <v>0</v>
      </c>
      <c r="G1369" s="67">
        <f ca="1" t="shared" si="131"/>
        <v>0</v>
      </c>
      <c r="H1369" s="67" cm="1">
        <f ca="1" t="array" ref="H1369">MIN(30-SUM(I1369:L1369),_xlfn.XLOOKUP($D1369&amp;"_"&amp;H$61,$B$23:$B$45&amp;"_"&amp;$C$23:$C$45,$D$23:$D$45)*$E1369,18)</f>
        <v>10.6058177623991</v>
      </c>
      <c r="I1369" s="67" cm="1">
        <f ca="1" t="array" ref="I1369">MIN(30-SUM(J1369:L1369),6-L1369,_xlfn.XLOOKUP($D1369&amp;"_"&amp;I$61,$B$23:$B$45&amp;"_"&amp;$C$23:$C$45,$D$23:$D$45)*$E1369)</f>
        <v>0</v>
      </c>
      <c r="J1369" s="67" cm="1">
        <f ca="1" t="array" ref="J1369">MIN(8,_xlfn.XLOOKUP($D1369&amp;"_"&amp;J$61,$B$23:$B$45&amp;"_"&amp;$C$23:$C$45,$D$23:$D$45)*$E1369)</f>
        <v>8</v>
      </c>
      <c r="K1369" s="67" cm="1">
        <f ca="1" t="array" ref="K1369">MIN(18,_xlfn.XLOOKUP($D1369&amp;"_"&amp;K$61,$B$23:$B$45&amp;"_"&amp;$C$23:$C$45,$D$23:$D$45)*$E1369)</f>
        <v>5.39418223760093</v>
      </c>
      <c r="L1369" s="67" cm="1">
        <f ca="1" t="array" ref="L1369">MIN(6,_xlfn.XLOOKUP($D1369&amp;"_"&amp;L$61,$B$23:$B$45&amp;"_"&amp;$C$23:$C$45,$D$23:$D$45)*$E1369)</f>
        <v>6</v>
      </c>
      <c r="M1369" s="67" cm="1">
        <f ca="1" t="array" ref="M1369">(1+SUMPRODUCT(G1369:H1369,OFFSET($H$49:$I$49,D1369,0)))*(1+OFFSET($J$49,D1369,0))^I1369*(1+OFFSET($K$49,D1369,0))^J1369*(1+OFFSET($L$49,D1369,0))^K1369*(1+OFFSET($M$49,D1369,0))^L1369</f>
        <v>406.883084031034</v>
      </c>
      <c r="N1369" s="67">
        <f ca="1">MAX(MAX($N$62:N1368),OFFSET($C$61,MATCH(M1369*1.07,$M$62:$M$2061,1),0)-C1369)</f>
        <v>51480</v>
      </c>
    </row>
    <row r="1370" spans="2:14">
      <c r="B1370" s="67">
        <v>1309</v>
      </c>
      <c r="C1370" s="67">
        <f t="shared" si="129"/>
        <v>471240</v>
      </c>
      <c r="D1370" s="67">
        <f t="shared" si="132"/>
        <v>5</v>
      </c>
      <c r="E1370" s="67">
        <f ca="1" t="shared" si="133"/>
        <v>1339</v>
      </c>
      <c r="F1370" s="67">
        <f ca="1" t="shared" si="130"/>
        <v>0</v>
      </c>
      <c r="G1370" s="67">
        <f ca="1" t="shared" si="131"/>
        <v>0</v>
      </c>
      <c r="H1370" s="67" cm="1">
        <f ca="1" t="array" ref="H1370">MIN(30-SUM(I1370:L1370),_xlfn.XLOOKUP($D1370&amp;"_"&amp;H$61,$B$23:$B$45&amp;"_"&amp;$C$23:$C$45,$D$23:$D$45)*$E1370,18)</f>
        <v>10.601786236063</v>
      </c>
      <c r="I1370" s="67" cm="1">
        <f ca="1" t="array" ref="I1370">MIN(30-SUM(J1370:L1370),6-L1370,_xlfn.XLOOKUP($D1370&amp;"_"&amp;I$61,$B$23:$B$45&amp;"_"&amp;$C$23:$C$45,$D$23:$D$45)*$E1370)</f>
        <v>0</v>
      </c>
      <c r="J1370" s="67" cm="1">
        <f ca="1" t="array" ref="J1370">MIN(8,_xlfn.XLOOKUP($D1370&amp;"_"&amp;J$61,$B$23:$B$45&amp;"_"&amp;$C$23:$C$45,$D$23:$D$45)*$E1370)</f>
        <v>8</v>
      </c>
      <c r="K1370" s="67" cm="1">
        <f ca="1" t="array" ref="K1370">MIN(18,_xlfn.XLOOKUP($D1370&amp;"_"&amp;K$61,$B$23:$B$45&amp;"_"&amp;$C$23:$C$45,$D$23:$D$45)*$E1370)</f>
        <v>5.39821376393695</v>
      </c>
      <c r="L1370" s="67" cm="1">
        <f ca="1" t="array" ref="L1370">MIN(6,_xlfn.XLOOKUP($D1370&amp;"_"&amp;L$61,$B$23:$B$45&amp;"_"&amp;$C$23:$C$45,$D$23:$D$45)*$E1370)</f>
        <v>6</v>
      </c>
      <c r="M1370" s="67" cm="1">
        <f ca="1" t="array" ref="M1370">(1+SUMPRODUCT(G1370:H1370,OFFSET($H$49:$I$49,D1370,0)))*(1+OFFSET($J$49,D1370,0))^I1370*(1+OFFSET($K$49,D1370,0))^J1370*(1+OFFSET($L$49,D1370,0))^K1370*(1+OFFSET($M$49,D1370,0))^L1370</f>
        <v>407.077077574197</v>
      </c>
      <c r="N1370" s="67">
        <f ca="1">MAX(MAX($N$62:N1369),OFFSET($C$61,MATCH(M1370*1.07,$M$62:$M$2061,1),0)-C1370)</f>
        <v>51480</v>
      </c>
    </row>
    <row r="1371" spans="2:14">
      <c r="B1371" s="67">
        <v>1310</v>
      </c>
      <c r="C1371" s="67">
        <f t="shared" si="129"/>
        <v>471600</v>
      </c>
      <c r="D1371" s="67">
        <f t="shared" si="132"/>
        <v>5</v>
      </c>
      <c r="E1371" s="67">
        <f ca="1" t="shared" si="133"/>
        <v>1340</v>
      </c>
      <c r="F1371" s="67">
        <f ca="1" t="shared" si="130"/>
        <v>0</v>
      </c>
      <c r="G1371" s="67">
        <f ca="1" t="shared" si="131"/>
        <v>0</v>
      </c>
      <c r="H1371" s="67" cm="1">
        <f ca="1" t="array" ref="H1371">MIN(30-SUM(I1371:L1371),_xlfn.XLOOKUP($D1371&amp;"_"&amp;H$61,$B$23:$B$45&amp;"_"&amp;$C$23:$C$45,$D$23:$D$45)*$E1371,18)</f>
        <v>10.597754709727</v>
      </c>
      <c r="I1371" s="67" cm="1">
        <f ca="1" t="array" ref="I1371">MIN(30-SUM(J1371:L1371),6-L1371,_xlfn.XLOOKUP($D1371&amp;"_"&amp;I$61,$B$23:$B$45&amp;"_"&amp;$C$23:$C$45,$D$23:$D$45)*$E1371)</f>
        <v>0</v>
      </c>
      <c r="J1371" s="67" cm="1">
        <f ca="1" t="array" ref="J1371">MIN(8,_xlfn.XLOOKUP($D1371&amp;"_"&amp;J$61,$B$23:$B$45&amp;"_"&amp;$C$23:$C$45,$D$23:$D$45)*$E1371)</f>
        <v>8</v>
      </c>
      <c r="K1371" s="67" cm="1">
        <f ca="1" t="array" ref="K1371">MIN(18,_xlfn.XLOOKUP($D1371&amp;"_"&amp;K$61,$B$23:$B$45&amp;"_"&amp;$C$23:$C$45,$D$23:$D$45)*$E1371)</f>
        <v>5.40224529027298</v>
      </c>
      <c r="L1371" s="67" cm="1">
        <f ca="1" t="array" ref="L1371">MIN(6,_xlfn.XLOOKUP($D1371&amp;"_"&amp;L$61,$B$23:$B$45&amp;"_"&amp;$C$23:$C$45,$D$23:$D$45)*$E1371)</f>
        <v>6</v>
      </c>
      <c r="M1371" s="67" cm="1">
        <f ca="1" t="array" ref="M1371">(1+SUMPRODUCT(G1371:H1371,OFFSET($H$49:$I$49,D1371,0)))*(1+OFFSET($J$49,D1371,0))^I1371*(1+OFFSET($K$49,D1371,0))^J1371*(1+OFFSET($L$49,D1371,0))^K1371*(1+OFFSET($M$49,D1371,0))^L1371</f>
        <v>407.27113641546</v>
      </c>
      <c r="N1371" s="67">
        <f ca="1">MAX(MAX($N$62:N1370),OFFSET($C$61,MATCH(M1371*1.07,$M$62:$M$2061,1),0)-C1371)</f>
        <v>51480</v>
      </c>
    </row>
    <row r="1372" spans="2:14">
      <c r="B1372" s="67">
        <v>1311</v>
      </c>
      <c r="C1372" s="67">
        <f t="shared" si="129"/>
        <v>471960</v>
      </c>
      <c r="D1372" s="67">
        <f t="shared" si="132"/>
        <v>5</v>
      </c>
      <c r="E1372" s="67">
        <f ca="1" t="shared" si="133"/>
        <v>1341</v>
      </c>
      <c r="F1372" s="67">
        <f ca="1" t="shared" si="130"/>
        <v>0</v>
      </c>
      <c r="G1372" s="67">
        <f ca="1" t="shared" si="131"/>
        <v>0</v>
      </c>
      <c r="H1372" s="67" cm="1">
        <f ca="1" t="array" ref="H1372">MIN(30-SUM(I1372:L1372),_xlfn.XLOOKUP($D1372&amp;"_"&amp;H$61,$B$23:$B$45&amp;"_"&amp;$C$23:$C$45,$D$23:$D$45)*$E1372,18)</f>
        <v>10.593723183391</v>
      </c>
      <c r="I1372" s="67" cm="1">
        <f ca="1" t="array" ref="I1372">MIN(30-SUM(J1372:L1372),6-L1372,_xlfn.XLOOKUP($D1372&amp;"_"&amp;I$61,$B$23:$B$45&amp;"_"&amp;$C$23:$C$45,$D$23:$D$45)*$E1372)</f>
        <v>0</v>
      </c>
      <c r="J1372" s="67" cm="1">
        <f ca="1" t="array" ref="J1372">MIN(8,_xlfn.XLOOKUP($D1372&amp;"_"&amp;J$61,$B$23:$B$45&amp;"_"&amp;$C$23:$C$45,$D$23:$D$45)*$E1372)</f>
        <v>8</v>
      </c>
      <c r="K1372" s="67" cm="1">
        <f ca="1" t="array" ref="K1372">MIN(18,_xlfn.XLOOKUP($D1372&amp;"_"&amp;K$61,$B$23:$B$45&amp;"_"&amp;$C$23:$C$45,$D$23:$D$45)*$E1372)</f>
        <v>5.406276816609</v>
      </c>
      <c r="L1372" s="67" cm="1">
        <f ca="1" t="array" ref="L1372">MIN(6,_xlfn.XLOOKUP($D1372&amp;"_"&amp;L$61,$B$23:$B$45&amp;"_"&amp;$C$23:$C$45,$D$23:$D$45)*$E1372)</f>
        <v>6</v>
      </c>
      <c r="M1372" s="67" cm="1">
        <f ca="1" t="array" ref="M1372">(1+SUMPRODUCT(G1372:H1372,OFFSET($H$49:$I$49,D1372,0)))*(1+OFFSET($J$49,D1372,0))^I1372*(1+OFFSET($K$49,D1372,0))^J1372*(1+OFFSET($L$49,D1372,0))^K1372*(1+OFFSET($M$49,D1372,0))^L1372</f>
        <v>407.465260545966</v>
      </c>
      <c r="N1372" s="67">
        <f ca="1">MAX(MAX($N$62:N1371),OFFSET($C$61,MATCH(M1372*1.07,$M$62:$M$2061,1),0)-C1372)</f>
        <v>51480</v>
      </c>
    </row>
    <row r="1373" spans="2:14">
      <c r="B1373" s="67">
        <v>1312</v>
      </c>
      <c r="C1373" s="67">
        <f t="shared" si="129"/>
        <v>472320</v>
      </c>
      <c r="D1373" s="67">
        <f t="shared" si="132"/>
        <v>5</v>
      </c>
      <c r="E1373" s="67">
        <f ca="1" t="shared" si="133"/>
        <v>1342</v>
      </c>
      <c r="F1373" s="67">
        <f ca="1" t="shared" si="130"/>
        <v>0</v>
      </c>
      <c r="G1373" s="67">
        <f ca="1" t="shared" si="131"/>
        <v>0</v>
      </c>
      <c r="H1373" s="67" cm="1">
        <f ca="1" t="array" ref="H1373">MIN(30-SUM(I1373:L1373),_xlfn.XLOOKUP($D1373&amp;"_"&amp;H$61,$B$23:$B$45&amp;"_"&amp;$C$23:$C$45,$D$23:$D$45)*$E1373,18)</f>
        <v>10.589691657055</v>
      </c>
      <c r="I1373" s="67" cm="1">
        <f ca="1" t="array" ref="I1373">MIN(30-SUM(J1373:L1373),6-L1373,_xlfn.XLOOKUP($D1373&amp;"_"&amp;I$61,$B$23:$B$45&amp;"_"&amp;$C$23:$C$45,$D$23:$D$45)*$E1373)</f>
        <v>0</v>
      </c>
      <c r="J1373" s="67" cm="1">
        <f ca="1" t="array" ref="J1373">MIN(8,_xlfn.XLOOKUP($D1373&amp;"_"&amp;J$61,$B$23:$B$45&amp;"_"&amp;$C$23:$C$45,$D$23:$D$45)*$E1373)</f>
        <v>8</v>
      </c>
      <c r="K1373" s="67" cm="1">
        <f ca="1" t="array" ref="K1373">MIN(18,_xlfn.XLOOKUP($D1373&amp;"_"&amp;K$61,$B$23:$B$45&amp;"_"&amp;$C$23:$C$45,$D$23:$D$45)*$E1373)</f>
        <v>5.41030834294503</v>
      </c>
      <c r="L1373" s="67" cm="1">
        <f ca="1" t="array" ref="L1373">MIN(6,_xlfn.XLOOKUP($D1373&amp;"_"&amp;L$61,$B$23:$B$45&amp;"_"&amp;$C$23:$C$45,$D$23:$D$45)*$E1373)</f>
        <v>6</v>
      </c>
      <c r="M1373" s="67" cm="1">
        <f ca="1" t="array" ref="M1373">(1+SUMPRODUCT(G1373:H1373,OFFSET($H$49:$I$49,D1373,0)))*(1+OFFSET($J$49,D1373,0))^I1373*(1+OFFSET($K$49,D1373,0))^J1373*(1+OFFSET($L$49,D1373,0))^K1373*(1+OFFSET($M$49,D1373,0))^L1373</f>
        <v>407.659449956806</v>
      </c>
      <c r="N1373" s="67">
        <f ca="1">MAX(MAX($N$62:N1372),OFFSET($C$61,MATCH(M1373*1.07,$M$62:$M$2061,1),0)-C1373)</f>
        <v>51480</v>
      </c>
    </row>
    <row r="1374" spans="2:14">
      <c r="B1374" s="67">
        <v>1313</v>
      </c>
      <c r="C1374" s="67">
        <f t="shared" si="129"/>
        <v>472680</v>
      </c>
      <c r="D1374" s="67">
        <f t="shared" si="132"/>
        <v>5</v>
      </c>
      <c r="E1374" s="67">
        <f ca="1" t="shared" si="133"/>
        <v>1343</v>
      </c>
      <c r="F1374" s="67">
        <f ca="1" t="shared" si="130"/>
        <v>0</v>
      </c>
      <c r="G1374" s="67">
        <f ca="1" t="shared" si="131"/>
        <v>0</v>
      </c>
      <c r="H1374" s="67" cm="1">
        <f ca="1" t="array" ref="H1374">MIN(30-SUM(I1374:L1374),_xlfn.XLOOKUP($D1374&amp;"_"&amp;H$61,$B$23:$B$45&amp;"_"&amp;$C$23:$C$45,$D$23:$D$45)*$E1374,18)</f>
        <v>10.5856601307189</v>
      </c>
      <c r="I1374" s="67" cm="1">
        <f ca="1" t="array" ref="I1374">MIN(30-SUM(J1374:L1374),6-L1374,_xlfn.XLOOKUP($D1374&amp;"_"&amp;I$61,$B$23:$B$45&amp;"_"&amp;$C$23:$C$45,$D$23:$D$45)*$E1374)</f>
        <v>0</v>
      </c>
      <c r="J1374" s="67" cm="1">
        <f ca="1" t="array" ref="J1374">MIN(8,_xlfn.XLOOKUP($D1374&amp;"_"&amp;J$61,$B$23:$B$45&amp;"_"&amp;$C$23:$C$45,$D$23:$D$45)*$E1374)</f>
        <v>8</v>
      </c>
      <c r="K1374" s="67" cm="1">
        <f ca="1" t="array" ref="K1374">MIN(18,_xlfn.XLOOKUP($D1374&amp;"_"&amp;K$61,$B$23:$B$45&amp;"_"&amp;$C$23:$C$45,$D$23:$D$45)*$E1374)</f>
        <v>5.41433986928105</v>
      </c>
      <c r="L1374" s="67" cm="1">
        <f ca="1" t="array" ref="L1374">MIN(6,_xlfn.XLOOKUP($D1374&amp;"_"&amp;L$61,$B$23:$B$45&amp;"_"&amp;$C$23:$C$45,$D$23:$D$45)*$E1374)</f>
        <v>6</v>
      </c>
      <c r="M1374" s="67" cm="1">
        <f ca="1" t="array" ref="M1374">(1+SUMPRODUCT(G1374:H1374,OFFSET($H$49:$I$49,D1374,0)))*(1+OFFSET($J$49,D1374,0))^I1374*(1+OFFSET($K$49,D1374,0))^J1374*(1+OFFSET($L$49,D1374,0))^K1374*(1+OFFSET($M$49,D1374,0))^L1374</f>
        <v>407.853704639024</v>
      </c>
      <c r="N1374" s="67">
        <f ca="1">MAX(MAX($N$62:N1373),OFFSET($C$61,MATCH(M1374*1.07,$M$62:$M$2061,1),0)-C1374)</f>
        <v>51480</v>
      </c>
    </row>
    <row r="1375" spans="2:14">
      <c r="B1375" s="67">
        <v>1314</v>
      </c>
      <c r="C1375" s="67">
        <f t="shared" si="129"/>
        <v>473040</v>
      </c>
      <c r="D1375" s="67">
        <f t="shared" si="132"/>
        <v>5</v>
      </c>
      <c r="E1375" s="67">
        <f ca="1" t="shared" si="133"/>
        <v>1344</v>
      </c>
      <c r="F1375" s="67">
        <f ca="1" t="shared" si="130"/>
        <v>0</v>
      </c>
      <c r="G1375" s="67">
        <f ca="1" t="shared" si="131"/>
        <v>0</v>
      </c>
      <c r="H1375" s="67" cm="1">
        <f ca="1" t="array" ref="H1375">MIN(30-SUM(I1375:L1375),_xlfn.XLOOKUP($D1375&amp;"_"&amp;H$61,$B$23:$B$45&amp;"_"&amp;$C$23:$C$45,$D$23:$D$45)*$E1375,18)</f>
        <v>10.5816286043829</v>
      </c>
      <c r="I1375" s="67" cm="1">
        <f ca="1" t="array" ref="I1375">MIN(30-SUM(J1375:L1375),6-L1375,_xlfn.XLOOKUP($D1375&amp;"_"&amp;I$61,$B$23:$B$45&amp;"_"&amp;$C$23:$C$45,$D$23:$D$45)*$E1375)</f>
        <v>0</v>
      </c>
      <c r="J1375" s="67" cm="1">
        <f ca="1" t="array" ref="J1375">MIN(8,_xlfn.XLOOKUP($D1375&amp;"_"&amp;J$61,$B$23:$B$45&amp;"_"&amp;$C$23:$C$45,$D$23:$D$45)*$E1375)</f>
        <v>8</v>
      </c>
      <c r="K1375" s="67" cm="1">
        <f ca="1" t="array" ref="K1375">MIN(18,_xlfn.XLOOKUP($D1375&amp;"_"&amp;K$61,$B$23:$B$45&amp;"_"&amp;$C$23:$C$45,$D$23:$D$45)*$E1375)</f>
        <v>5.41837139561708</v>
      </c>
      <c r="L1375" s="67" cm="1">
        <f ca="1" t="array" ref="L1375">MIN(6,_xlfn.XLOOKUP($D1375&amp;"_"&amp;L$61,$B$23:$B$45&amp;"_"&amp;$C$23:$C$45,$D$23:$D$45)*$E1375)</f>
        <v>6</v>
      </c>
      <c r="M1375" s="67" cm="1">
        <f ca="1" t="array" ref="M1375">(1+SUMPRODUCT(G1375:H1375,OFFSET($H$49:$I$49,D1375,0)))*(1+OFFSET($J$49,D1375,0))^I1375*(1+OFFSET($K$49,D1375,0))^J1375*(1+OFFSET($L$49,D1375,0))^K1375*(1+OFFSET($M$49,D1375,0))^L1375</f>
        <v>408.048024583617</v>
      </c>
      <c r="N1375" s="67">
        <f ca="1">MAX(MAX($N$62:N1374),OFFSET($C$61,MATCH(M1375*1.07,$M$62:$M$2061,1),0)-C1375)</f>
        <v>51480</v>
      </c>
    </row>
    <row r="1376" spans="2:14">
      <c r="B1376" s="67">
        <v>1315</v>
      </c>
      <c r="C1376" s="67">
        <f t="shared" si="129"/>
        <v>473400</v>
      </c>
      <c r="D1376" s="67">
        <f t="shared" si="132"/>
        <v>5</v>
      </c>
      <c r="E1376" s="67">
        <f ca="1" t="shared" si="133"/>
        <v>1345</v>
      </c>
      <c r="F1376" s="67">
        <f ca="1" t="shared" si="130"/>
        <v>0</v>
      </c>
      <c r="G1376" s="67">
        <f ca="1" t="shared" si="131"/>
        <v>0</v>
      </c>
      <c r="H1376" s="67" cm="1">
        <f ca="1" t="array" ref="H1376">MIN(30-SUM(I1376:L1376),_xlfn.XLOOKUP($D1376&amp;"_"&amp;H$61,$B$23:$B$45&amp;"_"&amp;$C$23:$C$45,$D$23:$D$45)*$E1376,18)</f>
        <v>10.5775970780469</v>
      </c>
      <c r="I1376" s="67" cm="1">
        <f ca="1" t="array" ref="I1376">MIN(30-SUM(J1376:L1376),6-L1376,_xlfn.XLOOKUP($D1376&amp;"_"&amp;I$61,$B$23:$B$45&amp;"_"&amp;$C$23:$C$45,$D$23:$D$45)*$E1376)</f>
        <v>0</v>
      </c>
      <c r="J1376" s="67" cm="1">
        <f ca="1" t="array" ref="J1376">MIN(8,_xlfn.XLOOKUP($D1376&amp;"_"&amp;J$61,$B$23:$B$45&amp;"_"&amp;$C$23:$C$45,$D$23:$D$45)*$E1376)</f>
        <v>8</v>
      </c>
      <c r="K1376" s="67" cm="1">
        <f ca="1" t="array" ref="K1376">MIN(18,_xlfn.XLOOKUP($D1376&amp;"_"&amp;K$61,$B$23:$B$45&amp;"_"&amp;$C$23:$C$45,$D$23:$D$45)*$E1376)</f>
        <v>5.4224029219531</v>
      </c>
      <c r="L1376" s="67" cm="1">
        <f ca="1" t="array" ref="L1376">MIN(6,_xlfn.XLOOKUP($D1376&amp;"_"&amp;L$61,$B$23:$B$45&amp;"_"&amp;$C$23:$C$45,$D$23:$D$45)*$E1376)</f>
        <v>6</v>
      </c>
      <c r="M1376" s="67" cm="1">
        <f ca="1" t="array" ref="M1376">(1+SUMPRODUCT(G1376:H1376,OFFSET($H$49:$I$49,D1376,0)))*(1+OFFSET($J$49,D1376,0))^I1376*(1+OFFSET($K$49,D1376,0))^J1376*(1+OFFSET($L$49,D1376,0))^K1376*(1+OFFSET($M$49,D1376,0))^L1376</f>
        <v>408.242409781532</v>
      </c>
      <c r="N1376" s="67">
        <f ca="1">MAX(MAX($N$62:N1375),OFFSET($C$61,MATCH(M1376*1.07,$M$62:$M$2061,1),0)-C1376)</f>
        <v>51480</v>
      </c>
    </row>
    <row r="1377" spans="2:14">
      <c r="B1377" s="67">
        <v>1316</v>
      </c>
      <c r="C1377" s="67">
        <f t="shared" si="129"/>
        <v>473760</v>
      </c>
      <c r="D1377" s="67">
        <f t="shared" si="132"/>
        <v>5</v>
      </c>
      <c r="E1377" s="67">
        <f ca="1" t="shared" si="133"/>
        <v>1346</v>
      </c>
      <c r="F1377" s="67">
        <f ca="1" t="shared" si="130"/>
        <v>0</v>
      </c>
      <c r="G1377" s="67">
        <f ca="1" t="shared" si="131"/>
        <v>0</v>
      </c>
      <c r="H1377" s="67" cm="1">
        <f ca="1" t="array" ref="H1377">MIN(30-SUM(I1377:L1377),_xlfn.XLOOKUP($D1377&amp;"_"&amp;H$61,$B$23:$B$45&amp;"_"&amp;$C$23:$C$45,$D$23:$D$45)*$E1377,18)</f>
        <v>10.5735655517109</v>
      </c>
      <c r="I1377" s="67" cm="1">
        <f ca="1" t="array" ref="I1377">MIN(30-SUM(J1377:L1377),6-L1377,_xlfn.XLOOKUP($D1377&amp;"_"&amp;I$61,$B$23:$B$45&amp;"_"&amp;$C$23:$C$45,$D$23:$D$45)*$E1377)</f>
        <v>0</v>
      </c>
      <c r="J1377" s="67" cm="1">
        <f ca="1" t="array" ref="J1377">MIN(8,_xlfn.XLOOKUP($D1377&amp;"_"&amp;J$61,$B$23:$B$45&amp;"_"&amp;$C$23:$C$45,$D$23:$D$45)*$E1377)</f>
        <v>8</v>
      </c>
      <c r="K1377" s="67" cm="1">
        <f ca="1" t="array" ref="K1377">MIN(18,_xlfn.XLOOKUP($D1377&amp;"_"&amp;K$61,$B$23:$B$45&amp;"_"&amp;$C$23:$C$45,$D$23:$D$45)*$E1377)</f>
        <v>5.42643444828912</v>
      </c>
      <c r="L1377" s="67" cm="1">
        <f ca="1" t="array" ref="L1377">MIN(6,_xlfn.XLOOKUP($D1377&amp;"_"&amp;L$61,$B$23:$B$45&amp;"_"&amp;$C$23:$C$45,$D$23:$D$45)*$E1377)</f>
        <v>6</v>
      </c>
      <c r="M1377" s="67" cm="1">
        <f ca="1" t="array" ref="M1377">(1+SUMPRODUCT(G1377:H1377,OFFSET($H$49:$I$49,D1377,0)))*(1+OFFSET($J$49,D1377,0))^I1377*(1+OFFSET($K$49,D1377,0))^J1377*(1+OFFSET($L$49,D1377,0))^K1377*(1+OFFSET($M$49,D1377,0))^L1377</f>
        <v>408.436860223668</v>
      </c>
      <c r="N1377" s="67">
        <f ca="1">MAX(MAX($N$62:N1376),OFFSET($C$61,MATCH(M1377*1.07,$M$62:$M$2061,1),0)-C1377)</f>
        <v>51480</v>
      </c>
    </row>
    <row r="1378" spans="2:14">
      <c r="B1378" s="67">
        <v>1317</v>
      </c>
      <c r="C1378" s="67">
        <f t="shared" si="129"/>
        <v>474120</v>
      </c>
      <c r="D1378" s="67">
        <f t="shared" si="132"/>
        <v>5</v>
      </c>
      <c r="E1378" s="67">
        <f ca="1" t="shared" si="133"/>
        <v>1347</v>
      </c>
      <c r="F1378" s="67">
        <f ca="1" t="shared" si="130"/>
        <v>0</v>
      </c>
      <c r="G1378" s="67">
        <f ca="1" t="shared" si="131"/>
        <v>0</v>
      </c>
      <c r="H1378" s="67" cm="1">
        <f ca="1" t="array" ref="H1378">MIN(30-SUM(I1378:L1378),_xlfn.XLOOKUP($D1378&amp;"_"&amp;H$61,$B$23:$B$45&amp;"_"&amp;$C$23:$C$45,$D$23:$D$45)*$E1378,18)</f>
        <v>10.5695340253748</v>
      </c>
      <c r="I1378" s="67" cm="1">
        <f ca="1" t="array" ref="I1378">MIN(30-SUM(J1378:L1378),6-L1378,_xlfn.XLOOKUP($D1378&amp;"_"&amp;I$61,$B$23:$B$45&amp;"_"&amp;$C$23:$C$45,$D$23:$D$45)*$E1378)</f>
        <v>0</v>
      </c>
      <c r="J1378" s="67" cm="1">
        <f ca="1" t="array" ref="J1378">MIN(8,_xlfn.XLOOKUP($D1378&amp;"_"&amp;J$61,$B$23:$B$45&amp;"_"&amp;$C$23:$C$45,$D$23:$D$45)*$E1378)</f>
        <v>8</v>
      </c>
      <c r="K1378" s="67" cm="1">
        <f ca="1" t="array" ref="K1378">MIN(18,_xlfn.XLOOKUP($D1378&amp;"_"&amp;K$61,$B$23:$B$45&amp;"_"&amp;$C$23:$C$45,$D$23:$D$45)*$E1378)</f>
        <v>5.43046597462515</v>
      </c>
      <c r="L1378" s="67" cm="1">
        <f ca="1" t="array" ref="L1378">MIN(6,_xlfn.XLOOKUP($D1378&amp;"_"&amp;L$61,$B$23:$B$45&amp;"_"&amp;$C$23:$C$45,$D$23:$D$45)*$E1378)</f>
        <v>6</v>
      </c>
      <c r="M1378" s="67" cm="1">
        <f ca="1" t="array" ref="M1378">(1+SUMPRODUCT(G1378:H1378,OFFSET($H$49:$I$49,D1378,0)))*(1+OFFSET($J$49,D1378,0))^I1378*(1+OFFSET($K$49,D1378,0))^J1378*(1+OFFSET($L$49,D1378,0))^K1378*(1+OFFSET($M$49,D1378,0))^L1378</f>
        <v>408.631375900873</v>
      </c>
      <c r="N1378" s="67">
        <f ca="1">MAX(MAX($N$62:N1377),OFFSET($C$61,MATCH(M1378*1.07,$M$62:$M$2061,1),0)-C1378)</f>
        <v>51480</v>
      </c>
    </row>
    <row r="1379" spans="2:14">
      <c r="B1379" s="67">
        <v>1318</v>
      </c>
      <c r="C1379" s="67">
        <f t="shared" si="129"/>
        <v>474480</v>
      </c>
      <c r="D1379" s="67">
        <f t="shared" si="132"/>
        <v>5</v>
      </c>
      <c r="E1379" s="67">
        <f ca="1" t="shared" si="133"/>
        <v>1348</v>
      </c>
      <c r="F1379" s="67">
        <f ca="1" t="shared" si="130"/>
        <v>0</v>
      </c>
      <c r="G1379" s="67">
        <f ca="1" t="shared" si="131"/>
        <v>0</v>
      </c>
      <c r="H1379" s="67" cm="1">
        <f ca="1" t="array" ref="H1379">MIN(30-SUM(I1379:L1379),_xlfn.XLOOKUP($D1379&amp;"_"&amp;H$61,$B$23:$B$45&amp;"_"&amp;$C$23:$C$45,$D$23:$D$45)*$E1379,18)</f>
        <v>10.5655024990388</v>
      </c>
      <c r="I1379" s="67" cm="1">
        <f ca="1" t="array" ref="I1379">MIN(30-SUM(J1379:L1379),6-L1379,_xlfn.XLOOKUP($D1379&amp;"_"&amp;I$61,$B$23:$B$45&amp;"_"&amp;$C$23:$C$45,$D$23:$D$45)*$E1379)</f>
        <v>0</v>
      </c>
      <c r="J1379" s="67" cm="1">
        <f ca="1" t="array" ref="J1379">MIN(8,_xlfn.XLOOKUP($D1379&amp;"_"&amp;J$61,$B$23:$B$45&amp;"_"&amp;$C$23:$C$45,$D$23:$D$45)*$E1379)</f>
        <v>8</v>
      </c>
      <c r="K1379" s="67" cm="1">
        <f ca="1" t="array" ref="K1379">MIN(18,_xlfn.XLOOKUP($D1379&amp;"_"&amp;K$61,$B$23:$B$45&amp;"_"&amp;$C$23:$C$45,$D$23:$D$45)*$E1379)</f>
        <v>5.43449750096117</v>
      </c>
      <c r="L1379" s="67" cm="1">
        <f ca="1" t="array" ref="L1379">MIN(6,_xlfn.XLOOKUP($D1379&amp;"_"&amp;L$61,$B$23:$B$45&amp;"_"&amp;$C$23:$C$45,$D$23:$D$45)*$E1379)</f>
        <v>6</v>
      </c>
      <c r="M1379" s="67" cm="1">
        <f ca="1" t="array" ref="M1379">(1+SUMPRODUCT(G1379:H1379,OFFSET($H$49:$I$49,D1379,0)))*(1+OFFSET($J$49,D1379,0))^I1379*(1+OFFSET($K$49,D1379,0))^J1379*(1+OFFSET($L$49,D1379,0))^K1379*(1+OFFSET($M$49,D1379,0))^L1379</f>
        <v>408.825956803951</v>
      </c>
      <c r="N1379" s="67">
        <f ca="1">MAX(MAX($N$62:N1378),OFFSET($C$61,MATCH(M1379*1.07,$M$62:$M$2061,1),0)-C1379)</f>
        <v>51480</v>
      </c>
    </row>
    <row r="1380" spans="2:14">
      <c r="B1380" s="67">
        <v>1319</v>
      </c>
      <c r="C1380" s="67">
        <f t="shared" si="129"/>
        <v>474840</v>
      </c>
      <c r="D1380" s="67">
        <f t="shared" si="132"/>
        <v>5</v>
      </c>
      <c r="E1380" s="67">
        <f ca="1" t="shared" si="133"/>
        <v>1349</v>
      </c>
      <c r="F1380" s="67">
        <f ca="1" t="shared" si="130"/>
        <v>0</v>
      </c>
      <c r="G1380" s="67">
        <f ca="1" t="shared" si="131"/>
        <v>0</v>
      </c>
      <c r="H1380" s="67" cm="1">
        <f ca="1" t="array" ref="H1380">MIN(30-SUM(I1380:L1380),_xlfn.XLOOKUP($D1380&amp;"_"&amp;H$61,$B$23:$B$45&amp;"_"&amp;$C$23:$C$45,$D$23:$D$45)*$E1380,18)</f>
        <v>10.5614709727028</v>
      </c>
      <c r="I1380" s="67" cm="1">
        <f ca="1" t="array" ref="I1380">MIN(30-SUM(J1380:L1380),6-L1380,_xlfn.XLOOKUP($D1380&amp;"_"&amp;I$61,$B$23:$B$45&amp;"_"&amp;$C$23:$C$45,$D$23:$D$45)*$E1380)</f>
        <v>0</v>
      </c>
      <c r="J1380" s="67" cm="1">
        <f ca="1" t="array" ref="J1380">MIN(8,_xlfn.XLOOKUP($D1380&amp;"_"&amp;J$61,$B$23:$B$45&amp;"_"&amp;$C$23:$C$45,$D$23:$D$45)*$E1380)</f>
        <v>8</v>
      </c>
      <c r="K1380" s="67" cm="1">
        <f ca="1" t="array" ref="K1380">MIN(18,_xlfn.XLOOKUP($D1380&amp;"_"&amp;K$61,$B$23:$B$45&amp;"_"&amp;$C$23:$C$45,$D$23:$D$45)*$E1380)</f>
        <v>5.4385290272972</v>
      </c>
      <c r="L1380" s="67" cm="1">
        <f ca="1" t="array" ref="L1380">MIN(6,_xlfn.XLOOKUP($D1380&amp;"_"&amp;L$61,$B$23:$B$45&amp;"_"&amp;$C$23:$C$45,$D$23:$D$45)*$E1380)</f>
        <v>6</v>
      </c>
      <c r="M1380" s="67" cm="1">
        <f ca="1" t="array" ref="M1380">(1+SUMPRODUCT(G1380:H1380,OFFSET($H$49:$I$49,D1380,0)))*(1+OFFSET($J$49,D1380,0))^I1380*(1+OFFSET($K$49,D1380,0))^J1380*(1+OFFSET($L$49,D1380,0))^K1380*(1+OFFSET($M$49,D1380,0))^L1380</f>
        <v>409.020602923652</v>
      </c>
      <c r="N1380" s="67">
        <f ca="1">MAX(MAX($N$62:N1379),OFFSET($C$61,MATCH(M1380*1.07,$M$62:$M$2061,1),0)-C1380)</f>
        <v>51480</v>
      </c>
    </row>
    <row r="1381" spans="2:14">
      <c r="B1381" s="67">
        <v>1320</v>
      </c>
      <c r="C1381" s="67">
        <f t="shared" si="129"/>
        <v>475200</v>
      </c>
      <c r="D1381" s="67">
        <f t="shared" si="132"/>
        <v>5</v>
      </c>
      <c r="E1381" s="67">
        <f ca="1" t="shared" si="133"/>
        <v>1350</v>
      </c>
      <c r="F1381" s="67">
        <f ca="1" t="shared" si="130"/>
        <v>0</v>
      </c>
      <c r="G1381" s="67">
        <f ca="1" t="shared" si="131"/>
        <v>0</v>
      </c>
      <c r="H1381" s="67" cm="1">
        <f ca="1" t="array" ref="H1381">MIN(30-SUM(I1381:L1381),_xlfn.XLOOKUP($D1381&amp;"_"&amp;H$61,$B$23:$B$45&amp;"_"&amp;$C$23:$C$45,$D$23:$D$45)*$E1381,18)</f>
        <v>10.5574394463668</v>
      </c>
      <c r="I1381" s="67" cm="1">
        <f ca="1" t="array" ref="I1381">MIN(30-SUM(J1381:L1381),6-L1381,_xlfn.XLOOKUP($D1381&amp;"_"&amp;I$61,$B$23:$B$45&amp;"_"&amp;$C$23:$C$45,$D$23:$D$45)*$E1381)</f>
        <v>0</v>
      </c>
      <c r="J1381" s="67" cm="1">
        <f ca="1" t="array" ref="J1381">MIN(8,_xlfn.XLOOKUP($D1381&amp;"_"&amp;J$61,$B$23:$B$45&amp;"_"&amp;$C$23:$C$45,$D$23:$D$45)*$E1381)</f>
        <v>8</v>
      </c>
      <c r="K1381" s="67" cm="1">
        <f ca="1" t="array" ref="K1381">MIN(18,_xlfn.XLOOKUP($D1381&amp;"_"&amp;K$61,$B$23:$B$45&amp;"_"&amp;$C$23:$C$45,$D$23:$D$45)*$E1381)</f>
        <v>5.44256055363322</v>
      </c>
      <c r="L1381" s="67" cm="1">
        <f ca="1" t="array" ref="L1381">MIN(6,_xlfn.XLOOKUP($D1381&amp;"_"&amp;L$61,$B$23:$B$45&amp;"_"&amp;$C$23:$C$45,$D$23:$D$45)*$E1381)</f>
        <v>6</v>
      </c>
      <c r="M1381" s="67" cm="1">
        <f ca="1" t="array" ref="M1381">(1+SUMPRODUCT(G1381:H1381,OFFSET($H$49:$I$49,D1381,0)))*(1+OFFSET($J$49,D1381,0))^I1381*(1+OFFSET($K$49,D1381,0))^J1381*(1+OFFSET($L$49,D1381,0))^K1381*(1+OFFSET($M$49,D1381,0))^L1381</f>
        <v>409.215314250682</v>
      </c>
      <c r="N1381" s="67">
        <f ca="1">MAX(MAX($N$62:N1380),OFFSET($C$61,MATCH(M1381*1.07,$M$62:$M$2061,1),0)-C1381)</f>
        <v>51480</v>
      </c>
    </row>
    <row r="1382" spans="2:14">
      <c r="B1382" s="67">
        <v>1321</v>
      </c>
      <c r="C1382" s="67">
        <f t="shared" si="129"/>
        <v>475560</v>
      </c>
      <c r="D1382" s="67">
        <f t="shared" si="132"/>
        <v>5</v>
      </c>
      <c r="E1382" s="67">
        <f ca="1" t="shared" si="133"/>
        <v>1351</v>
      </c>
      <c r="F1382" s="67">
        <f ca="1" t="shared" si="130"/>
        <v>0</v>
      </c>
      <c r="G1382" s="67">
        <f ca="1" t="shared" si="131"/>
        <v>0</v>
      </c>
      <c r="H1382" s="67" cm="1">
        <f ca="1" t="array" ref="H1382">MIN(30-SUM(I1382:L1382),_xlfn.XLOOKUP($D1382&amp;"_"&amp;H$61,$B$23:$B$45&amp;"_"&amp;$C$23:$C$45,$D$23:$D$45)*$E1382,18)</f>
        <v>10.5534079200308</v>
      </c>
      <c r="I1382" s="67" cm="1">
        <f ca="1" t="array" ref="I1382">MIN(30-SUM(J1382:L1382),6-L1382,_xlfn.XLOOKUP($D1382&amp;"_"&amp;I$61,$B$23:$B$45&amp;"_"&amp;$C$23:$C$45,$D$23:$D$45)*$E1382)</f>
        <v>0</v>
      </c>
      <c r="J1382" s="67" cm="1">
        <f ca="1" t="array" ref="J1382">MIN(8,_xlfn.XLOOKUP($D1382&amp;"_"&amp;J$61,$B$23:$B$45&amp;"_"&amp;$C$23:$C$45,$D$23:$D$45)*$E1382)</f>
        <v>8</v>
      </c>
      <c r="K1382" s="67" cm="1">
        <f ca="1" t="array" ref="K1382">MIN(18,_xlfn.XLOOKUP($D1382&amp;"_"&amp;K$61,$B$23:$B$45&amp;"_"&amp;$C$23:$C$45,$D$23:$D$45)*$E1382)</f>
        <v>5.44659207996925</v>
      </c>
      <c r="L1382" s="67" cm="1">
        <f ca="1" t="array" ref="L1382">MIN(6,_xlfn.XLOOKUP($D1382&amp;"_"&amp;L$61,$B$23:$B$45&amp;"_"&amp;$C$23:$C$45,$D$23:$D$45)*$E1382)</f>
        <v>6</v>
      </c>
      <c r="M1382" s="67" cm="1">
        <f ca="1" t="array" ref="M1382">(1+SUMPRODUCT(G1382:H1382,OFFSET($H$49:$I$49,D1382,0)))*(1+OFFSET($J$49,D1382,0))^I1382*(1+OFFSET($K$49,D1382,0))^J1382*(1+OFFSET($L$49,D1382,0))^K1382*(1+OFFSET($M$49,D1382,0))^L1382</f>
        <v>409.410090775693</v>
      </c>
      <c r="N1382" s="67">
        <f ca="1">MAX(MAX($N$62:N1381),OFFSET($C$61,MATCH(M1382*1.07,$M$62:$M$2061,1),0)-C1382)</f>
        <v>51480</v>
      </c>
    </row>
    <row r="1383" spans="2:14">
      <c r="B1383" s="67">
        <v>1322</v>
      </c>
      <c r="C1383" s="67">
        <f t="shared" si="129"/>
        <v>475920</v>
      </c>
      <c r="D1383" s="67">
        <f t="shared" si="132"/>
        <v>5</v>
      </c>
      <c r="E1383" s="67">
        <f ca="1" t="shared" si="133"/>
        <v>1352</v>
      </c>
      <c r="F1383" s="67">
        <f ca="1" t="shared" si="130"/>
        <v>0</v>
      </c>
      <c r="G1383" s="67">
        <f ca="1" t="shared" si="131"/>
        <v>0</v>
      </c>
      <c r="H1383" s="67" cm="1">
        <f ca="1" t="array" ref="H1383">MIN(30-SUM(I1383:L1383),_xlfn.XLOOKUP($D1383&amp;"_"&amp;H$61,$B$23:$B$45&amp;"_"&amp;$C$23:$C$45,$D$23:$D$45)*$E1383,18)</f>
        <v>10.5493763936947</v>
      </c>
      <c r="I1383" s="67" cm="1">
        <f ca="1" t="array" ref="I1383">MIN(30-SUM(J1383:L1383),6-L1383,_xlfn.XLOOKUP($D1383&amp;"_"&amp;I$61,$B$23:$B$45&amp;"_"&amp;$C$23:$C$45,$D$23:$D$45)*$E1383)</f>
        <v>0</v>
      </c>
      <c r="J1383" s="67" cm="1">
        <f ca="1" t="array" ref="J1383">MIN(8,_xlfn.XLOOKUP($D1383&amp;"_"&amp;J$61,$B$23:$B$45&amp;"_"&amp;$C$23:$C$45,$D$23:$D$45)*$E1383)</f>
        <v>8</v>
      </c>
      <c r="K1383" s="67" cm="1">
        <f ca="1" t="array" ref="K1383">MIN(18,_xlfn.XLOOKUP($D1383&amp;"_"&amp;K$61,$B$23:$B$45&amp;"_"&amp;$C$23:$C$45,$D$23:$D$45)*$E1383)</f>
        <v>5.45062360630527</v>
      </c>
      <c r="L1383" s="67" cm="1">
        <f ca="1" t="array" ref="L1383">MIN(6,_xlfn.XLOOKUP($D1383&amp;"_"&amp;L$61,$B$23:$B$45&amp;"_"&amp;$C$23:$C$45,$D$23:$D$45)*$E1383)</f>
        <v>6</v>
      </c>
      <c r="M1383" s="67" cm="1">
        <f ca="1" t="array" ref="M1383">(1+SUMPRODUCT(G1383:H1383,OFFSET($H$49:$I$49,D1383,0)))*(1+OFFSET($J$49,D1383,0))^I1383*(1+OFFSET($K$49,D1383,0))^J1383*(1+OFFSET($L$49,D1383,0))^K1383*(1+OFFSET($M$49,D1383,0))^L1383</f>
        <v>409.604932489293</v>
      </c>
      <c r="N1383" s="67">
        <f ca="1">MAX(MAX($N$62:N1382),OFFSET($C$61,MATCH(M1383*1.07,$M$62:$M$2061,1),0)-C1383)</f>
        <v>51480</v>
      </c>
    </row>
    <row r="1384" spans="2:14">
      <c r="B1384" s="67">
        <v>1323</v>
      </c>
      <c r="C1384" s="67">
        <f t="shared" si="129"/>
        <v>476280</v>
      </c>
      <c r="D1384" s="67">
        <f t="shared" si="132"/>
        <v>5</v>
      </c>
      <c r="E1384" s="67">
        <f ca="1" t="shared" si="133"/>
        <v>1353</v>
      </c>
      <c r="F1384" s="67">
        <f ca="1" t="shared" si="130"/>
        <v>0</v>
      </c>
      <c r="G1384" s="67">
        <f ca="1" t="shared" si="131"/>
        <v>0</v>
      </c>
      <c r="H1384" s="67" cm="1">
        <f ca="1" t="array" ref="H1384">MIN(30-SUM(I1384:L1384),_xlfn.XLOOKUP($D1384&amp;"_"&amp;H$61,$B$23:$B$45&amp;"_"&amp;$C$23:$C$45,$D$23:$D$45)*$E1384,18)</f>
        <v>10.5453448673587</v>
      </c>
      <c r="I1384" s="67" cm="1">
        <f ca="1" t="array" ref="I1384">MIN(30-SUM(J1384:L1384),6-L1384,_xlfn.XLOOKUP($D1384&amp;"_"&amp;I$61,$B$23:$B$45&amp;"_"&amp;$C$23:$C$45,$D$23:$D$45)*$E1384)</f>
        <v>0</v>
      </c>
      <c r="J1384" s="67" cm="1">
        <f ca="1" t="array" ref="J1384">MIN(8,_xlfn.XLOOKUP($D1384&amp;"_"&amp;J$61,$B$23:$B$45&amp;"_"&amp;$C$23:$C$45,$D$23:$D$45)*$E1384)</f>
        <v>8</v>
      </c>
      <c r="K1384" s="67" cm="1">
        <f ca="1" t="array" ref="K1384">MIN(18,_xlfn.XLOOKUP($D1384&amp;"_"&amp;K$61,$B$23:$B$45&amp;"_"&amp;$C$23:$C$45,$D$23:$D$45)*$E1384)</f>
        <v>5.4546551326413</v>
      </c>
      <c r="L1384" s="67" cm="1">
        <f ca="1" t="array" ref="L1384">MIN(6,_xlfn.XLOOKUP($D1384&amp;"_"&amp;L$61,$B$23:$B$45&amp;"_"&amp;$C$23:$C$45,$D$23:$D$45)*$E1384)</f>
        <v>6</v>
      </c>
      <c r="M1384" s="67" cm="1">
        <f ca="1" t="array" ref="M1384">(1+SUMPRODUCT(G1384:H1384,OFFSET($H$49:$I$49,D1384,0)))*(1+OFFSET($J$49,D1384,0))^I1384*(1+OFFSET($K$49,D1384,0))^J1384*(1+OFFSET($L$49,D1384,0))^K1384*(1+OFFSET($M$49,D1384,0))^L1384</f>
        <v>409.799839382037</v>
      </c>
      <c r="N1384" s="67">
        <f ca="1">MAX(MAX($N$62:N1383),OFFSET($C$61,MATCH(M1384*1.07,$M$62:$M$2061,1),0)-C1384)</f>
        <v>51480</v>
      </c>
    </row>
    <row r="1385" spans="2:14">
      <c r="B1385" s="67">
        <v>1324</v>
      </c>
      <c r="C1385" s="67">
        <f t="shared" si="129"/>
        <v>476640</v>
      </c>
      <c r="D1385" s="67">
        <f t="shared" si="132"/>
        <v>5</v>
      </c>
      <c r="E1385" s="67">
        <f ca="1" t="shared" si="133"/>
        <v>1354</v>
      </c>
      <c r="F1385" s="67">
        <f ca="1" t="shared" si="130"/>
        <v>0</v>
      </c>
      <c r="G1385" s="67">
        <f ca="1" t="shared" si="131"/>
        <v>0</v>
      </c>
      <c r="H1385" s="67" cm="1">
        <f ca="1" t="array" ref="H1385">MIN(30-SUM(I1385:L1385),_xlfn.XLOOKUP($D1385&amp;"_"&amp;H$61,$B$23:$B$45&amp;"_"&amp;$C$23:$C$45,$D$23:$D$45)*$E1385,18)</f>
        <v>10.5413133410227</v>
      </c>
      <c r="I1385" s="67" cm="1">
        <f ca="1" t="array" ref="I1385">MIN(30-SUM(J1385:L1385),6-L1385,_xlfn.XLOOKUP($D1385&amp;"_"&amp;I$61,$B$23:$B$45&amp;"_"&amp;$C$23:$C$45,$D$23:$D$45)*$E1385)</f>
        <v>0</v>
      </c>
      <c r="J1385" s="67" cm="1">
        <f ca="1" t="array" ref="J1385">MIN(8,_xlfn.XLOOKUP($D1385&amp;"_"&amp;J$61,$B$23:$B$45&amp;"_"&amp;$C$23:$C$45,$D$23:$D$45)*$E1385)</f>
        <v>8</v>
      </c>
      <c r="K1385" s="67" cm="1">
        <f ca="1" t="array" ref="K1385">MIN(18,_xlfn.XLOOKUP($D1385&amp;"_"&amp;K$61,$B$23:$B$45&amp;"_"&amp;$C$23:$C$45,$D$23:$D$45)*$E1385)</f>
        <v>5.45868665897732</v>
      </c>
      <c r="L1385" s="67" cm="1">
        <f ca="1" t="array" ref="L1385">MIN(6,_xlfn.XLOOKUP($D1385&amp;"_"&amp;L$61,$B$23:$B$45&amp;"_"&amp;$C$23:$C$45,$D$23:$D$45)*$E1385)</f>
        <v>6</v>
      </c>
      <c r="M1385" s="67" cm="1">
        <f ca="1" t="array" ref="M1385">(1+SUMPRODUCT(G1385:H1385,OFFSET($H$49:$I$49,D1385,0)))*(1+OFFSET($J$49,D1385,0))^I1385*(1+OFFSET($K$49,D1385,0))^J1385*(1+OFFSET($L$49,D1385,0))^K1385*(1+OFFSET($M$49,D1385,0))^L1385</f>
        <v>409.994811444434</v>
      </c>
      <c r="N1385" s="67">
        <f ca="1">MAX(MAX($N$62:N1384),OFFSET($C$61,MATCH(M1385*1.07,$M$62:$M$2061,1),0)-C1385)</f>
        <v>51480</v>
      </c>
    </row>
    <row r="1386" spans="2:14">
      <c r="B1386" s="67">
        <v>1325</v>
      </c>
      <c r="C1386" s="67">
        <f t="shared" si="129"/>
        <v>477000</v>
      </c>
      <c r="D1386" s="67">
        <f t="shared" si="132"/>
        <v>5</v>
      </c>
      <c r="E1386" s="67">
        <f ca="1" t="shared" si="133"/>
        <v>1355</v>
      </c>
      <c r="F1386" s="67">
        <f ca="1" t="shared" si="130"/>
        <v>0</v>
      </c>
      <c r="G1386" s="67">
        <f ca="1" t="shared" si="131"/>
        <v>0</v>
      </c>
      <c r="H1386" s="67" cm="1">
        <f ca="1" t="array" ref="H1386">MIN(30-SUM(I1386:L1386),_xlfn.XLOOKUP($D1386&amp;"_"&amp;H$61,$B$23:$B$45&amp;"_"&amp;$C$23:$C$45,$D$23:$D$45)*$E1386,18)</f>
        <v>10.5372818146867</v>
      </c>
      <c r="I1386" s="67" cm="1">
        <f ca="1" t="array" ref="I1386">MIN(30-SUM(J1386:L1386),6-L1386,_xlfn.XLOOKUP($D1386&amp;"_"&amp;I$61,$B$23:$B$45&amp;"_"&amp;$C$23:$C$45,$D$23:$D$45)*$E1386)</f>
        <v>0</v>
      </c>
      <c r="J1386" s="67" cm="1">
        <f ca="1" t="array" ref="J1386">MIN(8,_xlfn.XLOOKUP($D1386&amp;"_"&amp;J$61,$B$23:$B$45&amp;"_"&amp;$C$23:$C$45,$D$23:$D$45)*$E1386)</f>
        <v>8</v>
      </c>
      <c r="K1386" s="67" cm="1">
        <f ca="1" t="array" ref="K1386">MIN(18,_xlfn.XLOOKUP($D1386&amp;"_"&amp;K$61,$B$23:$B$45&amp;"_"&amp;$C$23:$C$45,$D$23:$D$45)*$E1386)</f>
        <v>5.46271818531335</v>
      </c>
      <c r="L1386" s="67" cm="1">
        <f ca="1" t="array" ref="L1386">MIN(6,_xlfn.XLOOKUP($D1386&amp;"_"&amp;L$61,$B$23:$B$45&amp;"_"&amp;$C$23:$C$45,$D$23:$D$45)*$E1386)</f>
        <v>6</v>
      </c>
      <c r="M1386" s="67" cm="1">
        <f ca="1" t="array" ref="M1386">(1+SUMPRODUCT(G1386:H1386,OFFSET($H$49:$I$49,D1386,0)))*(1+OFFSET($J$49,D1386,0))^I1386*(1+OFFSET($K$49,D1386,0))^J1386*(1+OFFSET($L$49,D1386,0))^K1386*(1+OFFSET($M$49,D1386,0))^L1386</f>
        <v>410.189848666941</v>
      </c>
      <c r="N1386" s="67">
        <f ca="1">MAX(MAX($N$62:N1385),OFFSET($C$61,MATCH(M1386*1.07,$M$62:$M$2061,1),0)-C1386)</f>
        <v>51480</v>
      </c>
    </row>
    <row r="1387" spans="2:14">
      <c r="B1387" s="67">
        <v>1326</v>
      </c>
      <c r="C1387" s="67">
        <f t="shared" si="129"/>
        <v>477360</v>
      </c>
      <c r="D1387" s="67">
        <f t="shared" si="132"/>
        <v>5</v>
      </c>
      <c r="E1387" s="67">
        <f ca="1" t="shared" si="133"/>
        <v>1356</v>
      </c>
      <c r="F1387" s="67">
        <f ca="1" t="shared" si="130"/>
        <v>0</v>
      </c>
      <c r="G1387" s="67">
        <f ca="1" t="shared" si="131"/>
        <v>0</v>
      </c>
      <c r="H1387" s="67" cm="1">
        <f ca="1" t="array" ref="H1387">MIN(30-SUM(I1387:L1387),_xlfn.XLOOKUP($D1387&amp;"_"&amp;H$61,$B$23:$B$45&amp;"_"&amp;$C$23:$C$45,$D$23:$D$45)*$E1387,18)</f>
        <v>10.5332502883506</v>
      </c>
      <c r="I1387" s="67" cm="1">
        <f ca="1" t="array" ref="I1387">MIN(30-SUM(J1387:L1387),6-L1387,_xlfn.XLOOKUP($D1387&amp;"_"&amp;I$61,$B$23:$B$45&amp;"_"&amp;$C$23:$C$45,$D$23:$D$45)*$E1387)</f>
        <v>0</v>
      </c>
      <c r="J1387" s="67" cm="1">
        <f ca="1" t="array" ref="J1387">MIN(8,_xlfn.XLOOKUP($D1387&amp;"_"&amp;J$61,$B$23:$B$45&amp;"_"&amp;$C$23:$C$45,$D$23:$D$45)*$E1387)</f>
        <v>8</v>
      </c>
      <c r="K1387" s="67" cm="1">
        <f ca="1" t="array" ref="K1387">MIN(18,_xlfn.XLOOKUP($D1387&amp;"_"&amp;K$61,$B$23:$B$45&amp;"_"&amp;$C$23:$C$45,$D$23:$D$45)*$E1387)</f>
        <v>5.46674971164937</v>
      </c>
      <c r="L1387" s="67" cm="1">
        <f ca="1" t="array" ref="L1387">MIN(6,_xlfn.XLOOKUP($D1387&amp;"_"&amp;L$61,$B$23:$B$45&amp;"_"&amp;$C$23:$C$45,$D$23:$D$45)*$E1387)</f>
        <v>6</v>
      </c>
      <c r="M1387" s="67" cm="1">
        <f ca="1" t="array" ref="M1387">(1+SUMPRODUCT(G1387:H1387,OFFSET($H$49:$I$49,D1387,0)))*(1+OFFSET($J$49,D1387,0))^I1387*(1+OFFSET($K$49,D1387,0))^J1387*(1+OFFSET($L$49,D1387,0))^K1387*(1+OFFSET($M$49,D1387,0))^L1387</f>
        <v>410.384951039967</v>
      </c>
      <c r="N1387" s="67">
        <f ca="1">MAX(MAX($N$62:N1386),OFFSET($C$61,MATCH(M1387*1.07,$M$62:$M$2061,1),0)-C1387)</f>
        <v>51480</v>
      </c>
    </row>
    <row r="1388" spans="2:14">
      <c r="B1388" s="67">
        <v>1327</v>
      </c>
      <c r="C1388" s="67">
        <f t="shared" si="129"/>
        <v>477720</v>
      </c>
      <c r="D1388" s="67">
        <f t="shared" si="132"/>
        <v>5</v>
      </c>
      <c r="E1388" s="67">
        <f ca="1" t="shared" si="133"/>
        <v>1357</v>
      </c>
      <c r="F1388" s="67">
        <f ca="1" t="shared" si="130"/>
        <v>0</v>
      </c>
      <c r="G1388" s="67">
        <f ca="1" t="shared" si="131"/>
        <v>0</v>
      </c>
      <c r="H1388" s="67" cm="1">
        <f ca="1" t="array" ref="H1388">MIN(30-SUM(I1388:L1388),_xlfn.XLOOKUP($D1388&amp;"_"&amp;H$61,$B$23:$B$45&amp;"_"&amp;$C$23:$C$45,$D$23:$D$45)*$E1388,18)</f>
        <v>10.5292187620146</v>
      </c>
      <c r="I1388" s="67" cm="1">
        <f ca="1" t="array" ref="I1388">MIN(30-SUM(J1388:L1388),6-L1388,_xlfn.XLOOKUP($D1388&amp;"_"&amp;I$61,$B$23:$B$45&amp;"_"&amp;$C$23:$C$45,$D$23:$D$45)*$E1388)</f>
        <v>0</v>
      </c>
      <c r="J1388" s="67" cm="1">
        <f ca="1" t="array" ref="J1388">MIN(8,_xlfn.XLOOKUP($D1388&amp;"_"&amp;J$61,$B$23:$B$45&amp;"_"&amp;$C$23:$C$45,$D$23:$D$45)*$E1388)</f>
        <v>8</v>
      </c>
      <c r="K1388" s="67" cm="1">
        <f ca="1" t="array" ref="K1388">MIN(18,_xlfn.XLOOKUP($D1388&amp;"_"&amp;K$61,$B$23:$B$45&amp;"_"&amp;$C$23:$C$45,$D$23:$D$45)*$E1388)</f>
        <v>5.4707812379854</v>
      </c>
      <c r="L1388" s="67" cm="1">
        <f ca="1" t="array" ref="L1388">MIN(6,_xlfn.XLOOKUP($D1388&amp;"_"&amp;L$61,$B$23:$B$45&amp;"_"&amp;$C$23:$C$45,$D$23:$D$45)*$E1388)</f>
        <v>6</v>
      </c>
      <c r="M1388" s="67" cm="1">
        <f ca="1" t="array" ref="M1388">(1+SUMPRODUCT(G1388:H1388,OFFSET($H$49:$I$49,D1388,0)))*(1+OFFSET($J$49,D1388,0))^I1388*(1+OFFSET($K$49,D1388,0))^J1388*(1+OFFSET($L$49,D1388,0))^K1388*(1+OFFSET($M$49,D1388,0))^L1388</f>
        <v>410.580118553872</v>
      </c>
      <c r="N1388" s="67">
        <f ca="1">MAX(MAX($N$62:N1387),OFFSET($C$61,MATCH(M1388*1.07,$M$62:$M$2061,1),0)-C1388)</f>
        <v>51480</v>
      </c>
    </row>
    <row r="1389" spans="2:14">
      <c r="B1389" s="67">
        <v>1328</v>
      </c>
      <c r="C1389" s="67">
        <f t="shared" si="129"/>
        <v>478080</v>
      </c>
      <c r="D1389" s="67">
        <f t="shared" si="132"/>
        <v>5</v>
      </c>
      <c r="E1389" s="67">
        <f ca="1" t="shared" si="133"/>
        <v>1358</v>
      </c>
      <c r="F1389" s="67">
        <f ca="1" t="shared" si="130"/>
        <v>0</v>
      </c>
      <c r="G1389" s="67">
        <f ca="1" t="shared" si="131"/>
        <v>0</v>
      </c>
      <c r="H1389" s="67" cm="1">
        <f ca="1" t="array" ref="H1389">MIN(30-SUM(I1389:L1389),_xlfn.XLOOKUP($D1389&amp;"_"&amp;H$61,$B$23:$B$45&amp;"_"&amp;$C$23:$C$45,$D$23:$D$45)*$E1389,18)</f>
        <v>10.5251872356786</v>
      </c>
      <c r="I1389" s="67" cm="1">
        <f ca="1" t="array" ref="I1389">MIN(30-SUM(J1389:L1389),6-L1389,_xlfn.XLOOKUP($D1389&amp;"_"&amp;I$61,$B$23:$B$45&amp;"_"&amp;$C$23:$C$45,$D$23:$D$45)*$E1389)</f>
        <v>0</v>
      </c>
      <c r="J1389" s="67" cm="1">
        <f ca="1" t="array" ref="J1389">MIN(8,_xlfn.XLOOKUP($D1389&amp;"_"&amp;J$61,$B$23:$B$45&amp;"_"&amp;$C$23:$C$45,$D$23:$D$45)*$E1389)</f>
        <v>8</v>
      </c>
      <c r="K1389" s="67" cm="1">
        <f ca="1" t="array" ref="K1389">MIN(18,_xlfn.XLOOKUP($D1389&amp;"_"&amp;K$61,$B$23:$B$45&amp;"_"&amp;$C$23:$C$45,$D$23:$D$45)*$E1389)</f>
        <v>5.47481276432142</v>
      </c>
      <c r="L1389" s="67" cm="1">
        <f ca="1" t="array" ref="L1389">MIN(6,_xlfn.XLOOKUP($D1389&amp;"_"&amp;L$61,$B$23:$B$45&amp;"_"&amp;$C$23:$C$45,$D$23:$D$45)*$E1389)</f>
        <v>6</v>
      </c>
      <c r="M1389" s="67" cm="1">
        <f ca="1" t="array" ref="M1389">(1+SUMPRODUCT(G1389:H1389,OFFSET($H$49:$I$49,D1389,0)))*(1+OFFSET($J$49,D1389,0))^I1389*(1+OFFSET($K$49,D1389,0))^J1389*(1+OFFSET($L$49,D1389,0))^K1389*(1+OFFSET($M$49,D1389,0))^L1389</f>
        <v>410.775351198966</v>
      </c>
      <c r="N1389" s="67">
        <f ca="1">MAX(MAX($N$62:N1388),OFFSET($C$61,MATCH(M1389*1.07,$M$62:$M$2061,1),0)-C1389)</f>
        <v>51480</v>
      </c>
    </row>
    <row r="1390" spans="2:14">
      <c r="B1390" s="67">
        <v>1329</v>
      </c>
      <c r="C1390" s="67">
        <f t="shared" ref="C1390:C1453" si="134">C1389+360</f>
        <v>478440</v>
      </c>
      <c r="D1390" s="67">
        <f t="shared" si="132"/>
        <v>5</v>
      </c>
      <c r="E1390" s="67">
        <f ca="1" t="shared" si="133"/>
        <v>1359</v>
      </c>
      <c r="F1390" s="67">
        <f ca="1" t="shared" ref="F1390:F1453" si="135">30-SUM(G1390:L1390)</f>
        <v>0</v>
      </c>
      <c r="G1390" s="67">
        <f ca="1" t="shared" ref="G1390:G1453" si="136">30-SUM(H1390:L1390)</f>
        <v>0</v>
      </c>
      <c r="H1390" s="67" cm="1">
        <f ca="1" t="array" ref="H1390">MIN(30-SUM(I1390:L1390),_xlfn.XLOOKUP($D1390&amp;"_"&amp;H$61,$B$23:$B$45&amp;"_"&amp;$C$23:$C$45,$D$23:$D$45)*$E1390,18)</f>
        <v>10.5211557093426</v>
      </c>
      <c r="I1390" s="67" cm="1">
        <f ca="1" t="array" ref="I1390">MIN(30-SUM(J1390:L1390),6-L1390,_xlfn.XLOOKUP($D1390&amp;"_"&amp;I$61,$B$23:$B$45&amp;"_"&amp;$C$23:$C$45,$D$23:$D$45)*$E1390)</f>
        <v>0</v>
      </c>
      <c r="J1390" s="67" cm="1">
        <f ca="1" t="array" ref="J1390">MIN(8,_xlfn.XLOOKUP($D1390&amp;"_"&amp;J$61,$B$23:$B$45&amp;"_"&amp;$C$23:$C$45,$D$23:$D$45)*$E1390)</f>
        <v>8</v>
      </c>
      <c r="K1390" s="67" cm="1">
        <f ca="1" t="array" ref="K1390">MIN(18,_xlfn.XLOOKUP($D1390&amp;"_"&amp;K$61,$B$23:$B$45&amp;"_"&amp;$C$23:$C$45,$D$23:$D$45)*$E1390)</f>
        <v>5.47884429065744</v>
      </c>
      <c r="L1390" s="67" cm="1">
        <f ca="1" t="array" ref="L1390">MIN(6,_xlfn.XLOOKUP($D1390&amp;"_"&amp;L$61,$B$23:$B$45&amp;"_"&amp;$C$23:$C$45,$D$23:$D$45)*$E1390)</f>
        <v>6</v>
      </c>
      <c r="M1390" s="67" cm="1">
        <f ca="1" t="array" ref="M1390">(1+SUMPRODUCT(G1390:H1390,OFFSET($H$49:$I$49,D1390,0)))*(1+OFFSET($J$49,D1390,0))^I1390*(1+OFFSET($K$49,D1390,0))^J1390*(1+OFFSET($L$49,D1390,0))^K1390*(1+OFFSET($M$49,D1390,0))^L1390</f>
        <v>410.970648965511</v>
      </c>
      <c r="N1390" s="67">
        <f ca="1">MAX(MAX($N$62:N1389),OFFSET($C$61,MATCH(M1390*1.07,$M$62:$M$2061,1),0)-C1390)</f>
        <v>51480</v>
      </c>
    </row>
    <row r="1391" spans="2:14">
      <c r="B1391" s="67">
        <v>1330</v>
      </c>
      <c r="C1391" s="67">
        <f t="shared" si="134"/>
        <v>478800</v>
      </c>
      <c r="D1391" s="67">
        <f t="shared" si="132"/>
        <v>5</v>
      </c>
      <c r="E1391" s="67">
        <f ca="1" t="shared" si="133"/>
        <v>1360</v>
      </c>
      <c r="F1391" s="67">
        <f ca="1" t="shared" si="135"/>
        <v>0</v>
      </c>
      <c r="G1391" s="67">
        <f ca="1" t="shared" si="136"/>
        <v>0</v>
      </c>
      <c r="H1391" s="67" cm="1">
        <f ca="1" t="array" ref="H1391">MIN(30-SUM(I1391:L1391),_xlfn.XLOOKUP($D1391&amp;"_"&amp;H$61,$B$23:$B$45&amp;"_"&amp;$C$23:$C$45,$D$23:$D$45)*$E1391,18)</f>
        <v>10.5171241830065</v>
      </c>
      <c r="I1391" s="67" cm="1">
        <f ca="1" t="array" ref="I1391">MIN(30-SUM(J1391:L1391),6-L1391,_xlfn.XLOOKUP($D1391&amp;"_"&amp;I$61,$B$23:$B$45&amp;"_"&amp;$C$23:$C$45,$D$23:$D$45)*$E1391)</f>
        <v>0</v>
      </c>
      <c r="J1391" s="67" cm="1">
        <f ca="1" t="array" ref="J1391">MIN(8,_xlfn.XLOOKUP($D1391&amp;"_"&amp;J$61,$B$23:$B$45&amp;"_"&amp;$C$23:$C$45,$D$23:$D$45)*$E1391)</f>
        <v>8</v>
      </c>
      <c r="K1391" s="67" cm="1">
        <f ca="1" t="array" ref="K1391">MIN(18,_xlfn.XLOOKUP($D1391&amp;"_"&amp;K$61,$B$23:$B$45&amp;"_"&amp;$C$23:$C$45,$D$23:$D$45)*$E1391)</f>
        <v>5.48287581699347</v>
      </c>
      <c r="L1391" s="67" cm="1">
        <f ca="1" t="array" ref="L1391">MIN(6,_xlfn.XLOOKUP($D1391&amp;"_"&amp;L$61,$B$23:$B$45&amp;"_"&amp;$C$23:$C$45,$D$23:$D$45)*$E1391)</f>
        <v>6</v>
      </c>
      <c r="M1391" s="67" cm="1">
        <f ca="1" t="array" ref="M1391">(1+SUMPRODUCT(G1391:H1391,OFFSET($H$49:$I$49,D1391,0)))*(1+OFFSET($J$49,D1391,0))^I1391*(1+OFFSET($K$49,D1391,0))^J1391*(1+OFFSET($L$49,D1391,0))^K1391*(1+OFFSET($M$49,D1391,0))^L1391</f>
        <v>411.166011843716</v>
      </c>
      <c r="N1391" s="67">
        <f ca="1">MAX(MAX($N$62:N1390),OFFSET($C$61,MATCH(M1391*1.07,$M$62:$M$2061,1),0)-C1391)</f>
        <v>51480</v>
      </c>
    </row>
    <row r="1392" spans="2:14">
      <c r="B1392" s="67">
        <v>1331</v>
      </c>
      <c r="C1392" s="67">
        <f t="shared" si="134"/>
        <v>479160</v>
      </c>
      <c r="D1392" s="67">
        <f t="shared" si="132"/>
        <v>5</v>
      </c>
      <c r="E1392" s="67">
        <f ca="1" t="shared" si="133"/>
        <v>1361</v>
      </c>
      <c r="F1392" s="67">
        <f ca="1" t="shared" si="135"/>
        <v>0</v>
      </c>
      <c r="G1392" s="67">
        <f ca="1" t="shared" si="136"/>
        <v>0</v>
      </c>
      <c r="H1392" s="67" cm="1">
        <f ca="1" t="array" ref="H1392">MIN(30-SUM(I1392:L1392),_xlfn.XLOOKUP($D1392&amp;"_"&amp;H$61,$B$23:$B$45&amp;"_"&amp;$C$23:$C$45,$D$23:$D$45)*$E1392,18)</f>
        <v>10.5130926566705</v>
      </c>
      <c r="I1392" s="67" cm="1">
        <f ca="1" t="array" ref="I1392">MIN(30-SUM(J1392:L1392),6-L1392,_xlfn.XLOOKUP($D1392&amp;"_"&amp;I$61,$B$23:$B$45&amp;"_"&amp;$C$23:$C$45,$D$23:$D$45)*$E1392)</f>
        <v>0</v>
      </c>
      <c r="J1392" s="67" cm="1">
        <f ca="1" t="array" ref="J1392">MIN(8,_xlfn.XLOOKUP($D1392&amp;"_"&amp;J$61,$B$23:$B$45&amp;"_"&amp;$C$23:$C$45,$D$23:$D$45)*$E1392)</f>
        <v>8</v>
      </c>
      <c r="K1392" s="67" cm="1">
        <f ca="1" t="array" ref="K1392">MIN(18,_xlfn.XLOOKUP($D1392&amp;"_"&amp;K$61,$B$23:$B$45&amp;"_"&amp;$C$23:$C$45,$D$23:$D$45)*$E1392)</f>
        <v>5.48690734332949</v>
      </c>
      <c r="L1392" s="67" cm="1">
        <f ca="1" t="array" ref="L1392">MIN(6,_xlfn.XLOOKUP($D1392&amp;"_"&amp;L$61,$B$23:$B$45&amp;"_"&amp;$C$23:$C$45,$D$23:$D$45)*$E1392)</f>
        <v>6</v>
      </c>
      <c r="M1392" s="67" cm="1">
        <f ca="1" t="array" ref="M1392">(1+SUMPRODUCT(G1392:H1392,OFFSET($H$49:$I$49,D1392,0)))*(1+OFFSET($J$49,D1392,0))^I1392*(1+OFFSET($K$49,D1392,0))^J1392*(1+OFFSET($L$49,D1392,0))^K1392*(1+OFFSET($M$49,D1392,0))^L1392</f>
        <v>411.361439823745</v>
      </c>
      <c r="N1392" s="67">
        <f ca="1">MAX(MAX($N$62:N1391),OFFSET($C$61,MATCH(M1392*1.07,$M$62:$M$2061,1),0)-C1392)</f>
        <v>51480</v>
      </c>
    </row>
    <row r="1393" spans="2:14">
      <c r="B1393" s="67">
        <v>1332</v>
      </c>
      <c r="C1393" s="67">
        <f t="shared" si="134"/>
        <v>479520</v>
      </c>
      <c r="D1393" s="67">
        <f t="shared" si="132"/>
        <v>5</v>
      </c>
      <c r="E1393" s="67">
        <f ca="1" t="shared" si="133"/>
        <v>1362</v>
      </c>
      <c r="F1393" s="67">
        <f ca="1" t="shared" si="135"/>
        <v>0</v>
      </c>
      <c r="G1393" s="67">
        <f ca="1" t="shared" si="136"/>
        <v>0</v>
      </c>
      <c r="H1393" s="67" cm="1">
        <f ca="1" t="array" ref="H1393">MIN(30-SUM(I1393:L1393),_xlfn.XLOOKUP($D1393&amp;"_"&amp;H$61,$B$23:$B$45&amp;"_"&amp;$C$23:$C$45,$D$23:$D$45)*$E1393,18)</f>
        <v>10.5090611303345</v>
      </c>
      <c r="I1393" s="67" cm="1">
        <f ca="1" t="array" ref="I1393">MIN(30-SUM(J1393:L1393),6-L1393,_xlfn.XLOOKUP($D1393&amp;"_"&amp;I$61,$B$23:$B$45&amp;"_"&amp;$C$23:$C$45,$D$23:$D$45)*$E1393)</f>
        <v>0</v>
      </c>
      <c r="J1393" s="67" cm="1">
        <f ca="1" t="array" ref="J1393">MIN(8,_xlfn.XLOOKUP($D1393&amp;"_"&amp;J$61,$B$23:$B$45&amp;"_"&amp;$C$23:$C$45,$D$23:$D$45)*$E1393)</f>
        <v>8</v>
      </c>
      <c r="K1393" s="67" cm="1">
        <f ca="1" t="array" ref="K1393">MIN(18,_xlfn.XLOOKUP($D1393&amp;"_"&amp;K$61,$B$23:$B$45&amp;"_"&amp;$C$23:$C$45,$D$23:$D$45)*$E1393)</f>
        <v>5.49093886966552</v>
      </c>
      <c r="L1393" s="67" cm="1">
        <f ca="1" t="array" ref="L1393">MIN(6,_xlfn.XLOOKUP($D1393&amp;"_"&amp;L$61,$B$23:$B$45&amp;"_"&amp;$C$23:$C$45,$D$23:$D$45)*$E1393)</f>
        <v>6</v>
      </c>
      <c r="M1393" s="67" cm="1">
        <f ca="1" t="array" ref="M1393">(1+SUMPRODUCT(G1393:H1393,OFFSET($H$49:$I$49,D1393,0)))*(1+OFFSET($J$49,D1393,0))^I1393*(1+OFFSET($K$49,D1393,0))^J1393*(1+OFFSET($L$49,D1393,0))^K1393*(1+OFFSET($M$49,D1393,0))^L1393</f>
        <v>411.556932895709</v>
      </c>
      <c r="N1393" s="67">
        <f ca="1">MAX(MAX($N$62:N1392),OFFSET($C$61,MATCH(M1393*1.07,$M$62:$M$2061,1),0)-C1393)</f>
        <v>51480</v>
      </c>
    </row>
    <row r="1394" spans="2:14">
      <c r="B1394" s="67">
        <v>1333</v>
      </c>
      <c r="C1394" s="67">
        <f t="shared" si="134"/>
        <v>479880</v>
      </c>
      <c r="D1394" s="67">
        <f t="shared" si="132"/>
        <v>5</v>
      </c>
      <c r="E1394" s="67">
        <f ca="1" t="shared" si="133"/>
        <v>1363</v>
      </c>
      <c r="F1394" s="67">
        <f ca="1" t="shared" si="135"/>
        <v>0</v>
      </c>
      <c r="G1394" s="67">
        <f ca="1" t="shared" si="136"/>
        <v>0</v>
      </c>
      <c r="H1394" s="67" cm="1">
        <f ca="1" t="array" ref="H1394">MIN(30-SUM(I1394:L1394),_xlfn.XLOOKUP($D1394&amp;"_"&amp;H$61,$B$23:$B$45&amp;"_"&amp;$C$23:$C$45,$D$23:$D$45)*$E1394,18)</f>
        <v>10.5050296039985</v>
      </c>
      <c r="I1394" s="67" cm="1">
        <f ca="1" t="array" ref="I1394">MIN(30-SUM(J1394:L1394),6-L1394,_xlfn.XLOOKUP($D1394&amp;"_"&amp;I$61,$B$23:$B$45&amp;"_"&amp;$C$23:$C$45,$D$23:$D$45)*$E1394)</f>
        <v>0</v>
      </c>
      <c r="J1394" s="67" cm="1">
        <f ca="1" t="array" ref="J1394">MIN(8,_xlfn.XLOOKUP($D1394&amp;"_"&amp;J$61,$B$23:$B$45&amp;"_"&amp;$C$23:$C$45,$D$23:$D$45)*$E1394)</f>
        <v>8</v>
      </c>
      <c r="K1394" s="67" cm="1">
        <f ca="1" t="array" ref="K1394">MIN(18,_xlfn.XLOOKUP($D1394&amp;"_"&amp;K$61,$B$23:$B$45&amp;"_"&amp;$C$23:$C$45,$D$23:$D$45)*$E1394)</f>
        <v>5.49497039600154</v>
      </c>
      <c r="L1394" s="67" cm="1">
        <f ca="1" t="array" ref="L1394">MIN(6,_xlfn.XLOOKUP($D1394&amp;"_"&amp;L$61,$B$23:$B$45&amp;"_"&amp;$C$23:$C$45,$D$23:$D$45)*$E1394)</f>
        <v>6</v>
      </c>
      <c r="M1394" s="67" cm="1">
        <f ca="1" t="array" ref="M1394">(1+SUMPRODUCT(G1394:H1394,OFFSET($H$49:$I$49,D1394,0)))*(1+OFFSET($J$49,D1394,0))^I1394*(1+OFFSET($K$49,D1394,0))^J1394*(1+OFFSET($L$49,D1394,0))^K1394*(1+OFFSET($M$49,D1394,0))^L1394</f>
        <v>411.75249104967</v>
      </c>
      <c r="N1394" s="67">
        <f ca="1">MAX(MAX($N$62:N1393),OFFSET($C$61,MATCH(M1394*1.07,$M$62:$M$2061,1),0)-C1394)</f>
        <v>51480</v>
      </c>
    </row>
    <row r="1395" spans="2:14">
      <c r="B1395" s="67">
        <v>1334</v>
      </c>
      <c r="C1395" s="67">
        <f t="shared" si="134"/>
        <v>480240</v>
      </c>
      <c r="D1395" s="67">
        <f t="shared" si="132"/>
        <v>5</v>
      </c>
      <c r="E1395" s="67">
        <f ca="1" t="shared" si="133"/>
        <v>1364</v>
      </c>
      <c r="F1395" s="67">
        <f ca="1" t="shared" si="135"/>
        <v>0</v>
      </c>
      <c r="G1395" s="67">
        <f ca="1" t="shared" si="136"/>
        <v>0</v>
      </c>
      <c r="H1395" s="67" cm="1">
        <f ca="1" t="array" ref="H1395">MIN(30-SUM(I1395:L1395),_xlfn.XLOOKUP($D1395&amp;"_"&amp;H$61,$B$23:$B$45&amp;"_"&amp;$C$23:$C$45,$D$23:$D$45)*$E1395,18)</f>
        <v>10.5009980776624</v>
      </c>
      <c r="I1395" s="67" cm="1">
        <f ca="1" t="array" ref="I1395">MIN(30-SUM(J1395:L1395),6-L1395,_xlfn.XLOOKUP($D1395&amp;"_"&amp;I$61,$B$23:$B$45&amp;"_"&amp;$C$23:$C$45,$D$23:$D$45)*$E1395)</f>
        <v>0</v>
      </c>
      <c r="J1395" s="67" cm="1">
        <f ca="1" t="array" ref="J1395">MIN(8,_xlfn.XLOOKUP($D1395&amp;"_"&amp;J$61,$B$23:$B$45&amp;"_"&amp;$C$23:$C$45,$D$23:$D$45)*$E1395)</f>
        <v>8</v>
      </c>
      <c r="K1395" s="67" cm="1">
        <f ca="1" t="array" ref="K1395">MIN(18,_xlfn.XLOOKUP($D1395&amp;"_"&amp;K$61,$B$23:$B$45&amp;"_"&amp;$C$23:$C$45,$D$23:$D$45)*$E1395)</f>
        <v>5.49900192233757</v>
      </c>
      <c r="L1395" s="67" cm="1">
        <f ca="1" t="array" ref="L1395">MIN(6,_xlfn.XLOOKUP($D1395&amp;"_"&amp;L$61,$B$23:$B$45&amp;"_"&amp;$C$23:$C$45,$D$23:$D$45)*$E1395)</f>
        <v>6</v>
      </c>
      <c r="M1395" s="67" cm="1">
        <f ca="1" t="array" ref="M1395">(1+SUMPRODUCT(G1395:H1395,OFFSET($H$49:$I$49,D1395,0)))*(1+OFFSET($J$49,D1395,0))^I1395*(1+OFFSET($K$49,D1395,0))^J1395*(1+OFFSET($L$49,D1395,0))^K1395*(1+OFFSET($M$49,D1395,0))^L1395</f>
        <v>411.94811427564</v>
      </c>
      <c r="N1395" s="67">
        <f ca="1">MAX(MAX($N$62:N1394),OFFSET($C$61,MATCH(M1395*1.07,$M$62:$M$2061,1),0)-C1395)</f>
        <v>51480</v>
      </c>
    </row>
    <row r="1396" spans="2:14">
      <c r="B1396" s="67">
        <v>1335</v>
      </c>
      <c r="C1396" s="67">
        <f t="shared" si="134"/>
        <v>480600</v>
      </c>
      <c r="D1396" s="67">
        <f t="shared" si="132"/>
        <v>5</v>
      </c>
      <c r="E1396" s="67">
        <f ca="1" t="shared" si="133"/>
        <v>1365</v>
      </c>
      <c r="F1396" s="67">
        <f ca="1" t="shared" si="135"/>
        <v>0</v>
      </c>
      <c r="G1396" s="67">
        <f ca="1" t="shared" si="136"/>
        <v>0</v>
      </c>
      <c r="H1396" s="67" cm="1">
        <f ca="1" t="array" ref="H1396">MIN(30-SUM(I1396:L1396),_xlfn.XLOOKUP($D1396&amp;"_"&amp;H$61,$B$23:$B$45&amp;"_"&amp;$C$23:$C$45,$D$23:$D$45)*$E1396,18)</f>
        <v>10.4969665513264</v>
      </c>
      <c r="I1396" s="67" cm="1">
        <f ca="1" t="array" ref="I1396">MIN(30-SUM(J1396:L1396),6-L1396,_xlfn.XLOOKUP($D1396&amp;"_"&amp;I$61,$B$23:$B$45&amp;"_"&amp;$C$23:$C$45,$D$23:$D$45)*$E1396)</f>
        <v>0</v>
      </c>
      <c r="J1396" s="67" cm="1">
        <f ca="1" t="array" ref="J1396">MIN(8,_xlfn.XLOOKUP($D1396&amp;"_"&amp;J$61,$B$23:$B$45&amp;"_"&amp;$C$23:$C$45,$D$23:$D$45)*$E1396)</f>
        <v>8</v>
      </c>
      <c r="K1396" s="67" cm="1">
        <f ca="1" t="array" ref="K1396">MIN(18,_xlfn.XLOOKUP($D1396&amp;"_"&amp;K$61,$B$23:$B$45&amp;"_"&amp;$C$23:$C$45,$D$23:$D$45)*$E1396)</f>
        <v>5.50303344867359</v>
      </c>
      <c r="L1396" s="67" cm="1">
        <f ca="1" t="array" ref="L1396">MIN(6,_xlfn.XLOOKUP($D1396&amp;"_"&amp;L$61,$B$23:$B$45&amp;"_"&amp;$C$23:$C$45,$D$23:$D$45)*$E1396)</f>
        <v>6</v>
      </c>
      <c r="M1396" s="67" cm="1">
        <f ca="1" t="array" ref="M1396">(1+SUMPRODUCT(G1396:H1396,OFFSET($H$49:$I$49,D1396,0)))*(1+OFFSET($J$49,D1396,0))^I1396*(1+OFFSET($K$49,D1396,0))^J1396*(1+OFFSET($L$49,D1396,0))^K1396*(1+OFFSET($M$49,D1396,0))^L1396</f>
        <v>412.143802563582</v>
      </c>
      <c r="N1396" s="67">
        <f ca="1">MAX(MAX($N$62:N1395),OFFSET($C$61,MATCH(M1396*1.07,$M$62:$M$2061,1),0)-C1396)</f>
        <v>51480</v>
      </c>
    </row>
    <row r="1397" spans="2:14">
      <c r="B1397" s="67">
        <v>1336</v>
      </c>
      <c r="C1397" s="67">
        <f t="shared" si="134"/>
        <v>480960</v>
      </c>
      <c r="D1397" s="67">
        <f t="shared" si="132"/>
        <v>5</v>
      </c>
      <c r="E1397" s="67">
        <f ca="1" t="shared" si="133"/>
        <v>1366</v>
      </c>
      <c r="F1397" s="67">
        <f ca="1" t="shared" si="135"/>
        <v>0</v>
      </c>
      <c r="G1397" s="67">
        <f ca="1" t="shared" si="136"/>
        <v>0</v>
      </c>
      <c r="H1397" s="67" cm="1">
        <f ca="1" t="array" ref="H1397">MIN(30-SUM(I1397:L1397),_xlfn.XLOOKUP($D1397&amp;"_"&amp;H$61,$B$23:$B$45&amp;"_"&amp;$C$23:$C$45,$D$23:$D$45)*$E1397,18)</f>
        <v>10.4929350249904</v>
      </c>
      <c r="I1397" s="67" cm="1">
        <f ca="1" t="array" ref="I1397">MIN(30-SUM(J1397:L1397),6-L1397,_xlfn.XLOOKUP($D1397&amp;"_"&amp;I$61,$B$23:$B$45&amp;"_"&amp;$C$23:$C$45,$D$23:$D$45)*$E1397)</f>
        <v>0</v>
      </c>
      <c r="J1397" s="67" cm="1">
        <f ca="1" t="array" ref="J1397">MIN(8,_xlfn.XLOOKUP($D1397&amp;"_"&amp;J$61,$B$23:$B$45&amp;"_"&amp;$C$23:$C$45,$D$23:$D$45)*$E1397)</f>
        <v>8</v>
      </c>
      <c r="K1397" s="67" cm="1">
        <f ca="1" t="array" ref="K1397">MIN(18,_xlfn.XLOOKUP($D1397&amp;"_"&amp;K$61,$B$23:$B$45&amp;"_"&amp;$C$23:$C$45,$D$23:$D$45)*$E1397)</f>
        <v>5.50706497500962</v>
      </c>
      <c r="L1397" s="67" cm="1">
        <f ca="1" t="array" ref="L1397">MIN(6,_xlfn.XLOOKUP($D1397&amp;"_"&amp;L$61,$B$23:$B$45&amp;"_"&amp;$C$23:$C$45,$D$23:$D$45)*$E1397)</f>
        <v>6</v>
      </c>
      <c r="M1397" s="67" cm="1">
        <f ca="1" t="array" ref="M1397">(1+SUMPRODUCT(G1397:H1397,OFFSET($H$49:$I$49,D1397,0)))*(1+OFFSET($J$49,D1397,0))^I1397*(1+OFFSET($K$49,D1397,0))^J1397*(1+OFFSET($L$49,D1397,0))^K1397*(1+OFFSET($M$49,D1397,0))^L1397</f>
        <v>412.33955590341</v>
      </c>
      <c r="N1397" s="67">
        <f ca="1">MAX(MAX($N$62:N1396),OFFSET($C$61,MATCH(M1397*1.07,$M$62:$M$2061,1),0)-C1397)</f>
        <v>51840</v>
      </c>
    </row>
    <row r="1398" spans="2:14">
      <c r="B1398" s="67">
        <v>1337</v>
      </c>
      <c r="C1398" s="67">
        <f t="shared" si="134"/>
        <v>481320</v>
      </c>
      <c r="D1398" s="67">
        <f t="shared" si="132"/>
        <v>5</v>
      </c>
      <c r="E1398" s="67">
        <f ca="1" t="shared" si="133"/>
        <v>1367</v>
      </c>
      <c r="F1398" s="67">
        <f ca="1" t="shared" si="135"/>
        <v>0</v>
      </c>
      <c r="G1398" s="67">
        <f ca="1" t="shared" si="136"/>
        <v>0</v>
      </c>
      <c r="H1398" s="67" cm="1">
        <f ca="1" t="array" ref="H1398">MIN(30-SUM(I1398:L1398),_xlfn.XLOOKUP($D1398&amp;"_"&amp;H$61,$B$23:$B$45&amp;"_"&amp;$C$23:$C$45,$D$23:$D$45)*$E1398,18)</f>
        <v>10.4889034986544</v>
      </c>
      <c r="I1398" s="67" cm="1">
        <f ca="1" t="array" ref="I1398">MIN(30-SUM(J1398:L1398),6-L1398,_xlfn.XLOOKUP($D1398&amp;"_"&amp;I$61,$B$23:$B$45&amp;"_"&amp;$C$23:$C$45,$D$23:$D$45)*$E1398)</f>
        <v>0</v>
      </c>
      <c r="J1398" s="67" cm="1">
        <f ca="1" t="array" ref="J1398">MIN(8,_xlfn.XLOOKUP($D1398&amp;"_"&amp;J$61,$B$23:$B$45&amp;"_"&amp;$C$23:$C$45,$D$23:$D$45)*$E1398)</f>
        <v>8</v>
      </c>
      <c r="K1398" s="67" cm="1">
        <f ca="1" t="array" ref="K1398">MIN(18,_xlfn.XLOOKUP($D1398&amp;"_"&amp;K$61,$B$23:$B$45&amp;"_"&amp;$C$23:$C$45,$D$23:$D$45)*$E1398)</f>
        <v>5.51109650134564</v>
      </c>
      <c r="L1398" s="67" cm="1">
        <f ca="1" t="array" ref="L1398">MIN(6,_xlfn.XLOOKUP($D1398&amp;"_"&amp;L$61,$B$23:$B$45&amp;"_"&amp;$C$23:$C$45,$D$23:$D$45)*$E1398)</f>
        <v>6</v>
      </c>
      <c r="M1398" s="67" cm="1">
        <f ca="1" t="array" ref="M1398">(1+SUMPRODUCT(G1398:H1398,OFFSET($H$49:$I$49,D1398,0)))*(1+OFFSET($J$49,D1398,0))^I1398*(1+OFFSET($K$49,D1398,0))^J1398*(1+OFFSET($L$49,D1398,0))^K1398*(1+OFFSET($M$49,D1398,0))^L1398</f>
        <v>412.535374284984</v>
      </c>
      <c r="N1398" s="67">
        <f ca="1">MAX(MAX($N$62:N1397),OFFSET($C$61,MATCH(M1398*1.07,$M$62:$M$2061,1),0)-C1398)</f>
        <v>51840</v>
      </c>
    </row>
    <row r="1399" spans="2:14">
      <c r="B1399" s="67">
        <v>1338</v>
      </c>
      <c r="C1399" s="67">
        <f t="shared" si="134"/>
        <v>481680</v>
      </c>
      <c r="D1399" s="67">
        <f t="shared" si="132"/>
        <v>5</v>
      </c>
      <c r="E1399" s="67">
        <f ca="1" t="shared" si="133"/>
        <v>1368</v>
      </c>
      <c r="F1399" s="67">
        <f ca="1" t="shared" si="135"/>
        <v>0</v>
      </c>
      <c r="G1399" s="67">
        <f ca="1" t="shared" si="136"/>
        <v>0</v>
      </c>
      <c r="H1399" s="67" cm="1">
        <f ca="1" t="array" ref="H1399">MIN(30-SUM(I1399:L1399),_xlfn.XLOOKUP($D1399&amp;"_"&amp;H$61,$B$23:$B$45&amp;"_"&amp;$C$23:$C$45,$D$23:$D$45)*$E1399,18)</f>
        <v>10.4848719723183</v>
      </c>
      <c r="I1399" s="67" cm="1">
        <f ca="1" t="array" ref="I1399">MIN(30-SUM(J1399:L1399),6-L1399,_xlfn.XLOOKUP($D1399&amp;"_"&amp;I$61,$B$23:$B$45&amp;"_"&amp;$C$23:$C$45,$D$23:$D$45)*$E1399)</f>
        <v>0</v>
      </c>
      <c r="J1399" s="67" cm="1">
        <f ca="1" t="array" ref="J1399">MIN(8,_xlfn.XLOOKUP($D1399&amp;"_"&amp;J$61,$B$23:$B$45&amp;"_"&amp;$C$23:$C$45,$D$23:$D$45)*$E1399)</f>
        <v>8</v>
      </c>
      <c r="K1399" s="67" cm="1">
        <f ca="1" t="array" ref="K1399">MIN(18,_xlfn.XLOOKUP($D1399&amp;"_"&amp;K$61,$B$23:$B$45&amp;"_"&amp;$C$23:$C$45,$D$23:$D$45)*$E1399)</f>
        <v>5.51512802768167</v>
      </c>
      <c r="L1399" s="67" cm="1">
        <f ca="1" t="array" ref="L1399">MIN(6,_xlfn.XLOOKUP($D1399&amp;"_"&amp;L$61,$B$23:$B$45&amp;"_"&amp;$C$23:$C$45,$D$23:$D$45)*$E1399)</f>
        <v>6</v>
      </c>
      <c r="M1399" s="67" cm="1">
        <f ca="1" t="array" ref="M1399">(1+SUMPRODUCT(G1399:H1399,OFFSET($H$49:$I$49,D1399,0)))*(1+OFFSET($J$49,D1399,0))^I1399*(1+OFFSET($K$49,D1399,0))^J1399*(1+OFFSET($L$49,D1399,0))^K1399*(1+OFFSET($M$49,D1399,0))^L1399</f>
        <v>412.731257698118</v>
      </c>
      <c r="N1399" s="67">
        <f ca="1">MAX(MAX($N$62:N1398),OFFSET($C$61,MATCH(M1399*1.07,$M$62:$M$2061,1),0)-C1399)</f>
        <v>51840</v>
      </c>
    </row>
    <row r="1400" spans="2:14">
      <c r="B1400" s="67">
        <v>1339</v>
      </c>
      <c r="C1400" s="67">
        <f t="shared" si="134"/>
        <v>482040</v>
      </c>
      <c r="D1400" s="67">
        <f t="shared" si="132"/>
        <v>5</v>
      </c>
      <c r="E1400" s="67">
        <f ca="1" t="shared" si="133"/>
        <v>1369</v>
      </c>
      <c r="F1400" s="67">
        <f ca="1" t="shared" si="135"/>
        <v>0</v>
      </c>
      <c r="G1400" s="67">
        <f ca="1" t="shared" si="136"/>
        <v>0</v>
      </c>
      <c r="H1400" s="67" cm="1">
        <f ca="1" t="array" ref="H1400">MIN(30-SUM(I1400:L1400),_xlfn.XLOOKUP($D1400&amp;"_"&amp;H$61,$B$23:$B$45&amp;"_"&amp;$C$23:$C$45,$D$23:$D$45)*$E1400,18)</f>
        <v>10.4808404459823</v>
      </c>
      <c r="I1400" s="67" cm="1">
        <f ca="1" t="array" ref="I1400">MIN(30-SUM(J1400:L1400),6-L1400,_xlfn.XLOOKUP($D1400&amp;"_"&amp;I$61,$B$23:$B$45&amp;"_"&amp;$C$23:$C$45,$D$23:$D$45)*$E1400)</f>
        <v>0</v>
      </c>
      <c r="J1400" s="67" cm="1">
        <f ca="1" t="array" ref="J1400">MIN(8,_xlfn.XLOOKUP($D1400&amp;"_"&amp;J$61,$B$23:$B$45&amp;"_"&amp;$C$23:$C$45,$D$23:$D$45)*$E1400)</f>
        <v>8</v>
      </c>
      <c r="K1400" s="67" cm="1">
        <f ca="1" t="array" ref="K1400">MIN(18,_xlfn.XLOOKUP($D1400&amp;"_"&amp;K$61,$B$23:$B$45&amp;"_"&amp;$C$23:$C$45,$D$23:$D$45)*$E1400)</f>
        <v>5.51915955401769</v>
      </c>
      <c r="L1400" s="67" cm="1">
        <f ca="1" t="array" ref="L1400">MIN(6,_xlfn.XLOOKUP($D1400&amp;"_"&amp;L$61,$B$23:$B$45&amp;"_"&amp;$C$23:$C$45,$D$23:$D$45)*$E1400)</f>
        <v>6</v>
      </c>
      <c r="M1400" s="67" cm="1">
        <f ca="1" t="array" ref="M1400">(1+SUMPRODUCT(G1400:H1400,OFFSET($H$49:$I$49,D1400,0)))*(1+OFFSET($J$49,D1400,0))^I1400*(1+OFFSET($K$49,D1400,0))^J1400*(1+OFFSET($L$49,D1400,0))^K1400*(1+OFFSET($M$49,D1400,0))^L1400</f>
        <v>412.927206132575</v>
      </c>
      <c r="N1400" s="67">
        <f ca="1">MAX(MAX($N$62:N1399),OFFSET($C$61,MATCH(M1400*1.07,$M$62:$M$2061,1),0)-C1400)</f>
        <v>51840</v>
      </c>
    </row>
    <row r="1401" spans="2:14">
      <c r="B1401" s="67">
        <v>1340</v>
      </c>
      <c r="C1401" s="67">
        <f t="shared" si="134"/>
        <v>482400</v>
      </c>
      <c r="D1401" s="67">
        <f t="shared" si="132"/>
        <v>5</v>
      </c>
      <c r="E1401" s="67">
        <f ca="1" t="shared" si="133"/>
        <v>1370</v>
      </c>
      <c r="F1401" s="67">
        <f ca="1" t="shared" si="135"/>
        <v>0</v>
      </c>
      <c r="G1401" s="67">
        <f ca="1" t="shared" si="136"/>
        <v>0</v>
      </c>
      <c r="H1401" s="67" cm="1">
        <f ca="1" t="array" ref="H1401">MIN(30-SUM(I1401:L1401),_xlfn.XLOOKUP($D1401&amp;"_"&amp;H$61,$B$23:$B$45&amp;"_"&amp;$C$23:$C$45,$D$23:$D$45)*$E1401,18)</f>
        <v>10.4768089196463</v>
      </c>
      <c r="I1401" s="67" cm="1">
        <f ca="1" t="array" ref="I1401">MIN(30-SUM(J1401:L1401),6-L1401,_xlfn.XLOOKUP($D1401&amp;"_"&amp;I$61,$B$23:$B$45&amp;"_"&amp;$C$23:$C$45,$D$23:$D$45)*$E1401)</f>
        <v>0</v>
      </c>
      <c r="J1401" s="67" cm="1">
        <f ca="1" t="array" ref="J1401">MIN(8,_xlfn.XLOOKUP($D1401&amp;"_"&amp;J$61,$B$23:$B$45&amp;"_"&amp;$C$23:$C$45,$D$23:$D$45)*$E1401)</f>
        <v>8</v>
      </c>
      <c r="K1401" s="67" cm="1">
        <f ca="1" t="array" ref="K1401">MIN(18,_xlfn.XLOOKUP($D1401&amp;"_"&amp;K$61,$B$23:$B$45&amp;"_"&amp;$C$23:$C$45,$D$23:$D$45)*$E1401)</f>
        <v>5.52319108035372</v>
      </c>
      <c r="L1401" s="67" cm="1">
        <f ca="1" t="array" ref="L1401">MIN(6,_xlfn.XLOOKUP($D1401&amp;"_"&amp;L$61,$B$23:$B$45&amp;"_"&amp;$C$23:$C$45,$D$23:$D$45)*$E1401)</f>
        <v>6</v>
      </c>
      <c r="M1401" s="67" cm="1">
        <f ca="1" t="array" ref="M1401">(1+SUMPRODUCT(G1401:H1401,OFFSET($H$49:$I$49,D1401,0)))*(1+OFFSET($J$49,D1401,0))^I1401*(1+OFFSET($K$49,D1401,0))^J1401*(1+OFFSET($L$49,D1401,0))^K1401*(1+OFFSET($M$49,D1401,0))^L1401</f>
        <v>413.123219578066</v>
      </c>
      <c r="N1401" s="67">
        <f ca="1">MAX(MAX($N$62:N1400),OFFSET($C$61,MATCH(M1401*1.07,$M$62:$M$2061,1),0)-C1401)</f>
        <v>51840</v>
      </c>
    </row>
    <row r="1402" spans="2:14">
      <c r="B1402" s="67">
        <v>1341</v>
      </c>
      <c r="C1402" s="67">
        <f t="shared" si="134"/>
        <v>482760</v>
      </c>
      <c r="D1402" s="67">
        <f t="shared" si="132"/>
        <v>5</v>
      </c>
      <c r="E1402" s="67">
        <f ca="1" t="shared" si="133"/>
        <v>1371</v>
      </c>
      <c r="F1402" s="67">
        <f ca="1" t="shared" si="135"/>
        <v>0</v>
      </c>
      <c r="G1402" s="67">
        <f ca="1" t="shared" si="136"/>
        <v>0</v>
      </c>
      <c r="H1402" s="67" cm="1">
        <f ca="1" t="array" ref="H1402">MIN(30-SUM(I1402:L1402),_xlfn.XLOOKUP($D1402&amp;"_"&amp;H$61,$B$23:$B$45&amp;"_"&amp;$C$23:$C$45,$D$23:$D$45)*$E1402,18)</f>
        <v>10.4727773933103</v>
      </c>
      <c r="I1402" s="67" cm="1">
        <f ca="1" t="array" ref="I1402">MIN(30-SUM(J1402:L1402),6-L1402,_xlfn.XLOOKUP($D1402&amp;"_"&amp;I$61,$B$23:$B$45&amp;"_"&amp;$C$23:$C$45,$D$23:$D$45)*$E1402)</f>
        <v>0</v>
      </c>
      <c r="J1402" s="67" cm="1">
        <f ca="1" t="array" ref="J1402">MIN(8,_xlfn.XLOOKUP($D1402&amp;"_"&amp;J$61,$B$23:$B$45&amp;"_"&amp;$C$23:$C$45,$D$23:$D$45)*$E1402)</f>
        <v>8</v>
      </c>
      <c r="K1402" s="67" cm="1">
        <f ca="1" t="array" ref="K1402">MIN(18,_xlfn.XLOOKUP($D1402&amp;"_"&amp;K$61,$B$23:$B$45&amp;"_"&amp;$C$23:$C$45,$D$23:$D$45)*$E1402)</f>
        <v>5.52722260668974</v>
      </c>
      <c r="L1402" s="67" cm="1">
        <f ca="1" t="array" ref="L1402">MIN(6,_xlfn.XLOOKUP($D1402&amp;"_"&amp;L$61,$B$23:$B$45&amp;"_"&amp;$C$23:$C$45,$D$23:$D$45)*$E1402)</f>
        <v>6</v>
      </c>
      <c r="M1402" s="67" cm="1">
        <f ca="1" t="array" ref="M1402">(1+SUMPRODUCT(G1402:H1402,OFFSET($H$49:$I$49,D1402,0)))*(1+OFFSET($J$49,D1402,0))^I1402*(1+OFFSET($K$49,D1402,0))^J1402*(1+OFFSET($L$49,D1402,0))^K1402*(1+OFFSET($M$49,D1402,0))^L1402</f>
        <v>413.319298024253</v>
      </c>
      <c r="N1402" s="67">
        <f ca="1">MAX(MAX($N$62:N1401),OFFSET($C$61,MATCH(M1402*1.07,$M$62:$M$2061,1),0)-C1402)</f>
        <v>51840</v>
      </c>
    </row>
    <row r="1403" spans="2:14">
      <c r="B1403" s="67">
        <v>1342</v>
      </c>
      <c r="C1403" s="67">
        <f t="shared" si="134"/>
        <v>483120</v>
      </c>
      <c r="D1403" s="67">
        <f t="shared" si="132"/>
        <v>5</v>
      </c>
      <c r="E1403" s="67">
        <f ca="1" t="shared" si="133"/>
        <v>1372</v>
      </c>
      <c r="F1403" s="67">
        <f ca="1" t="shared" si="135"/>
        <v>0</v>
      </c>
      <c r="G1403" s="67">
        <f ca="1" t="shared" si="136"/>
        <v>0</v>
      </c>
      <c r="H1403" s="67" cm="1">
        <f ca="1" t="array" ref="H1403">MIN(30-SUM(I1403:L1403),_xlfn.XLOOKUP($D1403&amp;"_"&amp;H$61,$B$23:$B$45&amp;"_"&amp;$C$23:$C$45,$D$23:$D$45)*$E1403,18)</f>
        <v>10.4687458669742</v>
      </c>
      <c r="I1403" s="67" cm="1">
        <f ca="1" t="array" ref="I1403">MIN(30-SUM(J1403:L1403),6-L1403,_xlfn.XLOOKUP($D1403&amp;"_"&amp;I$61,$B$23:$B$45&amp;"_"&amp;$C$23:$C$45,$D$23:$D$45)*$E1403)</f>
        <v>0</v>
      </c>
      <c r="J1403" s="67" cm="1">
        <f ca="1" t="array" ref="J1403">MIN(8,_xlfn.XLOOKUP($D1403&amp;"_"&amp;J$61,$B$23:$B$45&amp;"_"&amp;$C$23:$C$45,$D$23:$D$45)*$E1403)</f>
        <v>8</v>
      </c>
      <c r="K1403" s="67" cm="1">
        <f ca="1" t="array" ref="K1403">MIN(18,_xlfn.XLOOKUP($D1403&amp;"_"&amp;K$61,$B$23:$B$45&amp;"_"&amp;$C$23:$C$45,$D$23:$D$45)*$E1403)</f>
        <v>5.53125413302576</v>
      </c>
      <c r="L1403" s="67" cm="1">
        <f ca="1" t="array" ref="L1403">MIN(6,_xlfn.XLOOKUP($D1403&amp;"_"&amp;L$61,$B$23:$B$45&amp;"_"&amp;$C$23:$C$45,$D$23:$D$45)*$E1403)</f>
        <v>6</v>
      </c>
      <c r="M1403" s="67" cm="1">
        <f ca="1" t="array" ref="M1403">(1+SUMPRODUCT(G1403:H1403,OFFSET($H$49:$I$49,D1403,0)))*(1+OFFSET($J$49,D1403,0))^I1403*(1+OFFSET($K$49,D1403,0))^J1403*(1+OFFSET($L$49,D1403,0))^K1403*(1+OFFSET($M$49,D1403,0))^L1403</f>
        <v>413.515441460748</v>
      </c>
      <c r="N1403" s="67">
        <f ca="1">MAX(MAX($N$62:N1402),OFFSET($C$61,MATCH(M1403*1.07,$M$62:$M$2061,1),0)-C1403)</f>
        <v>51840</v>
      </c>
    </row>
    <row r="1404" spans="2:14">
      <c r="B1404" s="67">
        <v>1343</v>
      </c>
      <c r="C1404" s="67">
        <f t="shared" si="134"/>
        <v>483480</v>
      </c>
      <c r="D1404" s="67">
        <f t="shared" si="132"/>
        <v>5</v>
      </c>
      <c r="E1404" s="67">
        <f ca="1" t="shared" si="133"/>
        <v>1373</v>
      </c>
      <c r="F1404" s="67">
        <f ca="1" t="shared" si="135"/>
        <v>0</v>
      </c>
      <c r="G1404" s="67">
        <f ca="1" t="shared" si="136"/>
        <v>0</v>
      </c>
      <c r="H1404" s="67" cm="1">
        <f ca="1" t="array" ref="H1404">MIN(30-SUM(I1404:L1404),_xlfn.XLOOKUP($D1404&amp;"_"&amp;H$61,$B$23:$B$45&amp;"_"&amp;$C$23:$C$45,$D$23:$D$45)*$E1404,18)</f>
        <v>10.4647143406382</v>
      </c>
      <c r="I1404" s="67" cm="1">
        <f ca="1" t="array" ref="I1404">MIN(30-SUM(J1404:L1404),6-L1404,_xlfn.XLOOKUP($D1404&amp;"_"&amp;I$61,$B$23:$B$45&amp;"_"&amp;$C$23:$C$45,$D$23:$D$45)*$E1404)</f>
        <v>0</v>
      </c>
      <c r="J1404" s="67" cm="1">
        <f ca="1" t="array" ref="J1404">MIN(8,_xlfn.XLOOKUP($D1404&amp;"_"&amp;J$61,$B$23:$B$45&amp;"_"&amp;$C$23:$C$45,$D$23:$D$45)*$E1404)</f>
        <v>8</v>
      </c>
      <c r="K1404" s="67" cm="1">
        <f ca="1" t="array" ref="K1404">MIN(18,_xlfn.XLOOKUP($D1404&amp;"_"&amp;K$61,$B$23:$B$45&amp;"_"&amp;$C$23:$C$45,$D$23:$D$45)*$E1404)</f>
        <v>5.53528565936179</v>
      </c>
      <c r="L1404" s="67" cm="1">
        <f ca="1" t="array" ref="L1404">MIN(6,_xlfn.XLOOKUP($D1404&amp;"_"&amp;L$61,$B$23:$B$45&amp;"_"&amp;$C$23:$C$45,$D$23:$D$45)*$E1404)</f>
        <v>6</v>
      </c>
      <c r="M1404" s="67" cm="1">
        <f ca="1" t="array" ref="M1404">(1+SUMPRODUCT(G1404:H1404,OFFSET($H$49:$I$49,D1404,0)))*(1+OFFSET($J$49,D1404,0))^I1404*(1+OFFSET($K$49,D1404,0))^J1404*(1+OFFSET($L$49,D1404,0))^K1404*(1+OFFSET($M$49,D1404,0))^L1404</f>
        <v>413.711649877111</v>
      </c>
      <c r="N1404" s="67">
        <f ca="1">MAX(MAX($N$62:N1403),OFFSET($C$61,MATCH(M1404*1.07,$M$62:$M$2061,1),0)-C1404)</f>
        <v>51840</v>
      </c>
    </row>
    <row r="1405" spans="2:14">
      <c r="B1405" s="67">
        <v>1344</v>
      </c>
      <c r="C1405" s="67">
        <f t="shared" si="134"/>
        <v>483840</v>
      </c>
      <c r="D1405" s="67">
        <f t="shared" si="132"/>
        <v>5</v>
      </c>
      <c r="E1405" s="67">
        <f ca="1" t="shared" si="133"/>
        <v>1374</v>
      </c>
      <c r="F1405" s="67">
        <f ca="1" t="shared" si="135"/>
        <v>0</v>
      </c>
      <c r="G1405" s="67">
        <f ca="1" t="shared" si="136"/>
        <v>0</v>
      </c>
      <c r="H1405" s="67" cm="1">
        <f ca="1" t="array" ref="H1405">MIN(30-SUM(I1405:L1405),_xlfn.XLOOKUP($D1405&amp;"_"&amp;H$61,$B$23:$B$45&amp;"_"&amp;$C$23:$C$45,$D$23:$D$45)*$E1405,18)</f>
        <v>10.4606828143022</v>
      </c>
      <c r="I1405" s="67" cm="1">
        <f ca="1" t="array" ref="I1405">MIN(30-SUM(J1405:L1405),6-L1405,_xlfn.XLOOKUP($D1405&amp;"_"&amp;I$61,$B$23:$B$45&amp;"_"&amp;$C$23:$C$45,$D$23:$D$45)*$E1405)</f>
        <v>0</v>
      </c>
      <c r="J1405" s="67" cm="1">
        <f ca="1" t="array" ref="J1405">MIN(8,_xlfn.XLOOKUP($D1405&amp;"_"&amp;J$61,$B$23:$B$45&amp;"_"&amp;$C$23:$C$45,$D$23:$D$45)*$E1405)</f>
        <v>8</v>
      </c>
      <c r="K1405" s="67" cm="1">
        <f ca="1" t="array" ref="K1405">MIN(18,_xlfn.XLOOKUP($D1405&amp;"_"&amp;K$61,$B$23:$B$45&amp;"_"&amp;$C$23:$C$45,$D$23:$D$45)*$E1405)</f>
        <v>5.53931718569781</v>
      </c>
      <c r="L1405" s="67" cm="1">
        <f ca="1" t="array" ref="L1405">MIN(6,_xlfn.XLOOKUP($D1405&amp;"_"&amp;L$61,$B$23:$B$45&amp;"_"&amp;$C$23:$C$45,$D$23:$D$45)*$E1405)</f>
        <v>6</v>
      </c>
      <c r="M1405" s="67" cm="1">
        <f ca="1" t="array" ref="M1405">(1+SUMPRODUCT(G1405:H1405,OFFSET($H$49:$I$49,D1405,0)))*(1+OFFSET($J$49,D1405,0))^I1405*(1+OFFSET($K$49,D1405,0))^J1405*(1+OFFSET($L$49,D1405,0))^K1405*(1+OFFSET($M$49,D1405,0))^L1405</f>
        <v>413.907923262854</v>
      </c>
      <c r="N1405" s="67">
        <f ca="1">MAX(MAX($N$62:N1404),OFFSET($C$61,MATCH(M1405*1.07,$M$62:$M$2061,1),0)-C1405)</f>
        <v>51840</v>
      </c>
    </row>
    <row r="1406" spans="2:14">
      <c r="B1406" s="67">
        <v>1345</v>
      </c>
      <c r="C1406" s="67">
        <f t="shared" si="134"/>
        <v>484200</v>
      </c>
      <c r="D1406" s="67">
        <f t="shared" si="132"/>
        <v>5</v>
      </c>
      <c r="E1406" s="67">
        <f ca="1" t="shared" si="133"/>
        <v>1375</v>
      </c>
      <c r="F1406" s="67">
        <f ca="1" t="shared" si="135"/>
        <v>0</v>
      </c>
      <c r="G1406" s="67">
        <f ca="1" t="shared" si="136"/>
        <v>0</v>
      </c>
      <c r="H1406" s="67" cm="1">
        <f ca="1" t="array" ref="H1406">MIN(30-SUM(I1406:L1406),_xlfn.XLOOKUP($D1406&amp;"_"&amp;H$61,$B$23:$B$45&amp;"_"&amp;$C$23:$C$45,$D$23:$D$45)*$E1406,18)</f>
        <v>10.4566512879662</v>
      </c>
      <c r="I1406" s="67" cm="1">
        <f ca="1" t="array" ref="I1406">MIN(30-SUM(J1406:L1406),6-L1406,_xlfn.XLOOKUP($D1406&amp;"_"&amp;I$61,$B$23:$B$45&amp;"_"&amp;$C$23:$C$45,$D$23:$D$45)*$E1406)</f>
        <v>0</v>
      </c>
      <c r="J1406" s="67" cm="1">
        <f ca="1" t="array" ref="J1406">MIN(8,_xlfn.XLOOKUP($D1406&amp;"_"&amp;J$61,$B$23:$B$45&amp;"_"&amp;$C$23:$C$45,$D$23:$D$45)*$E1406)</f>
        <v>8</v>
      </c>
      <c r="K1406" s="67" cm="1">
        <f ca="1" t="array" ref="K1406">MIN(18,_xlfn.XLOOKUP($D1406&amp;"_"&amp;K$61,$B$23:$B$45&amp;"_"&amp;$C$23:$C$45,$D$23:$D$45)*$E1406)</f>
        <v>5.54334871203384</v>
      </c>
      <c r="L1406" s="67" cm="1">
        <f ca="1" t="array" ref="L1406">MIN(6,_xlfn.XLOOKUP($D1406&amp;"_"&amp;L$61,$B$23:$B$45&amp;"_"&amp;$C$23:$C$45,$D$23:$D$45)*$E1406)</f>
        <v>6</v>
      </c>
      <c r="M1406" s="67" cm="1">
        <f ca="1" t="array" ref="M1406">(1+SUMPRODUCT(G1406:H1406,OFFSET($H$49:$I$49,D1406,0)))*(1+OFFSET($J$49,D1406,0))^I1406*(1+OFFSET($K$49,D1406,0))^J1406*(1+OFFSET($L$49,D1406,0))^K1406*(1+OFFSET($M$49,D1406,0))^L1406</f>
        <v>414.104261607437</v>
      </c>
      <c r="N1406" s="67">
        <f ca="1">MAX(MAX($N$62:N1405),OFFSET($C$61,MATCH(M1406*1.07,$M$62:$M$2061,1),0)-C1406)</f>
        <v>51840</v>
      </c>
    </row>
    <row r="1407" spans="2:14">
      <c r="B1407" s="67">
        <v>1346</v>
      </c>
      <c r="C1407" s="67">
        <f t="shared" si="134"/>
        <v>484560</v>
      </c>
      <c r="D1407" s="67">
        <f t="shared" ref="D1407:D1470" si="137">_xlfn.XLOOKUP("非R",$B$49:$B$54,$C$49:$C$54)</f>
        <v>5</v>
      </c>
      <c r="E1407" s="67">
        <f ca="1" t="shared" ref="E1407:E1470" si="138">INT(C1407/_xlfn.XLOOKUP(D1407,$R$14:$R$21,$S$14:$S$21))+OFFSET($R$49,D1407,0)</f>
        <v>1376</v>
      </c>
      <c r="F1407" s="67">
        <f ca="1" t="shared" si="135"/>
        <v>0</v>
      </c>
      <c r="G1407" s="67">
        <f ca="1" t="shared" si="136"/>
        <v>0</v>
      </c>
      <c r="H1407" s="67" cm="1">
        <f ca="1" t="array" ref="H1407">MIN(30-SUM(I1407:L1407),_xlfn.XLOOKUP($D1407&amp;"_"&amp;H$61,$B$23:$B$45&amp;"_"&amp;$C$23:$C$45,$D$23:$D$45)*$E1407,18)</f>
        <v>10.4526197616301</v>
      </c>
      <c r="I1407" s="67" cm="1">
        <f ca="1" t="array" ref="I1407">MIN(30-SUM(J1407:L1407),6-L1407,_xlfn.XLOOKUP($D1407&amp;"_"&amp;I$61,$B$23:$B$45&amp;"_"&amp;$C$23:$C$45,$D$23:$D$45)*$E1407)</f>
        <v>0</v>
      </c>
      <c r="J1407" s="67" cm="1">
        <f ca="1" t="array" ref="J1407">MIN(8,_xlfn.XLOOKUP($D1407&amp;"_"&amp;J$61,$B$23:$B$45&amp;"_"&amp;$C$23:$C$45,$D$23:$D$45)*$E1407)</f>
        <v>8</v>
      </c>
      <c r="K1407" s="67" cm="1">
        <f ca="1" t="array" ref="K1407">MIN(18,_xlfn.XLOOKUP($D1407&amp;"_"&amp;K$61,$B$23:$B$45&amp;"_"&amp;$C$23:$C$45,$D$23:$D$45)*$E1407)</f>
        <v>5.54738023836986</v>
      </c>
      <c r="L1407" s="67" cm="1">
        <f ca="1" t="array" ref="L1407">MIN(6,_xlfn.XLOOKUP($D1407&amp;"_"&amp;L$61,$B$23:$B$45&amp;"_"&amp;$C$23:$C$45,$D$23:$D$45)*$E1407)</f>
        <v>6</v>
      </c>
      <c r="M1407" s="67" cm="1">
        <f ca="1" t="array" ref="M1407">(1+SUMPRODUCT(G1407:H1407,OFFSET($H$49:$I$49,D1407,0)))*(1+OFFSET($J$49,D1407,0))^I1407*(1+OFFSET($K$49,D1407,0))^J1407*(1+OFFSET($L$49,D1407,0))^K1407*(1+OFFSET($M$49,D1407,0))^L1407</f>
        <v>414.300664900268</v>
      </c>
      <c r="N1407" s="67">
        <f ca="1">MAX(MAX($N$62:N1406),OFFSET($C$61,MATCH(M1407*1.07,$M$62:$M$2061,1),0)-C1407)</f>
        <v>51840</v>
      </c>
    </row>
    <row r="1408" spans="2:14">
      <c r="B1408" s="67">
        <v>1347</v>
      </c>
      <c r="C1408" s="67">
        <f t="shared" si="134"/>
        <v>484920</v>
      </c>
      <c r="D1408" s="67">
        <f t="shared" si="137"/>
        <v>5</v>
      </c>
      <c r="E1408" s="67">
        <f ca="1" t="shared" si="138"/>
        <v>1377</v>
      </c>
      <c r="F1408" s="67">
        <f ca="1" t="shared" si="135"/>
        <v>0</v>
      </c>
      <c r="G1408" s="67">
        <f ca="1" t="shared" si="136"/>
        <v>0</v>
      </c>
      <c r="H1408" s="67" cm="1">
        <f ca="1" t="array" ref="H1408">MIN(30-SUM(I1408:L1408),_xlfn.XLOOKUP($D1408&amp;"_"&amp;H$61,$B$23:$B$45&amp;"_"&amp;$C$23:$C$45,$D$23:$D$45)*$E1408,18)</f>
        <v>10.4485882352941</v>
      </c>
      <c r="I1408" s="67" cm="1">
        <f ca="1" t="array" ref="I1408">MIN(30-SUM(J1408:L1408),6-L1408,_xlfn.XLOOKUP($D1408&amp;"_"&amp;I$61,$B$23:$B$45&amp;"_"&amp;$C$23:$C$45,$D$23:$D$45)*$E1408)</f>
        <v>0</v>
      </c>
      <c r="J1408" s="67" cm="1">
        <f ca="1" t="array" ref="J1408">MIN(8,_xlfn.XLOOKUP($D1408&amp;"_"&amp;J$61,$B$23:$B$45&amp;"_"&amp;$C$23:$C$45,$D$23:$D$45)*$E1408)</f>
        <v>8</v>
      </c>
      <c r="K1408" s="67" cm="1">
        <f ca="1" t="array" ref="K1408">MIN(18,_xlfn.XLOOKUP($D1408&amp;"_"&amp;K$61,$B$23:$B$45&amp;"_"&amp;$C$23:$C$45,$D$23:$D$45)*$E1408)</f>
        <v>5.55141176470589</v>
      </c>
      <c r="L1408" s="67" cm="1">
        <f ca="1" t="array" ref="L1408">MIN(6,_xlfn.XLOOKUP($D1408&amp;"_"&amp;L$61,$B$23:$B$45&amp;"_"&amp;$C$23:$C$45,$D$23:$D$45)*$E1408)</f>
        <v>6</v>
      </c>
      <c r="M1408" s="67" cm="1">
        <f ca="1" t="array" ref="M1408">(1+SUMPRODUCT(G1408:H1408,OFFSET($H$49:$I$49,D1408,0)))*(1+OFFSET($J$49,D1408,0))^I1408*(1+OFFSET($K$49,D1408,0))^J1408*(1+OFFSET($L$49,D1408,0))^K1408*(1+OFFSET($M$49,D1408,0))^L1408</f>
        <v>414.497133130707</v>
      </c>
      <c r="N1408" s="67">
        <f ca="1">MAX(MAX($N$62:N1407),OFFSET($C$61,MATCH(M1408*1.07,$M$62:$M$2061,1),0)-C1408)</f>
        <v>51840</v>
      </c>
    </row>
    <row r="1409" spans="2:14">
      <c r="B1409" s="67">
        <v>1348</v>
      </c>
      <c r="C1409" s="67">
        <f t="shared" si="134"/>
        <v>485280</v>
      </c>
      <c r="D1409" s="67">
        <f t="shared" si="137"/>
        <v>5</v>
      </c>
      <c r="E1409" s="67">
        <f ca="1" t="shared" si="138"/>
        <v>1378</v>
      </c>
      <c r="F1409" s="67">
        <f ca="1" t="shared" si="135"/>
        <v>0</v>
      </c>
      <c r="G1409" s="67">
        <f ca="1" t="shared" si="136"/>
        <v>0</v>
      </c>
      <c r="H1409" s="67" cm="1">
        <f ca="1" t="array" ref="H1409">MIN(30-SUM(I1409:L1409),_xlfn.XLOOKUP($D1409&amp;"_"&amp;H$61,$B$23:$B$45&amp;"_"&amp;$C$23:$C$45,$D$23:$D$45)*$E1409,18)</f>
        <v>10.4445567089581</v>
      </c>
      <c r="I1409" s="67" cm="1">
        <f ca="1" t="array" ref="I1409">MIN(30-SUM(J1409:L1409),6-L1409,_xlfn.XLOOKUP($D1409&amp;"_"&amp;I$61,$B$23:$B$45&amp;"_"&amp;$C$23:$C$45,$D$23:$D$45)*$E1409)</f>
        <v>0</v>
      </c>
      <c r="J1409" s="67" cm="1">
        <f ca="1" t="array" ref="J1409">MIN(8,_xlfn.XLOOKUP($D1409&amp;"_"&amp;J$61,$B$23:$B$45&amp;"_"&amp;$C$23:$C$45,$D$23:$D$45)*$E1409)</f>
        <v>8</v>
      </c>
      <c r="K1409" s="67" cm="1">
        <f ca="1" t="array" ref="K1409">MIN(18,_xlfn.XLOOKUP($D1409&amp;"_"&amp;K$61,$B$23:$B$45&amp;"_"&amp;$C$23:$C$45,$D$23:$D$45)*$E1409)</f>
        <v>5.55544329104191</v>
      </c>
      <c r="L1409" s="67" cm="1">
        <f ca="1" t="array" ref="L1409">MIN(6,_xlfn.XLOOKUP($D1409&amp;"_"&amp;L$61,$B$23:$B$45&amp;"_"&amp;$C$23:$C$45,$D$23:$D$45)*$E1409)</f>
        <v>6</v>
      </c>
      <c r="M1409" s="67" cm="1">
        <f ca="1" t="array" ref="M1409">(1+SUMPRODUCT(G1409:H1409,OFFSET($H$49:$I$49,D1409,0)))*(1+OFFSET($J$49,D1409,0))^I1409*(1+OFFSET($K$49,D1409,0))^J1409*(1+OFFSET($L$49,D1409,0))^K1409*(1+OFFSET($M$49,D1409,0))^L1409</f>
        <v>414.693666288061</v>
      </c>
      <c r="N1409" s="67">
        <f ca="1">MAX(MAX($N$62:N1408),OFFSET($C$61,MATCH(M1409*1.07,$M$62:$M$2061,1),0)-C1409)</f>
        <v>51840</v>
      </c>
    </row>
    <row r="1410" spans="2:14">
      <c r="B1410" s="67">
        <v>1349</v>
      </c>
      <c r="C1410" s="67">
        <f t="shared" si="134"/>
        <v>485640</v>
      </c>
      <c r="D1410" s="67">
        <f t="shared" si="137"/>
        <v>5</v>
      </c>
      <c r="E1410" s="67">
        <f ca="1" t="shared" si="138"/>
        <v>1379</v>
      </c>
      <c r="F1410" s="67">
        <f ca="1" t="shared" si="135"/>
        <v>0</v>
      </c>
      <c r="G1410" s="67">
        <f ca="1" t="shared" si="136"/>
        <v>0</v>
      </c>
      <c r="H1410" s="67" cm="1">
        <f ca="1" t="array" ref="H1410">MIN(30-SUM(I1410:L1410),_xlfn.XLOOKUP($D1410&amp;"_"&amp;H$61,$B$23:$B$45&amp;"_"&amp;$C$23:$C$45,$D$23:$D$45)*$E1410,18)</f>
        <v>10.4405251826221</v>
      </c>
      <c r="I1410" s="67" cm="1">
        <f ca="1" t="array" ref="I1410">MIN(30-SUM(J1410:L1410),6-L1410,_xlfn.XLOOKUP($D1410&amp;"_"&amp;I$61,$B$23:$B$45&amp;"_"&amp;$C$23:$C$45,$D$23:$D$45)*$E1410)</f>
        <v>0</v>
      </c>
      <c r="J1410" s="67" cm="1">
        <f ca="1" t="array" ref="J1410">MIN(8,_xlfn.XLOOKUP($D1410&amp;"_"&amp;J$61,$B$23:$B$45&amp;"_"&amp;$C$23:$C$45,$D$23:$D$45)*$E1410)</f>
        <v>8</v>
      </c>
      <c r="K1410" s="67" cm="1">
        <f ca="1" t="array" ref="K1410">MIN(18,_xlfn.XLOOKUP($D1410&amp;"_"&amp;K$61,$B$23:$B$45&amp;"_"&amp;$C$23:$C$45,$D$23:$D$45)*$E1410)</f>
        <v>5.55947481737794</v>
      </c>
      <c r="L1410" s="67" cm="1">
        <f ca="1" t="array" ref="L1410">MIN(6,_xlfn.XLOOKUP($D1410&amp;"_"&amp;L$61,$B$23:$B$45&amp;"_"&amp;$C$23:$C$45,$D$23:$D$45)*$E1410)</f>
        <v>6</v>
      </c>
      <c r="M1410" s="67" cm="1">
        <f ca="1" t="array" ref="M1410">(1+SUMPRODUCT(G1410:H1410,OFFSET($H$49:$I$49,D1410,0)))*(1+OFFSET($J$49,D1410,0))^I1410*(1+OFFSET($K$49,D1410,0))^J1410*(1+OFFSET($L$49,D1410,0))^K1410*(1+OFFSET($M$49,D1410,0))^L1410</f>
        <v>414.890264361588</v>
      </c>
      <c r="N1410" s="67">
        <f ca="1">MAX(MAX($N$62:N1409),OFFSET($C$61,MATCH(M1410*1.07,$M$62:$M$2061,1),0)-C1410)</f>
        <v>51840</v>
      </c>
    </row>
    <row r="1411" spans="2:14">
      <c r="B1411" s="67">
        <v>1350</v>
      </c>
      <c r="C1411" s="67">
        <f t="shared" si="134"/>
        <v>486000</v>
      </c>
      <c r="D1411" s="67">
        <f t="shared" si="137"/>
        <v>5</v>
      </c>
      <c r="E1411" s="67">
        <f ca="1" t="shared" si="138"/>
        <v>1380</v>
      </c>
      <c r="F1411" s="67">
        <f ca="1" t="shared" si="135"/>
        <v>0</v>
      </c>
      <c r="G1411" s="67">
        <f ca="1" t="shared" si="136"/>
        <v>0</v>
      </c>
      <c r="H1411" s="67" cm="1">
        <f ca="1" t="array" ref="H1411">MIN(30-SUM(I1411:L1411),_xlfn.XLOOKUP($D1411&amp;"_"&amp;H$61,$B$23:$B$45&amp;"_"&amp;$C$23:$C$45,$D$23:$D$45)*$E1411,18)</f>
        <v>10.436493656286</v>
      </c>
      <c r="I1411" s="67" cm="1">
        <f ca="1" t="array" ref="I1411">MIN(30-SUM(J1411:L1411),6-L1411,_xlfn.XLOOKUP($D1411&amp;"_"&amp;I$61,$B$23:$B$45&amp;"_"&amp;$C$23:$C$45,$D$23:$D$45)*$E1411)</f>
        <v>0</v>
      </c>
      <c r="J1411" s="67" cm="1">
        <f ca="1" t="array" ref="J1411">MIN(8,_xlfn.XLOOKUP($D1411&amp;"_"&amp;J$61,$B$23:$B$45&amp;"_"&amp;$C$23:$C$45,$D$23:$D$45)*$E1411)</f>
        <v>8</v>
      </c>
      <c r="K1411" s="67" cm="1">
        <f ca="1" t="array" ref="K1411">MIN(18,_xlfn.XLOOKUP($D1411&amp;"_"&amp;K$61,$B$23:$B$45&amp;"_"&amp;$C$23:$C$45,$D$23:$D$45)*$E1411)</f>
        <v>5.56350634371396</v>
      </c>
      <c r="L1411" s="67" cm="1">
        <f ca="1" t="array" ref="L1411">MIN(6,_xlfn.XLOOKUP($D1411&amp;"_"&amp;L$61,$B$23:$B$45&amp;"_"&amp;$C$23:$C$45,$D$23:$D$45)*$E1411)</f>
        <v>6</v>
      </c>
      <c r="M1411" s="67" cm="1">
        <f ca="1" t="array" ref="M1411">(1+SUMPRODUCT(G1411:H1411,OFFSET($H$49:$I$49,D1411,0)))*(1+OFFSET($J$49,D1411,0))^I1411*(1+OFFSET($K$49,D1411,0))^J1411*(1+OFFSET($L$49,D1411,0))^K1411*(1+OFFSET($M$49,D1411,0))^L1411</f>
        <v>415.086927340494</v>
      </c>
      <c r="N1411" s="67">
        <f ca="1">MAX(MAX($N$62:N1410),OFFSET($C$61,MATCH(M1411*1.07,$M$62:$M$2061,1),0)-C1411)</f>
        <v>51840</v>
      </c>
    </row>
    <row r="1412" spans="2:14">
      <c r="B1412" s="67">
        <v>1351</v>
      </c>
      <c r="C1412" s="67">
        <f t="shared" si="134"/>
        <v>486360</v>
      </c>
      <c r="D1412" s="67">
        <f t="shared" si="137"/>
        <v>5</v>
      </c>
      <c r="E1412" s="67">
        <f ca="1" t="shared" si="138"/>
        <v>1381</v>
      </c>
      <c r="F1412" s="67">
        <f ca="1" t="shared" si="135"/>
        <v>0</v>
      </c>
      <c r="G1412" s="67">
        <f ca="1" t="shared" si="136"/>
        <v>0</v>
      </c>
      <c r="H1412" s="67" cm="1">
        <f ca="1" t="array" ref="H1412">MIN(30-SUM(I1412:L1412),_xlfn.XLOOKUP($D1412&amp;"_"&amp;H$61,$B$23:$B$45&amp;"_"&amp;$C$23:$C$45,$D$23:$D$45)*$E1412,18)</f>
        <v>10.43246212995</v>
      </c>
      <c r="I1412" s="67" cm="1">
        <f ca="1" t="array" ref="I1412">MIN(30-SUM(J1412:L1412),6-L1412,_xlfn.XLOOKUP($D1412&amp;"_"&amp;I$61,$B$23:$B$45&amp;"_"&amp;$C$23:$C$45,$D$23:$D$45)*$E1412)</f>
        <v>0</v>
      </c>
      <c r="J1412" s="67" cm="1">
        <f ca="1" t="array" ref="J1412">MIN(8,_xlfn.XLOOKUP($D1412&amp;"_"&amp;J$61,$B$23:$B$45&amp;"_"&amp;$C$23:$C$45,$D$23:$D$45)*$E1412)</f>
        <v>8</v>
      </c>
      <c r="K1412" s="67" cm="1">
        <f ca="1" t="array" ref="K1412">MIN(18,_xlfn.XLOOKUP($D1412&amp;"_"&amp;K$61,$B$23:$B$45&amp;"_"&amp;$C$23:$C$45,$D$23:$D$45)*$E1412)</f>
        <v>5.56753787004999</v>
      </c>
      <c r="L1412" s="67" cm="1">
        <f ca="1" t="array" ref="L1412">MIN(6,_xlfn.XLOOKUP($D1412&amp;"_"&amp;L$61,$B$23:$B$45&amp;"_"&amp;$C$23:$C$45,$D$23:$D$45)*$E1412)</f>
        <v>6</v>
      </c>
      <c r="M1412" s="67" cm="1">
        <f ca="1" t="array" ref="M1412">(1+SUMPRODUCT(G1412:H1412,OFFSET($H$49:$I$49,D1412,0)))*(1+OFFSET($J$49,D1412,0))^I1412*(1+OFFSET($K$49,D1412,0))^J1412*(1+OFFSET($L$49,D1412,0))^K1412*(1+OFFSET($M$49,D1412,0))^L1412</f>
        <v>415.283655213934</v>
      </c>
      <c r="N1412" s="67">
        <f ca="1">MAX(MAX($N$62:N1411),OFFSET($C$61,MATCH(M1412*1.07,$M$62:$M$2061,1),0)-C1412)</f>
        <v>51840</v>
      </c>
    </row>
    <row r="1413" spans="2:14">
      <c r="B1413" s="67">
        <v>1352</v>
      </c>
      <c r="C1413" s="67">
        <f t="shared" si="134"/>
        <v>486720</v>
      </c>
      <c r="D1413" s="67">
        <f t="shared" si="137"/>
        <v>5</v>
      </c>
      <c r="E1413" s="67">
        <f ca="1" t="shared" si="138"/>
        <v>1382</v>
      </c>
      <c r="F1413" s="67">
        <f ca="1" t="shared" si="135"/>
        <v>0</v>
      </c>
      <c r="G1413" s="67">
        <f ca="1" t="shared" si="136"/>
        <v>0</v>
      </c>
      <c r="H1413" s="67" cm="1">
        <f ca="1" t="array" ref="H1413">MIN(30-SUM(I1413:L1413),_xlfn.XLOOKUP($D1413&amp;"_"&amp;H$61,$B$23:$B$45&amp;"_"&amp;$C$23:$C$45,$D$23:$D$45)*$E1413,18)</f>
        <v>10.428430603614</v>
      </c>
      <c r="I1413" s="67" cm="1">
        <f ca="1" t="array" ref="I1413">MIN(30-SUM(J1413:L1413),6-L1413,_xlfn.XLOOKUP($D1413&amp;"_"&amp;I$61,$B$23:$B$45&amp;"_"&amp;$C$23:$C$45,$D$23:$D$45)*$E1413)</f>
        <v>0</v>
      </c>
      <c r="J1413" s="67" cm="1">
        <f ca="1" t="array" ref="J1413">MIN(8,_xlfn.XLOOKUP($D1413&amp;"_"&amp;J$61,$B$23:$B$45&amp;"_"&amp;$C$23:$C$45,$D$23:$D$45)*$E1413)</f>
        <v>8</v>
      </c>
      <c r="K1413" s="67" cm="1">
        <f ca="1" t="array" ref="K1413">MIN(18,_xlfn.XLOOKUP($D1413&amp;"_"&amp;K$61,$B$23:$B$45&amp;"_"&amp;$C$23:$C$45,$D$23:$D$45)*$E1413)</f>
        <v>5.57156939638601</v>
      </c>
      <c r="L1413" s="67" cm="1">
        <f ca="1" t="array" ref="L1413">MIN(6,_xlfn.XLOOKUP($D1413&amp;"_"&amp;L$61,$B$23:$B$45&amp;"_"&amp;$C$23:$C$45,$D$23:$D$45)*$E1413)</f>
        <v>6</v>
      </c>
      <c r="M1413" s="67" cm="1">
        <f ca="1" t="array" ref="M1413">(1+SUMPRODUCT(G1413:H1413,OFFSET($H$49:$I$49,D1413,0)))*(1+OFFSET($J$49,D1413,0))^I1413*(1+OFFSET($K$49,D1413,0))^J1413*(1+OFFSET($L$49,D1413,0))^K1413*(1+OFFSET($M$49,D1413,0))^L1413</f>
        <v>415.480447971013</v>
      </c>
      <c r="N1413" s="67">
        <f ca="1">MAX(MAX($N$62:N1412),OFFSET($C$61,MATCH(M1413*1.07,$M$62:$M$2061,1),0)-C1413)</f>
        <v>51840</v>
      </c>
    </row>
    <row r="1414" spans="2:14">
      <c r="B1414" s="67">
        <v>1353</v>
      </c>
      <c r="C1414" s="67">
        <f t="shared" si="134"/>
        <v>487080</v>
      </c>
      <c r="D1414" s="67">
        <f t="shared" si="137"/>
        <v>5</v>
      </c>
      <c r="E1414" s="67">
        <f ca="1" t="shared" si="138"/>
        <v>1383</v>
      </c>
      <c r="F1414" s="67">
        <f ca="1" t="shared" si="135"/>
        <v>0</v>
      </c>
      <c r="G1414" s="67">
        <f ca="1" t="shared" si="136"/>
        <v>0</v>
      </c>
      <c r="H1414" s="67" cm="1">
        <f ca="1" t="array" ref="H1414">MIN(30-SUM(I1414:L1414),_xlfn.XLOOKUP($D1414&amp;"_"&amp;H$61,$B$23:$B$45&amp;"_"&amp;$C$23:$C$45,$D$23:$D$45)*$E1414,18)</f>
        <v>10.424399077278</v>
      </c>
      <c r="I1414" s="67" cm="1">
        <f ca="1" t="array" ref="I1414">MIN(30-SUM(J1414:L1414),6-L1414,_xlfn.XLOOKUP($D1414&amp;"_"&amp;I$61,$B$23:$B$45&amp;"_"&amp;$C$23:$C$45,$D$23:$D$45)*$E1414)</f>
        <v>0</v>
      </c>
      <c r="J1414" s="67" cm="1">
        <f ca="1" t="array" ref="J1414">MIN(8,_xlfn.XLOOKUP($D1414&amp;"_"&amp;J$61,$B$23:$B$45&amp;"_"&amp;$C$23:$C$45,$D$23:$D$45)*$E1414)</f>
        <v>8</v>
      </c>
      <c r="K1414" s="67" cm="1">
        <f ca="1" t="array" ref="K1414">MIN(18,_xlfn.XLOOKUP($D1414&amp;"_"&amp;K$61,$B$23:$B$45&amp;"_"&amp;$C$23:$C$45,$D$23:$D$45)*$E1414)</f>
        <v>5.57560092272204</v>
      </c>
      <c r="L1414" s="67" cm="1">
        <f ca="1" t="array" ref="L1414">MIN(6,_xlfn.XLOOKUP($D1414&amp;"_"&amp;L$61,$B$23:$B$45&amp;"_"&amp;$C$23:$C$45,$D$23:$D$45)*$E1414)</f>
        <v>6</v>
      </c>
      <c r="M1414" s="67" cm="1">
        <f ca="1" t="array" ref="M1414">(1+SUMPRODUCT(G1414:H1414,OFFSET($H$49:$I$49,D1414,0)))*(1+OFFSET($J$49,D1414,0))^I1414*(1+OFFSET($K$49,D1414,0))^J1414*(1+OFFSET($L$49,D1414,0))^K1414*(1+OFFSET($M$49,D1414,0))^L1414</f>
        <v>415.677305600783</v>
      </c>
      <c r="N1414" s="67">
        <f ca="1">MAX(MAX($N$62:N1413),OFFSET($C$61,MATCH(M1414*1.07,$M$62:$M$2061,1),0)-C1414)</f>
        <v>51840</v>
      </c>
    </row>
    <row r="1415" spans="2:14">
      <c r="B1415" s="67">
        <v>1354</v>
      </c>
      <c r="C1415" s="67">
        <f t="shared" si="134"/>
        <v>487440</v>
      </c>
      <c r="D1415" s="67">
        <f t="shared" si="137"/>
        <v>5</v>
      </c>
      <c r="E1415" s="67">
        <f ca="1" t="shared" si="138"/>
        <v>1384</v>
      </c>
      <c r="F1415" s="67">
        <f ca="1" t="shared" si="135"/>
        <v>0</v>
      </c>
      <c r="G1415" s="67">
        <f ca="1" t="shared" si="136"/>
        <v>0</v>
      </c>
      <c r="H1415" s="67" cm="1">
        <f ca="1" t="array" ref="H1415">MIN(30-SUM(I1415:L1415),_xlfn.XLOOKUP($D1415&amp;"_"&amp;H$61,$B$23:$B$45&amp;"_"&amp;$C$23:$C$45,$D$23:$D$45)*$E1415,18)</f>
        <v>10.4203675509419</v>
      </c>
      <c r="I1415" s="67" cm="1">
        <f ca="1" t="array" ref="I1415">MIN(30-SUM(J1415:L1415),6-L1415,_xlfn.XLOOKUP($D1415&amp;"_"&amp;I$61,$B$23:$B$45&amp;"_"&amp;$C$23:$C$45,$D$23:$D$45)*$E1415)</f>
        <v>0</v>
      </c>
      <c r="J1415" s="67" cm="1">
        <f ca="1" t="array" ref="J1415">MIN(8,_xlfn.XLOOKUP($D1415&amp;"_"&amp;J$61,$B$23:$B$45&amp;"_"&amp;$C$23:$C$45,$D$23:$D$45)*$E1415)</f>
        <v>8</v>
      </c>
      <c r="K1415" s="67" cm="1">
        <f ca="1" t="array" ref="K1415">MIN(18,_xlfn.XLOOKUP($D1415&amp;"_"&amp;K$61,$B$23:$B$45&amp;"_"&amp;$C$23:$C$45,$D$23:$D$45)*$E1415)</f>
        <v>5.57963244905806</v>
      </c>
      <c r="L1415" s="67" cm="1">
        <f ca="1" t="array" ref="L1415">MIN(6,_xlfn.XLOOKUP($D1415&amp;"_"&amp;L$61,$B$23:$B$45&amp;"_"&amp;$C$23:$C$45,$D$23:$D$45)*$E1415)</f>
        <v>6</v>
      </c>
      <c r="M1415" s="67" cm="1">
        <f ca="1" t="array" ref="M1415">(1+SUMPRODUCT(G1415:H1415,OFFSET($H$49:$I$49,D1415,0)))*(1+OFFSET($J$49,D1415,0))^I1415*(1+OFFSET($K$49,D1415,0))^J1415*(1+OFFSET($L$49,D1415,0))^K1415*(1+OFFSET($M$49,D1415,0))^L1415</f>
        <v>415.874228092246</v>
      </c>
      <c r="N1415" s="67">
        <f ca="1">MAX(MAX($N$62:N1414),OFFSET($C$61,MATCH(M1415*1.07,$M$62:$M$2061,1),0)-C1415)</f>
        <v>51840</v>
      </c>
    </row>
    <row r="1416" spans="2:14">
      <c r="B1416" s="67">
        <v>1355</v>
      </c>
      <c r="C1416" s="67">
        <f t="shared" si="134"/>
        <v>487800</v>
      </c>
      <c r="D1416" s="67">
        <f t="shared" si="137"/>
        <v>5</v>
      </c>
      <c r="E1416" s="67">
        <f ca="1" t="shared" si="138"/>
        <v>1385</v>
      </c>
      <c r="F1416" s="67">
        <f ca="1" t="shared" si="135"/>
        <v>0</v>
      </c>
      <c r="G1416" s="67">
        <f ca="1" t="shared" si="136"/>
        <v>0</v>
      </c>
      <c r="H1416" s="67" cm="1">
        <f ca="1" t="array" ref="H1416">MIN(30-SUM(I1416:L1416),_xlfn.XLOOKUP($D1416&amp;"_"&amp;H$61,$B$23:$B$45&amp;"_"&amp;$C$23:$C$45,$D$23:$D$45)*$E1416,18)</f>
        <v>10.4163360246059</v>
      </c>
      <c r="I1416" s="67" cm="1">
        <f ca="1" t="array" ref="I1416">MIN(30-SUM(J1416:L1416),6-L1416,_xlfn.XLOOKUP($D1416&amp;"_"&amp;I$61,$B$23:$B$45&amp;"_"&amp;$C$23:$C$45,$D$23:$D$45)*$E1416)</f>
        <v>0</v>
      </c>
      <c r="J1416" s="67" cm="1">
        <f ca="1" t="array" ref="J1416">MIN(8,_xlfn.XLOOKUP($D1416&amp;"_"&amp;J$61,$B$23:$B$45&amp;"_"&amp;$C$23:$C$45,$D$23:$D$45)*$E1416)</f>
        <v>8</v>
      </c>
      <c r="K1416" s="67" cm="1">
        <f ca="1" t="array" ref="K1416">MIN(18,_xlfn.XLOOKUP($D1416&amp;"_"&amp;K$61,$B$23:$B$45&amp;"_"&amp;$C$23:$C$45,$D$23:$D$45)*$E1416)</f>
        <v>5.58366397539408</v>
      </c>
      <c r="L1416" s="67" cm="1">
        <f ca="1" t="array" ref="L1416">MIN(6,_xlfn.XLOOKUP($D1416&amp;"_"&amp;L$61,$B$23:$B$45&amp;"_"&amp;$C$23:$C$45,$D$23:$D$45)*$E1416)</f>
        <v>6</v>
      </c>
      <c r="M1416" s="67" cm="1">
        <f ca="1" t="array" ref="M1416">(1+SUMPRODUCT(G1416:H1416,OFFSET($H$49:$I$49,D1416,0)))*(1+OFFSET($J$49,D1416,0))^I1416*(1+OFFSET($K$49,D1416,0))^J1416*(1+OFFSET($L$49,D1416,0))^K1416*(1+OFFSET($M$49,D1416,0))^L1416</f>
        <v>416.071215434352</v>
      </c>
      <c r="N1416" s="67">
        <f ca="1">MAX(MAX($N$62:N1415),OFFSET($C$61,MATCH(M1416*1.07,$M$62:$M$2061,1),0)-C1416)</f>
        <v>51840</v>
      </c>
    </row>
    <row r="1417" spans="2:14">
      <c r="B1417" s="67">
        <v>1356</v>
      </c>
      <c r="C1417" s="67">
        <f t="shared" si="134"/>
        <v>488160</v>
      </c>
      <c r="D1417" s="67">
        <f t="shared" si="137"/>
        <v>5</v>
      </c>
      <c r="E1417" s="67">
        <f ca="1" t="shared" si="138"/>
        <v>1386</v>
      </c>
      <c r="F1417" s="67">
        <f ca="1" t="shared" si="135"/>
        <v>0</v>
      </c>
      <c r="G1417" s="67">
        <f ca="1" t="shared" si="136"/>
        <v>0</v>
      </c>
      <c r="H1417" s="67" cm="1">
        <f ca="1" t="array" ref="H1417">MIN(30-SUM(I1417:L1417),_xlfn.XLOOKUP($D1417&amp;"_"&amp;H$61,$B$23:$B$45&amp;"_"&amp;$C$23:$C$45,$D$23:$D$45)*$E1417,18)</f>
        <v>10.4123044982699</v>
      </c>
      <c r="I1417" s="67" cm="1">
        <f ca="1" t="array" ref="I1417">MIN(30-SUM(J1417:L1417),6-L1417,_xlfn.XLOOKUP($D1417&amp;"_"&amp;I$61,$B$23:$B$45&amp;"_"&amp;$C$23:$C$45,$D$23:$D$45)*$E1417)</f>
        <v>0</v>
      </c>
      <c r="J1417" s="67" cm="1">
        <f ca="1" t="array" ref="J1417">MIN(8,_xlfn.XLOOKUP($D1417&amp;"_"&amp;J$61,$B$23:$B$45&amp;"_"&amp;$C$23:$C$45,$D$23:$D$45)*$E1417)</f>
        <v>8</v>
      </c>
      <c r="K1417" s="67" cm="1">
        <f ca="1" t="array" ref="K1417">MIN(18,_xlfn.XLOOKUP($D1417&amp;"_"&amp;K$61,$B$23:$B$45&amp;"_"&amp;$C$23:$C$45,$D$23:$D$45)*$E1417)</f>
        <v>5.58769550173011</v>
      </c>
      <c r="L1417" s="67" cm="1">
        <f ca="1" t="array" ref="L1417">MIN(6,_xlfn.XLOOKUP($D1417&amp;"_"&amp;L$61,$B$23:$B$45&amp;"_"&amp;$C$23:$C$45,$D$23:$D$45)*$E1417)</f>
        <v>6</v>
      </c>
      <c r="M1417" s="67" cm="1">
        <f ca="1" t="array" ref="M1417">(1+SUMPRODUCT(G1417:H1417,OFFSET($H$49:$I$49,D1417,0)))*(1+OFFSET($J$49,D1417,0))^I1417*(1+OFFSET($K$49,D1417,0))^J1417*(1+OFFSET($L$49,D1417,0))^K1417*(1+OFFSET($M$49,D1417,0))^L1417</f>
        <v>416.268267616003</v>
      </c>
      <c r="N1417" s="67">
        <f ca="1">MAX(MAX($N$62:N1416),OFFSET($C$61,MATCH(M1417*1.07,$M$62:$M$2061,1),0)-C1417)</f>
        <v>51840</v>
      </c>
    </row>
    <row r="1418" spans="2:14">
      <c r="B1418" s="67">
        <v>1357</v>
      </c>
      <c r="C1418" s="67">
        <f t="shared" si="134"/>
        <v>488520</v>
      </c>
      <c r="D1418" s="67">
        <f t="shared" si="137"/>
        <v>5</v>
      </c>
      <c r="E1418" s="67">
        <f ca="1" t="shared" si="138"/>
        <v>1387</v>
      </c>
      <c r="F1418" s="67">
        <f ca="1" t="shared" si="135"/>
        <v>0</v>
      </c>
      <c r="G1418" s="67">
        <f ca="1" t="shared" si="136"/>
        <v>0</v>
      </c>
      <c r="H1418" s="67" cm="1">
        <f ca="1" t="array" ref="H1418">MIN(30-SUM(I1418:L1418),_xlfn.XLOOKUP($D1418&amp;"_"&amp;H$61,$B$23:$B$45&amp;"_"&amp;$C$23:$C$45,$D$23:$D$45)*$E1418,18)</f>
        <v>10.4082729719339</v>
      </c>
      <c r="I1418" s="67" cm="1">
        <f ca="1" t="array" ref="I1418">MIN(30-SUM(J1418:L1418),6-L1418,_xlfn.XLOOKUP($D1418&amp;"_"&amp;I$61,$B$23:$B$45&amp;"_"&amp;$C$23:$C$45,$D$23:$D$45)*$E1418)</f>
        <v>0</v>
      </c>
      <c r="J1418" s="67" cm="1">
        <f ca="1" t="array" ref="J1418">MIN(8,_xlfn.XLOOKUP($D1418&amp;"_"&amp;J$61,$B$23:$B$45&amp;"_"&amp;$C$23:$C$45,$D$23:$D$45)*$E1418)</f>
        <v>8</v>
      </c>
      <c r="K1418" s="67" cm="1">
        <f ca="1" t="array" ref="K1418">MIN(18,_xlfn.XLOOKUP($D1418&amp;"_"&amp;K$61,$B$23:$B$45&amp;"_"&amp;$C$23:$C$45,$D$23:$D$45)*$E1418)</f>
        <v>5.59172702806613</v>
      </c>
      <c r="L1418" s="67" cm="1">
        <f ca="1" t="array" ref="L1418">MIN(6,_xlfn.XLOOKUP($D1418&amp;"_"&amp;L$61,$B$23:$B$45&amp;"_"&amp;$C$23:$C$45,$D$23:$D$45)*$E1418)</f>
        <v>6</v>
      </c>
      <c r="M1418" s="67" cm="1">
        <f ca="1" t="array" ref="M1418">(1+SUMPRODUCT(G1418:H1418,OFFSET($H$49:$I$49,D1418,0)))*(1+OFFSET($J$49,D1418,0))^I1418*(1+OFFSET($K$49,D1418,0))^J1418*(1+OFFSET($L$49,D1418,0))^K1418*(1+OFFSET($M$49,D1418,0))^L1418</f>
        <v>416.465384626044</v>
      </c>
      <c r="N1418" s="67">
        <f ca="1">MAX(MAX($N$62:N1417),OFFSET($C$61,MATCH(M1418*1.07,$M$62:$M$2061,1),0)-C1418)</f>
        <v>51840</v>
      </c>
    </row>
    <row r="1419" spans="2:14">
      <c r="B1419" s="67">
        <v>1358</v>
      </c>
      <c r="C1419" s="67">
        <f t="shared" si="134"/>
        <v>488880</v>
      </c>
      <c r="D1419" s="67">
        <f t="shared" si="137"/>
        <v>5</v>
      </c>
      <c r="E1419" s="67">
        <f ca="1" t="shared" si="138"/>
        <v>1388</v>
      </c>
      <c r="F1419" s="67">
        <f ca="1" t="shared" si="135"/>
        <v>0</v>
      </c>
      <c r="G1419" s="67">
        <f ca="1" t="shared" si="136"/>
        <v>0</v>
      </c>
      <c r="H1419" s="67" cm="1">
        <f ca="1" t="array" ref="H1419">MIN(30-SUM(I1419:L1419),_xlfn.XLOOKUP($D1419&amp;"_"&amp;H$61,$B$23:$B$45&amp;"_"&amp;$C$23:$C$45,$D$23:$D$45)*$E1419,18)</f>
        <v>10.4042414455978</v>
      </c>
      <c r="I1419" s="67" cm="1">
        <f ca="1" t="array" ref="I1419">MIN(30-SUM(J1419:L1419),6-L1419,_xlfn.XLOOKUP($D1419&amp;"_"&amp;I$61,$B$23:$B$45&amp;"_"&amp;$C$23:$C$45,$D$23:$D$45)*$E1419)</f>
        <v>0</v>
      </c>
      <c r="J1419" s="67" cm="1">
        <f ca="1" t="array" ref="J1419">MIN(8,_xlfn.XLOOKUP($D1419&amp;"_"&amp;J$61,$B$23:$B$45&amp;"_"&amp;$C$23:$C$45,$D$23:$D$45)*$E1419)</f>
        <v>8</v>
      </c>
      <c r="K1419" s="67" cm="1">
        <f ca="1" t="array" ref="K1419">MIN(18,_xlfn.XLOOKUP($D1419&amp;"_"&amp;K$61,$B$23:$B$45&amp;"_"&amp;$C$23:$C$45,$D$23:$D$45)*$E1419)</f>
        <v>5.59575855440216</v>
      </c>
      <c r="L1419" s="67" cm="1">
        <f ca="1" t="array" ref="L1419">MIN(6,_xlfn.XLOOKUP($D1419&amp;"_"&amp;L$61,$B$23:$B$45&amp;"_"&amp;$C$23:$C$45,$D$23:$D$45)*$E1419)</f>
        <v>6</v>
      </c>
      <c r="M1419" s="67" cm="1">
        <f ca="1" t="array" ref="M1419">(1+SUMPRODUCT(G1419:H1419,OFFSET($H$49:$I$49,D1419,0)))*(1+OFFSET($J$49,D1419,0))^I1419*(1+OFFSET($K$49,D1419,0))^J1419*(1+OFFSET($L$49,D1419,0))^K1419*(1+OFFSET($M$49,D1419,0))^L1419</f>
        <v>416.662566453274</v>
      </c>
      <c r="N1419" s="67">
        <f ca="1">MAX(MAX($N$62:N1418),OFFSET($C$61,MATCH(M1419*1.07,$M$62:$M$2061,1),0)-C1419)</f>
        <v>51840</v>
      </c>
    </row>
    <row r="1420" spans="2:14">
      <c r="B1420" s="67">
        <v>1359</v>
      </c>
      <c r="C1420" s="67">
        <f t="shared" si="134"/>
        <v>489240</v>
      </c>
      <c r="D1420" s="67">
        <f t="shared" si="137"/>
        <v>5</v>
      </c>
      <c r="E1420" s="67">
        <f ca="1" t="shared" si="138"/>
        <v>1389</v>
      </c>
      <c r="F1420" s="67">
        <f ca="1" t="shared" si="135"/>
        <v>0</v>
      </c>
      <c r="G1420" s="67">
        <f ca="1" t="shared" si="136"/>
        <v>0</v>
      </c>
      <c r="H1420" s="67" cm="1">
        <f ca="1" t="array" ref="H1420">MIN(30-SUM(I1420:L1420),_xlfn.XLOOKUP($D1420&amp;"_"&amp;H$61,$B$23:$B$45&amp;"_"&amp;$C$23:$C$45,$D$23:$D$45)*$E1420,18)</f>
        <v>10.4002099192618</v>
      </c>
      <c r="I1420" s="67" cm="1">
        <f ca="1" t="array" ref="I1420">MIN(30-SUM(J1420:L1420),6-L1420,_xlfn.XLOOKUP($D1420&amp;"_"&amp;I$61,$B$23:$B$45&amp;"_"&amp;$C$23:$C$45,$D$23:$D$45)*$E1420)</f>
        <v>0</v>
      </c>
      <c r="J1420" s="67" cm="1">
        <f ca="1" t="array" ref="J1420">MIN(8,_xlfn.XLOOKUP($D1420&amp;"_"&amp;J$61,$B$23:$B$45&amp;"_"&amp;$C$23:$C$45,$D$23:$D$45)*$E1420)</f>
        <v>8</v>
      </c>
      <c r="K1420" s="67" cm="1">
        <f ca="1" t="array" ref="K1420">MIN(18,_xlfn.XLOOKUP($D1420&amp;"_"&amp;K$61,$B$23:$B$45&amp;"_"&amp;$C$23:$C$45,$D$23:$D$45)*$E1420)</f>
        <v>5.59979008073818</v>
      </c>
      <c r="L1420" s="67" cm="1">
        <f ca="1" t="array" ref="L1420">MIN(6,_xlfn.XLOOKUP($D1420&amp;"_"&amp;L$61,$B$23:$B$45&amp;"_"&amp;$C$23:$C$45,$D$23:$D$45)*$E1420)</f>
        <v>6</v>
      </c>
      <c r="M1420" s="67" cm="1">
        <f ca="1" t="array" ref="M1420">(1+SUMPRODUCT(G1420:H1420,OFFSET($H$49:$I$49,D1420,0)))*(1+OFFSET($J$49,D1420,0))^I1420*(1+OFFSET($K$49,D1420,0))^J1420*(1+OFFSET($L$49,D1420,0))^K1420*(1+OFFSET($M$49,D1420,0))^L1420</f>
        <v>416.859813086436</v>
      </c>
      <c r="N1420" s="67">
        <f ca="1">MAX(MAX($N$62:N1419),OFFSET($C$61,MATCH(M1420*1.07,$M$62:$M$2061,1),0)-C1420)</f>
        <v>51840</v>
      </c>
    </row>
    <row r="1421" spans="2:14">
      <c r="B1421" s="67">
        <v>1360</v>
      </c>
      <c r="C1421" s="67">
        <f t="shared" si="134"/>
        <v>489600</v>
      </c>
      <c r="D1421" s="67">
        <f t="shared" si="137"/>
        <v>5</v>
      </c>
      <c r="E1421" s="67">
        <f ca="1" t="shared" si="138"/>
        <v>1390</v>
      </c>
      <c r="F1421" s="67">
        <f ca="1" t="shared" si="135"/>
        <v>0</v>
      </c>
      <c r="G1421" s="67">
        <f ca="1" t="shared" si="136"/>
        <v>0</v>
      </c>
      <c r="H1421" s="67" cm="1">
        <f ca="1" t="array" ref="H1421">MIN(30-SUM(I1421:L1421),_xlfn.XLOOKUP($D1421&amp;"_"&amp;H$61,$B$23:$B$45&amp;"_"&amp;$C$23:$C$45,$D$23:$D$45)*$E1421,18)</f>
        <v>10.3961783929258</v>
      </c>
      <c r="I1421" s="67" cm="1">
        <f ca="1" t="array" ref="I1421">MIN(30-SUM(J1421:L1421),6-L1421,_xlfn.XLOOKUP($D1421&amp;"_"&amp;I$61,$B$23:$B$45&amp;"_"&amp;$C$23:$C$45,$D$23:$D$45)*$E1421)</f>
        <v>0</v>
      </c>
      <c r="J1421" s="67" cm="1">
        <f ca="1" t="array" ref="J1421">MIN(8,_xlfn.XLOOKUP($D1421&amp;"_"&amp;J$61,$B$23:$B$45&amp;"_"&amp;$C$23:$C$45,$D$23:$D$45)*$E1421)</f>
        <v>8</v>
      </c>
      <c r="K1421" s="67" cm="1">
        <f ca="1" t="array" ref="K1421">MIN(18,_xlfn.XLOOKUP($D1421&amp;"_"&amp;K$61,$B$23:$B$45&amp;"_"&amp;$C$23:$C$45,$D$23:$D$45)*$E1421)</f>
        <v>5.60382160707421</v>
      </c>
      <c r="L1421" s="67" cm="1">
        <f ca="1" t="array" ref="L1421">MIN(6,_xlfn.XLOOKUP($D1421&amp;"_"&amp;L$61,$B$23:$B$45&amp;"_"&amp;$C$23:$C$45,$D$23:$D$45)*$E1421)</f>
        <v>6</v>
      </c>
      <c r="M1421" s="67" cm="1">
        <f ca="1" t="array" ref="M1421">(1+SUMPRODUCT(G1421:H1421,OFFSET($H$49:$I$49,D1421,0)))*(1+OFFSET($J$49,D1421,0))^I1421*(1+OFFSET($K$49,D1421,0))^J1421*(1+OFFSET($L$49,D1421,0))^K1421*(1+OFFSET($M$49,D1421,0))^L1421</f>
        <v>417.057124514224</v>
      </c>
      <c r="N1421" s="67">
        <f ca="1">MAX(MAX($N$62:N1420),OFFSET($C$61,MATCH(M1421*1.07,$M$62:$M$2061,1),0)-C1421)</f>
        <v>51840</v>
      </c>
    </row>
    <row r="1422" spans="2:14">
      <c r="B1422" s="67">
        <v>1361</v>
      </c>
      <c r="C1422" s="67">
        <f t="shared" si="134"/>
        <v>489960</v>
      </c>
      <c r="D1422" s="67">
        <f t="shared" si="137"/>
        <v>5</v>
      </c>
      <c r="E1422" s="67">
        <f ca="1" t="shared" si="138"/>
        <v>1391</v>
      </c>
      <c r="F1422" s="67">
        <f ca="1" t="shared" si="135"/>
        <v>0</v>
      </c>
      <c r="G1422" s="67">
        <f ca="1" t="shared" si="136"/>
        <v>0</v>
      </c>
      <c r="H1422" s="67" cm="1">
        <f ca="1" t="array" ref="H1422">MIN(30-SUM(I1422:L1422),_xlfn.XLOOKUP($D1422&amp;"_"&amp;H$61,$B$23:$B$45&amp;"_"&amp;$C$23:$C$45,$D$23:$D$45)*$E1422,18)</f>
        <v>10.3921468665898</v>
      </c>
      <c r="I1422" s="67" cm="1">
        <f ca="1" t="array" ref="I1422">MIN(30-SUM(J1422:L1422),6-L1422,_xlfn.XLOOKUP($D1422&amp;"_"&amp;I$61,$B$23:$B$45&amp;"_"&amp;$C$23:$C$45,$D$23:$D$45)*$E1422)</f>
        <v>0</v>
      </c>
      <c r="J1422" s="67" cm="1">
        <f ca="1" t="array" ref="J1422">MIN(8,_xlfn.XLOOKUP($D1422&amp;"_"&amp;J$61,$B$23:$B$45&amp;"_"&amp;$C$23:$C$45,$D$23:$D$45)*$E1422)</f>
        <v>8</v>
      </c>
      <c r="K1422" s="67" cm="1">
        <f ca="1" t="array" ref="K1422">MIN(18,_xlfn.XLOOKUP($D1422&amp;"_"&amp;K$61,$B$23:$B$45&amp;"_"&amp;$C$23:$C$45,$D$23:$D$45)*$E1422)</f>
        <v>5.60785313341023</v>
      </c>
      <c r="L1422" s="67" cm="1">
        <f ca="1" t="array" ref="L1422">MIN(6,_xlfn.XLOOKUP($D1422&amp;"_"&amp;L$61,$B$23:$B$45&amp;"_"&amp;$C$23:$C$45,$D$23:$D$45)*$E1422)</f>
        <v>6</v>
      </c>
      <c r="M1422" s="67" cm="1">
        <f ca="1" t="array" ref="M1422">(1+SUMPRODUCT(G1422:H1422,OFFSET($H$49:$I$49,D1422,0)))*(1+OFFSET($J$49,D1422,0))^I1422*(1+OFFSET($K$49,D1422,0))^J1422*(1+OFFSET($L$49,D1422,0))^K1422*(1+OFFSET($M$49,D1422,0))^L1422</f>
        <v>417.25450072528</v>
      </c>
      <c r="N1422" s="67">
        <f ca="1">MAX(MAX($N$62:N1421),OFFSET($C$61,MATCH(M1422*1.07,$M$62:$M$2061,1),0)-C1422)</f>
        <v>51840</v>
      </c>
    </row>
    <row r="1423" spans="2:14">
      <c r="B1423" s="67">
        <v>1362</v>
      </c>
      <c r="C1423" s="67">
        <f t="shared" si="134"/>
        <v>490320</v>
      </c>
      <c r="D1423" s="67">
        <f t="shared" si="137"/>
        <v>5</v>
      </c>
      <c r="E1423" s="67">
        <f ca="1" t="shared" si="138"/>
        <v>1392</v>
      </c>
      <c r="F1423" s="67">
        <f ca="1" t="shared" si="135"/>
        <v>0</v>
      </c>
      <c r="G1423" s="67">
        <f ca="1" t="shared" si="136"/>
        <v>0</v>
      </c>
      <c r="H1423" s="67" cm="1">
        <f ca="1" t="array" ref="H1423">MIN(30-SUM(I1423:L1423),_xlfn.XLOOKUP($D1423&amp;"_"&amp;H$61,$B$23:$B$45&amp;"_"&amp;$C$23:$C$45,$D$23:$D$45)*$E1423,18)</f>
        <v>10.3881153402537</v>
      </c>
      <c r="I1423" s="67" cm="1">
        <f ca="1" t="array" ref="I1423">MIN(30-SUM(J1423:L1423),6-L1423,_xlfn.XLOOKUP($D1423&amp;"_"&amp;I$61,$B$23:$B$45&amp;"_"&amp;$C$23:$C$45,$D$23:$D$45)*$E1423)</f>
        <v>0</v>
      </c>
      <c r="J1423" s="67" cm="1">
        <f ca="1" t="array" ref="J1423">MIN(8,_xlfn.XLOOKUP($D1423&amp;"_"&amp;J$61,$B$23:$B$45&amp;"_"&amp;$C$23:$C$45,$D$23:$D$45)*$E1423)</f>
        <v>8</v>
      </c>
      <c r="K1423" s="67" cm="1">
        <f ca="1" t="array" ref="K1423">MIN(18,_xlfn.XLOOKUP($D1423&amp;"_"&amp;K$61,$B$23:$B$45&amp;"_"&amp;$C$23:$C$45,$D$23:$D$45)*$E1423)</f>
        <v>5.61188465974626</v>
      </c>
      <c r="L1423" s="67" cm="1">
        <f ca="1" t="array" ref="L1423">MIN(6,_xlfn.XLOOKUP($D1423&amp;"_"&amp;L$61,$B$23:$B$45&amp;"_"&amp;$C$23:$C$45,$D$23:$D$45)*$E1423)</f>
        <v>6</v>
      </c>
      <c r="M1423" s="67" cm="1">
        <f ca="1" t="array" ref="M1423">(1+SUMPRODUCT(G1423:H1423,OFFSET($H$49:$I$49,D1423,0)))*(1+OFFSET($J$49,D1423,0))^I1423*(1+OFFSET($K$49,D1423,0))^J1423*(1+OFFSET($L$49,D1423,0))^K1423*(1+OFFSET($M$49,D1423,0))^L1423</f>
        <v>417.451941708194</v>
      </c>
      <c r="N1423" s="67">
        <f ca="1">MAX(MAX($N$62:N1422),OFFSET($C$61,MATCH(M1423*1.07,$M$62:$M$2061,1),0)-C1423)</f>
        <v>51840</v>
      </c>
    </row>
    <row r="1424" spans="2:14">
      <c r="B1424" s="67">
        <v>1363</v>
      </c>
      <c r="C1424" s="67">
        <f t="shared" si="134"/>
        <v>490680</v>
      </c>
      <c r="D1424" s="67">
        <f t="shared" si="137"/>
        <v>5</v>
      </c>
      <c r="E1424" s="67">
        <f ca="1" t="shared" si="138"/>
        <v>1393</v>
      </c>
      <c r="F1424" s="67">
        <f ca="1" t="shared" si="135"/>
        <v>0</v>
      </c>
      <c r="G1424" s="67">
        <f ca="1" t="shared" si="136"/>
        <v>0</v>
      </c>
      <c r="H1424" s="67" cm="1">
        <f ca="1" t="array" ref="H1424">MIN(30-SUM(I1424:L1424),_xlfn.XLOOKUP($D1424&amp;"_"&amp;H$61,$B$23:$B$45&amp;"_"&amp;$C$23:$C$45,$D$23:$D$45)*$E1424,18)</f>
        <v>10.3840838139177</v>
      </c>
      <c r="I1424" s="67" cm="1">
        <f ca="1" t="array" ref="I1424">MIN(30-SUM(J1424:L1424),6-L1424,_xlfn.XLOOKUP($D1424&amp;"_"&amp;I$61,$B$23:$B$45&amp;"_"&amp;$C$23:$C$45,$D$23:$D$45)*$E1424)</f>
        <v>0</v>
      </c>
      <c r="J1424" s="67" cm="1">
        <f ca="1" t="array" ref="J1424">MIN(8,_xlfn.XLOOKUP($D1424&amp;"_"&amp;J$61,$B$23:$B$45&amp;"_"&amp;$C$23:$C$45,$D$23:$D$45)*$E1424)</f>
        <v>8</v>
      </c>
      <c r="K1424" s="67" cm="1">
        <f ca="1" t="array" ref="K1424">MIN(18,_xlfn.XLOOKUP($D1424&amp;"_"&amp;K$61,$B$23:$B$45&amp;"_"&amp;$C$23:$C$45,$D$23:$D$45)*$E1424)</f>
        <v>5.61591618608228</v>
      </c>
      <c r="L1424" s="67" cm="1">
        <f ca="1" t="array" ref="L1424">MIN(6,_xlfn.XLOOKUP($D1424&amp;"_"&amp;L$61,$B$23:$B$45&amp;"_"&amp;$C$23:$C$45,$D$23:$D$45)*$E1424)</f>
        <v>6</v>
      </c>
      <c r="M1424" s="67" cm="1">
        <f ca="1" t="array" ref="M1424">(1+SUMPRODUCT(G1424:H1424,OFFSET($H$49:$I$49,D1424,0)))*(1+OFFSET($J$49,D1424,0))^I1424*(1+OFFSET($K$49,D1424,0))^J1424*(1+OFFSET($L$49,D1424,0))^K1424*(1+OFFSET($M$49,D1424,0))^L1424</f>
        <v>417.649447451505</v>
      </c>
      <c r="N1424" s="67">
        <f ca="1">MAX(MAX($N$62:N1423),OFFSET($C$61,MATCH(M1424*1.07,$M$62:$M$2061,1),0)-C1424)</f>
        <v>51840</v>
      </c>
    </row>
    <row r="1425" spans="2:14">
      <c r="B1425" s="67">
        <v>1364</v>
      </c>
      <c r="C1425" s="67">
        <f t="shared" si="134"/>
        <v>491040</v>
      </c>
      <c r="D1425" s="67">
        <f t="shared" si="137"/>
        <v>5</v>
      </c>
      <c r="E1425" s="67">
        <f ca="1" t="shared" si="138"/>
        <v>1394</v>
      </c>
      <c r="F1425" s="67">
        <f ca="1" t="shared" si="135"/>
        <v>0</v>
      </c>
      <c r="G1425" s="67">
        <f ca="1" t="shared" si="136"/>
        <v>0</v>
      </c>
      <c r="H1425" s="67" cm="1">
        <f ca="1" t="array" ref="H1425">MIN(30-SUM(I1425:L1425),_xlfn.XLOOKUP($D1425&amp;"_"&amp;H$61,$B$23:$B$45&amp;"_"&amp;$C$23:$C$45,$D$23:$D$45)*$E1425,18)</f>
        <v>10.3800522875817</v>
      </c>
      <c r="I1425" s="67" cm="1">
        <f ca="1" t="array" ref="I1425">MIN(30-SUM(J1425:L1425),6-L1425,_xlfn.XLOOKUP($D1425&amp;"_"&amp;I$61,$B$23:$B$45&amp;"_"&amp;$C$23:$C$45,$D$23:$D$45)*$E1425)</f>
        <v>0</v>
      </c>
      <c r="J1425" s="67" cm="1">
        <f ca="1" t="array" ref="J1425">MIN(8,_xlfn.XLOOKUP($D1425&amp;"_"&amp;J$61,$B$23:$B$45&amp;"_"&amp;$C$23:$C$45,$D$23:$D$45)*$E1425)</f>
        <v>8</v>
      </c>
      <c r="K1425" s="67" cm="1">
        <f ca="1" t="array" ref="K1425">MIN(18,_xlfn.XLOOKUP($D1425&amp;"_"&amp;K$61,$B$23:$B$45&amp;"_"&amp;$C$23:$C$45,$D$23:$D$45)*$E1425)</f>
        <v>5.61994771241831</v>
      </c>
      <c r="L1425" s="67" cm="1">
        <f ca="1" t="array" ref="L1425">MIN(6,_xlfn.XLOOKUP($D1425&amp;"_"&amp;L$61,$B$23:$B$45&amp;"_"&amp;$C$23:$C$45,$D$23:$D$45)*$E1425)</f>
        <v>6</v>
      </c>
      <c r="M1425" s="67" cm="1">
        <f ca="1" t="array" ref="M1425">(1+SUMPRODUCT(G1425:H1425,OFFSET($H$49:$I$49,D1425,0)))*(1+OFFSET($J$49,D1425,0))^I1425*(1+OFFSET($K$49,D1425,0))^J1425*(1+OFFSET($L$49,D1425,0))^K1425*(1+OFFSET($M$49,D1425,0))^L1425</f>
        <v>417.847017943697</v>
      </c>
      <c r="N1425" s="67">
        <f ca="1">MAX(MAX($N$62:N1424),OFFSET($C$61,MATCH(M1425*1.07,$M$62:$M$2061,1),0)-C1425)</f>
        <v>51840</v>
      </c>
    </row>
    <row r="1426" spans="2:14">
      <c r="B1426" s="67">
        <v>1365</v>
      </c>
      <c r="C1426" s="67">
        <f t="shared" si="134"/>
        <v>491400</v>
      </c>
      <c r="D1426" s="67">
        <f t="shared" si="137"/>
        <v>5</v>
      </c>
      <c r="E1426" s="67">
        <f ca="1" t="shared" si="138"/>
        <v>1395</v>
      </c>
      <c r="F1426" s="67">
        <f ca="1" t="shared" si="135"/>
        <v>0</v>
      </c>
      <c r="G1426" s="67">
        <f ca="1" t="shared" si="136"/>
        <v>0</v>
      </c>
      <c r="H1426" s="67" cm="1">
        <f ca="1" t="array" ref="H1426">MIN(30-SUM(I1426:L1426),_xlfn.XLOOKUP($D1426&amp;"_"&amp;H$61,$B$23:$B$45&amp;"_"&amp;$C$23:$C$45,$D$23:$D$45)*$E1426,18)</f>
        <v>10.3760207612457</v>
      </c>
      <c r="I1426" s="67" cm="1">
        <f ca="1" t="array" ref="I1426">MIN(30-SUM(J1426:L1426),6-L1426,_xlfn.XLOOKUP($D1426&amp;"_"&amp;I$61,$B$23:$B$45&amp;"_"&amp;$C$23:$C$45,$D$23:$D$45)*$E1426)</f>
        <v>0</v>
      </c>
      <c r="J1426" s="67" cm="1">
        <f ca="1" t="array" ref="J1426">MIN(8,_xlfn.XLOOKUP($D1426&amp;"_"&amp;J$61,$B$23:$B$45&amp;"_"&amp;$C$23:$C$45,$D$23:$D$45)*$E1426)</f>
        <v>8</v>
      </c>
      <c r="K1426" s="67" cm="1">
        <f ca="1" t="array" ref="K1426">MIN(18,_xlfn.XLOOKUP($D1426&amp;"_"&amp;K$61,$B$23:$B$45&amp;"_"&amp;$C$23:$C$45,$D$23:$D$45)*$E1426)</f>
        <v>5.62397923875433</v>
      </c>
      <c r="L1426" s="67" cm="1">
        <f ca="1" t="array" ref="L1426">MIN(6,_xlfn.XLOOKUP($D1426&amp;"_"&amp;L$61,$B$23:$B$45&amp;"_"&amp;$C$23:$C$45,$D$23:$D$45)*$E1426)</f>
        <v>6</v>
      </c>
      <c r="M1426" s="67" cm="1">
        <f ca="1" t="array" ref="M1426">(1+SUMPRODUCT(G1426:H1426,OFFSET($H$49:$I$49,D1426,0)))*(1+OFFSET($J$49,D1426,0))^I1426*(1+OFFSET($K$49,D1426,0))^J1426*(1+OFFSET($L$49,D1426,0))^K1426*(1+OFFSET($M$49,D1426,0))^L1426</f>
        <v>418.044653173206</v>
      </c>
      <c r="N1426" s="67">
        <f ca="1">MAX(MAX($N$62:N1425),OFFSET($C$61,MATCH(M1426*1.07,$M$62:$M$2061,1),0)-C1426)</f>
        <v>51840</v>
      </c>
    </row>
    <row r="1427" spans="2:14">
      <c r="B1427" s="67">
        <v>1366</v>
      </c>
      <c r="C1427" s="67">
        <f t="shared" si="134"/>
        <v>491760</v>
      </c>
      <c r="D1427" s="67">
        <f t="shared" si="137"/>
        <v>5</v>
      </c>
      <c r="E1427" s="67">
        <f ca="1" t="shared" si="138"/>
        <v>1396</v>
      </c>
      <c r="F1427" s="67">
        <f ca="1" t="shared" si="135"/>
        <v>0</v>
      </c>
      <c r="G1427" s="67">
        <f ca="1" t="shared" si="136"/>
        <v>0</v>
      </c>
      <c r="H1427" s="67" cm="1">
        <f ca="1" t="array" ref="H1427">MIN(30-SUM(I1427:L1427),_xlfn.XLOOKUP($D1427&amp;"_"&amp;H$61,$B$23:$B$45&amp;"_"&amp;$C$23:$C$45,$D$23:$D$45)*$E1427,18)</f>
        <v>10.3719892349096</v>
      </c>
      <c r="I1427" s="67" cm="1">
        <f ca="1" t="array" ref="I1427">MIN(30-SUM(J1427:L1427),6-L1427,_xlfn.XLOOKUP($D1427&amp;"_"&amp;I$61,$B$23:$B$45&amp;"_"&amp;$C$23:$C$45,$D$23:$D$45)*$E1427)</f>
        <v>0</v>
      </c>
      <c r="J1427" s="67" cm="1">
        <f ca="1" t="array" ref="J1427">MIN(8,_xlfn.XLOOKUP($D1427&amp;"_"&amp;J$61,$B$23:$B$45&amp;"_"&amp;$C$23:$C$45,$D$23:$D$45)*$E1427)</f>
        <v>8</v>
      </c>
      <c r="K1427" s="67" cm="1">
        <f ca="1" t="array" ref="K1427">MIN(18,_xlfn.XLOOKUP($D1427&amp;"_"&amp;K$61,$B$23:$B$45&amp;"_"&amp;$C$23:$C$45,$D$23:$D$45)*$E1427)</f>
        <v>5.62801076509036</v>
      </c>
      <c r="L1427" s="67" cm="1">
        <f ca="1" t="array" ref="L1427">MIN(6,_xlfn.XLOOKUP($D1427&amp;"_"&amp;L$61,$B$23:$B$45&amp;"_"&amp;$C$23:$C$45,$D$23:$D$45)*$E1427)</f>
        <v>6</v>
      </c>
      <c r="M1427" s="67" cm="1">
        <f ca="1" t="array" ref="M1427">(1+SUMPRODUCT(G1427:H1427,OFFSET($H$49:$I$49,D1427,0)))*(1+OFFSET($J$49,D1427,0))^I1427*(1+OFFSET($K$49,D1427,0))^J1427*(1+OFFSET($L$49,D1427,0))^K1427*(1+OFFSET($M$49,D1427,0))^L1427</f>
        <v>418.242353128413</v>
      </c>
      <c r="N1427" s="67">
        <f ca="1">MAX(MAX($N$62:N1426),OFFSET($C$61,MATCH(M1427*1.07,$M$62:$M$2061,1),0)-C1427)</f>
        <v>51840</v>
      </c>
    </row>
    <row r="1428" spans="2:14">
      <c r="B1428" s="67">
        <v>1367</v>
      </c>
      <c r="C1428" s="67">
        <f t="shared" si="134"/>
        <v>492120</v>
      </c>
      <c r="D1428" s="67">
        <f t="shared" si="137"/>
        <v>5</v>
      </c>
      <c r="E1428" s="67">
        <f ca="1" t="shared" si="138"/>
        <v>1397</v>
      </c>
      <c r="F1428" s="67">
        <f ca="1" t="shared" si="135"/>
        <v>0</v>
      </c>
      <c r="G1428" s="67">
        <f ca="1" t="shared" si="136"/>
        <v>0</v>
      </c>
      <c r="H1428" s="67" cm="1">
        <f ca="1" t="array" ref="H1428">MIN(30-SUM(I1428:L1428),_xlfn.XLOOKUP($D1428&amp;"_"&amp;H$61,$B$23:$B$45&amp;"_"&amp;$C$23:$C$45,$D$23:$D$45)*$E1428,18)</f>
        <v>10.3679577085736</v>
      </c>
      <c r="I1428" s="67" cm="1">
        <f ca="1" t="array" ref="I1428">MIN(30-SUM(J1428:L1428),6-L1428,_xlfn.XLOOKUP($D1428&amp;"_"&amp;I$61,$B$23:$B$45&amp;"_"&amp;$C$23:$C$45,$D$23:$D$45)*$E1428)</f>
        <v>0</v>
      </c>
      <c r="J1428" s="67" cm="1">
        <f ca="1" t="array" ref="J1428">MIN(8,_xlfn.XLOOKUP($D1428&amp;"_"&amp;J$61,$B$23:$B$45&amp;"_"&amp;$C$23:$C$45,$D$23:$D$45)*$E1428)</f>
        <v>8</v>
      </c>
      <c r="K1428" s="67" cm="1">
        <f ca="1" t="array" ref="K1428">MIN(18,_xlfn.XLOOKUP($D1428&amp;"_"&amp;K$61,$B$23:$B$45&amp;"_"&amp;$C$23:$C$45,$D$23:$D$45)*$E1428)</f>
        <v>5.63204229142638</v>
      </c>
      <c r="L1428" s="67" cm="1">
        <f ca="1" t="array" ref="L1428">MIN(6,_xlfn.XLOOKUP($D1428&amp;"_"&amp;L$61,$B$23:$B$45&amp;"_"&amp;$C$23:$C$45,$D$23:$D$45)*$E1428)</f>
        <v>6</v>
      </c>
      <c r="M1428" s="67" cm="1">
        <f ca="1" t="array" ref="M1428">(1+SUMPRODUCT(G1428:H1428,OFFSET($H$49:$I$49,D1428,0)))*(1+OFFSET($J$49,D1428,0))^I1428*(1+OFFSET($K$49,D1428,0))^J1428*(1+OFFSET($L$49,D1428,0))^K1428*(1+OFFSET($M$49,D1428,0))^L1428</f>
        <v>418.44011779765</v>
      </c>
      <c r="N1428" s="67">
        <f ca="1">MAX(MAX($N$62:N1427),OFFSET($C$61,MATCH(M1428*1.07,$M$62:$M$2061,1),0)-C1428)</f>
        <v>51840</v>
      </c>
    </row>
    <row r="1429" spans="2:14">
      <c r="B1429" s="67">
        <v>1368</v>
      </c>
      <c r="C1429" s="67">
        <f t="shared" si="134"/>
        <v>492480</v>
      </c>
      <c r="D1429" s="67">
        <f t="shared" si="137"/>
        <v>5</v>
      </c>
      <c r="E1429" s="67">
        <f ca="1" t="shared" si="138"/>
        <v>1398</v>
      </c>
      <c r="F1429" s="67">
        <f ca="1" t="shared" si="135"/>
        <v>0</v>
      </c>
      <c r="G1429" s="67">
        <f ca="1" t="shared" si="136"/>
        <v>0</v>
      </c>
      <c r="H1429" s="67" cm="1">
        <f ca="1" t="array" ref="H1429">MIN(30-SUM(I1429:L1429),_xlfn.XLOOKUP($D1429&amp;"_"&amp;H$61,$B$23:$B$45&amp;"_"&amp;$C$23:$C$45,$D$23:$D$45)*$E1429,18)</f>
        <v>10.3639261822376</v>
      </c>
      <c r="I1429" s="67" cm="1">
        <f ca="1" t="array" ref="I1429">MIN(30-SUM(J1429:L1429),6-L1429,_xlfn.XLOOKUP($D1429&amp;"_"&amp;I$61,$B$23:$B$45&amp;"_"&amp;$C$23:$C$45,$D$23:$D$45)*$E1429)</f>
        <v>0</v>
      </c>
      <c r="J1429" s="67" cm="1">
        <f ca="1" t="array" ref="J1429">MIN(8,_xlfn.XLOOKUP($D1429&amp;"_"&amp;J$61,$B$23:$B$45&amp;"_"&amp;$C$23:$C$45,$D$23:$D$45)*$E1429)</f>
        <v>8</v>
      </c>
      <c r="K1429" s="67" cm="1">
        <f ca="1" t="array" ref="K1429">MIN(18,_xlfn.XLOOKUP($D1429&amp;"_"&amp;K$61,$B$23:$B$45&amp;"_"&amp;$C$23:$C$45,$D$23:$D$45)*$E1429)</f>
        <v>5.6360738177624</v>
      </c>
      <c r="L1429" s="67" cm="1">
        <f ca="1" t="array" ref="L1429">MIN(6,_xlfn.XLOOKUP($D1429&amp;"_"&amp;L$61,$B$23:$B$45&amp;"_"&amp;$C$23:$C$45,$D$23:$D$45)*$E1429)</f>
        <v>6</v>
      </c>
      <c r="M1429" s="67" cm="1">
        <f ca="1" t="array" ref="M1429">(1+SUMPRODUCT(G1429:H1429,OFFSET($H$49:$I$49,D1429,0)))*(1+OFFSET($J$49,D1429,0))^I1429*(1+OFFSET($K$49,D1429,0))^J1429*(1+OFFSET($L$49,D1429,0))^K1429*(1+OFFSET($M$49,D1429,0))^L1429</f>
        <v>418.637947169195</v>
      </c>
      <c r="N1429" s="67">
        <f ca="1">MAX(MAX($N$62:N1428),OFFSET($C$61,MATCH(M1429*1.07,$M$62:$M$2061,1),0)-C1429)</f>
        <v>51840</v>
      </c>
    </row>
    <row r="1430" spans="2:14">
      <c r="B1430" s="67">
        <v>1369</v>
      </c>
      <c r="C1430" s="67">
        <f t="shared" si="134"/>
        <v>492840</v>
      </c>
      <c r="D1430" s="67">
        <f t="shared" si="137"/>
        <v>5</v>
      </c>
      <c r="E1430" s="67">
        <f ca="1" t="shared" si="138"/>
        <v>1399</v>
      </c>
      <c r="F1430" s="67">
        <f ca="1" t="shared" si="135"/>
        <v>0</v>
      </c>
      <c r="G1430" s="67">
        <f ca="1" t="shared" si="136"/>
        <v>0</v>
      </c>
      <c r="H1430" s="67" cm="1">
        <f ca="1" t="array" ref="H1430">MIN(30-SUM(I1430:L1430),_xlfn.XLOOKUP($D1430&amp;"_"&amp;H$61,$B$23:$B$45&amp;"_"&amp;$C$23:$C$45,$D$23:$D$45)*$E1430,18)</f>
        <v>10.3598946559016</v>
      </c>
      <c r="I1430" s="67" cm="1">
        <f ca="1" t="array" ref="I1430">MIN(30-SUM(J1430:L1430),6-L1430,_xlfn.XLOOKUP($D1430&amp;"_"&amp;I$61,$B$23:$B$45&amp;"_"&amp;$C$23:$C$45,$D$23:$D$45)*$E1430)</f>
        <v>0</v>
      </c>
      <c r="J1430" s="67" cm="1">
        <f ca="1" t="array" ref="J1430">MIN(8,_xlfn.XLOOKUP($D1430&amp;"_"&amp;J$61,$B$23:$B$45&amp;"_"&amp;$C$23:$C$45,$D$23:$D$45)*$E1430)</f>
        <v>8</v>
      </c>
      <c r="K1430" s="67" cm="1">
        <f ca="1" t="array" ref="K1430">MIN(18,_xlfn.XLOOKUP($D1430&amp;"_"&amp;K$61,$B$23:$B$45&amp;"_"&amp;$C$23:$C$45,$D$23:$D$45)*$E1430)</f>
        <v>5.64010534409843</v>
      </c>
      <c r="L1430" s="67" cm="1">
        <f ca="1" t="array" ref="L1430">MIN(6,_xlfn.XLOOKUP($D1430&amp;"_"&amp;L$61,$B$23:$B$45&amp;"_"&amp;$C$23:$C$45,$D$23:$D$45)*$E1430)</f>
        <v>6</v>
      </c>
      <c r="M1430" s="67" cm="1">
        <f ca="1" t="array" ref="M1430">(1+SUMPRODUCT(G1430:H1430,OFFSET($H$49:$I$49,D1430,0)))*(1+OFFSET($J$49,D1430,0))^I1430*(1+OFFSET($K$49,D1430,0))^J1430*(1+OFFSET($L$49,D1430,0))^K1430*(1+OFFSET($M$49,D1430,0))^L1430</f>
        <v>418.835841231272</v>
      </c>
      <c r="N1430" s="67">
        <f ca="1">MAX(MAX($N$62:N1429),OFFSET($C$61,MATCH(M1430*1.07,$M$62:$M$2061,1),0)-C1430)</f>
        <v>51840</v>
      </c>
    </row>
    <row r="1431" spans="2:14">
      <c r="B1431" s="67">
        <v>1370</v>
      </c>
      <c r="C1431" s="67">
        <f t="shared" si="134"/>
        <v>493200</v>
      </c>
      <c r="D1431" s="67">
        <f t="shared" si="137"/>
        <v>5</v>
      </c>
      <c r="E1431" s="67">
        <f ca="1" t="shared" si="138"/>
        <v>1400</v>
      </c>
      <c r="F1431" s="67">
        <f ca="1" t="shared" si="135"/>
        <v>0</v>
      </c>
      <c r="G1431" s="67">
        <f ca="1" t="shared" si="136"/>
        <v>0</v>
      </c>
      <c r="H1431" s="67" cm="1">
        <f ca="1" t="array" ref="H1431">MIN(30-SUM(I1431:L1431),_xlfn.XLOOKUP($D1431&amp;"_"&amp;H$61,$B$23:$B$45&amp;"_"&amp;$C$23:$C$45,$D$23:$D$45)*$E1431,18)</f>
        <v>10.3558631295655</v>
      </c>
      <c r="I1431" s="67" cm="1">
        <f ca="1" t="array" ref="I1431">MIN(30-SUM(J1431:L1431),6-L1431,_xlfn.XLOOKUP($D1431&amp;"_"&amp;I$61,$B$23:$B$45&amp;"_"&amp;$C$23:$C$45,$D$23:$D$45)*$E1431)</f>
        <v>0</v>
      </c>
      <c r="J1431" s="67" cm="1">
        <f ca="1" t="array" ref="J1431">MIN(8,_xlfn.XLOOKUP($D1431&amp;"_"&amp;J$61,$B$23:$B$45&amp;"_"&amp;$C$23:$C$45,$D$23:$D$45)*$E1431)</f>
        <v>8</v>
      </c>
      <c r="K1431" s="67" cm="1">
        <f ca="1" t="array" ref="K1431">MIN(18,_xlfn.XLOOKUP($D1431&amp;"_"&amp;K$61,$B$23:$B$45&amp;"_"&amp;$C$23:$C$45,$D$23:$D$45)*$E1431)</f>
        <v>5.64413687043445</v>
      </c>
      <c r="L1431" s="67" cm="1">
        <f ca="1" t="array" ref="L1431">MIN(6,_xlfn.XLOOKUP($D1431&amp;"_"&amp;L$61,$B$23:$B$45&amp;"_"&amp;$C$23:$C$45,$D$23:$D$45)*$E1431)</f>
        <v>6</v>
      </c>
      <c r="M1431" s="67" cm="1">
        <f ca="1" t="array" ref="M1431">(1+SUMPRODUCT(G1431:H1431,OFFSET($H$49:$I$49,D1431,0)))*(1+OFFSET($J$49,D1431,0))^I1431*(1+OFFSET($K$49,D1431,0))^J1431*(1+OFFSET($L$49,D1431,0))^K1431*(1+OFFSET($M$49,D1431,0))^L1431</f>
        <v>419.033799972056</v>
      </c>
      <c r="N1431" s="67">
        <f ca="1">MAX(MAX($N$62:N1430),OFFSET($C$61,MATCH(M1431*1.07,$M$62:$M$2061,1),0)-C1431)</f>
        <v>51840</v>
      </c>
    </row>
    <row r="1432" spans="2:14">
      <c r="B1432" s="67">
        <v>1371</v>
      </c>
      <c r="C1432" s="67">
        <f t="shared" si="134"/>
        <v>493560</v>
      </c>
      <c r="D1432" s="67">
        <f t="shared" si="137"/>
        <v>5</v>
      </c>
      <c r="E1432" s="67">
        <f ca="1" t="shared" si="138"/>
        <v>1401</v>
      </c>
      <c r="F1432" s="67">
        <f ca="1" t="shared" si="135"/>
        <v>0</v>
      </c>
      <c r="G1432" s="67">
        <f ca="1" t="shared" si="136"/>
        <v>0</v>
      </c>
      <c r="H1432" s="67" cm="1">
        <f ca="1" t="array" ref="H1432">MIN(30-SUM(I1432:L1432),_xlfn.XLOOKUP($D1432&amp;"_"&amp;H$61,$B$23:$B$45&amp;"_"&amp;$C$23:$C$45,$D$23:$D$45)*$E1432,18)</f>
        <v>10.3518316032295</v>
      </c>
      <c r="I1432" s="67" cm="1">
        <f ca="1" t="array" ref="I1432">MIN(30-SUM(J1432:L1432),6-L1432,_xlfn.XLOOKUP($D1432&amp;"_"&amp;I$61,$B$23:$B$45&amp;"_"&amp;$C$23:$C$45,$D$23:$D$45)*$E1432)</f>
        <v>0</v>
      </c>
      <c r="J1432" s="67" cm="1">
        <f ca="1" t="array" ref="J1432">MIN(8,_xlfn.XLOOKUP($D1432&amp;"_"&amp;J$61,$B$23:$B$45&amp;"_"&amp;$C$23:$C$45,$D$23:$D$45)*$E1432)</f>
        <v>8</v>
      </c>
      <c r="K1432" s="67" cm="1">
        <f ca="1" t="array" ref="K1432">MIN(18,_xlfn.XLOOKUP($D1432&amp;"_"&amp;K$61,$B$23:$B$45&amp;"_"&amp;$C$23:$C$45,$D$23:$D$45)*$E1432)</f>
        <v>5.64816839677048</v>
      </c>
      <c r="L1432" s="67" cm="1">
        <f ca="1" t="array" ref="L1432">MIN(6,_xlfn.XLOOKUP($D1432&amp;"_"&amp;L$61,$B$23:$B$45&amp;"_"&amp;$C$23:$C$45,$D$23:$D$45)*$E1432)</f>
        <v>6</v>
      </c>
      <c r="M1432" s="67" cm="1">
        <f ca="1" t="array" ref="M1432">(1+SUMPRODUCT(G1432:H1432,OFFSET($H$49:$I$49,D1432,0)))*(1+OFFSET($J$49,D1432,0))^I1432*(1+OFFSET($K$49,D1432,0))^J1432*(1+OFFSET($L$49,D1432,0))^K1432*(1+OFFSET($M$49,D1432,0))^L1432</f>
        <v>419.231823379668</v>
      </c>
      <c r="N1432" s="67">
        <f ca="1">MAX(MAX($N$62:N1431),OFFSET($C$61,MATCH(M1432*1.07,$M$62:$M$2061,1),0)-C1432)</f>
        <v>51840</v>
      </c>
    </row>
    <row r="1433" spans="2:14">
      <c r="B1433" s="67">
        <v>1372</v>
      </c>
      <c r="C1433" s="67">
        <f t="shared" si="134"/>
        <v>493920</v>
      </c>
      <c r="D1433" s="67">
        <f t="shared" si="137"/>
        <v>5</v>
      </c>
      <c r="E1433" s="67">
        <f ca="1" t="shared" si="138"/>
        <v>1402</v>
      </c>
      <c r="F1433" s="67">
        <f ca="1" t="shared" si="135"/>
        <v>0</v>
      </c>
      <c r="G1433" s="67">
        <f ca="1" t="shared" si="136"/>
        <v>0</v>
      </c>
      <c r="H1433" s="67" cm="1">
        <f ca="1" t="array" ref="H1433">MIN(30-SUM(I1433:L1433),_xlfn.XLOOKUP($D1433&amp;"_"&amp;H$61,$B$23:$B$45&amp;"_"&amp;$C$23:$C$45,$D$23:$D$45)*$E1433,18)</f>
        <v>10.3478000768935</v>
      </c>
      <c r="I1433" s="67" cm="1">
        <f ca="1" t="array" ref="I1433">MIN(30-SUM(J1433:L1433),6-L1433,_xlfn.XLOOKUP($D1433&amp;"_"&amp;I$61,$B$23:$B$45&amp;"_"&amp;$C$23:$C$45,$D$23:$D$45)*$E1433)</f>
        <v>0</v>
      </c>
      <c r="J1433" s="67" cm="1">
        <f ca="1" t="array" ref="J1433">MIN(8,_xlfn.XLOOKUP($D1433&amp;"_"&amp;J$61,$B$23:$B$45&amp;"_"&amp;$C$23:$C$45,$D$23:$D$45)*$E1433)</f>
        <v>8</v>
      </c>
      <c r="K1433" s="67" cm="1">
        <f ca="1" t="array" ref="K1433">MIN(18,_xlfn.XLOOKUP($D1433&amp;"_"&amp;K$61,$B$23:$B$45&amp;"_"&amp;$C$23:$C$45,$D$23:$D$45)*$E1433)</f>
        <v>5.6521999231065</v>
      </c>
      <c r="L1433" s="67" cm="1">
        <f ca="1" t="array" ref="L1433">MIN(6,_xlfn.XLOOKUP($D1433&amp;"_"&amp;L$61,$B$23:$B$45&amp;"_"&amp;$C$23:$C$45,$D$23:$D$45)*$E1433)</f>
        <v>6</v>
      </c>
      <c r="M1433" s="67" cm="1">
        <f ca="1" t="array" ref="M1433">(1+SUMPRODUCT(G1433:H1433,OFFSET($H$49:$I$49,D1433,0)))*(1+OFFSET($J$49,D1433,0))^I1433*(1+OFFSET($K$49,D1433,0))^J1433*(1+OFFSET($L$49,D1433,0))^K1433*(1+OFFSET($M$49,D1433,0))^L1433</f>
        <v>419.429911442177</v>
      </c>
      <c r="N1433" s="67">
        <f ca="1">MAX(MAX($N$62:N1432),OFFSET($C$61,MATCH(M1433*1.07,$M$62:$M$2061,1),0)-C1433)</f>
        <v>51840</v>
      </c>
    </row>
    <row r="1434" spans="2:14">
      <c r="B1434" s="67">
        <v>1373</v>
      </c>
      <c r="C1434" s="67">
        <f t="shared" si="134"/>
        <v>494280</v>
      </c>
      <c r="D1434" s="67">
        <f t="shared" si="137"/>
        <v>5</v>
      </c>
      <c r="E1434" s="67">
        <f ca="1" t="shared" si="138"/>
        <v>1403</v>
      </c>
      <c r="F1434" s="67">
        <f ca="1" t="shared" si="135"/>
        <v>0</v>
      </c>
      <c r="G1434" s="67">
        <f ca="1" t="shared" si="136"/>
        <v>0</v>
      </c>
      <c r="H1434" s="67" cm="1">
        <f ca="1" t="array" ref="H1434">MIN(30-SUM(I1434:L1434),_xlfn.XLOOKUP($D1434&amp;"_"&amp;H$61,$B$23:$B$45&amp;"_"&amp;$C$23:$C$45,$D$23:$D$45)*$E1434,18)</f>
        <v>10.3437685505575</v>
      </c>
      <c r="I1434" s="67" cm="1">
        <f ca="1" t="array" ref="I1434">MIN(30-SUM(J1434:L1434),6-L1434,_xlfn.XLOOKUP($D1434&amp;"_"&amp;I$61,$B$23:$B$45&amp;"_"&amp;$C$23:$C$45,$D$23:$D$45)*$E1434)</f>
        <v>0</v>
      </c>
      <c r="J1434" s="67" cm="1">
        <f ca="1" t="array" ref="J1434">MIN(8,_xlfn.XLOOKUP($D1434&amp;"_"&amp;J$61,$B$23:$B$45&amp;"_"&amp;$C$23:$C$45,$D$23:$D$45)*$E1434)</f>
        <v>8</v>
      </c>
      <c r="K1434" s="67" cm="1">
        <f ca="1" t="array" ref="K1434">MIN(18,_xlfn.XLOOKUP($D1434&amp;"_"&amp;K$61,$B$23:$B$45&amp;"_"&amp;$C$23:$C$45,$D$23:$D$45)*$E1434)</f>
        <v>5.65623144944253</v>
      </c>
      <c r="L1434" s="67" cm="1">
        <f ca="1" t="array" ref="L1434">MIN(6,_xlfn.XLOOKUP($D1434&amp;"_"&amp;L$61,$B$23:$B$45&amp;"_"&amp;$C$23:$C$45,$D$23:$D$45)*$E1434)</f>
        <v>6</v>
      </c>
      <c r="M1434" s="67" cm="1">
        <f ca="1" t="array" ref="M1434">(1+SUMPRODUCT(G1434:H1434,OFFSET($H$49:$I$49,D1434,0)))*(1+OFFSET($J$49,D1434,0))^I1434*(1+OFFSET($K$49,D1434,0))^J1434*(1+OFFSET($L$49,D1434,0))^K1434*(1+OFFSET($M$49,D1434,0))^L1434</f>
        <v>419.628064147599</v>
      </c>
      <c r="N1434" s="67">
        <f ca="1">MAX(MAX($N$62:N1433),OFFSET($C$61,MATCH(M1434*1.07,$M$62:$M$2061,1),0)-C1434)</f>
        <v>51840</v>
      </c>
    </row>
    <row r="1435" spans="2:14">
      <c r="B1435" s="67">
        <v>1374</v>
      </c>
      <c r="C1435" s="67">
        <f t="shared" si="134"/>
        <v>494640</v>
      </c>
      <c r="D1435" s="67">
        <f t="shared" si="137"/>
        <v>5</v>
      </c>
      <c r="E1435" s="67">
        <f ca="1" t="shared" si="138"/>
        <v>1404</v>
      </c>
      <c r="F1435" s="67">
        <f ca="1" t="shared" si="135"/>
        <v>0</v>
      </c>
      <c r="G1435" s="67">
        <f ca="1" t="shared" si="136"/>
        <v>0</v>
      </c>
      <c r="H1435" s="67" cm="1">
        <f ca="1" t="array" ref="H1435">MIN(30-SUM(I1435:L1435),_xlfn.XLOOKUP($D1435&amp;"_"&amp;H$61,$B$23:$B$45&amp;"_"&amp;$C$23:$C$45,$D$23:$D$45)*$E1435,18)</f>
        <v>10.3397370242214</v>
      </c>
      <c r="I1435" s="67" cm="1">
        <f ca="1" t="array" ref="I1435">MIN(30-SUM(J1435:L1435),6-L1435,_xlfn.XLOOKUP($D1435&amp;"_"&amp;I$61,$B$23:$B$45&amp;"_"&amp;$C$23:$C$45,$D$23:$D$45)*$E1435)</f>
        <v>0</v>
      </c>
      <c r="J1435" s="67" cm="1">
        <f ca="1" t="array" ref="J1435">MIN(8,_xlfn.XLOOKUP($D1435&amp;"_"&amp;J$61,$B$23:$B$45&amp;"_"&amp;$C$23:$C$45,$D$23:$D$45)*$E1435)</f>
        <v>8</v>
      </c>
      <c r="K1435" s="67" cm="1">
        <f ca="1" t="array" ref="K1435">MIN(18,_xlfn.XLOOKUP($D1435&amp;"_"&amp;K$61,$B$23:$B$45&amp;"_"&amp;$C$23:$C$45,$D$23:$D$45)*$E1435)</f>
        <v>5.66026297577855</v>
      </c>
      <c r="L1435" s="67" cm="1">
        <f ca="1" t="array" ref="L1435">MIN(6,_xlfn.XLOOKUP($D1435&amp;"_"&amp;L$61,$B$23:$B$45&amp;"_"&amp;$C$23:$C$45,$D$23:$D$45)*$E1435)</f>
        <v>6</v>
      </c>
      <c r="M1435" s="67" cm="1">
        <f ca="1" t="array" ref="M1435">(1+SUMPRODUCT(G1435:H1435,OFFSET($H$49:$I$49,D1435,0)))*(1+OFFSET($J$49,D1435,0))^I1435*(1+OFFSET($K$49,D1435,0))^J1435*(1+OFFSET($L$49,D1435,0))^K1435*(1+OFFSET($M$49,D1435,0))^L1435</f>
        <v>419.826281483897</v>
      </c>
      <c r="N1435" s="67">
        <f ca="1">MAX(MAX($N$62:N1434),OFFSET($C$61,MATCH(M1435*1.07,$M$62:$M$2061,1),0)-C1435)</f>
        <v>51840</v>
      </c>
    </row>
    <row r="1436" spans="2:14">
      <c r="B1436" s="67">
        <v>1375</v>
      </c>
      <c r="C1436" s="67">
        <f t="shared" si="134"/>
        <v>495000</v>
      </c>
      <c r="D1436" s="67">
        <f t="shared" si="137"/>
        <v>5</v>
      </c>
      <c r="E1436" s="67">
        <f ca="1" t="shared" si="138"/>
        <v>1405</v>
      </c>
      <c r="F1436" s="67">
        <f ca="1" t="shared" si="135"/>
        <v>0</v>
      </c>
      <c r="G1436" s="67">
        <f ca="1" t="shared" si="136"/>
        <v>0</v>
      </c>
      <c r="H1436" s="67" cm="1">
        <f ca="1" t="array" ref="H1436">MIN(30-SUM(I1436:L1436),_xlfn.XLOOKUP($D1436&amp;"_"&amp;H$61,$B$23:$B$45&amp;"_"&amp;$C$23:$C$45,$D$23:$D$45)*$E1436,18)</f>
        <v>10.3357054978854</v>
      </c>
      <c r="I1436" s="67" cm="1">
        <f ca="1" t="array" ref="I1436">MIN(30-SUM(J1436:L1436),6-L1436,_xlfn.XLOOKUP($D1436&amp;"_"&amp;I$61,$B$23:$B$45&amp;"_"&amp;$C$23:$C$45,$D$23:$D$45)*$E1436)</f>
        <v>0</v>
      </c>
      <c r="J1436" s="67" cm="1">
        <f ca="1" t="array" ref="J1436">MIN(8,_xlfn.XLOOKUP($D1436&amp;"_"&amp;J$61,$B$23:$B$45&amp;"_"&amp;$C$23:$C$45,$D$23:$D$45)*$E1436)</f>
        <v>8</v>
      </c>
      <c r="K1436" s="67" cm="1">
        <f ca="1" t="array" ref="K1436">MIN(18,_xlfn.XLOOKUP($D1436&amp;"_"&amp;K$61,$B$23:$B$45&amp;"_"&amp;$C$23:$C$45,$D$23:$D$45)*$E1436)</f>
        <v>5.66429450211458</v>
      </c>
      <c r="L1436" s="67" cm="1">
        <f ca="1" t="array" ref="L1436">MIN(6,_xlfn.XLOOKUP($D1436&amp;"_"&amp;L$61,$B$23:$B$45&amp;"_"&amp;$C$23:$C$45,$D$23:$D$45)*$E1436)</f>
        <v>6</v>
      </c>
      <c r="M1436" s="67" cm="1">
        <f ca="1" t="array" ref="M1436">(1+SUMPRODUCT(G1436:H1436,OFFSET($H$49:$I$49,D1436,0)))*(1+OFFSET($J$49,D1436,0))^I1436*(1+OFFSET($K$49,D1436,0))^J1436*(1+OFFSET($L$49,D1436,0))^K1436*(1+OFFSET($M$49,D1436,0))^L1436</f>
        <v>420.024563438983</v>
      </c>
      <c r="N1436" s="67">
        <f ca="1">MAX(MAX($N$62:N1435),OFFSET($C$61,MATCH(M1436*1.07,$M$62:$M$2061,1),0)-C1436)</f>
        <v>51840</v>
      </c>
    </row>
    <row r="1437" spans="2:14">
      <c r="B1437" s="67">
        <v>1376</v>
      </c>
      <c r="C1437" s="67">
        <f t="shared" si="134"/>
        <v>495360</v>
      </c>
      <c r="D1437" s="67">
        <f t="shared" si="137"/>
        <v>5</v>
      </c>
      <c r="E1437" s="67">
        <f ca="1" t="shared" si="138"/>
        <v>1406</v>
      </c>
      <c r="F1437" s="67">
        <f ca="1" t="shared" si="135"/>
        <v>0</v>
      </c>
      <c r="G1437" s="67">
        <f ca="1" t="shared" si="136"/>
        <v>0</v>
      </c>
      <c r="H1437" s="67" cm="1">
        <f ca="1" t="array" ref="H1437">MIN(30-SUM(I1437:L1437),_xlfn.XLOOKUP($D1437&amp;"_"&amp;H$61,$B$23:$B$45&amp;"_"&amp;$C$23:$C$45,$D$23:$D$45)*$E1437,18)</f>
        <v>10.3316739715494</v>
      </c>
      <c r="I1437" s="67" cm="1">
        <f ca="1" t="array" ref="I1437">MIN(30-SUM(J1437:L1437),6-L1437,_xlfn.XLOOKUP($D1437&amp;"_"&amp;I$61,$B$23:$B$45&amp;"_"&amp;$C$23:$C$45,$D$23:$D$45)*$E1437)</f>
        <v>0</v>
      </c>
      <c r="J1437" s="67" cm="1">
        <f ca="1" t="array" ref="J1437">MIN(8,_xlfn.XLOOKUP($D1437&amp;"_"&amp;J$61,$B$23:$B$45&amp;"_"&amp;$C$23:$C$45,$D$23:$D$45)*$E1437)</f>
        <v>8</v>
      </c>
      <c r="K1437" s="67" cm="1">
        <f ca="1" t="array" ref="K1437">MIN(18,_xlfn.XLOOKUP($D1437&amp;"_"&amp;K$61,$B$23:$B$45&amp;"_"&amp;$C$23:$C$45,$D$23:$D$45)*$E1437)</f>
        <v>5.6683260284506</v>
      </c>
      <c r="L1437" s="67" cm="1">
        <f ca="1" t="array" ref="L1437">MIN(6,_xlfn.XLOOKUP($D1437&amp;"_"&amp;L$61,$B$23:$B$45&amp;"_"&amp;$C$23:$C$45,$D$23:$D$45)*$E1437)</f>
        <v>6</v>
      </c>
      <c r="M1437" s="67" cm="1">
        <f ca="1" t="array" ref="M1437">(1+SUMPRODUCT(G1437:H1437,OFFSET($H$49:$I$49,D1437,0)))*(1+OFFSET($J$49,D1437,0))^I1437*(1+OFFSET($K$49,D1437,0))^J1437*(1+OFFSET($L$49,D1437,0))^K1437*(1+OFFSET($M$49,D1437,0))^L1437</f>
        <v>420.222910000714</v>
      </c>
      <c r="N1437" s="67">
        <f ca="1">MAX(MAX($N$62:N1436),OFFSET($C$61,MATCH(M1437*1.07,$M$62:$M$2061,1),0)-C1437)</f>
        <v>51840</v>
      </c>
    </row>
    <row r="1438" spans="2:14">
      <c r="B1438" s="67">
        <v>1377</v>
      </c>
      <c r="C1438" s="67">
        <f t="shared" si="134"/>
        <v>495720</v>
      </c>
      <c r="D1438" s="67">
        <f t="shared" si="137"/>
        <v>5</v>
      </c>
      <c r="E1438" s="67">
        <f ca="1" t="shared" si="138"/>
        <v>1407</v>
      </c>
      <c r="F1438" s="67">
        <f ca="1" t="shared" si="135"/>
        <v>0</v>
      </c>
      <c r="G1438" s="67">
        <f ca="1" t="shared" si="136"/>
        <v>0</v>
      </c>
      <c r="H1438" s="67" cm="1">
        <f ca="1" t="array" ref="H1438">MIN(30-SUM(I1438:L1438),_xlfn.XLOOKUP($D1438&amp;"_"&amp;H$61,$B$23:$B$45&amp;"_"&amp;$C$23:$C$45,$D$23:$D$45)*$E1438,18)</f>
        <v>10.3276424452134</v>
      </c>
      <c r="I1438" s="67" cm="1">
        <f ca="1" t="array" ref="I1438">MIN(30-SUM(J1438:L1438),6-L1438,_xlfn.XLOOKUP($D1438&amp;"_"&amp;I$61,$B$23:$B$45&amp;"_"&amp;$C$23:$C$45,$D$23:$D$45)*$E1438)</f>
        <v>0</v>
      </c>
      <c r="J1438" s="67" cm="1">
        <f ca="1" t="array" ref="J1438">MIN(8,_xlfn.XLOOKUP($D1438&amp;"_"&amp;J$61,$B$23:$B$45&amp;"_"&amp;$C$23:$C$45,$D$23:$D$45)*$E1438)</f>
        <v>8</v>
      </c>
      <c r="K1438" s="67" cm="1">
        <f ca="1" t="array" ref="K1438">MIN(18,_xlfn.XLOOKUP($D1438&amp;"_"&amp;K$61,$B$23:$B$45&amp;"_"&amp;$C$23:$C$45,$D$23:$D$45)*$E1438)</f>
        <v>5.67235755478663</v>
      </c>
      <c r="L1438" s="67" cm="1">
        <f ca="1" t="array" ref="L1438">MIN(6,_xlfn.XLOOKUP($D1438&amp;"_"&amp;L$61,$B$23:$B$45&amp;"_"&amp;$C$23:$C$45,$D$23:$D$45)*$E1438)</f>
        <v>6</v>
      </c>
      <c r="M1438" s="67" cm="1">
        <f ca="1" t="array" ref="M1438">(1+SUMPRODUCT(G1438:H1438,OFFSET($H$49:$I$49,D1438,0)))*(1+OFFSET($J$49,D1438,0))^I1438*(1+OFFSET($K$49,D1438,0))^J1438*(1+OFFSET($L$49,D1438,0))^K1438*(1+OFFSET($M$49,D1438,0))^L1438</f>
        <v>420.421321156897</v>
      </c>
      <c r="N1438" s="67">
        <f ca="1">MAX(MAX($N$62:N1437),OFFSET($C$61,MATCH(M1438*1.07,$M$62:$M$2061,1),0)-C1438)</f>
        <v>51840</v>
      </c>
    </row>
    <row r="1439" spans="2:14">
      <c r="B1439" s="67">
        <v>1378</v>
      </c>
      <c r="C1439" s="67">
        <f t="shared" si="134"/>
        <v>496080</v>
      </c>
      <c r="D1439" s="67">
        <f t="shared" si="137"/>
        <v>5</v>
      </c>
      <c r="E1439" s="67">
        <f ca="1" t="shared" si="138"/>
        <v>1408</v>
      </c>
      <c r="F1439" s="67">
        <f ca="1" t="shared" si="135"/>
        <v>0</v>
      </c>
      <c r="G1439" s="67">
        <f ca="1" t="shared" si="136"/>
        <v>0</v>
      </c>
      <c r="H1439" s="67" cm="1">
        <f ca="1" t="array" ref="H1439">MIN(30-SUM(I1439:L1439),_xlfn.XLOOKUP($D1439&amp;"_"&amp;H$61,$B$23:$B$45&amp;"_"&amp;$C$23:$C$45,$D$23:$D$45)*$E1439,18)</f>
        <v>10.3236109188773</v>
      </c>
      <c r="I1439" s="67" cm="1">
        <f ca="1" t="array" ref="I1439">MIN(30-SUM(J1439:L1439),6-L1439,_xlfn.XLOOKUP($D1439&amp;"_"&amp;I$61,$B$23:$B$45&amp;"_"&amp;$C$23:$C$45,$D$23:$D$45)*$E1439)</f>
        <v>0</v>
      </c>
      <c r="J1439" s="67" cm="1">
        <f ca="1" t="array" ref="J1439">MIN(8,_xlfn.XLOOKUP($D1439&amp;"_"&amp;J$61,$B$23:$B$45&amp;"_"&amp;$C$23:$C$45,$D$23:$D$45)*$E1439)</f>
        <v>8</v>
      </c>
      <c r="K1439" s="67" cm="1">
        <f ca="1" t="array" ref="K1439">MIN(18,_xlfn.XLOOKUP($D1439&amp;"_"&amp;K$61,$B$23:$B$45&amp;"_"&amp;$C$23:$C$45,$D$23:$D$45)*$E1439)</f>
        <v>5.67638908112265</v>
      </c>
      <c r="L1439" s="67" cm="1">
        <f ca="1" t="array" ref="L1439">MIN(6,_xlfn.XLOOKUP($D1439&amp;"_"&amp;L$61,$B$23:$B$45&amp;"_"&amp;$C$23:$C$45,$D$23:$D$45)*$E1439)</f>
        <v>6</v>
      </c>
      <c r="M1439" s="67" cm="1">
        <f ca="1" t="array" ref="M1439">(1+SUMPRODUCT(G1439:H1439,OFFSET($H$49:$I$49,D1439,0)))*(1+OFFSET($J$49,D1439,0))^I1439*(1+OFFSET($K$49,D1439,0))^J1439*(1+OFFSET($L$49,D1439,0))^K1439*(1+OFFSET($M$49,D1439,0))^L1439</f>
        <v>420.619796895284</v>
      </c>
      <c r="N1439" s="67">
        <f ca="1">MAX(MAX($N$62:N1438),OFFSET($C$61,MATCH(M1439*1.07,$M$62:$M$2061,1),0)-C1439)</f>
        <v>51840</v>
      </c>
    </row>
    <row r="1440" spans="2:14">
      <c r="B1440" s="67">
        <v>1379</v>
      </c>
      <c r="C1440" s="67">
        <f t="shared" si="134"/>
        <v>496440</v>
      </c>
      <c r="D1440" s="67">
        <f t="shared" si="137"/>
        <v>5</v>
      </c>
      <c r="E1440" s="67">
        <f ca="1" t="shared" si="138"/>
        <v>1409</v>
      </c>
      <c r="F1440" s="67">
        <f ca="1" t="shared" si="135"/>
        <v>0</v>
      </c>
      <c r="G1440" s="67">
        <f ca="1" t="shared" si="136"/>
        <v>0</v>
      </c>
      <c r="H1440" s="67" cm="1">
        <f ca="1" t="array" ref="H1440">MIN(30-SUM(I1440:L1440),_xlfn.XLOOKUP($D1440&amp;"_"&amp;H$61,$B$23:$B$45&amp;"_"&amp;$C$23:$C$45,$D$23:$D$45)*$E1440,18)</f>
        <v>10.3195793925413</v>
      </c>
      <c r="I1440" s="67" cm="1">
        <f ca="1" t="array" ref="I1440">MIN(30-SUM(J1440:L1440),6-L1440,_xlfn.XLOOKUP($D1440&amp;"_"&amp;I$61,$B$23:$B$45&amp;"_"&amp;$C$23:$C$45,$D$23:$D$45)*$E1440)</f>
        <v>0</v>
      </c>
      <c r="J1440" s="67" cm="1">
        <f ca="1" t="array" ref="J1440">MIN(8,_xlfn.XLOOKUP($D1440&amp;"_"&amp;J$61,$B$23:$B$45&amp;"_"&amp;$C$23:$C$45,$D$23:$D$45)*$E1440)</f>
        <v>8</v>
      </c>
      <c r="K1440" s="67" cm="1">
        <f ca="1" t="array" ref="K1440">MIN(18,_xlfn.XLOOKUP($D1440&amp;"_"&amp;K$61,$B$23:$B$45&amp;"_"&amp;$C$23:$C$45,$D$23:$D$45)*$E1440)</f>
        <v>5.68042060745868</v>
      </c>
      <c r="L1440" s="67" cm="1">
        <f ca="1" t="array" ref="L1440">MIN(6,_xlfn.XLOOKUP($D1440&amp;"_"&amp;L$61,$B$23:$B$45&amp;"_"&amp;$C$23:$C$45,$D$23:$D$45)*$E1440)</f>
        <v>6</v>
      </c>
      <c r="M1440" s="67" cm="1">
        <f ca="1" t="array" ref="M1440">(1+SUMPRODUCT(G1440:H1440,OFFSET($H$49:$I$49,D1440,0)))*(1+OFFSET($J$49,D1440,0))^I1440*(1+OFFSET($K$49,D1440,0))^J1440*(1+OFFSET($L$49,D1440,0))^K1440*(1+OFFSET($M$49,D1440,0))^L1440</f>
        <v>420.818337203575</v>
      </c>
      <c r="N1440" s="67">
        <f ca="1">MAX(MAX($N$62:N1439),OFFSET($C$61,MATCH(M1440*1.07,$M$62:$M$2061,1),0)-C1440)</f>
        <v>51840</v>
      </c>
    </row>
    <row r="1441" spans="2:14">
      <c r="B1441" s="67">
        <v>1380</v>
      </c>
      <c r="C1441" s="67">
        <f t="shared" si="134"/>
        <v>496800</v>
      </c>
      <c r="D1441" s="67">
        <f t="shared" si="137"/>
        <v>5</v>
      </c>
      <c r="E1441" s="67">
        <f ca="1" t="shared" si="138"/>
        <v>1410</v>
      </c>
      <c r="F1441" s="67">
        <f ca="1" t="shared" si="135"/>
        <v>0</v>
      </c>
      <c r="G1441" s="67">
        <f ca="1" t="shared" si="136"/>
        <v>0</v>
      </c>
      <c r="H1441" s="67" cm="1">
        <f ca="1" t="array" ref="H1441">MIN(30-SUM(I1441:L1441),_xlfn.XLOOKUP($D1441&amp;"_"&amp;H$61,$B$23:$B$45&amp;"_"&amp;$C$23:$C$45,$D$23:$D$45)*$E1441,18)</f>
        <v>10.3155478662053</v>
      </c>
      <c r="I1441" s="67" cm="1">
        <f ca="1" t="array" ref="I1441">MIN(30-SUM(J1441:L1441),6-L1441,_xlfn.XLOOKUP($D1441&amp;"_"&amp;I$61,$B$23:$B$45&amp;"_"&amp;$C$23:$C$45,$D$23:$D$45)*$E1441)</f>
        <v>0</v>
      </c>
      <c r="J1441" s="67" cm="1">
        <f ca="1" t="array" ref="J1441">MIN(8,_xlfn.XLOOKUP($D1441&amp;"_"&amp;J$61,$B$23:$B$45&amp;"_"&amp;$C$23:$C$45,$D$23:$D$45)*$E1441)</f>
        <v>8</v>
      </c>
      <c r="K1441" s="67" cm="1">
        <f ca="1" t="array" ref="K1441">MIN(18,_xlfn.XLOOKUP($D1441&amp;"_"&amp;K$61,$B$23:$B$45&amp;"_"&amp;$C$23:$C$45,$D$23:$D$45)*$E1441)</f>
        <v>5.6844521337947</v>
      </c>
      <c r="L1441" s="67" cm="1">
        <f ca="1" t="array" ref="L1441">MIN(6,_xlfn.XLOOKUP($D1441&amp;"_"&amp;L$61,$B$23:$B$45&amp;"_"&amp;$C$23:$C$45,$D$23:$D$45)*$E1441)</f>
        <v>6</v>
      </c>
      <c r="M1441" s="67" cm="1">
        <f ca="1" t="array" ref="M1441">(1+SUMPRODUCT(G1441:H1441,OFFSET($H$49:$I$49,D1441,0)))*(1+OFFSET($J$49,D1441,0))^I1441*(1+OFFSET($K$49,D1441,0))^J1441*(1+OFFSET($L$49,D1441,0))^K1441*(1+OFFSET($M$49,D1441,0))^L1441</f>
        <v>421.016942069416</v>
      </c>
      <c r="N1441" s="67">
        <f ca="1">MAX(MAX($N$62:N1440),OFFSET($C$61,MATCH(M1441*1.07,$M$62:$M$2061,1),0)-C1441)</f>
        <v>51840</v>
      </c>
    </row>
    <row r="1442" spans="2:14">
      <c r="B1442" s="67">
        <v>1381</v>
      </c>
      <c r="C1442" s="67">
        <f t="shared" si="134"/>
        <v>497160</v>
      </c>
      <c r="D1442" s="67">
        <f t="shared" si="137"/>
        <v>5</v>
      </c>
      <c r="E1442" s="67">
        <f ca="1" t="shared" si="138"/>
        <v>1411</v>
      </c>
      <c r="F1442" s="67">
        <f ca="1" t="shared" si="135"/>
        <v>0</v>
      </c>
      <c r="G1442" s="67">
        <f ca="1" t="shared" si="136"/>
        <v>0</v>
      </c>
      <c r="H1442" s="67" cm="1">
        <f ca="1" t="array" ref="H1442">MIN(30-SUM(I1442:L1442),_xlfn.XLOOKUP($D1442&amp;"_"&amp;H$61,$B$23:$B$45&amp;"_"&amp;$C$23:$C$45,$D$23:$D$45)*$E1442,18)</f>
        <v>10.3115163398693</v>
      </c>
      <c r="I1442" s="67" cm="1">
        <f ca="1" t="array" ref="I1442">MIN(30-SUM(J1442:L1442),6-L1442,_xlfn.XLOOKUP($D1442&amp;"_"&amp;I$61,$B$23:$B$45&amp;"_"&amp;$C$23:$C$45,$D$23:$D$45)*$E1442)</f>
        <v>0</v>
      </c>
      <c r="J1442" s="67" cm="1">
        <f ca="1" t="array" ref="J1442">MIN(8,_xlfn.XLOOKUP($D1442&amp;"_"&amp;J$61,$B$23:$B$45&amp;"_"&amp;$C$23:$C$45,$D$23:$D$45)*$E1442)</f>
        <v>8</v>
      </c>
      <c r="K1442" s="67" cm="1">
        <f ca="1" t="array" ref="K1442">MIN(18,_xlfn.XLOOKUP($D1442&amp;"_"&amp;K$61,$B$23:$B$45&amp;"_"&amp;$C$23:$C$45,$D$23:$D$45)*$E1442)</f>
        <v>5.68848366013072</v>
      </c>
      <c r="L1442" s="67" cm="1">
        <f ca="1" t="array" ref="L1442">MIN(6,_xlfn.XLOOKUP($D1442&amp;"_"&amp;L$61,$B$23:$B$45&amp;"_"&amp;$C$23:$C$45,$D$23:$D$45)*$E1442)</f>
        <v>6</v>
      </c>
      <c r="M1442" s="67" cm="1">
        <f ca="1" t="array" ref="M1442">(1+SUMPRODUCT(G1442:H1442,OFFSET($H$49:$I$49,D1442,0)))*(1+OFFSET($J$49,D1442,0))^I1442*(1+OFFSET($K$49,D1442,0))^J1442*(1+OFFSET($L$49,D1442,0))^K1442*(1+OFFSET($M$49,D1442,0))^L1442</f>
        <v>421.215611480401</v>
      </c>
      <c r="N1442" s="67">
        <f ca="1">MAX(MAX($N$62:N1441),OFFSET($C$61,MATCH(M1442*1.07,$M$62:$M$2061,1),0)-C1442)</f>
        <v>52200</v>
      </c>
    </row>
    <row r="1443" spans="2:14">
      <c r="B1443" s="67">
        <v>1382</v>
      </c>
      <c r="C1443" s="67">
        <f t="shared" si="134"/>
        <v>497520</v>
      </c>
      <c r="D1443" s="67">
        <f t="shared" si="137"/>
        <v>5</v>
      </c>
      <c r="E1443" s="67">
        <f ca="1" t="shared" si="138"/>
        <v>1412</v>
      </c>
      <c r="F1443" s="67">
        <f ca="1" t="shared" si="135"/>
        <v>0</v>
      </c>
      <c r="G1443" s="67">
        <f ca="1" t="shared" si="136"/>
        <v>0</v>
      </c>
      <c r="H1443" s="67" cm="1">
        <f ca="1" t="array" ref="H1443">MIN(30-SUM(I1443:L1443),_xlfn.XLOOKUP($D1443&amp;"_"&amp;H$61,$B$23:$B$45&amp;"_"&amp;$C$23:$C$45,$D$23:$D$45)*$E1443,18)</f>
        <v>10.3074848135333</v>
      </c>
      <c r="I1443" s="67" cm="1">
        <f ca="1" t="array" ref="I1443">MIN(30-SUM(J1443:L1443),6-L1443,_xlfn.XLOOKUP($D1443&amp;"_"&amp;I$61,$B$23:$B$45&amp;"_"&amp;$C$23:$C$45,$D$23:$D$45)*$E1443)</f>
        <v>0</v>
      </c>
      <c r="J1443" s="67" cm="1">
        <f ca="1" t="array" ref="J1443">MIN(8,_xlfn.XLOOKUP($D1443&amp;"_"&amp;J$61,$B$23:$B$45&amp;"_"&amp;$C$23:$C$45,$D$23:$D$45)*$E1443)</f>
        <v>8</v>
      </c>
      <c r="K1443" s="67" cm="1">
        <f ca="1" t="array" ref="K1443">MIN(18,_xlfn.XLOOKUP($D1443&amp;"_"&amp;K$61,$B$23:$B$45&amp;"_"&amp;$C$23:$C$45,$D$23:$D$45)*$E1443)</f>
        <v>5.69251518646675</v>
      </c>
      <c r="L1443" s="67" cm="1">
        <f ca="1" t="array" ref="L1443">MIN(6,_xlfn.XLOOKUP($D1443&amp;"_"&amp;L$61,$B$23:$B$45&amp;"_"&amp;$C$23:$C$45,$D$23:$D$45)*$E1443)</f>
        <v>6</v>
      </c>
      <c r="M1443" s="67" cm="1">
        <f ca="1" t="array" ref="M1443">(1+SUMPRODUCT(G1443:H1443,OFFSET($H$49:$I$49,D1443,0)))*(1+OFFSET($J$49,D1443,0))^I1443*(1+OFFSET($K$49,D1443,0))^J1443*(1+OFFSET($L$49,D1443,0))^K1443*(1+OFFSET($M$49,D1443,0))^L1443</f>
        <v>421.41434542407</v>
      </c>
      <c r="N1443" s="67">
        <f ca="1">MAX(MAX($N$62:N1442),OFFSET($C$61,MATCH(M1443*1.07,$M$62:$M$2061,1),0)-C1443)</f>
        <v>52200</v>
      </c>
    </row>
    <row r="1444" spans="2:14">
      <c r="B1444" s="67">
        <v>1383</v>
      </c>
      <c r="C1444" s="67">
        <f t="shared" si="134"/>
        <v>497880</v>
      </c>
      <c r="D1444" s="67">
        <f t="shared" si="137"/>
        <v>5</v>
      </c>
      <c r="E1444" s="67">
        <f ca="1" t="shared" si="138"/>
        <v>1413</v>
      </c>
      <c r="F1444" s="67">
        <f ca="1" t="shared" si="135"/>
        <v>0</v>
      </c>
      <c r="G1444" s="67">
        <f ca="1" t="shared" si="136"/>
        <v>0</v>
      </c>
      <c r="H1444" s="67" cm="1">
        <f ca="1" t="array" ref="H1444">MIN(30-SUM(I1444:L1444),_xlfn.XLOOKUP($D1444&amp;"_"&amp;H$61,$B$23:$B$45&amp;"_"&amp;$C$23:$C$45,$D$23:$D$45)*$E1444,18)</f>
        <v>10.3034532871972</v>
      </c>
      <c r="I1444" s="67" cm="1">
        <f ca="1" t="array" ref="I1444">MIN(30-SUM(J1444:L1444),6-L1444,_xlfn.XLOOKUP($D1444&amp;"_"&amp;I$61,$B$23:$B$45&amp;"_"&amp;$C$23:$C$45,$D$23:$D$45)*$E1444)</f>
        <v>0</v>
      </c>
      <c r="J1444" s="67" cm="1">
        <f ca="1" t="array" ref="J1444">MIN(8,_xlfn.XLOOKUP($D1444&amp;"_"&amp;J$61,$B$23:$B$45&amp;"_"&amp;$C$23:$C$45,$D$23:$D$45)*$E1444)</f>
        <v>8</v>
      </c>
      <c r="K1444" s="67" cm="1">
        <f ca="1" t="array" ref="K1444">MIN(18,_xlfn.XLOOKUP($D1444&amp;"_"&amp;K$61,$B$23:$B$45&amp;"_"&amp;$C$23:$C$45,$D$23:$D$45)*$E1444)</f>
        <v>5.69654671280277</v>
      </c>
      <c r="L1444" s="67" cm="1">
        <f ca="1" t="array" ref="L1444">MIN(6,_xlfn.XLOOKUP($D1444&amp;"_"&amp;L$61,$B$23:$B$45&amp;"_"&amp;$C$23:$C$45,$D$23:$D$45)*$E1444)</f>
        <v>6</v>
      </c>
      <c r="M1444" s="67" cm="1">
        <f ca="1" t="array" ref="M1444">(1+SUMPRODUCT(G1444:H1444,OFFSET($H$49:$I$49,D1444,0)))*(1+OFFSET($J$49,D1444,0))^I1444*(1+OFFSET($K$49,D1444,0))^J1444*(1+OFFSET($L$49,D1444,0))^K1444*(1+OFFSET($M$49,D1444,0))^L1444</f>
        <v>421.613143887911</v>
      </c>
      <c r="N1444" s="67">
        <f ca="1">MAX(MAX($N$62:N1443),OFFSET($C$61,MATCH(M1444*1.07,$M$62:$M$2061,1),0)-C1444)</f>
        <v>52200</v>
      </c>
    </row>
    <row r="1445" spans="2:14">
      <c r="B1445" s="67">
        <v>1384</v>
      </c>
      <c r="C1445" s="67">
        <f t="shared" si="134"/>
        <v>498240</v>
      </c>
      <c r="D1445" s="67">
        <f t="shared" si="137"/>
        <v>5</v>
      </c>
      <c r="E1445" s="67">
        <f ca="1" t="shared" si="138"/>
        <v>1414</v>
      </c>
      <c r="F1445" s="67">
        <f ca="1" t="shared" si="135"/>
        <v>0</v>
      </c>
      <c r="G1445" s="67">
        <f ca="1" t="shared" si="136"/>
        <v>0</v>
      </c>
      <c r="H1445" s="67" cm="1">
        <f ca="1" t="array" ref="H1445">MIN(30-SUM(I1445:L1445),_xlfn.XLOOKUP($D1445&amp;"_"&amp;H$61,$B$23:$B$45&amp;"_"&amp;$C$23:$C$45,$D$23:$D$45)*$E1445,18)</f>
        <v>10.2994217608612</v>
      </c>
      <c r="I1445" s="67" cm="1">
        <f ca="1" t="array" ref="I1445">MIN(30-SUM(J1445:L1445),6-L1445,_xlfn.XLOOKUP($D1445&amp;"_"&amp;I$61,$B$23:$B$45&amp;"_"&amp;$C$23:$C$45,$D$23:$D$45)*$E1445)</f>
        <v>0</v>
      </c>
      <c r="J1445" s="67" cm="1">
        <f ca="1" t="array" ref="J1445">MIN(8,_xlfn.XLOOKUP($D1445&amp;"_"&amp;J$61,$B$23:$B$45&amp;"_"&amp;$C$23:$C$45,$D$23:$D$45)*$E1445)</f>
        <v>8</v>
      </c>
      <c r="K1445" s="67" cm="1">
        <f ca="1" t="array" ref="K1445">MIN(18,_xlfn.XLOOKUP($D1445&amp;"_"&amp;K$61,$B$23:$B$45&amp;"_"&amp;$C$23:$C$45,$D$23:$D$45)*$E1445)</f>
        <v>5.7005782391388</v>
      </c>
      <c r="L1445" s="67" cm="1">
        <f ca="1" t="array" ref="L1445">MIN(6,_xlfn.XLOOKUP($D1445&amp;"_"&amp;L$61,$B$23:$B$45&amp;"_"&amp;$C$23:$C$45,$D$23:$D$45)*$E1445)</f>
        <v>6</v>
      </c>
      <c r="M1445" s="67" cm="1">
        <f ca="1" t="array" ref="M1445">(1+SUMPRODUCT(G1445:H1445,OFFSET($H$49:$I$49,D1445,0)))*(1+OFFSET($J$49,D1445,0))^I1445*(1+OFFSET($K$49,D1445,0))^J1445*(1+OFFSET($L$49,D1445,0))^K1445*(1+OFFSET($M$49,D1445,0))^L1445</f>
        <v>421.812006859358</v>
      </c>
      <c r="N1445" s="67">
        <f ca="1">MAX(MAX($N$62:N1444),OFFSET($C$61,MATCH(M1445*1.07,$M$62:$M$2061,1),0)-C1445)</f>
        <v>52200</v>
      </c>
    </row>
    <row r="1446" spans="2:14">
      <c r="B1446" s="67">
        <v>1385</v>
      </c>
      <c r="C1446" s="67">
        <f t="shared" si="134"/>
        <v>498600</v>
      </c>
      <c r="D1446" s="67">
        <f t="shared" si="137"/>
        <v>5</v>
      </c>
      <c r="E1446" s="67">
        <f ca="1" t="shared" si="138"/>
        <v>1415</v>
      </c>
      <c r="F1446" s="67">
        <f ca="1" t="shared" si="135"/>
        <v>0</v>
      </c>
      <c r="G1446" s="67">
        <f ca="1" t="shared" si="136"/>
        <v>0</v>
      </c>
      <c r="H1446" s="67" cm="1">
        <f ca="1" t="array" ref="H1446">MIN(30-SUM(I1446:L1446),_xlfn.XLOOKUP($D1446&amp;"_"&amp;H$61,$B$23:$B$45&amp;"_"&amp;$C$23:$C$45,$D$23:$D$45)*$E1446,18)</f>
        <v>10.2953902345252</v>
      </c>
      <c r="I1446" s="67" cm="1">
        <f ca="1" t="array" ref="I1446">MIN(30-SUM(J1446:L1446),6-L1446,_xlfn.XLOOKUP($D1446&amp;"_"&amp;I$61,$B$23:$B$45&amp;"_"&amp;$C$23:$C$45,$D$23:$D$45)*$E1446)</f>
        <v>0</v>
      </c>
      <c r="J1446" s="67" cm="1">
        <f ca="1" t="array" ref="J1446">MIN(8,_xlfn.XLOOKUP($D1446&amp;"_"&amp;J$61,$B$23:$B$45&amp;"_"&amp;$C$23:$C$45,$D$23:$D$45)*$E1446)</f>
        <v>8</v>
      </c>
      <c r="K1446" s="67" cm="1">
        <f ca="1" t="array" ref="K1446">MIN(18,_xlfn.XLOOKUP($D1446&amp;"_"&amp;K$61,$B$23:$B$45&amp;"_"&amp;$C$23:$C$45,$D$23:$D$45)*$E1446)</f>
        <v>5.70460976547482</v>
      </c>
      <c r="L1446" s="67" cm="1">
        <f ca="1" t="array" ref="L1446">MIN(6,_xlfn.XLOOKUP($D1446&amp;"_"&amp;L$61,$B$23:$B$45&amp;"_"&amp;$C$23:$C$45,$D$23:$D$45)*$E1446)</f>
        <v>6</v>
      </c>
      <c r="M1446" s="67" cm="1">
        <f ca="1" t="array" ref="M1446">(1+SUMPRODUCT(G1446:H1446,OFFSET($H$49:$I$49,D1446,0)))*(1+OFFSET($J$49,D1446,0))^I1446*(1+OFFSET($K$49,D1446,0))^J1446*(1+OFFSET($L$49,D1446,0))^K1446*(1+OFFSET($M$49,D1446,0))^L1446</f>
        <v>422.010934325791</v>
      </c>
      <c r="N1446" s="67">
        <f ca="1">MAX(MAX($N$62:N1445),OFFSET($C$61,MATCH(M1446*1.07,$M$62:$M$2061,1),0)-C1446)</f>
        <v>52200</v>
      </c>
    </row>
    <row r="1447" spans="2:14">
      <c r="B1447" s="67">
        <v>1386</v>
      </c>
      <c r="C1447" s="67">
        <f t="shared" si="134"/>
        <v>498960</v>
      </c>
      <c r="D1447" s="67">
        <f t="shared" si="137"/>
        <v>5</v>
      </c>
      <c r="E1447" s="67">
        <f ca="1" t="shared" si="138"/>
        <v>1416</v>
      </c>
      <c r="F1447" s="67">
        <f ca="1" t="shared" si="135"/>
        <v>0</v>
      </c>
      <c r="G1447" s="67">
        <f ca="1" t="shared" si="136"/>
        <v>0</v>
      </c>
      <c r="H1447" s="67" cm="1">
        <f ca="1" t="array" ref="H1447">MIN(30-SUM(I1447:L1447),_xlfn.XLOOKUP($D1447&amp;"_"&amp;H$61,$B$23:$B$45&amp;"_"&amp;$C$23:$C$45,$D$23:$D$45)*$E1447,18)</f>
        <v>10.2913587081892</v>
      </c>
      <c r="I1447" s="67" cm="1">
        <f ca="1" t="array" ref="I1447">MIN(30-SUM(J1447:L1447),6-L1447,_xlfn.XLOOKUP($D1447&amp;"_"&amp;I$61,$B$23:$B$45&amp;"_"&amp;$C$23:$C$45,$D$23:$D$45)*$E1447)</f>
        <v>0</v>
      </c>
      <c r="J1447" s="67" cm="1">
        <f ca="1" t="array" ref="J1447">MIN(8,_xlfn.XLOOKUP($D1447&amp;"_"&amp;J$61,$B$23:$B$45&amp;"_"&amp;$C$23:$C$45,$D$23:$D$45)*$E1447)</f>
        <v>8</v>
      </c>
      <c r="K1447" s="67" cm="1">
        <f ca="1" t="array" ref="K1447">MIN(18,_xlfn.XLOOKUP($D1447&amp;"_"&amp;K$61,$B$23:$B$45&amp;"_"&amp;$C$23:$C$45,$D$23:$D$45)*$E1447)</f>
        <v>5.70864129181085</v>
      </c>
      <c r="L1447" s="67" cm="1">
        <f ca="1" t="array" ref="L1447">MIN(6,_xlfn.XLOOKUP($D1447&amp;"_"&amp;L$61,$B$23:$B$45&amp;"_"&amp;$C$23:$C$45,$D$23:$D$45)*$E1447)</f>
        <v>6</v>
      </c>
      <c r="M1447" s="67" cm="1">
        <f ca="1" t="array" ref="M1447">(1+SUMPRODUCT(G1447:H1447,OFFSET($H$49:$I$49,D1447,0)))*(1+OFFSET($J$49,D1447,0))^I1447*(1+OFFSET($K$49,D1447,0))^J1447*(1+OFFSET($L$49,D1447,0))^K1447*(1+OFFSET($M$49,D1447,0))^L1447</f>
        <v>422.209926274537</v>
      </c>
      <c r="N1447" s="67">
        <f ca="1">MAX(MAX($N$62:N1446),OFFSET($C$61,MATCH(M1447*1.07,$M$62:$M$2061,1),0)-C1447)</f>
        <v>52200</v>
      </c>
    </row>
    <row r="1448" spans="2:14">
      <c r="B1448" s="67">
        <v>1387</v>
      </c>
      <c r="C1448" s="67">
        <f t="shared" si="134"/>
        <v>499320</v>
      </c>
      <c r="D1448" s="67">
        <f t="shared" si="137"/>
        <v>5</v>
      </c>
      <c r="E1448" s="67">
        <f ca="1" t="shared" si="138"/>
        <v>1417</v>
      </c>
      <c r="F1448" s="67">
        <f ca="1" t="shared" si="135"/>
        <v>0</v>
      </c>
      <c r="G1448" s="67">
        <f ca="1" t="shared" si="136"/>
        <v>0</v>
      </c>
      <c r="H1448" s="67" cm="1">
        <f ca="1" t="array" ref="H1448">MIN(30-SUM(I1448:L1448),_xlfn.XLOOKUP($D1448&amp;"_"&amp;H$61,$B$23:$B$45&amp;"_"&amp;$C$23:$C$45,$D$23:$D$45)*$E1448,18)</f>
        <v>10.2873271818531</v>
      </c>
      <c r="I1448" s="67" cm="1">
        <f ca="1" t="array" ref="I1448">MIN(30-SUM(J1448:L1448),6-L1448,_xlfn.XLOOKUP($D1448&amp;"_"&amp;I$61,$B$23:$B$45&amp;"_"&amp;$C$23:$C$45,$D$23:$D$45)*$E1448)</f>
        <v>0</v>
      </c>
      <c r="J1448" s="67" cm="1">
        <f ca="1" t="array" ref="J1448">MIN(8,_xlfn.XLOOKUP($D1448&amp;"_"&amp;J$61,$B$23:$B$45&amp;"_"&amp;$C$23:$C$45,$D$23:$D$45)*$E1448)</f>
        <v>8</v>
      </c>
      <c r="K1448" s="67" cm="1">
        <f ca="1" t="array" ref="K1448">MIN(18,_xlfn.XLOOKUP($D1448&amp;"_"&amp;K$61,$B$23:$B$45&amp;"_"&amp;$C$23:$C$45,$D$23:$D$45)*$E1448)</f>
        <v>5.71267281814687</v>
      </c>
      <c r="L1448" s="67" cm="1">
        <f ca="1" t="array" ref="L1448">MIN(6,_xlfn.XLOOKUP($D1448&amp;"_"&amp;L$61,$B$23:$B$45&amp;"_"&amp;$C$23:$C$45,$D$23:$D$45)*$E1448)</f>
        <v>6</v>
      </c>
      <c r="M1448" s="67" cm="1">
        <f ca="1" t="array" ref="M1448">(1+SUMPRODUCT(G1448:H1448,OFFSET($H$49:$I$49,D1448,0)))*(1+OFFSET($J$49,D1448,0))^I1448*(1+OFFSET($K$49,D1448,0))^J1448*(1+OFFSET($L$49,D1448,0))^K1448*(1+OFFSET($M$49,D1448,0))^L1448</f>
        <v>422.40898269287</v>
      </c>
      <c r="N1448" s="67">
        <f ca="1">MAX(MAX($N$62:N1447),OFFSET($C$61,MATCH(M1448*1.07,$M$62:$M$2061,1),0)-C1448)</f>
        <v>52200</v>
      </c>
    </row>
    <row r="1449" spans="2:14">
      <c r="B1449" s="67">
        <v>1388</v>
      </c>
      <c r="C1449" s="67">
        <f t="shared" si="134"/>
        <v>499680</v>
      </c>
      <c r="D1449" s="67">
        <f t="shared" si="137"/>
        <v>5</v>
      </c>
      <c r="E1449" s="67">
        <f ca="1" t="shared" si="138"/>
        <v>1418</v>
      </c>
      <c r="F1449" s="67">
        <f ca="1" t="shared" si="135"/>
        <v>0</v>
      </c>
      <c r="G1449" s="67">
        <f ca="1" t="shared" si="136"/>
        <v>0</v>
      </c>
      <c r="H1449" s="67" cm="1">
        <f ca="1" t="array" ref="H1449">MIN(30-SUM(I1449:L1449),_xlfn.XLOOKUP($D1449&amp;"_"&amp;H$61,$B$23:$B$45&amp;"_"&amp;$C$23:$C$45,$D$23:$D$45)*$E1449,18)</f>
        <v>10.2832956555171</v>
      </c>
      <c r="I1449" s="67" cm="1">
        <f ca="1" t="array" ref="I1449">MIN(30-SUM(J1449:L1449),6-L1449,_xlfn.XLOOKUP($D1449&amp;"_"&amp;I$61,$B$23:$B$45&amp;"_"&amp;$C$23:$C$45,$D$23:$D$45)*$E1449)</f>
        <v>0</v>
      </c>
      <c r="J1449" s="67" cm="1">
        <f ca="1" t="array" ref="J1449">MIN(8,_xlfn.XLOOKUP($D1449&amp;"_"&amp;J$61,$B$23:$B$45&amp;"_"&amp;$C$23:$C$45,$D$23:$D$45)*$E1449)</f>
        <v>8</v>
      </c>
      <c r="K1449" s="67" cm="1">
        <f ca="1" t="array" ref="K1449">MIN(18,_xlfn.XLOOKUP($D1449&amp;"_"&amp;K$61,$B$23:$B$45&amp;"_"&amp;$C$23:$C$45,$D$23:$D$45)*$E1449)</f>
        <v>5.7167043444829</v>
      </c>
      <c r="L1449" s="67" cm="1">
        <f ca="1" t="array" ref="L1449">MIN(6,_xlfn.XLOOKUP($D1449&amp;"_"&amp;L$61,$B$23:$B$45&amp;"_"&amp;$C$23:$C$45,$D$23:$D$45)*$E1449)</f>
        <v>6</v>
      </c>
      <c r="M1449" s="67" cm="1">
        <f ca="1" t="array" ref="M1449">(1+SUMPRODUCT(G1449:H1449,OFFSET($H$49:$I$49,D1449,0)))*(1+OFFSET($J$49,D1449,0))^I1449*(1+OFFSET($K$49,D1449,0))^J1449*(1+OFFSET($L$49,D1449,0))^K1449*(1+OFFSET($M$49,D1449,0))^L1449</f>
        <v>422.608103568011</v>
      </c>
      <c r="N1449" s="67">
        <f ca="1">MAX(MAX($N$62:N1448),OFFSET($C$61,MATCH(M1449*1.07,$M$62:$M$2061,1),0)-C1449)</f>
        <v>52200</v>
      </c>
    </row>
    <row r="1450" spans="2:14">
      <c r="B1450" s="67">
        <v>1389</v>
      </c>
      <c r="C1450" s="67">
        <f t="shared" si="134"/>
        <v>500040</v>
      </c>
      <c r="D1450" s="67">
        <f t="shared" si="137"/>
        <v>5</v>
      </c>
      <c r="E1450" s="67">
        <f ca="1" t="shared" si="138"/>
        <v>1419</v>
      </c>
      <c r="F1450" s="67">
        <f ca="1" t="shared" si="135"/>
        <v>0</v>
      </c>
      <c r="G1450" s="67">
        <f ca="1" t="shared" si="136"/>
        <v>0</v>
      </c>
      <c r="H1450" s="67" cm="1">
        <f ca="1" t="array" ref="H1450">MIN(30-SUM(I1450:L1450),_xlfn.XLOOKUP($D1450&amp;"_"&amp;H$61,$B$23:$B$45&amp;"_"&amp;$C$23:$C$45,$D$23:$D$45)*$E1450,18)</f>
        <v>10.2792641291811</v>
      </c>
      <c r="I1450" s="67" cm="1">
        <f ca="1" t="array" ref="I1450">MIN(30-SUM(J1450:L1450),6-L1450,_xlfn.XLOOKUP($D1450&amp;"_"&amp;I$61,$B$23:$B$45&amp;"_"&amp;$C$23:$C$45,$D$23:$D$45)*$E1450)</f>
        <v>0</v>
      </c>
      <c r="J1450" s="67" cm="1">
        <f ca="1" t="array" ref="J1450">MIN(8,_xlfn.XLOOKUP($D1450&amp;"_"&amp;J$61,$B$23:$B$45&amp;"_"&amp;$C$23:$C$45,$D$23:$D$45)*$E1450)</f>
        <v>8</v>
      </c>
      <c r="K1450" s="67" cm="1">
        <f ca="1" t="array" ref="K1450">MIN(18,_xlfn.XLOOKUP($D1450&amp;"_"&amp;K$61,$B$23:$B$45&amp;"_"&amp;$C$23:$C$45,$D$23:$D$45)*$E1450)</f>
        <v>5.72073587081892</v>
      </c>
      <c r="L1450" s="67" cm="1">
        <f ca="1" t="array" ref="L1450">MIN(6,_xlfn.XLOOKUP($D1450&amp;"_"&amp;L$61,$B$23:$B$45&amp;"_"&amp;$C$23:$C$45,$D$23:$D$45)*$E1450)</f>
        <v>6</v>
      </c>
      <c r="M1450" s="67" cm="1">
        <f ca="1" t="array" ref="M1450">(1+SUMPRODUCT(G1450:H1450,OFFSET($H$49:$I$49,D1450,0)))*(1+OFFSET($J$49,D1450,0))^I1450*(1+OFFSET($K$49,D1450,0))^J1450*(1+OFFSET($L$49,D1450,0))^K1450*(1+OFFSET($M$49,D1450,0))^L1450</f>
        <v>422.807288887125</v>
      </c>
      <c r="N1450" s="67">
        <f ca="1">MAX(MAX($N$62:N1449),OFFSET($C$61,MATCH(M1450*1.07,$M$62:$M$2061,1),0)-C1450)</f>
        <v>52200</v>
      </c>
    </row>
    <row r="1451" spans="2:14">
      <c r="B1451" s="67">
        <v>1390</v>
      </c>
      <c r="C1451" s="67">
        <f t="shared" si="134"/>
        <v>500400</v>
      </c>
      <c r="D1451" s="67">
        <f t="shared" si="137"/>
        <v>5</v>
      </c>
      <c r="E1451" s="67">
        <f ca="1" t="shared" si="138"/>
        <v>1420</v>
      </c>
      <c r="F1451" s="67">
        <f ca="1" t="shared" si="135"/>
        <v>0</v>
      </c>
      <c r="G1451" s="67">
        <f ca="1" t="shared" si="136"/>
        <v>0</v>
      </c>
      <c r="H1451" s="67" cm="1">
        <f ca="1" t="array" ref="H1451">MIN(30-SUM(I1451:L1451),_xlfn.XLOOKUP($D1451&amp;"_"&amp;H$61,$B$23:$B$45&amp;"_"&amp;$C$23:$C$45,$D$23:$D$45)*$E1451,18)</f>
        <v>10.2752326028451</v>
      </c>
      <c r="I1451" s="67" cm="1">
        <f ca="1" t="array" ref="I1451">MIN(30-SUM(J1451:L1451),6-L1451,_xlfn.XLOOKUP($D1451&amp;"_"&amp;I$61,$B$23:$B$45&amp;"_"&amp;$C$23:$C$45,$D$23:$D$45)*$E1451)</f>
        <v>0</v>
      </c>
      <c r="J1451" s="67" cm="1">
        <f ca="1" t="array" ref="J1451">MIN(8,_xlfn.XLOOKUP($D1451&amp;"_"&amp;J$61,$B$23:$B$45&amp;"_"&amp;$C$23:$C$45,$D$23:$D$45)*$E1451)</f>
        <v>8</v>
      </c>
      <c r="K1451" s="67" cm="1">
        <f ca="1" t="array" ref="K1451">MIN(18,_xlfn.XLOOKUP($D1451&amp;"_"&amp;K$61,$B$23:$B$45&amp;"_"&amp;$C$23:$C$45,$D$23:$D$45)*$E1451)</f>
        <v>5.72476739715495</v>
      </c>
      <c r="L1451" s="67" cm="1">
        <f ca="1" t="array" ref="L1451">MIN(6,_xlfn.XLOOKUP($D1451&amp;"_"&amp;L$61,$B$23:$B$45&amp;"_"&amp;$C$23:$C$45,$D$23:$D$45)*$E1451)</f>
        <v>6</v>
      </c>
      <c r="M1451" s="67" cm="1">
        <f ca="1" t="array" ref="M1451">(1+SUMPRODUCT(G1451:H1451,OFFSET($H$49:$I$49,D1451,0)))*(1+OFFSET($J$49,D1451,0))^I1451*(1+OFFSET($K$49,D1451,0))^J1451*(1+OFFSET($L$49,D1451,0))^K1451*(1+OFFSET($M$49,D1451,0))^L1451</f>
        <v>423.006538637325</v>
      </c>
      <c r="N1451" s="67">
        <f ca="1">MAX(MAX($N$62:N1450),OFFSET($C$61,MATCH(M1451*1.07,$M$62:$M$2061,1),0)-C1451)</f>
        <v>52200</v>
      </c>
    </row>
    <row r="1452" spans="2:14">
      <c r="B1452" s="67">
        <v>1391</v>
      </c>
      <c r="C1452" s="67">
        <f t="shared" si="134"/>
        <v>500760</v>
      </c>
      <c r="D1452" s="67">
        <f t="shared" si="137"/>
        <v>5</v>
      </c>
      <c r="E1452" s="67">
        <f ca="1" t="shared" si="138"/>
        <v>1421</v>
      </c>
      <c r="F1452" s="67">
        <f ca="1" t="shared" si="135"/>
        <v>0</v>
      </c>
      <c r="G1452" s="67">
        <f ca="1" t="shared" si="136"/>
        <v>0</v>
      </c>
      <c r="H1452" s="67" cm="1">
        <f ca="1" t="array" ref="H1452">MIN(30-SUM(I1452:L1452),_xlfn.XLOOKUP($D1452&amp;"_"&amp;H$61,$B$23:$B$45&amp;"_"&amp;$C$23:$C$45,$D$23:$D$45)*$E1452,18)</f>
        <v>10.271201076509</v>
      </c>
      <c r="I1452" s="67" cm="1">
        <f ca="1" t="array" ref="I1452">MIN(30-SUM(J1452:L1452),6-L1452,_xlfn.XLOOKUP($D1452&amp;"_"&amp;I$61,$B$23:$B$45&amp;"_"&amp;$C$23:$C$45,$D$23:$D$45)*$E1452)</f>
        <v>0</v>
      </c>
      <c r="J1452" s="67" cm="1">
        <f ca="1" t="array" ref="J1452">MIN(8,_xlfn.XLOOKUP($D1452&amp;"_"&amp;J$61,$B$23:$B$45&amp;"_"&amp;$C$23:$C$45,$D$23:$D$45)*$E1452)</f>
        <v>8</v>
      </c>
      <c r="K1452" s="67" cm="1">
        <f ca="1" t="array" ref="K1452">MIN(18,_xlfn.XLOOKUP($D1452&amp;"_"&amp;K$61,$B$23:$B$45&amp;"_"&amp;$C$23:$C$45,$D$23:$D$45)*$E1452)</f>
        <v>5.72879892349097</v>
      </c>
      <c r="L1452" s="67" cm="1">
        <f ca="1" t="array" ref="L1452">MIN(6,_xlfn.XLOOKUP($D1452&amp;"_"&amp;L$61,$B$23:$B$45&amp;"_"&amp;$C$23:$C$45,$D$23:$D$45)*$E1452)</f>
        <v>6</v>
      </c>
      <c r="M1452" s="67" cm="1">
        <f ca="1" t="array" ref="M1452">(1+SUMPRODUCT(G1452:H1452,OFFSET($H$49:$I$49,D1452,0)))*(1+OFFSET($J$49,D1452,0))^I1452*(1+OFFSET($K$49,D1452,0))^J1452*(1+OFFSET($L$49,D1452,0))^K1452*(1+OFFSET($M$49,D1452,0))^L1452</f>
        <v>423.20585280567</v>
      </c>
      <c r="N1452" s="67">
        <f ca="1">MAX(MAX($N$62:N1451),OFFSET($C$61,MATCH(M1452*1.07,$M$62:$M$2061,1),0)-C1452)</f>
        <v>52200</v>
      </c>
    </row>
    <row r="1453" spans="2:14">
      <c r="B1453" s="67">
        <v>1392</v>
      </c>
      <c r="C1453" s="67">
        <f t="shared" si="134"/>
        <v>501120</v>
      </c>
      <c r="D1453" s="67">
        <f t="shared" si="137"/>
        <v>5</v>
      </c>
      <c r="E1453" s="67">
        <f ca="1" t="shared" si="138"/>
        <v>1422</v>
      </c>
      <c r="F1453" s="67">
        <f ca="1" t="shared" si="135"/>
        <v>0</v>
      </c>
      <c r="G1453" s="67">
        <f ca="1" t="shared" si="136"/>
        <v>0</v>
      </c>
      <c r="H1453" s="67" cm="1">
        <f ca="1" t="array" ref="H1453">MIN(30-SUM(I1453:L1453),_xlfn.XLOOKUP($D1453&amp;"_"&amp;H$61,$B$23:$B$45&amp;"_"&amp;$C$23:$C$45,$D$23:$D$45)*$E1453,18)</f>
        <v>10.267169550173</v>
      </c>
      <c r="I1453" s="67" cm="1">
        <f ca="1" t="array" ref="I1453">MIN(30-SUM(J1453:L1453),6-L1453,_xlfn.XLOOKUP($D1453&amp;"_"&amp;I$61,$B$23:$B$45&amp;"_"&amp;$C$23:$C$45,$D$23:$D$45)*$E1453)</f>
        <v>0</v>
      </c>
      <c r="J1453" s="67" cm="1">
        <f ca="1" t="array" ref="J1453">MIN(8,_xlfn.XLOOKUP($D1453&amp;"_"&amp;J$61,$B$23:$B$45&amp;"_"&amp;$C$23:$C$45,$D$23:$D$45)*$E1453)</f>
        <v>8</v>
      </c>
      <c r="K1453" s="67" cm="1">
        <f ca="1" t="array" ref="K1453">MIN(18,_xlfn.XLOOKUP($D1453&amp;"_"&amp;K$61,$B$23:$B$45&amp;"_"&amp;$C$23:$C$45,$D$23:$D$45)*$E1453)</f>
        <v>5.732830449827</v>
      </c>
      <c r="L1453" s="67" cm="1">
        <f ca="1" t="array" ref="L1453">MIN(6,_xlfn.XLOOKUP($D1453&amp;"_"&amp;L$61,$B$23:$B$45&amp;"_"&amp;$C$23:$C$45,$D$23:$D$45)*$E1453)</f>
        <v>6</v>
      </c>
      <c r="M1453" s="67" cm="1">
        <f ca="1" t="array" ref="M1453">(1+SUMPRODUCT(G1453:H1453,OFFSET($H$49:$I$49,D1453,0)))*(1+OFFSET($J$49,D1453,0))^I1453*(1+OFFSET($K$49,D1453,0))^J1453*(1+OFFSET($L$49,D1453,0))^K1453*(1+OFFSET($M$49,D1453,0))^L1453</f>
        <v>423.405231379165</v>
      </c>
      <c r="N1453" s="67">
        <f ca="1">MAX(MAX($N$62:N1452),OFFSET($C$61,MATCH(M1453*1.07,$M$62:$M$2061,1),0)-C1453)</f>
        <v>52200</v>
      </c>
    </row>
    <row r="1454" spans="2:14">
      <c r="B1454" s="67">
        <v>1393</v>
      </c>
      <c r="C1454" s="67">
        <f t="shared" ref="C1454:C1517" si="139">C1453+360</f>
        <v>501480</v>
      </c>
      <c r="D1454" s="67">
        <f t="shared" si="137"/>
        <v>5</v>
      </c>
      <c r="E1454" s="67">
        <f ca="1" t="shared" si="138"/>
        <v>1423</v>
      </c>
      <c r="F1454" s="67">
        <f ca="1" t="shared" ref="F1454:F1517" si="140">30-SUM(G1454:L1454)</f>
        <v>0</v>
      </c>
      <c r="G1454" s="67">
        <f ca="1" t="shared" ref="G1454:G1517" si="141">30-SUM(H1454:L1454)</f>
        <v>0</v>
      </c>
      <c r="H1454" s="67" cm="1">
        <f ca="1" t="array" ref="H1454">MIN(30-SUM(I1454:L1454),_xlfn.XLOOKUP($D1454&amp;"_"&amp;H$61,$B$23:$B$45&amp;"_"&amp;$C$23:$C$45,$D$23:$D$45)*$E1454,18)</f>
        <v>10.263138023837</v>
      </c>
      <c r="I1454" s="67" cm="1">
        <f ca="1" t="array" ref="I1454">MIN(30-SUM(J1454:L1454),6-L1454,_xlfn.XLOOKUP($D1454&amp;"_"&amp;I$61,$B$23:$B$45&amp;"_"&amp;$C$23:$C$45,$D$23:$D$45)*$E1454)</f>
        <v>0</v>
      </c>
      <c r="J1454" s="67" cm="1">
        <f ca="1" t="array" ref="J1454">MIN(8,_xlfn.XLOOKUP($D1454&amp;"_"&amp;J$61,$B$23:$B$45&amp;"_"&amp;$C$23:$C$45,$D$23:$D$45)*$E1454)</f>
        <v>8</v>
      </c>
      <c r="K1454" s="67" cm="1">
        <f ca="1" t="array" ref="K1454">MIN(18,_xlfn.XLOOKUP($D1454&amp;"_"&amp;K$61,$B$23:$B$45&amp;"_"&amp;$C$23:$C$45,$D$23:$D$45)*$E1454)</f>
        <v>5.73686197616302</v>
      </c>
      <c r="L1454" s="67" cm="1">
        <f ca="1" t="array" ref="L1454">MIN(6,_xlfn.XLOOKUP($D1454&amp;"_"&amp;L$61,$B$23:$B$45&amp;"_"&amp;$C$23:$C$45,$D$23:$D$45)*$E1454)</f>
        <v>6</v>
      </c>
      <c r="M1454" s="67" cm="1">
        <f ca="1" t="array" ref="M1454">(1+SUMPRODUCT(G1454:H1454,OFFSET($H$49:$I$49,D1454,0)))*(1+OFFSET($J$49,D1454,0))^I1454*(1+OFFSET($K$49,D1454,0))^J1454*(1+OFFSET($L$49,D1454,0))^K1454*(1+OFFSET($M$49,D1454,0))^L1454</f>
        <v>423.604674344761</v>
      </c>
      <c r="N1454" s="67">
        <f ca="1">MAX(MAX($N$62:N1453),OFFSET($C$61,MATCH(M1454*1.07,$M$62:$M$2061,1),0)-C1454)</f>
        <v>52200</v>
      </c>
    </row>
    <row r="1455" spans="2:14">
      <c r="B1455" s="67">
        <v>1394</v>
      </c>
      <c r="C1455" s="67">
        <f t="shared" si="139"/>
        <v>501840</v>
      </c>
      <c r="D1455" s="67">
        <f t="shared" si="137"/>
        <v>5</v>
      </c>
      <c r="E1455" s="67">
        <f ca="1" t="shared" si="138"/>
        <v>1424</v>
      </c>
      <c r="F1455" s="67">
        <f ca="1" t="shared" si="140"/>
        <v>0</v>
      </c>
      <c r="G1455" s="67">
        <f ca="1" t="shared" si="141"/>
        <v>0</v>
      </c>
      <c r="H1455" s="67" cm="1">
        <f ca="1" t="array" ref="H1455">MIN(30-SUM(I1455:L1455),_xlfn.XLOOKUP($D1455&amp;"_"&amp;H$61,$B$23:$B$45&amp;"_"&amp;$C$23:$C$45,$D$23:$D$45)*$E1455,18)</f>
        <v>10.259106497501</v>
      </c>
      <c r="I1455" s="67" cm="1">
        <f ca="1" t="array" ref="I1455">MIN(30-SUM(J1455:L1455),6-L1455,_xlfn.XLOOKUP($D1455&amp;"_"&amp;I$61,$B$23:$B$45&amp;"_"&amp;$C$23:$C$45,$D$23:$D$45)*$E1455)</f>
        <v>0</v>
      </c>
      <c r="J1455" s="67" cm="1">
        <f ca="1" t="array" ref="J1455">MIN(8,_xlfn.XLOOKUP($D1455&amp;"_"&amp;J$61,$B$23:$B$45&amp;"_"&amp;$C$23:$C$45,$D$23:$D$45)*$E1455)</f>
        <v>8</v>
      </c>
      <c r="K1455" s="67" cm="1">
        <f ca="1" t="array" ref="K1455">MIN(18,_xlfn.XLOOKUP($D1455&amp;"_"&amp;K$61,$B$23:$B$45&amp;"_"&amp;$C$23:$C$45,$D$23:$D$45)*$E1455)</f>
        <v>5.74089350249904</v>
      </c>
      <c r="L1455" s="67" cm="1">
        <f ca="1" t="array" ref="L1455">MIN(6,_xlfn.XLOOKUP($D1455&amp;"_"&amp;L$61,$B$23:$B$45&amp;"_"&amp;$C$23:$C$45,$D$23:$D$45)*$E1455)</f>
        <v>6</v>
      </c>
      <c r="M1455" s="67" cm="1">
        <f ca="1" t="array" ref="M1455">(1+SUMPRODUCT(G1455:H1455,OFFSET($H$49:$I$49,D1455,0)))*(1+OFFSET($J$49,D1455,0))^I1455*(1+OFFSET($K$49,D1455,0))^J1455*(1+OFFSET($L$49,D1455,0))^K1455*(1+OFFSET($M$49,D1455,0))^L1455</f>
        <v>423.804181689356</v>
      </c>
      <c r="N1455" s="67">
        <f ca="1">MAX(MAX($N$62:N1454),OFFSET($C$61,MATCH(M1455*1.07,$M$62:$M$2061,1),0)-C1455)</f>
        <v>52200</v>
      </c>
    </row>
    <row r="1456" spans="2:14">
      <c r="B1456" s="67">
        <v>1395</v>
      </c>
      <c r="C1456" s="67">
        <f t="shared" si="139"/>
        <v>502200</v>
      </c>
      <c r="D1456" s="67">
        <f t="shared" si="137"/>
        <v>5</v>
      </c>
      <c r="E1456" s="67">
        <f ca="1" t="shared" si="138"/>
        <v>1425</v>
      </c>
      <c r="F1456" s="67">
        <f ca="1" t="shared" si="140"/>
        <v>0</v>
      </c>
      <c r="G1456" s="67">
        <f ca="1" t="shared" si="141"/>
        <v>0</v>
      </c>
      <c r="H1456" s="67" cm="1">
        <f ca="1" t="array" ref="H1456">MIN(30-SUM(I1456:L1456),_xlfn.XLOOKUP($D1456&amp;"_"&amp;H$61,$B$23:$B$45&amp;"_"&amp;$C$23:$C$45,$D$23:$D$45)*$E1456,18)</f>
        <v>10.2550749711649</v>
      </c>
      <c r="I1456" s="67" cm="1">
        <f ca="1" t="array" ref="I1456">MIN(30-SUM(J1456:L1456),6-L1456,_xlfn.XLOOKUP($D1456&amp;"_"&amp;I$61,$B$23:$B$45&amp;"_"&amp;$C$23:$C$45,$D$23:$D$45)*$E1456)</f>
        <v>0</v>
      </c>
      <c r="J1456" s="67" cm="1">
        <f ca="1" t="array" ref="J1456">MIN(8,_xlfn.XLOOKUP($D1456&amp;"_"&amp;J$61,$B$23:$B$45&amp;"_"&amp;$C$23:$C$45,$D$23:$D$45)*$E1456)</f>
        <v>8</v>
      </c>
      <c r="K1456" s="67" cm="1">
        <f ca="1" t="array" ref="K1456">MIN(18,_xlfn.XLOOKUP($D1456&amp;"_"&amp;K$61,$B$23:$B$45&amp;"_"&amp;$C$23:$C$45,$D$23:$D$45)*$E1456)</f>
        <v>5.74492502883507</v>
      </c>
      <c r="L1456" s="67" cm="1">
        <f ca="1" t="array" ref="L1456">MIN(6,_xlfn.XLOOKUP($D1456&amp;"_"&amp;L$61,$B$23:$B$45&amp;"_"&amp;$C$23:$C$45,$D$23:$D$45)*$E1456)</f>
        <v>6</v>
      </c>
      <c r="M1456" s="67" cm="1">
        <f ca="1" t="array" ref="M1456">(1+SUMPRODUCT(G1456:H1456,OFFSET($H$49:$I$49,D1456,0)))*(1+OFFSET($J$49,D1456,0))^I1456*(1+OFFSET($K$49,D1456,0))^J1456*(1+OFFSET($L$49,D1456,0))^K1456*(1+OFFSET($M$49,D1456,0))^L1456</f>
        <v>424.003753399792</v>
      </c>
      <c r="N1456" s="67">
        <f ca="1">MAX(MAX($N$62:N1455),OFFSET($C$61,MATCH(M1456*1.07,$M$62:$M$2061,1),0)-C1456)</f>
        <v>52200</v>
      </c>
    </row>
    <row r="1457" spans="2:14">
      <c r="B1457" s="67">
        <v>1396</v>
      </c>
      <c r="C1457" s="67">
        <f t="shared" si="139"/>
        <v>502560</v>
      </c>
      <c r="D1457" s="67">
        <f t="shared" si="137"/>
        <v>5</v>
      </c>
      <c r="E1457" s="67">
        <f ca="1" t="shared" si="138"/>
        <v>1426</v>
      </c>
      <c r="F1457" s="67">
        <f ca="1" t="shared" si="140"/>
        <v>0</v>
      </c>
      <c r="G1457" s="67">
        <f ca="1" t="shared" si="141"/>
        <v>0</v>
      </c>
      <c r="H1457" s="67" cm="1">
        <f ca="1" t="array" ref="H1457">MIN(30-SUM(I1457:L1457),_xlfn.XLOOKUP($D1457&amp;"_"&amp;H$61,$B$23:$B$45&amp;"_"&amp;$C$23:$C$45,$D$23:$D$45)*$E1457,18)</f>
        <v>10.2510434448289</v>
      </c>
      <c r="I1457" s="67" cm="1">
        <f ca="1" t="array" ref="I1457">MIN(30-SUM(J1457:L1457),6-L1457,_xlfn.XLOOKUP($D1457&amp;"_"&amp;I$61,$B$23:$B$45&amp;"_"&amp;$C$23:$C$45,$D$23:$D$45)*$E1457)</f>
        <v>0</v>
      </c>
      <c r="J1457" s="67" cm="1">
        <f ca="1" t="array" ref="J1457">MIN(8,_xlfn.XLOOKUP($D1457&amp;"_"&amp;J$61,$B$23:$B$45&amp;"_"&amp;$C$23:$C$45,$D$23:$D$45)*$E1457)</f>
        <v>8</v>
      </c>
      <c r="K1457" s="67" cm="1">
        <f ca="1" t="array" ref="K1457">MIN(18,_xlfn.XLOOKUP($D1457&amp;"_"&amp;K$61,$B$23:$B$45&amp;"_"&amp;$C$23:$C$45,$D$23:$D$45)*$E1457)</f>
        <v>5.74895655517109</v>
      </c>
      <c r="L1457" s="67" cm="1">
        <f ca="1" t="array" ref="L1457">MIN(6,_xlfn.XLOOKUP($D1457&amp;"_"&amp;L$61,$B$23:$B$45&amp;"_"&amp;$C$23:$C$45,$D$23:$D$45)*$E1457)</f>
        <v>6</v>
      </c>
      <c r="M1457" s="67" cm="1">
        <f ca="1" t="array" ref="M1457">(1+SUMPRODUCT(G1457:H1457,OFFSET($H$49:$I$49,D1457,0)))*(1+OFFSET($J$49,D1457,0))^I1457*(1+OFFSET($K$49,D1457,0))^J1457*(1+OFFSET($L$49,D1457,0))^K1457*(1+OFFSET($M$49,D1457,0))^L1457</f>
        <v>424.203389462858</v>
      </c>
      <c r="N1457" s="67">
        <f ca="1">MAX(MAX($N$62:N1456),OFFSET($C$61,MATCH(M1457*1.07,$M$62:$M$2061,1),0)-C1457)</f>
        <v>52200</v>
      </c>
    </row>
    <row r="1458" spans="2:14">
      <c r="B1458" s="67">
        <v>1397</v>
      </c>
      <c r="C1458" s="67">
        <f t="shared" si="139"/>
        <v>502920</v>
      </c>
      <c r="D1458" s="67">
        <f t="shared" si="137"/>
        <v>5</v>
      </c>
      <c r="E1458" s="67">
        <f ca="1" t="shared" si="138"/>
        <v>1427</v>
      </c>
      <c r="F1458" s="67">
        <f ca="1" t="shared" si="140"/>
        <v>0</v>
      </c>
      <c r="G1458" s="67">
        <f ca="1" t="shared" si="141"/>
        <v>0</v>
      </c>
      <c r="H1458" s="67" cm="1">
        <f ca="1" t="array" ref="H1458">MIN(30-SUM(I1458:L1458),_xlfn.XLOOKUP($D1458&amp;"_"&amp;H$61,$B$23:$B$45&amp;"_"&amp;$C$23:$C$45,$D$23:$D$45)*$E1458,18)</f>
        <v>10.2470119184929</v>
      </c>
      <c r="I1458" s="67" cm="1">
        <f ca="1" t="array" ref="I1458">MIN(30-SUM(J1458:L1458),6-L1458,_xlfn.XLOOKUP($D1458&amp;"_"&amp;I$61,$B$23:$B$45&amp;"_"&amp;$C$23:$C$45,$D$23:$D$45)*$E1458)</f>
        <v>0</v>
      </c>
      <c r="J1458" s="67" cm="1">
        <f ca="1" t="array" ref="J1458">MIN(8,_xlfn.XLOOKUP($D1458&amp;"_"&amp;J$61,$B$23:$B$45&amp;"_"&amp;$C$23:$C$45,$D$23:$D$45)*$E1458)</f>
        <v>8</v>
      </c>
      <c r="K1458" s="67" cm="1">
        <f ca="1" t="array" ref="K1458">MIN(18,_xlfn.XLOOKUP($D1458&amp;"_"&amp;K$61,$B$23:$B$45&amp;"_"&amp;$C$23:$C$45,$D$23:$D$45)*$E1458)</f>
        <v>5.75298808150712</v>
      </c>
      <c r="L1458" s="67" cm="1">
        <f ca="1" t="array" ref="L1458">MIN(6,_xlfn.XLOOKUP($D1458&amp;"_"&amp;L$61,$B$23:$B$45&amp;"_"&amp;$C$23:$C$45,$D$23:$D$45)*$E1458)</f>
        <v>6</v>
      </c>
      <c r="M1458" s="67" cm="1">
        <f ca="1" t="array" ref="M1458">(1+SUMPRODUCT(G1458:H1458,OFFSET($H$49:$I$49,D1458,0)))*(1+OFFSET($J$49,D1458,0))^I1458*(1+OFFSET($K$49,D1458,0))^J1458*(1+OFFSET($L$49,D1458,0))^K1458*(1+OFFSET($M$49,D1458,0))^L1458</f>
        <v>424.403089865288</v>
      </c>
      <c r="N1458" s="67">
        <f ca="1">MAX(MAX($N$62:N1457),OFFSET($C$61,MATCH(M1458*1.07,$M$62:$M$2061,1),0)-C1458)</f>
        <v>52200</v>
      </c>
    </row>
    <row r="1459" spans="2:14">
      <c r="B1459" s="67">
        <v>1398</v>
      </c>
      <c r="C1459" s="67">
        <f t="shared" si="139"/>
        <v>503280</v>
      </c>
      <c r="D1459" s="67">
        <f t="shared" si="137"/>
        <v>5</v>
      </c>
      <c r="E1459" s="67">
        <f ca="1" t="shared" si="138"/>
        <v>1428</v>
      </c>
      <c r="F1459" s="67">
        <f ca="1" t="shared" si="140"/>
        <v>0</v>
      </c>
      <c r="G1459" s="67">
        <f ca="1" t="shared" si="141"/>
        <v>0</v>
      </c>
      <c r="H1459" s="67" cm="1">
        <f ca="1" t="array" ref="H1459">MIN(30-SUM(I1459:L1459),_xlfn.XLOOKUP($D1459&amp;"_"&amp;H$61,$B$23:$B$45&amp;"_"&amp;$C$23:$C$45,$D$23:$D$45)*$E1459,18)</f>
        <v>10.2429803921569</v>
      </c>
      <c r="I1459" s="67" cm="1">
        <f ca="1" t="array" ref="I1459">MIN(30-SUM(J1459:L1459),6-L1459,_xlfn.XLOOKUP($D1459&amp;"_"&amp;I$61,$B$23:$B$45&amp;"_"&amp;$C$23:$C$45,$D$23:$D$45)*$E1459)</f>
        <v>0</v>
      </c>
      <c r="J1459" s="67" cm="1">
        <f ca="1" t="array" ref="J1459">MIN(8,_xlfn.XLOOKUP($D1459&amp;"_"&amp;J$61,$B$23:$B$45&amp;"_"&amp;$C$23:$C$45,$D$23:$D$45)*$E1459)</f>
        <v>8</v>
      </c>
      <c r="K1459" s="67" cm="1">
        <f ca="1" t="array" ref="K1459">MIN(18,_xlfn.XLOOKUP($D1459&amp;"_"&amp;K$61,$B$23:$B$45&amp;"_"&amp;$C$23:$C$45,$D$23:$D$45)*$E1459)</f>
        <v>5.75701960784314</v>
      </c>
      <c r="L1459" s="67" cm="1">
        <f ca="1" t="array" ref="L1459">MIN(6,_xlfn.XLOOKUP($D1459&amp;"_"&amp;L$61,$B$23:$B$45&amp;"_"&amp;$C$23:$C$45,$D$23:$D$45)*$E1459)</f>
        <v>6</v>
      </c>
      <c r="M1459" s="67" cm="1">
        <f ca="1" t="array" ref="M1459">(1+SUMPRODUCT(G1459:H1459,OFFSET($H$49:$I$49,D1459,0)))*(1+OFFSET($J$49,D1459,0))^I1459*(1+OFFSET($K$49,D1459,0))^J1459*(1+OFFSET($L$49,D1459,0))^K1459*(1+OFFSET($M$49,D1459,0))^L1459</f>
        <v>424.602854593764</v>
      </c>
      <c r="N1459" s="67">
        <f ca="1">MAX(MAX($N$62:N1458),OFFSET($C$61,MATCH(M1459*1.07,$M$62:$M$2061,1),0)-C1459)</f>
        <v>52200</v>
      </c>
    </row>
    <row r="1460" spans="2:14">
      <c r="B1460" s="67">
        <v>1399</v>
      </c>
      <c r="C1460" s="67">
        <f t="shared" si="139"/>
        <v>503640</v>
      </c>
      <c r="D1460" s="67">
        <f t="shared" si="137"/>
        <v>5</v>
      </c>
      <c r="E1460" s="67">
        <f ca="1" t="shared" si="138"/>
        <v>1429</v>
      </c>
      <c r="F1460" s="67">
        <f ca="1" t="shared" si="140"/>
        <v>0</v>
      </c>
      <c r="G1460" s="67">
        <f ca="1" t="shared" si="141"/>
        <v>0</v>
      </c>
      <c r="H1460" s="67" cm="1">
        <f ca="1" t="array" ref="H1460">MIN(30-SUM(I1460:L1460),_xlfn.XLOOKUP($D1460&amp;"_"&amp;H$61,$B$23:$B$45&amp;"_"&amp;$C$23:$C$45,$D$23:$D$45)*$E1460,18)</f>
        <v>10.2389488658208</v>
      </c>
      <c r="I1460" s="67" cm="1">
        <f ca="1" t="array" ref="I1460">MIN(30-SUM(J1460:L1460),6-L1460,_xlfn.XLOOKUP($D1460&amp;"_"&amp;I$61,$B$23:$B$45&amp;"_"&amp;$C$23:$C$45,$D$23:$D$45)*$E1460)</f>
        <v>0</v>
      </c>
      <c r="J1460" s="67" cm="1">
        <f ca="1" t="array" ref="J1460">MIN(8,_xlfn.XLOOKUP($D1460&amp;"_"&amp;J$61,$B$23:$B$45&amp;"_"&amp;$C$23:$C$45,$D$23:$D$45)*$E1460)</f>
        <v>8</v>
      </c>
      <c r="K1460" s="67" cm="1">
        <f ca="1" t="array" ref="K1460">MIN(18,_xlfn.XLOOKUP($D1460&amp;"_"&amp;K$61,$B$23:$B$45&amp;"_"&amp;$C$23:$C$45,$D$23:$D$45)*$E1460)</f>
        <v>5.76105113417917</v>
      </c>
      <c r="L1460" s="67" cm="1">
        <f ca="1" t="array" ref="L1460">MIN(6,_xlfn.XLOOKUP($D1460&amp;"_"&amp;L$61,$B$23:$B$45&amp;"_"&amp;$C$23:$C$45,$D$23:$D$45)*$E1460)</f>
        <v>6</v>
      </c>
      <c r="M1460" s="67" cm="1">
        <f ca="1" t="array" ref="M1460">(1+SUMPRODUCT(G1460:H1460,OFFSET($H$49:$I$49,D1460,0)))*(1+OFFSET($J$49,D1460,0))^I1460*(1+OFFSET($K$49,D1460,0))^J1460*(1+OFFSET($L$49,D1460,0))^K1460*(1+OFFSET($M$49,D1460,0))^L1460</f>
        <v>424.80268363491</v>
      </c>
      <c r="N1460" s="67">
        <f ca="1">MAX(MAX($N$62:N1459),OFFSET($C$61,MATCH(M1460*1.07,$M$62:$M$2061,1),0)-C1460)</f>
        <v>52200</v>
      </c>
    </row>
    <row r="1461" spans="2:14">
      <c r="B1461" s="67">
        <v>1400</v>
      </c>
      <c r="C1461" s="67">
        <f t="shared" si="139"/>
        <v>504000</v>
      </c>
      <c r="D1461" s="67">
        <f t="shared" si="137"/>
        <v>5</v>
      </c>
      <c r="E1461" s="67">
        <f ca="1" t="shared" si="138"/>
        <v>1430</v>
      </c>
      <c r="F1461" s="67">
        <f ca="1" t="shared" si="140"/>
        <v>0</v>
      </c>
      <c r="G1461" s="67">
        <f ca="1" t="shared" si="141"/>
        <v>0</v>
      </c>
      <c r="H1461" s="67" cm="1">
        <f ca="1" t="array" ref="H1461">MIN(30-SUM(I1461:L1461),_xlfn.XLOOKUP($D1461&amp;"_"&amp;H$61,$B$23:$B$45&amp;"_"&amp;$C$23:$C$45,$D$23:$D$45)*$E1461,18)</f>
        <v>10.2349173394848</v>
      </c>
      <c r="I1461" s="67" cm="1">
        <f ca="1" t="array" ref="I1461">MIN(30-SUM(J1461:L1461),6-L1461,_xlfn.XLOOKUP($D1461&amp;"_"&amp;I$61,$B$23:$B$45&amp;"_"&amp;$C$23:$C$45,$D$23:$D$45)*$E1461)</f>
        <v>0</v>
      </c>
      <c r="J1461" s="67" cm="1">
        <f ca="1" t="array" ref="J1461">MIN(8,_xlfn.XLOOKUP($D1461&amp;"_"&amp;J$61,$B$23:$B$45&amp;"_"&amp;$C$23:$C$45,$D$23:$D$45)*$E1461)</f>
        <v>8</v>
      </c>
      <c r="K1461" s="67" cm="1">
        <f ca="1" t="array" ref="K1461">MIN(18,_xlfn.XLOOKUP($D1461&amp;"_"&amp;K$61,$B$23:$B$45&amp;"_"&amp;$C$23:$C$45,$D$23:$D$45)*$E1461)</f>
        <v>5.76508266051519</v>
      </c>
      <c r="L1461" s="67" cm="1">
        <f ca="1" t="array" ref="L1461">MIN(6,_xlfn.XLOOKUP($D1461&amp;"_"&amp;L$61,$B$23:$B$45&amp;"_"&amp;$C$23:$C$45,$D$23:$D$45)*$E1461)</f>
        <v>6</v>
      </c>
      <c r="M1461" s="67" cm="1">
        <f ca="1" t="array" ref="M1461">(1+SUMPRODUCT(G1461:H1461,OFFSET($H$49:$I$49,D1461,0)))*(1+OFFSET($J$49,D1461,0))^I1461*(1+OFFSET($K$49,D1461,0))^J1461*(1+OFFSET($L$49,D1461,0))^K1461*(1+OFFSET($M$49,D1461,0))^L1461</f>
        <v>425.002576975299</v>
      </c>
      <c r="N1461" s="67">
        <f ca="1">MAX(MAX($N$62:N1460),OFFSET($C$61,MATCH(M1461*1.07,$M$62:$M$2061,1),0)-C1461)</f>
        <v>52200</v>
      </c>
    </row>
    <row r="1462" spans="2:14">
      <c r="B1462" s="67">
        <v>1401</v>
      </c>
      <c r="C1462" s="67">
        <f t="shared" si="139"/>
        <v>504360</v>
      </c>
      <c r="D1462" s="67">
        <f t="shared" si="137"/>
        <v>5</v>
      </c>
      <c r="E1462" s="67">
        <f ca="1" t="shared" si="138"/>
        <v>1431</v>
      </c>
      <c r="F1462" s="67">
        <f ca="1" t="shared" si="140"/>
        <v>0</v>
      </c>
      <c r="G1462" s="67">
        <f ca="1" t="shared" si="141"/>
        <v>0</v>
      </c>
      <c r="H1462" s="67" cm="1">
        <f ca="1" t="array" ref="H1462">MIN(30-SUM(I1462:L1462),_xlfn.XLOOKUP($D1462&amp;"_"&amp;H$61,$B$23:$B$45&amp;"_"&amp;$C$23:$C$45,$D$23:$D$45)*$E1462,18)</f>
        <v>10.2308858131488</v>
      </c>
      <c r="I1462" s="67" cm="1">
        <f ca="1" t="array" ref="I1462">MIN(30-SUM(J1462:L1462),6-L1462,_xlfn.XLOOKUP($D1462&amp;"_"&amp;I$61,$B$23:$B$45&amp;"_"&amp;$C$23:$C$45,$D$23:$D$45)*$E1462)</f>
        <v>0</v>
      </c>
      <c r="J1462" s="67" cm="1">
        <f ca="1" t="array" ref="J1462">MIN(8,_xlfn.XLOOKUP($D1462&amp;"_"&amp;J$61,$B$23:$B$45&amp;"_"&amp;$C$23:$C$45,$D$23:$D$45)*$E1462)</f>
        <v>8</v>
      </c>
      <c r="K1462" s="67" cm="1">
        <f ca="1" t="array" ref="K1462">MIN(18,_xlfn.XLOOKUP($D1462&amp;"_"&amp;K$61,$B$23:$B$45&amp;"_"&amp;$C$23:$C$45,$D$23:$D$45)*$E1462)</f>
        <v>5.76911418685122</v>
      </c>
      <c r="L1462" s="67" cm="1">
        <f ca="1" t="array" ref="L1462">MIN(6,_xlfn.XLOOKUP($D1462&amp;"_"&amp;L$61,$B$23:$B$45&amp;"_"&amp;$C$23:$C$45,$D$23:$D$45)*$E1462)</f>
        <v>6</v>
      </c>
      <c r="M1462" s="67" cm="1">
        <f ca="1" t="array" ref="M1462">(1+SUMPRODUCT(G1462:H1462,OFFSET($H$49:$I$49,D1462,0)))*(1+OFFSET($J$49,D1462,0))^I1462*(1+OFFSET($K$49,D1462,0))^J1462*(1+OFFSET($L$49,D1462,0))^K1462*(1+OFFSET($M$49,D1462,0))^L1462</f>
        <v>425.202534601447</v>
      </c>
      <c r="N1462" s="67">
        <f ca="1">MAX(MAX($N$62:N1461),OFFSET($C$61,MATCH(M1462*1.07,$M$62:$M$2061,1),0)-C1462)</f>
        <v>52200</v>
      </c>
    </row>
    <row r="1463" spans="2:14">
      <c r="B1463" s="67">
        <v>1402</v>
      </c>
      <c r="C1463" s="67">
        <f t="shared" si="139"/>
        <v>504720</v>
      </c>
      <c r="D1463" s="67">
        <f t="shared" si="137"/>
        <v>5</v>
      </c>
      <c r="E1463" s="67">
        <f ca="1" t="shared" si="138"/>
        <v>1432</v>
      </c>
      <c r="F1463" s="67">
        <f ca="1" t="shared" si="140"/>
        <v>0</v>
      </c>
      <c r="G1463" s="67">
        <f ca="1" t="shared" si="141"/>
        <v>0</v>
      </c>
      <c r="H1463" s="67" cm="1">
        <f ca="1" t="array" ref="H1463">MIN(30-SUM(I1463:L1463),_xlfn.XLOOKUP($D1463&amp;"_"&amp;H$61,$B$23:$B$45&amp;"_"&amp;$C$23:$C$45,$D$23:$D$45)*$E1463,18)</f>
        <v>10.2268542868128</v>
      </c>
      <c r="I1463" s="67" cm="1">
        <f ca="1" t="array" ref="I1463">MIN(30-SUM(J1463:L1463),6-L1463,_xlfn.XLOOKUP($D1463&amp;"_"&amp;I$61,$B$23:$B$45&amp;"_"&amp;$C$23:$C$45,$D$23:$D$45)*$E1463)</f>
        <v>0</v>
      </c>
      <c r="J1463" s="67" cm="1">
        <f ca="1" t="array" ref="J1463">MIN(8,_xlfn.XLOOKUP($D1463&amp;"_"&amp;J$61,$B$23:$B$45&amp;"_"&amp;$C$23:$C$45,$D$23:$D$45)*$E1463)</f>
        <v>8</v>
      </c>
      <c r="K1463" s="67" cm="1">
        <f ca="1" t="array" ref="K1463">MIN(18,_xlfn.XLOOKUP($D1463&amp;"_"&amp;K$61,$B$23:$B$45&amp;"_"&amp;$C$23:$C$45,$D$23:$D$45)*$E1463)</f>
        <v>5.77314571318724</v>
      </c>
      <c r="L1463" s="67" cm="1">
        <f ca="1" t="array" ref="L1463">MIN(6,_xlfn.XLOOKUP($D1463&amp;"_"&amp;L$61,$B$23:$B$45&amp;"_"&amp;$C$23:$C$45,$D$23:$D$45)*$E1463)</f>
        <v>6</v>
      </c>
      <c r="M1463" s="67" cm="1">
        <f ca="1" t="array" ref="M1463">(1+SUMPRODUCT(G1463:H1463,OFFSET($H$49:$I$49,D1463,0)))*(1+OFFSET($J$49,D1463,0))^I1463*(1+OFFSET($K$49,D1463,0))^J1463*(1+OFFSET($L$49,D1463,0))^K1463*(1+OFFSET($M$49,D1463,0))^L1463</f>
        <v>425.402556499817</v>
      </c>
      <c r="N1463" s="67">
        <f ca="1">MAX(MAX($N$62:N1462),OFFSET($C$61,MATCH(M1463*1.07,$M$62:$M$2061,1),0)-C1463)</f>
        <v>52200</v>
      </c>
    </row>
    <row r="1464" spans="2:14">
      <c r="B1464" s="67">
        <v>1403</v>
      </c>
      <c r="C1464" s="67">
        <f t="shared" si="139"/>
        <v>505080</v>
      </c>
      <c r="D1464" s="67">
        <f t="shared" si="137"/>
        <v>5</v>
      </c>
      <c r="E1464" s="67">
        <f ca="1" t="shared" si="138"/>
        <v>1433</v>
      </c>
      <c r="F1464" s="67">
        <f ca="1" t="shared" si="140"/>
        <v>0</v>
      </c>
      <c r="G1464" s="67">
        <f ca="1" t="shared" si="141"/>
        <v>0</v>
      </c>
      <c r="H1464" s="67" cm="1">
        <f ca="1" t="array" ref="H1464">MIN(30-SUM(I1464:L1464),_xlfn.XLOOKUP($D1464&amp;"_"&amp;H$61,$B$23:$B$45&amp;"_"&amp;$C$23:$C$45,$D$23:$D$45)*$E1464,18)</f>
        <v>10.2228227604767</v>
      </c>
      <c r="I1464" s="67" cm="1">
        <f ca="1" t="array" ref="I1464">MIN(30-SUM(J1464:L1464),6-L1464,_xlfn.XLOOKUP($D1464&amp;"_"&amp;I$61,$B$23:$B$45&amp;"_"&amp;$C$23:$C$45,$D$23:$D$45)*$E1464)</f>
        <v>0</v>
      </c>
      <c r="J1464" s="67" cm="1">
        <f ca="1" t="array" ref="J1464">MIN(8,_xlfn.XLOOKUP($D1464&amp;"_"&amp;J$61,$B$23:$B$45&amp;"_"&amp;$C$23:$C$45,$D$23:$D$45)*$E1464)</f>
        <v>8</v>
      </c>
      <c r="K1464" s="67" cm="1">
        <f ca="1" t="array" ref="K1464">MIN(18,_xlfn.XLOOKUP($D1464&amp;"_"&amp;K$61,$B$23:$B$45&amp;"_"&amp;$C$23:$C$45,$D$23:$D$45)*$E1464)</f>
        <v>5.77717723952327</v>
      </c>
      <c r="L1464" s="67" cm="1">
        <f ca="1" t="array" ref="L1464">MIN(6,_xlfn.XLOOKUP($D1464&amp;"_"&amp;L$61,$B$23:$B$45&amp;"_"&amp;$C$23:$C$45,$D$23:$D$45)*$E1464)</f>
        <v>6</v>
      </c>
      <c r="M1464" s="67" cm="1">
        <f ca="1" t="array" ref="M1464">(1+SUMPRODUCT(G1464:H1464,OFFSET($H$49:$I$49,D1464,0)))*(1+OFFSET($J$49,D1464,0))^I1464*(1+OFFSET($K$49,D1464,0))^J1464*(1+OFFSET($L$49,D1464,0))^K1464*(1+OFFSET($M$49,D1464,0))^L1464</f>
        <v>425.602642656816</v>
      </c>
      <c r="N1464" s="67">
        <f ca="1">MAX(MAX($N$62:N1463),OFFSET($C$61,MATCH(M1464*1.07,$M$62:$M$2061,1),0)-C1464)</f>
        <v>52200</v>
      </c>
    </row>
    <row r="1465" spans="2:14">
      <c r="B1465" s="67">
        <v>1404</v>
      </c>
      <c r="C1465" s="67">
        <f t="shared" si="139"/>
        <v>505440</v>
      </c>
      <c r="D1465" s="67">
        <f t="shared" si="137"/>
        <v>5</v>
      </c>
      <c r="E1465" s="67">
        <f ca="1" t="shared" si="138"/>
        <v>1434</v>
      </c>
      <c r="F1465" s="67">
        <f ca="1" t="shared" si="140"/>
        <v>0</v>
      </c>
      <c r="G1465" s="67">
        <f ca="1" t="shared" si="141"/>
        <v>0</v>
      </c>
      <c r="H1465" s="67" cm="1">
        <f ca="1" t="array" ref="H1465">MIN(30-SUM(I1465:L1465),_xlfn.XLOOKUP($D1465&amp;"_"&amp;H$61,$B$23:$B$45&amp;"_"&amp;$C$23:$C$45,$D$23:$D$45)*$E1465,18)</f>
        <v>10.2187912341407</v>
      </c>
      <c r="I1465" s="67" cm="1">
        <f ca="1" t="array" ref="I1465">MIN(30-SUM(J1465:L1465),6-L1465,_xlfn.XLOOKUP($D1465&amp;"_"&amp;I$61,$B$23:$B$45&amp;"_"&amp;$C$23:$C$45,$D$23:$D$45)*$E1465)</f>
        <v>0</v>
      </c>
      <c r="J1465" s="67" cm="1">
        <f ca="1" t="array" ref="J1465">MIN(8,_xlfn.XLOOKUP($D1465&amp;"_"&amp;J$61,$B$23:$B$45&amp;"_"&amp;$C$23:$C$45,$D$23:$D$45)*$E1465)</f>
        <v>8</v>
      </c>
      <c r="K1465" s="67" cm="1">
        <f ca="1" t="array" ref="K1465">MIN(18,_xlfn.XLOOKUP($D1465&amp;"_"&amp;K$61,$B$23:$B$45&amp;"_"&amp;$C$23:$C$45,$D$23:$D$45)*$E1465)</f>
        <v>5.78120876585929</v>
      </c>
      <c r="L1465" s="67" cm="1">
        <f ca="1" t="array" ref="L1465">MIN(6,_xlfn.XLOOKUP($D1465&amp;"_"&amp;L$61,$B$23:$B$45&amp;"_"&amp;$C$23:$C$45,$D$23:$D$45)*$E1465)</f>
        <v>6</v>
      </c>
      <c r="M1465" s="67" cm="1">
        <f ca="1" t="array" ref="M1465">(1+SUMPRODUCT(G1465:H1465,OFFSET($H$49:$I$49,D1465,0)))*(1+OFFSET($J$49,D1465,0))^I1465*(1+OFFSET($K$49,D1465,0))^J1465*(1+OFFSET($L$49,D1465,0))^K1465*(1+OFFSET($M$49,D1465,0))^L1465</f>
        <v>425.802793058797</v>
      </c>
      <c r="N1465" s="67">
        <f ca="1">MAX(MAX($N$62:N1464),OFFSET($C$61,MATCH(M1465*1.07,$M$62:$M$2061,1),0)-C1465)</f>
        <v>52200</v>
      </c>
    </row>
    <row r="1466" spans="2:14">
      <c r="B1466" s="67">
        <v>1405</v>
      </c>
      <c r="C1466" s="67">
        <f t="shared" si="139"/>
        <v>505800</v>
      </c>
      <c r="D1466" s="67">
        <f t="shared" si="137"/>
        <v>5</v>
      </c>
      <c r="E1466" s="67">
        <f ca="1" t="shared" si="138"/>
        <v>1435</v>
      </c>
      <c r="F1466" s="67">
        <f ca="1" t="shared" si="140"/>
        <v>0</v>
      </c>
      <c r="G1466" s="67">
        <f ca="1" t="shared" si="141"/>
        <v>0</v>
      </c>
      <c r="H1466" s="67" cm="1">
        <f ca="1" t="array" ref="H1466">MIN(30-SUM(I1466:L1466),_xlfn.XLOOKUP($D1466&amp;"_"&amp;H$61,$B$23:$B$45&amp;"_"&amp;$C$23:$C$45,$D$23:$D$45)*$E1466,18)</f>
        <v>10.2147597078047</v>
      </c>
      <c r="I1466" s="67" cm="1">
        <f ca="1" t="array" ref="I1466">MIN(30-SUM(J1466:L1466),6-L1466,_xlfn.XLOOKUP($D1466&amp;"_"&amp;I$61,$B$23:$B$45&amp;"_"&amp;$C$23:$C$45,$D$23:$D$45)*$E1466)</f>
        <v>0</v>
      </c>
      <c r="J1466" s="67" cm="1">
        <f ca="1" t="array" ref="J1466">MIN(8,_xlfn.XLOOKUP($D1466&amp;"_"&amp;J$61,$B$23:$B$45&amp;"_"&amp;$C$23:$C$45,$D$23:$D$45)*$E1466)</f>
        <v>8</v>
      </c>
      <c r="K1466" s="67" cm="1">
        <f ca="1" t="array" ref="K1466">MIN(18,_xlfn.XLOOKUP($D1466&amp;"_"&amp;K$61,$B$23:$B$45&amp;"_"&amp;$C$23:$C$45,$D$23:$D$45)*$E1466)</f>
        <v>5.78524029219531</v>
      </c>
      <c r="L1466" s="67" cm="1">
        <f ca="1" t="array" ref="L1466">MIN(6,_xlfn.XLOOKUP($D1466&amp;"_"&amp;L$61,$B$23:$B$45&amp;"_"&amp;$C$23:$C$45,$D$23:$D$45)*$E1466)</f>
        <v>6</v>
      </c>
      <c r="M1466" s="67" cm="1">
        <f ca="1" t="array" ref="M1466">(1+SUMPRODUCT(G1466:H1466,OFFSET($H$49:$I$49,D1466,0)))*(1+OFFSET($J$49,D1466,0))^I1466*(1+OFFSET($K$49,D1466,0))^J1466*(1+OFFSET($L$49,D1466,0))^K1466*(1+OFFSET($M$49,D1466,0))^L1466</f>
        <v>426.003007692059</v>
      </c>
      <c r="N1466" s="67">
        <f ca="1">MAX(MAX($N$62:N1465),OFFSET($C$61,MATCH(M1466*1.07,$M$62:$M$2061,1),0)-C1466)</f>
        <v>52200</v>
      </c>
    </row>
    <row r="1467" spans="2:14">
      <c r="B1467" s="67">
        <v>1406</v>
      </c>
      <c r="C1467" s="67">
        <f t="shared" si="139"/>
        <v>506160</v>
      </c>
      <c r="D1467" s="67">
        <f t="shared" si="137"/>
        <v>5</v>
      </c>
      <c r="E1467" s="67">
        <f ca="1" t="shared" si="138"/>
        <v>1436</v>
      </c>
      <c r="F1467" s="67">
        <f ca="1" t="shared" si="140"/>
        <v>0</v>
      </c>
      <c r="G1467" s="67">
        <f ca="1" t="shared" si="141"/>
        <v>0</v>
      </c>
      <c r="H1467" s="67" cm="1">
        <f ca="1" t="array" ref="H1467">MIN(30-SUM(I1467:L1467),_xlfn.XLOOKUP($D1467&amp;"_"&amp;H$61,$B$23:$B$45&amp;"_"&amp;$C$23:$C$45,$D$23:$D$45)*$E1467,18)</f>
        <v>10.2107281814687</v>
      </c>
      <c r="I1467" s="67" cm="1">
        <f ca="1" t="array" ref="I1467">MIN(30-SUM(J1467:L1467),6-L1467,_xlfn.XLOOKUP($D1467&amp;"_"&amp;I$61,$B$23:$B$45&amp;"_"&amp;$C$23:$C$45,$D$23:$D$45)*$E1467)</f>
        <v>0</v>
      </c>
      <c r="J1467" s="67" cm="1">
        <f ca="1" t="array" ref="J1467">MIN(8,_xlfn.XLOOKUP($D1467&amp;"_"&amp;J$61,$B$23:$B$45&amp;"_"&amp;$C$23:$C$45,$D$23:$D$45)*$E1467)</f>
        <v>8</v>
      </c>
      <c r="K1467" s="67" cm="1">
        <f ca="1" t="array" ref="K1467">MIN(18,_xlfn.XLOOKUP($D1467&amp;"_"&amp;K$61,$B$23:$B$45&amp;"_"&amp;$C$23:$C$45,$D$23:$D$45)*$E1467)</f>
        <v>5.78927181853134</v>
      </c>
      <c r="L1467" s="67" cm="1">
        <f ca="1" t="array" ref="L1467">MIN(6,_xlfn.XLOOKUP($D1467&amp;"_"&amp;L$61,$B$23:$B$45&amp;"_"&amp;$C$23:$C$45,$D$23:$D$45)*$E1467)</f>
        <v>6</v>
      </c>
      <c r="M1467" s="67" cm="1">
        <f ca="1" t="array" ref="M1467">(1+SUMPRODUCT(G1467:H1467,OFFSET($H$49:$I$49,D1467,0)))*(1+OFFSET($J$49,D1467,0))^I1467*(1+OFFSET($K$49,D1467,0))^J1467*(1+OFFSET($L$49,D1467,0))^K1467*(1+OFFSET($M$49,D1467,0))^L1467</f>
        <v>426.203286542845</v>
      </c>
      <c r="N1467" s="67">
        <f ca="1">MAX(MAX($N$62:N1466),OFFSET($C$61,MATCH(M1467*1.07,$M$62:$M$2061,1),0)-C1467)</f>
        <v>52200</v>
      </c>
    </row>
    <row r="1468" spans="2:14">
      <c r="B1468" s="67">
        <v>1407</v>
      </c>
      <c r="C1468" s="67">
        <f t="shared" si="139"/>
        <v>506520</v>
      </c>
      <c r="D1468" s="67">
        <f t="shared" si="137"/>
        <v>5</v>
      </c>
      <c r="E1468" s="67">
        <f ca="1" t="shared" si="138"/>
        <v>1437</v>
      </c>
      <c r="F1468" s="67">
        <f ca="1" t="shared" si="140"/>
        <v>0</v>
      </c>
      <c r="G1468" s="67">
        <f ca="1" t="shared" si="141"/>
        <v>0</v>
      </c>
      <c r="H1468" s="67" cm="1">
        <f ca="1" t="array" ref="H1468">MIN(30-SUM(I1468:L1468),_xlfn.XLOOKUP($D1468&amp;"_"&amp;H$61,$B$23:$B$45&amp;"_"&amp;$C$23:$C$45,$D$23:$D$45)*$E1468,18)</f>
        <v>10.2066966551326</v>
      </c>
      <c r="I1468" s="67" cm="1">
        <f ca="1" t="array" ref="I1468">MIN(30-SUM(J1468:L1468),6-L1468,_xlfn.XLOOKUP($D1468&amp;"_"&amp;I$61,$B$23:$B$45&amp;"_"&amp;$C$23:$C$45,$D$23:$D$45)*$E1468)</f>
        <v>0</v>
      </c>
      <c r="J1468" s="67" cm="1">
        <f ca="1" t="array" ref="J1468">MIN(8,_xlfn.XLOOKUP($D1468&amp;"_"&amp;J$61,$B$23:$B$45&amp;"_"&amp;$C$23:$C$45,$D$23:$D$45)*$E1468)</f>
        <v>8</v>
      </c>
      <c r="K1468" s="67" cm="1">
        <f ca="1" t="array" ref="K1468">MIN(18,_xlfn.XLOOKUP($D1468&amp;"_"&amp;K$61,$B$23:$B$45&amp;"_"&amp;$C$23:$C$45,$D$23:$D$45)*$E1468)</f>
        <v>5.79330334486736</v>
      </c>
      <c r="L1468" s="67" cm="1">
        <f ca="1" t="array" ref="L1468">MIN(6,_xlfn.XLOOKUP($D1468&amp;"_"&amp;L$61,$B$23:$B$45&amp;"_"&amp;$C$23:$C$45,$D$23:$D$45)*$E1468)</f>
        <v>6</v>
      </c>
      <c r="M1468" s="67" cm="1">
        <f ca="1" t="array" ref="M1468">(1+SUMPRODUCT(G1468:H1468,OFFSET($H$49:$I$49,D1468,0)))*(1+OFFSET($J$49,D1468,0))^I1468*(1+OFFSET($K$49,D1468,0))^J1468*(1+OFFSET($L$49,D1468,0))^K1468*(1+OFFSET($M$49,D1468,0))^L1468</f>
        <v>426.403629597343</v>
      </c>
      <c r="N1468" s="67">
        <f ca="1">MAX(MAX($N$62:N1467),OFFSET($C$61,MATCH(M1468*1.07,$M$62:$M$2061,1),0)-C1468)</f>
        <v>52200</v>
      </c>
    </row>
    <row r="1469" spans="2:14">
      <c r="B1469" s="67">
        <v>1408</v>
      </c>
      <c r="C1469" s="67">
        <f t="shared" si="139"/>
        <v>506880</v>
      </c>
      <c r="D1469" s="67">
        <f t="shared" si="137"/>
        <v>5</v>
      </c>
      <c r="E1469" s="67">
        <f ca="1" t="shared" si="138"/>
        <v>1438</v>
      </c>
      <c r="F1469" s="67">
        <f ca="1" t="shared" si="140"/>
        <v>0</v>
      </c>
      <c r="G1469" s="67">
        <f ca="1" t="shared" si="141"/>
        <v>0</v>
      </c>
      <c r="H1469" s="67" cm="1">
        <f ca="1" t="array" ref="H1469">MIN(30-SUM(I1469:L1469),_xlfn.XLOOKUP($D1469&amp;"_"&amp;H$61,$B$23:$B$45&amp;"_"&amp;$C$23:$C$45,$D$23:$D$45)*$E1469,18)</f>
        <v>10.2026651287966</v>
      </c>
      <c r="I1469" s="67" cm="1">
        <f ca="1" t="array" ref="I1469">MIN(30-SUM(J1469:L1469),6-L1469,_xlfn.XLOOKUP($D1469&amp;"_"&amp;I$61,$B$23:$B$45&amp;"_"&amp;$C$23:$C$45,$D$23:$D$45)*$E1469)</f>
        <v>0</v>
      </c>
      <c r="J1469" s="67" cm="1">
        <f ca="1" t="array" ref="J1469">MIN(8,_xlfn.XLOOKUP($D1469&amp;"_"&amp;J$61,$B$23:$B$45&amp;"_"&amp;$C$23:$C$45,$D$23:$D$45)*$E1469)</f>
        <v>8</v>
      </c>
      <c r="K1469" s="67" cm="1">
        <f ca="1" t="array" ref="K1469">MIN(18,_xlfn.XLOOKUP($D1469&amp;"_"&amp;K$61,$B$23:$B$45&amp;"_"&amp;$C$23:$C$45,$D$23:$D$45)*$E1469)</f>
        <v>5.79733487120339</v>
      </c>
      <c r="L1469" s="67" cm="1">
        <f ca="1" t="array" ref="L1469">MIN(6,_xlfn.XLOOKUP($D1469&amp;"_"&amp;L$61,$B$23:$B$45&amp;"_"&amp;$C$23:$C$45,$D$23:$D$45)*$E1469)</f>
        <v>6</v>
      </c>
      <c r="M1469" s="67" cm="1">
        <f ca="1" t="array" ref="M1469">(1+SUMPRODUCT(G1469:H1469,OFFSET($H$49:$I$49,D1469,0)))*(1+OFFSET($J$49,D1469,0))^I1469*(1+OFFSET($K$49,D1469,0))^J1469*(1+OFFSET($L$49,D1469,0))^K1469*(1+OFFSET($M$49,D1469,0))^L1469</f>
        <v>426.604036841686</v>
      </c>
      <c r="N1469" s="67">
        <f ca="1">MAX(MAX($N$62:N1468),OFFSET($C$61,MATCH(M1469*1.07,$M$62:$M$2061,1),0)-C1469)</f>
        <v>52200</v>
      </c>
    </row>
    <row r="1470" spans="2:14">
      <c r="B1470" s="67">
        <v>1409</v>
      </c>
      <c r="C1470" s="67">
        <f t="shared" si="139"/>
        <v>507240</v>
      </c>
      <c r="D1470" s="67">
        <f t="shared" si="137"/>
        <v>5</v>
      </c>
      <c r="E1470" s="67">
        <f ca="1" t="shared" si="138"/>
        <v>1439</v>
      </c>
      <c r="F1470" s="67">
        <f ca="1" t="shared" si="140"/>
        <v>0</v>
      </c>
      <c r="G1470" s="67">
        <f ca="1" t="shared" si="141"/>
        <v>0</v>
      </c>
      <c r="H1470" s="67" cm="1">
        <f ca="1" t="array" ref="H1470">MIN(30-SUM(I1470:L1470),_xlfn.XLOOKUP($D1470&amp;"_"&amp;H$61,$B$23:$B$45&amp;"_"&amp;$C$23:$C$45,$D$23:$D$45)*$E1470,18)</f>
        <v>10.1986336024606</v>
      </c>
      <c r="I1470" s="67" cm="1">
        <f ca="1" t="array" ref="I1470">MIN(30-SUM(J1470:L1470),6-L1470,_xlfn.XLOOKUP($D1470&amp;"_"&amp;I$61,$B$23:$B$45&amp;"_"&amp;$C$23:$C$45,$D$23:$D$45)*$E1470)</f>
        <v>0</v>
      </c>
      <c r="J1470" s="67" cm="1">
        <f ca="1" t="array" ref="J1470">MIN(8,_xlfn.XLOOKUP($D1470&amp;"_"&amp;J$61,$B$23:$B$45&amp;"_"&amp;$C$23:$C$45,$D$23:$D$45)*$E1470)</f>
        <v>8</v>
      </c>
      <c r="K1470" s="67" cm="1">
        <f ca="1" t="array" ref="K1470">MIN(18,_xlfn.XLOOKUP($D1470&amp;"_"&amp;K$61,$B$23:$B$45&amp;"_"&amp;$C$23:$C$45,$D$23:$D$45)*$E1470)</f>
        <v>5.80136639753941</v>
      </c>
      <c r="L1470" s="67" cm="1">
        <f ca="1" t="array" ref="L1470">MIN(6,_xlfn.XLOOKUP($D1470&amp;"_"&amp;L$61,$B$23:$B$45&amp;"_"&amp;$C$23:$C$45,$D$23:$D$45)*$E1470)</f>
        <v>6</v>
      </c>
      <c r="M1470" s="67" cm="1">
        <f ca="1" t="array" ref="M1470">(1+SUMPRODUCT(G1470:H1470,OFFSET($H$49:$I$49,D1470,0)))*(1+OFFSET($J$49,D1470,0))^I1470*(1+OFFSET($K$49,D1470,0))^J1470*(1+OFFSET($L$49,D1470,0))^K1470*(1+OFFSET($M$49,D1470,0))^L1470</f>
        <v>426.804508261953</v>
      </c>
      <c r="N1470" s="67">
        <f ca="1">MAX(MAX($N$62:N1469),OFFSET($C$61,MATCH(M1470*1.07,$M$62:$M$2061,1),0)-C1470)</f>
        <v>52200</v>
      </c>
    </row>
    <row r="1471" spans="2:14">
      <c r="B1471" s="67">
        <v>1410</v>
      </c>
      <c r="C1471" s="67">
        <f t="shared" si="139"/>
        <v>507600</v>
      </c>
      <c r="D1471" s="67">
        <f t="shared" ref="D1471:D1534" si="142">_xlfn.XLOOKUP("非R",$B$49:$B$54,$C$49:$C$54)</f>
        <v>5</v>
      </c>
      <c r="E1471" s="67">
        <f ca="1" t="shared" ref="E1471:E1534" si="143">INT(C1471/_xlfn.XLOOKUP(D1471,$R$14:$R$21,$S$14:$S$21))+OFFSET($R$49,D1471,0)</f>
        <v>1440</v>
      </c>
      <c r="F1471" s="67">
        <f ca="1" t="shared" si="140"/>
        <v>0</v>
      </c>
      <c r="G1471" s="67">
        <f ca="1" t="shared" si="141"/>
        <v>0</v>
      </c>
      <c r="H1471" s="67" cm="1">
        <f ca="1" t="array" ref="H1471">MIN(30-SUM(I1471:L1471),_xlfn.XLOOKUP($D1471&amp;"_"&amp;H$61,$B$23:$B$45&amp;"_"&amp;$C$23:$C$45,$D$23:$D$45)*$E1471,18)</f>
        <v>10.1946020761246</v>
      </c>
      <c r="I1471" s="67" cm="1">
        <f ca="1" t="array" ref="I1471">MIN(30-SUM(J1471:L1471),6-L1471,_xlfn.XLOOKUP($D1471&amp;"_"&amp;I$61,$B$23:$B$45&amp;"_"&amp;$C$23:$C$45,$D$23:$D$45)*$E1471)</f>
        <v>0</v>
      </c>
      <c r="J1471" s="67" cm="1">
        <f ca="1" t="array" ref="J1471">MIN(8,_xlfn.XLOOKUP($D1471&amp;"_"&amp;J$61,$B$23:$B$45&amp;"_"&amp;$C$23:$C$45,$D$23:$D$45)*$E1471)</f>
        <v>8</v>
      </c>
      <c r="K1471" s="67" cm="1">
        <f ca="1" t="array" ref="K1471">MIN(18,_xlfn.XLOOKUP($D1471&amp;"_"&amp;K$61,$B$23:$B$45&amp;"_"&amp;$C$23:$C$45,$D$23:$D$45)*$E1471)</f>
        <v>5.80539792387544</v>
      </c>
      <c r="L1471" s="67" cm="1">
        <f ca="1" t="array" ref="L1471">MIN(6,_xlfn.XLOOKUP($D1471&amp;"_"&amp;L$61,$B$23:$B$45&amp;"_"&amp;$C$23:$C$45,$D$23:$D$45)*$E1471)</f>
        <v>6</v>
      </c>
      <c r="M1471" s="67" cm="1">
        <f ca="1" t="array" ref="M1471">(1+SUMPRODUCT(G1471:H1471,OFFSET($H$49:$I$49,D1471,0)))*(1+OFFSET($J$49,D1471,0))^I1471*(1+OFFSET($K$49,D1471,0))^J1471*(1+OFFSET($L$49,D1471,0))^K1471*(1+OFFSET($M$49,D1471,0))^L1471</f>
        <v>427.005043844166</v>
      </c>
      <c r="N1471" s="67">
        <f ca="1">MAX(MAX($N$62:N1470),OFFSET($C$61,MATCH(M1471*1.07,$M$62:$M$2061,1),0)-C1471)</f>
        <v>52200</v>
      </c>
    </row>
    <row r="1472" spans="2:14">
      <c r="B1472" s="67">
        <v>1411</v>
      </c>
      <c r="C1472" s="67">
        <f t="shared" si="139"/>
        <v>507960</v>
      </c>
      <c r="D1472" s="67">
        <f t="shared" si="142"/>
        <v>5</v>
      </c>
      <c r="E1472" s="67">
        <f ca="1" t="shared" si="143"/>
        <v>1441</v>
      </c>
      <c r="F1472" s="67">
        <f ca="1" t="shared" si="140"/>
        <v>0</v>
      </c>
      <c r="G1472" s="67">
        <f ca="1" t="shared" si="141"/>
        <v>0</v>
      </c>
      <c r="H1472" s="67" cm="1">
        <f ca="1" t="array" ref="H1472">MIN(30-SUM(I1472:L1472),_xlfn.XLOOKUP($D1472&amp;"_"&amp;H$61,$B$23:$B$45&amp;"_"&amp;$C$23:$C$45,$D$23:$D$45)*$E1472,18)</f>
        <v>10.1905705497885</v>
      </c>
      <c r="I1472" s="67" cm="1">
        <f ca="1" t="array" ref="I1472">MIN(30-SUM(J1472:L1472),6-L1472,_xlfn.XLOOKUP($D1472&amp;"_"&amp;I$61,$B$23:$B$45&amp;"_"&amp;$C$23:$C$45,$D$23:$D$45)*$E1472)</f>
        <v>0</v>
      </c>
      <c r="J1472" s="67" cm="1">
        <f ca="1" t="array" ref="J1472">MIN(8,_xlfn.XLOOKUP($D1472&amp;"_"&amp;J$61,$B$23:$B$45&amp;"_"&amp;$C$23:$C$45,$D$23:$D$45)*$E1472)</f>
        <v>8</v>
      </c>
      <c r="K1472" s="67" cm="1">
        <f ca="1" t="array" ref="K1472">MIN(18,_xlfn.XLOOKUP($D1472&amp;"_"&amp;K$61,$B$23:$B$45&amp;"_"&amp;$C$23:$C$45,$D$23:$D$45)*$E1472)</f>
        <v>5.80942945021146</v>
      </c>
      <c r="L1472" s="67" cm="1">
        <f ca="1" t="array" ref="L1472">MIN(6,_xlfn.XLOOKUP($D1472&amp;"_"&amp;L$61,$B$23:$B$45&amp;"_"&amp;$C$23:$C$45,$D$23:$D$45)*$E1472)</f>
        <v>6</v>
      </c>
      <c r="M1472" s="67" cm="1">
        <f ca="1" t="array" ref="M1472">(1+SUMPRODUCT(G1472:H1472,OFFSET($H$49:$I$49,D1472,0)))*(1+OFFSET($J$49,D1472,0))^I1472*(1+OFFSET($K$49,D1472,0))^J1472*(1+OFFSET($L$49,D1472,0))^K1472*(1+OFFSET($M$49,D1472,0))^L1472</f>
        <v>427.205643574294</v>
      </c>
      <c r="N1472" s="67">
        <f ca="1">MAX(MAX($N$62:N1471),OFFSET($C$61,MATCH(M1472*1.07,$M$62:$M$2061,1),0)-C1472)</f>
        <v>52200</v>
      </c>
    </row>
    <row r="1473" spans="2:14">
      <c r="B1473" s="67">
        <v>1412</v>
      </c>
      <c r="C1473" s="67">
        <f t="shared" si="139"/>
        <v>508320</v>
      </c>
      <c r="D1473" s="67">
        <f t="shared" si="142"/>
        <v>5</v>
      </c>
      <c r="E1473" s="67">
        <f ca="1" t="shared" si="143"/>
        <v>1442</v>
      </c>
      <c r="F1473" s="67">
        <f ca="1" t="shared" si="140"/>
        <v>0</v>
      </c>
      <c r="G1473" s="67">
        <f ca="1" t="shared" si="141"/>
        <v>0</v>
      </c>
      <c r="H1473" s="67" cm="1">
        <f ca="1" t="array" ref="H1473">MIN(30-SUM(I1473:L1473),_xlfn.XLOOKUP($D1473&amp;"_"&amp;H$61,$B$23:$B$45&amp;"_"&amp;$C$23:$C$45,$D$23:$D$45)*$E1473,18)</f>
        <v>10.1865390234525</v>
      </c>
      <c r="I1473" s="67" cm="1">
        <f ca="1" t="array" ref="I1473">MIN(30-SUM(J1473:L1473),6-L1473,_xlfn.XLOOKUP($D1473&amp;"_"&amp;I$61,$B$23:$B$45&amp;"_"&amp;$C$23:$C$45,$D$23:$D$45)*$E1473)</f>
        <v>0</v>
      </c>
      <c r="J1473" s="67" cm="1">
        <f ca="1" t="array" ref="J1473">MIN(8,_xlfn.XLOOKUP($D1473&amp;"_"&amp;J$61,$B$23:$B$45&amp;"_"&amp;$C$23:$C$45,$D$23:$D$45)*$E1473)</f>
        <v>8</v>
      </c>
      <c r="K1473" s="67" cm="1">
        <f ca="1" t="array" ref="K1473">MIN(18,_xlfn.XLOOKUP($D1473&amp;"_"&amp;K$61,$B$23:$B$45&amp;"_"&amp;$C$23:$C$45,$D$23:$D$45)*$E1473)</f>
        <v>5.81346097654749</v>
      </c>
      <c r="L1473" s="67" cm="1">
        <f ca="1" t="array" ref="L1473">MIN(6,_xlfn.XLOOKUP($D1473&amp;"_"&amp;L$61,$B$23:$B$45&amp;"_"&amp;$C$23:$C$45,$D$23:$D$45)*$E1473)</f>
        <v>6</v>
      </c>
      <c r="M1473" s="67" cm="1">
        <f ca="1" t="array" ref="M1473">(1+SUMPRODUCT(G1473:H1473,OFFSET($H$49:$I$49,D1473,0)))*(1+OFFSET($J$49,D1473,0))^I1473*(1+OFFSET($K$49,D1473,0))^J1473*(1+OFFSET($L$49,D1473,0))^K1473*(1+OFFSET($M$49,D1473,0))^L1473</f>
        <v>427.406307438247</v>
      </c>
      <c r="N1473" s="67">
        <f ca="1">MAX(MAX($N$62:N1472),OFFSET($C$61,MATCH(M1473*1.07,$M$62:$M$2061,1),0)-C1473)</f>
        <v>52200</v>
      </c>
    </row>
    <row r="1474" spans="2:14">
      <c r="B1474" s="67">
        <v>1413</v>
      </c>
      <c r="C1474" s="67">
        <f t="shared" si="139"/>
        <v>508680</v>
      </c>
      <c r="D1474" s="67">
        <f t="shared" si="142"/>
        <v>5</v>
      </c>
      <c r="E1474" s="67">
        <f ca="1" t="shared" si="143"/>
        <v>1443</v>
      </c>
      <c r="F1474" s="67">
        <f ca="1" t="shared" si="140"/>
        <v>0</v>
      </c>
      <c r="G1474" s="67">
        <f ca="1" t="shared" si="141"/>
        <v>0</v>
      </c>
      <c r="H1474" s="67" cm="1">
        <f ca="1" t="array" ref="H1474">MIN(30-SUM(I1474:L1474),_xlfn.XLOOKUP($D1474&amp;"_"&amp;H$61,$B$23:$B$45&amp;"_"&amp;$C$23:$C$45,$D$23:$D$45)*$E1474,18)</f>
        <v>10.1825074971165</v>
      </c>
      <c r="I1474" s="67" cm="1">
        <f ca="1" t="array" ref="I1474">MIN(30-SUM(J1474:L1474),6-L1474,_xlfn.XLOOKUP($D1474&amp;"_"&amp;I$61,$B$23:$B$45&amp;"_"&amp;$C$23:$C$45,$D$23:$D$45)*$E1474)</f>
        <v>0</v>
      </c>
      <c r="J1474" s="67" cm="1">
        <f ca="1" t="array" ref="J1474">MIN(8,_xlfn.XLOOKUP($D1474&amp;"_"&amp;J$61,$B$23:$B$45&amp;"_"&amp;$C$23:$C$45,$D$23:$D$45)*$E1474)</f>
        <v>8</v>
      </c>
      <c r="K1474" s="67" cm="1">
        <f ca="1" t="array" ref="K1474">MIN(18,_xlfn.XLOOKUP($D1474&amp;"_"&amp;K$61,$B$23:$B$45&amp;"_"&amp;$C$23:$C$45,$D$23:$D$45)*$E1474)</f>
        <v>5.81749250288351</v>
      </c>
      <c r="L1474" s="67" cm="1">
        <f ca="1" t="array" ref="L1474">MIN(6,_xlfn.XLOOKUP($D1474&amp;"_"&amp;L$61,$B$23:$B$45&amp;"_"&amp;$C$23:$C$45,$D$23:$D$45)*$E1474)</f>
        <v>6</v>
      </c>
      <c r="M1474" s="67" cm="1">
        <f ca="1" t="array" ref="M1474">(1+SUMPRODUCT(G1474:H1474,OFFSET($H$49:$I$49,D1474,0)))*(1+OFFSET($J$49,D1474,0))^I1474*(1+OFFSET($K$49,D1474,0))^J1474*(1+OFFSET($L$49,D1474,0))^K1474*(1+OFFSET($M$49,D1474,0))^L1474</f>
        <v>427.607035421885</v>
      </c>
      <c r="N1474" s="67">
        <f ca="1">MAX(MAX($N$62:N1473),OFFSET($C$61,MATCH(M1474*1.07,$M$62:$M$2061,1),0)-C1474)</f>
        <v>52200</v>
      </c>
    </row>
    <row r="1475" spans="2:14">
      <c r="B1475" s="67">
        <v>1414</v>
      </c>
      <c r="C1475" s="67">
        <f t="shared" si="139"/>
        <v>509040</v>
      </c>
      <c r="D1475" s="67">
        <f t="shared" si="142"/>
        <v>5</v>
      </c>
      <c r="E1475" s="67">
        <f ca="1" t="shared" si="143"/>
        <v>1444</v>
      </c>
      <c r="F1475" s="67">
        <f ca="1" t="shared" si="140"/>
        <v>0</v>
      </c>
      <c r="G1475" s="67">
        <f ca="1" t="shared" si="141"/>
        <v>0</v>
      </c>
      <c r="H1475" s="67" cm="1">
        <f ca="1" t="array" ref="H1475">MIN(30-SUM(I1475:L1475),_xlfn.XLOOKUP($D1475&amp;"_"&amp;H$61,$B$23:$B$45&amp;"_"&amp;$C$23:$C$45,$D$23:$D$45)*$E1475,18)</f>
        <v>10.1784759707805</v>
      </c>
      <c r="I1475" s="67" cm="1">
        <f ca="1" t="array" ref="I1475">MIN(30-SUM(J1475:L1475),6-L1475,_xlfn.XLOOKUP($D1475&amp;"_"&amp;I$61,$B$23:$B$45&amp;"_"&amp;$C$23:$C$45,$D$23:$D$45)*$E1475)</f>
        <v>0</v>
      </c>
      <c r="J1475" s="67" cm="1">
        <f ca="1" t="array" ref="J1475">MIN(8,_xlfn.XLOOKUP($D1475&amp;"_"&amp;J$61,$B$23:$B$45&amp;"_"&amp;$C$23:$C$45,$D$23:$D$45)*$E1475)</f>
        <v>8</v>
      </c>
      <c r="K1475" s="67" cm="1">
        <f ca="1" t="array" ref="K1475">MIN(18,_xlfn.XLOOKUP($D1475&amp;"_"&amp;K$61,$B$23:$B$45&amp;"_"&amp;$C$23:$C$45,$D$23:$D$45)*$E1475)</f>
        <v>5.82152402921954</v>
      </c>
      <c r="L1475" s="67" cm="1">
        <f ca="1" t="array" ref="L1475">MIN(6,_xlfn.XLOOKUP($D1475&amp;"_"&amp;L$61,$B$23:$B$45&amp;"_"&amp;$C$23:$C$45,$D$23:$D$45)*$E1475)</f>
        <v>6</v>
      </c>
      <c r="M1475" s="67" cm="1">
        <f ca="1" t="array" ref="M1475">(1+SUMPRODUCT(G1475:H1475,OFFSET($H$49:$I$49,D1475,0)))*(1+OFFSET($J$49,D1475,0))^I1475*(1+OFFSET($K$49,D1475,0))^J1475*(1+OFFSET($L$49,D1475,0))^K1475*(1+OFFSET($M$49,D1475,0))^L1475</f>
        <v>427.807827511008</v>
      </c>
      <c r="N1475" s="67">
        <f ca="1">MAX(MAX($N$62:N1474),OFFSET($C$61,MATCH(M1475*1.07,$M$62:$M$2061,1),0)-C1475)</f>
        <v>52200</v>
      </c>
    </row>
    <row r="1476" spans="2:14">
      <c r="B1476" s="67">
        <v>1415</v>
      </c>
      <c r="C1476" s="67">
        <f t="shared" si="139"/>
        <v>509400</v>
      </c>
      <c r="D1476" s="67">
        <f t="shared" si="142"/>
        <v>5</v>
      </c>
      <c r="E1476" s="67">
        <f ca="1" t="shared" si="143"/>
        <v>1445</v>
      </c>
      <c r="F1476" s="67">
        <f ca="1" t="shared" si="140"/>
        <v>0</v>
      </c>
      <c r="G1476" s="67">
        <f ca="1" t="shared" si="141"/>
        <v>0</v>
      </c>
      <c r="H1476" s="67" cm="1">
        <f ca="1" t="array" ref="H1476">MIN(30-SUM(I1476:L1476),_xlfn.XLOOKUP($D1476&amp;"_"&amp;H$61,$B$23:$B$45&amp;"_"&amp;$C$23:$C$45,$D$23:$D$45)*$E1476,18)</f>
        <v>10.1744444444444</v>
      </c>
      <c r="I1476" s="67" cm="1">
        <f ca="1" t="array" ref="I1476">MIN(30-SUM(J1476:L1476),6-L1476,_xlfn.XLOOKUP($D1476&amp;"_"&amp;I$61,$B$23:$B$45&amp;"_"&amp;$C$23:$C$45,$D$23:$D$45)*$E1476)</f>
        <v>0</v>
      </c>
      <c r="J1476" s="67" cm="1">
        <f ca="1" t="array" ref="J1476">MIN(8,_xlfn.XLOOKUP($D1476&amp;"_"&amp;J$61,$B$23:$B$45&amp;"_"&amp;$C$23:$C$45,$D$23:$D$45)*$E1476)</f>
        <v>8</v>
      </c>
      <c r="K1476" s="67" cm="1">
        <f ca="1" t="array" ref="K1476">MIN(18,_xlfn.XLOOKUP($D1476&amp;"_"&amp;K$61,$B$23:$B$45&amp;"_"&amp;$C$23:$C$45,$D$23:$D$45)*$E1476)</f>
        <v>5.82555555555556</v>
      </c>
      <c r="L1476" s="67" cm="1">
        <f ca="1" t="array" ref="L1476">MIN(6,_xlfn.XLOOKUP($D1476&amp;"_"&amp;L$61,$B$23:$B$45&amp;"_"&amp;$C$23:$C$45,$D$23:$D$45)*$E1476)</f>
        <v>6</v>
      </c>
      <c r="M1476" s="67" cm="1">
        <f ca="1" t="array" ref="M1476">(1+SUMPRODUCT(G1476:H1476,OFFSET($H$49:$I$49,D1476,0)))*(1+OFFSET($J$49,D1476,0))^I1476*(1+OFFSET($K$49,D1476,0))^J1476*(1+OFFSET($L$49,D1476,0))^K1476*(1+OFFSET($M$49,D1476,0))^L1476</f>
        <v>428.008683691362</v>
      </c>
      <c r="N1476" s="67">
        <f ca="1">MAX(MAX($N$62:N1475),OFFSET($C$61,MATCH(M1476*1.07,$M$62:$M$2061,1),0)-C1476)</f>
        <v>52200</v>
      </c>
    </row>
    <row r="1477" spans="2:14">
      <c r="B1477" s="67">
        <v>1416</v>
      </c>
      <c r="C1477" s="67">
        <f t="shared" si="139"/>
        <v>509760</v>
      </c>
      <c r="D1477" s="67">
        <f t="shared" si="142"/>
        <v>5</v>
      </c>
      <c r="E1477" s="67">
        <f ca="1" t="shared" si="143"/>
        <v>1446</v>
      </c>
      <c r="F1477" s="67">
        <f ca="1" t="shared" si="140"/>
        <v>0</v>
      </c>
      <c r="G1477" s="67">
        <f ca="1" t="shared" si="141"/>
        <v>0</v>
      </c>
      <c r="H1477" s="67" cm="1">
        <f ca="1" t="array" ref="H1477">MIN(30-SUM(I1477:L1477),_xlfn.XLOOKUP($D1477&amp;"_"&amp;H$61,$B$23:$B$45&amp;"_"&amp;$C$23:$C$45,$D$23:$D$45)*$E1477,18)</f>
        <v>10.1704129181084</v>
      </c>
      <c r="I1477" s="67" cm="1">
        <f ca="1" t="array" ref="I1477">MIN(30-SUM(J1477:L1477),6-L1477,_xlfn.XLOOKUP($D1477&amp;"_"&amp;I$61,$B$23:$B$45&amp;"_"&amp;$C$23:$C$45,$D$23:$D$45)*$E1477)</f>
        <v>0</v>
      </c>
      <c r="J1477" s="67" cm="1">
        <f ca="1" t="array" ref="J1477">MIN(8,_xlfn.XLOOKUP($D1477&amp;"_"&amp;J$61,$B$23:$B$45&amp;"_"&amp;$C$23:$C$45,$D$23:$D$45)*$E1477)</f>
        <v>8</v>
      </c>
      <c r="K1477" s="67" cm="1">
        <f ca="1" t="array" ref="K1477">MIN(18,_xlfn.XLOOKUP($D1477&amp;"_"&amp;K$61,$B$23:$B$45&amp;"_"&amp;$C$23:$C$45,$D$23:$D$45)*$E1477)</f>
        <v>5.82958708189159</v>
      </c>
      <c r="L1477" s="67" cm="1">
        <f ca="1" t="array" ref="L1477">MIN(6,_xlfn.XLOOKUP($D1477&amp;"_"&amp;L$61,$B$23:$B$45&amp;"_"&amp;$C$23:$C$45,$D$23:$D$45)*$E1477)</f>
        <v>6</v>
      </c>
      <c r="M1477" s="67" cm="1">
        <f ca="1" t="array" ref="M1477">(1+SUMPRODUCT(G1477:H1477,OFFSET($H$49:$I$49,D1477,0)))*(1+OFFSET($J$49,D1477,0))^I1477*(1+OFFSET($K$49,D1477,0))^J1477*(1+OFFSET($L$49,D1477,0))^K1477*(1+OFFSET($M$49,D1477,0))^L1477</f>
        <v>428.209603948638</v>
      </c>
      <c r="N1477" s="67">
        <f ca="1">MAX(MAX($N$62:N1476),OFFSET($C$61,MATCH(M1477*1.07,$M$62:$M$2061,1),0)-C1477)</f>
        <v>52200</v>
      </c>
    </row>
    <row r="1478" spans="2:14">
      <c r="B1478" s="67">
        <v>1417</v>
      </c>
      <c r="C1478" s="67">
        <f t="shared" si="139"/>
        <v>510120</v>
      </c>
      <c r="D1478" s="67">
        <f t="shared" si="142"/>
        <v>5</v>
      </c>
      <c r="E1478" s="67">
        <f ca="1" t="shared" si="143"/>
        <v>1447</v>
      </c>
      <c r="F1478" s="67">
        <f ca="1" t="shared" si="140"/>
        <v>0</v>
      </c>
      <c r="G1478" s="67">
        <f ca="1" t="shared" si="141"/>
        <v>0</v>
      </c>
      <c r="H1478" s="67" cm="1">
        <f ca="1" t="array" ref="H1478">MIN(30-SUM(I1478:L1478),_xlfn.XLOOKUP($D1478&amp;"_"&amp;H$61,$B$23:$B$45&amp;"_"&amp;$C$23:$C$45,$D$23:$D$45)*$E1478,18)</f>
        <v>10.1663813917724</v>
      </c>
      <c r="I1478" s="67" cm="1">
        <f ca="1" t="array" ref="I1478">MIN(30-SUM(J1478:L1478),6-L1478,_xlfn.XLOOKUP($D1478&amp;"_"&amp;I$61,$B$23:$B$45&amp;"_"&amp;$C$23:$C$45,$D$23:$D$45)*$E1478)</f>
        <v>0</v>
      </c>
      <c r="J1478" s="67" cm="1">
        <f ca="1" t="array" ref="J1478">MIN(8,_xlfn.XLOOKUP($D1478&amp;"_"&amp;J$61,$B$23:$B$45&amp;"_"&amp;$C$23:$C$45,$D$23:$D$45)*$E1478)</f>
        <v>8</v>
      </c>
      <c r="K1478" s="67" cm="1">
        <f ca="1" t="array" ref="K1478">MIN(18,_xlfn.XLOOKUP($D1478&amp;"_"&amp;K$61,$B$23:$B$45&amp;"_"&amp;$C$23:$C$45,$D$23:$D$45)*$E1478)</f>
        <v>5.83361860822761</v>
      </c>
      <c r="L1478" s="67" cm="1">
        <f ca="1" t="array" ref="L1478">MIN(6,_xlfn.XLOOKUP($D1478&amp;"_"&amp;L$61,$B$23:$B$45&amp;"_"&amp;$C$23:$C$45,$D$23:$D$45)*$E1478)</f>
        <v>6</v>
      </c>
      <c r="M1478" s="67" cm="1">
        <f ca="1" t="array" ref="M1478">(1+SUMPRODUCT(G1478:H1478,OFFSET($H$49:$I$49,D1478,0)))*(1+OFFSET($J$49,D1478,0))^I1478*(1+OFFSET($K$49,D1478,0))^J1478*(1+OFFSET($L$49,D1478,0))^K1478*(1+OFFSET($M$49,D1478,0))^L1478</f>
        <v>428.410588268469</v>
      </c>
      <c r="N1478" s="67">
        <f ca="1">MAX(MAX($N$62:N1477),OFFSET($C$61,MATCH(M1478*1.07,$M$62:$M$2061,1),0)-C1478)</f>
        <v>52200</v>
      </c>
    </row>
    <row r="1479" spans="2:14">
      <c r="B1479" s="67">
        <v>1418</v>
      </c>
      <c r="C1479" s="67">
        <f t="shared" si="139"/>
        <v>510480</v>
      </c>
      <c r="D1479" s="67">
        <f t="shared" si="142"/>
        <v>5</v>
      </c>
      <c r="E1479" s="67">
        <f ca="1" t="shared" si="143"/>
        <v>1448</v>
      </c>
      <c r="F1479" s="67">
        <f ca="1" t="shared" si="140"/>
        <v>0</v>
      </c>
      <c r="G1479" s="67">
        <f ca="1" t="shared" si="141"/>
        <v>0</v>
      </c>
      <c r="H1479" s="67" cm="1">
        <f ca="1" t="array" ref="H1479">MIN(30-SUM(I1479:L1479),_xlfn.XLOOKUP($D1479&amp;"_"&amp;H$61,$B$23:$B$45&amp;"_"&amp;$C$23:$C$45,$D$23:$D$45)*$E1479,18)</f>
        <v>10.1623498654364</v>
      </c>
      <c r="I1479" s="67" cm="1">
        <f ca="1" t="array" ref="I1479">MIN(30-SUM(J1479:L1479),6-L1479,_xlfn.XLOOKUP($D1479&amp;"_"&amp;I$61,$B$23:$B$45&amp;"_"&amp;$C$23:$C$45,$D$23:$D$45)*$E1479)</f>
        <v>0</v>
      </c>
      <c r="J1479" s="67" cm="1">
        <f ca="1" t="array" ref="J1479">MIN(8,_xlfn.XLOOKUP($D1479&amp;"_"&amp;J$61,$B$23:$B$45&amp;"_"&amp;$C$23:$C$45,$D$23:$D$45)*$E1479)</f>
        <v>8</v>
      </c>
      <c r="K1479" s="67" cm="1">
        <f ca="1" t="array" ref="K1479">MIN(18,_xlfn.XLOOKUP($D1479&amp;"_"&amp;K$61,$B$23:$B$45&amp;"_"&amp;$C$23:$C$45,$D$23:$D$45)*$E1479)</f>
        <v>5.83765013456363</v>
      </c>
      <c r="L1479" s="67" cm="1">
        <f ca="1" t="array" ref="L1479">MIN(6,_xlfn.XLOOKUP($D1479&amp;"_"&amp;L$61,$B$23:$B$45&amp;"_"&amp;$C$23:$C$45,$D$23:$D$45)*$E1479)</f>
        <v>6</v>
      </c>
      <c r="M1479" s="67" cm="1">
        <f ca="1" t="array" ref="M1479">(1+SUMPRODUCT(G1479:H1479,OFFSET($H$49:$I$49,D1479,0)))*(1+OFFSET($J$49,D1479,0))^I1479*(1+OFFSET($K$49,D1479,0))^J1479*(1+OFFSET($L$49,D1479,0))^K1479*(1+OFFSET($M$49,D1479,0))^L1479</f>
        <v>428.611636636436</v>
      </c>
      <c r="N1479" s="67">
        <f ca="1">MAX(MAX($N$62:N1478),OFFSET($C$61,MATCH(M1479*1.07,$M$62:$M$2061,1),0)-C1479)</f>
        <v>52200</v>
      </c>
    </row>
    <row r="1480" spans="2:14">
      <c r="B1480" s="67">
        <v>1419</v>
      </c>
      <c r="C1480" s="67">
        <f t="shared" si="139"/>
        <v>510840</v>
      </c>
      <c r="D1480" s="67">
        <f t="shared" si="142"/>
        <v>5</v>
      </c>
      <c r="E1480" s="67">
        <f ca="1" t="shared" si="143"/>
        <v>1449</v>
      </c>
      <c r="F1480" s="67">
        <f ca="1" t="shared" si="140"/>
        <v>0</v>
      </c>
      <c r="G1480" s="67">
        <f ca="1" t="shared" si="141"/>
        <v>0</v>
      </c>
      <c r="H1480" s="67" cm="1">
        <f ca="1" t="array" ref="H1480">MIN(30-SUM(I1480:L1480),_xlfn.XLOOKUP($D1480&amp;"_"&amp;H$61,$B$23:$B$45&amp;"_"&amp;$C$23:$C$45,$D$23:$D$45)*$E1480,18)</f>
        <v>10.1583183391003</v>
      </c>
      <c r="I1480" s="67" cm="1">
        <f ca="1" t="array" ref="I1480">MIN(30-SUM(J1480:L1480),6-L1480,_xlfn.XLOOKUP($D1480&amp;"_"&amp;I$61,$B$23:$B$45&amp;"_"&amp;$C$23:$C$45,$D$23:$D$45)*$E1480)</f>
        <v>0</v>
      </c>
      <c r="J1480" s="67" cm="1">
        <f ca="1" t="array" ref="J1480">MIN(8,_xlfn.XLOOKUP($D1480&amp;"_"&amp;J$61,$B$23:$B$45&amp;"_"&amp;$C$23:$C$45,$D$23:$D$45)*$E1480)</f>
        <v>8</v>
      </c>
      <c r="K1480" s="67" cm="1">
        <f ca="1" t="array" ref="K1480">MIN(18,_xlfn.XLOOKUP($D1480&amp;"_"&amp;K$61,$B$23:$B$45&amp;"_"&amp;$C$23:$C$45,$D$23:$D$45)*$E1480)</f>
        <v>5.84168166089966</v>
      </c>
      <c r="L1480" s="67" cm="1">
        <f ca="1" t="array" ref="L1480">MIN(6,_xlfn.XLOOKUP($D1480&amp;"_"&amp;L$61,$B$23:$B$45&amp;"_"&amp;$C$23:$C$45,$D$23:$D$45)*$E1480)</f>
        <v>6</v>
      </c>
      <c r="M1480" s="67" cm="1">
        <f ca="1" t="array" ref="M1480">(1+SUMPRODUCT(G1480:H1480,OFFSET($H$49:$I$49,D1480,0)))*(1+OFFSET($J$49,D1480,0))^I1480*(1+OFFSET($K$49,D1480,0))^J1480*(1+OFFSET($L$49,D1480,0))^K1480*(1+OFFSET($M$49,D1480,0))^L1480</f>
        <v>428.812749038061</v>
      </c>
      <c r="N1480" s="67">
        <f ca="1">MAX(MAX($N$62:N1479),OFFSET($C$61,MATCH(M1480*1.07,$M$62:$M$2061,1),0)-C1480)</f>
        <v>52200</v>
      </c>
    </row>
    <row r="1481" spans="2:14">
      <c r="B1481" s="67">
        <v>1420</v>
      </c>
      <c r="C1481" s="67">
        <f t="shared" si="139"/>
        <v>511200</v>
      </c>
      <c r="D1481" s="67">
        <f t="shared" si="142"/>
        <v>5</v>
      </c>
      <c r="E1481" s="67">
        <f ca="1" t="shared" si="143"/>
        <v>1450</v>
      </c>
      <c r="F1481" s="67">
        <f ca="1" t="shared" si="140"/>
        <v>0</v>
      </c>
      <c r="G1481" s="67">
        <f ca="1" t="shared" si="141"/>
        <v>0</v>
      </c>
      <c r="H1481" s="67" cm="1">
        <f ca="1" t="array" ref="H1481">MIN(30-SUM(I1481:L1481),_xlfn.XLOOKUP($D1481&amp;"_"&amp;H$61,$B$23:$B$45&amp;"_"&amp;$C$23:$C$45,$D$23:$D$45)*$E1481,18)</f>
        <v>10.1542868127643</v>
      </c>
      <c r="I1481" s="67" cm="1">
        <f ca="1" t="array" ref="I1481">MIN(30-SUM(J1481:L1481),6-L1481,_xlfn.XLOOKUP($D1481&amp;"_"&amp;I$61,$B$23:$B$45&amp;"_"&amp;$C$23:$C$45,$D$23:$D$45)*$E1481)</f>
        <v>0</v>
      </c>
      <c r="J1481" s="67" cm="1">
        <f ca="1" t="array" ref="J1481">MIN(8,_xlfn.XLOOKUP($D1481&amp;"_"&amp;J$61,$B$23:$B$45&amp;"_"&amp;$C$23:$C$45,$D$23:$D$45)*$E1481)</f>
        <v>8</v>
      </c>
      <c r="K1481" s="67" cm="1">
        <f ca="1" t="array" ref="K1481">MIN(18,_xlfn.XLOOKUP($D1481&amp;"_"&amp;K$61,$B$23:$B$45&amp;"_"&amp;$C$23:$C$45,$D$23:$D$45)*$E1481)</f>
        <v>5.84571318723568</v>
      </c>
      <c r="L1481" s="67" cm="1">
        <f ca="1" t="array" ref="L1481">MIN(6,_xlfn.XLOOKUP($D1481&amp;"_"&amp;L$61,$B$23:$B$45&amp;"_"&amp;$C$23:$C$45,$D$23:$D$45)*$E1481)</f>
        <v>6</v>
      </c>
      <c r="M1481" s="67" cm="1">
        <f ca="1" t="array" ref="M1481">(1+SUMPRODUCT(G1481:H1481,OFFSET($H$49:$I$49,D1481,0)))*(1+OFFSET($J$49,D1481,0))^I1481*(1+OFFSET($K$49,D1481,0))^J1481*(1+OFFSET($L$49,D1481,0))^K1481*(1+OFFSET($M$49,D1481,0))^L1481</f>
        <v>429.013925458811</v>
      </c>
      <c r="N1481" s="67">
        <f ca="1">MAX(MAX($N$62:N1480),OFFSET($C$61,MATCH(M1481*1.07,$M$62:$M$2061,1),0)-C1481)</f>
        <v>52200</v>
      </c>
    </row>
    <row r="1482" spans="2:14">
      <c r="B1482" s="67">
        <v>1421</v>
      </c>
      <c r="C1482" s="67">
        <f t="shared" si="139"/>
        <v>511560</v>
      </c>
      <c r="D1482" s="67">
        <f t="shared" si="142"/>
        <v>5</v>
      </c>
      <c r="E1482" s="67">
        <f ca="1" t="shared" si="143"/>
        <v>1451</v>
      </c>
      <c r="F1482" s="67">
        <f ca="1" t="shared" si="140"/>
        <v>0</v>
      </c>
      <c r="G1482" s="67">
        <f ca="1" t="shared" si="141"/>
        <v>0</v>
      </c>
      <c r="H1482" s="67" cm="1">
        <f ca="1" t="array" ref="H1482">MIN(30-SUM(I1482:L1482),_xlfn.XLOOKUP($D1482&amp;"_"&amp;H$61,$B$23:$B$45&amp;"_"&amp;$C$23:$C$45,$D$23:$D$45)*$E1482,18)</f>
        <v>10.1502552864283</v>
      </c>
      <c r="I1482" s="67" cm="1">
        <f ca="1" t="array" ref="I1482">MIN(30-SUM(J1482:L1482),6-L1482,_xlfn.XLOOKUP($D1482&amp;"_"&amp;I$61,$B$23:$B$45&amp;"_"&amp;$C$23:$C$45,$D$23:$D$45)*$E1482)</f>
        <v>0</v>
      </c>
      <c r="J1482" s="67" cm="1">
        <f ca="1" t="array" ref="J1482">MIN(8,_xlfn.XLOOKUP($D1482&amp;"_"&amp;J$61,$B$23:$B$45&amp;"_"&amp;$C$23:$C$45,$D$23:$D$45)*$E1482)</f>
        <v>8</v>
      </c>
      <c r="K1482" s="67" cm="1">
        <f ca="1" t="array" ref="K1482">MIN(18,_xlfn.XLOOKUP($D1482&amp;"_"&amp;K$61,$B$23:$B$45&amp;"_"&amp;$C$23:$C$45,$D$23:$D$45)*$E1482)</f>
        <v>5.84974471357171</v>
      </c>
      <c r="L1482" s="67" cm="1">
        <f ca="1" t="array" ref="L1482">MIN(6,_xlfn.XLOOKUP($D1482&amp;"_"&amp;L$61,$B$23:$B$45&amp;"_"&amp;$C$23:$C$45,$D$23:$D$45)*$E1482)</f>
        <v>6</v>
      </c>
      <c r="M1482" s="67" cm="1">
        <f ca="1" t="array" ref="M1482">(1+SUMPRODUCT(G1482:H1482,OFFSET($H$49:$I$49,D1482,0)))*(1+OFFSET($J$49,D1482,0))^I1482*(1+OFFSET($K$49,D1482,0))^J1482*(1+OFFSET($L$49,D1482,0))^K1482*(1+OFFSET($M$49,D1482,0))^L1482</f>
        <v>429.215165884098</v>
      </c>
      <c r="N1482" s="67">
        <f ca="1">MAX(MAX($N$62:N1481),OFFSET($C$61,MATCH(M1482*1.07,$M$62:$M$2061,1),0)-C1482)</f>
        <v>52200</v>
      </c>
    </row>
    <row r="1483" spans="2:14">
      <c r="B1483" s="67">
        <v>1422</v>
      </c>
      <c r="C1483" s="67">
        <f t="shared" si="139"/>
        <v>511920</v>
      </c>
      <c r="D1483" s="67">
        <f t="shared" si="142"/>
        <v>5</v>
      </c>
      <c r="E1483" s="67">
        <f ca="1" t="shared" si="143"/>
        <v>1452</v>
      </c>
      <c r="F1483" s="67">
        <f ca="1" t="shared" si="140"/>
        <v>0</v>
      </c>
      <c r="G1483" s="67">
        <f ca="1" t="shared" si="141"/>
        <v>0</v>
      </c>
      <c r="H1483" s="67" cm="1">
        <f ca="1" t="array" ref="H1483">MIN(30-SUM(I1483:L1483),_xlfn.XLOOKUP($D1483&amp;"_"&amp;H$61,$B$23:$B$45&amp;"_"&amp;$C$23:$C$45,$D$23:$D$45)*$E1483,18)</f>
        <v>10.1462237600923</v>
      </c>
      <c r="I1483" s="67" cm="1">
        <f ca="1" t="array" ref="I1483">MIN(30-SUM(J1483:L1483),6-L1483,_xlfn.XLOOKUP($D1483&amp;"_"&amp;I$61,$B$23:$B$45&amp;"_"&amp;$C$23:$C$45,$D$23:$D$45)*$E1483)</f>
        <v>0</v>
      </c>
      <c r="J1483" s="67" cm="1">
        <f ca="1" t="array" ref="J1483">MIN(8,_xlfn.XLOOKUP($D1483&amp;"_"&amp;J$61,$B$23:$B$45&amp;"_"&amp;$C$23:$C$45,$D$23:$D$45)*$E1483)</f>
        <v>8</v>
      </c>
      <c r="K1483" s="67" cm="1">
        <f ca="1" t="array" ref="K1483">MIN(18,_xlfn.XLOOKUP($D1483&amp;"_"&amp;K$61,$B$23:$B$45&amp;"_"&amp;$C$23:$C$45,$D$23:$D$45)*$E1483)</f>
        <v>5.85377623990773</v>
      </c>
      <c r="L1483" s="67" cm="1">
        <f ca="1" t="array" ref="L1483">MIN(6,_xlfn.XLOOKUP($D1483&amp;"_"&amp;L$61,$B$23:$B$45&amp;"_"&amp;$C$23:$C$45,$D$23:$D$45)*$E1483)</f>
        <v>6</v>
      </c>
      <c r="M1483" s="67" cm="1">
        <f ca="1" t="array" ref="M1483">(1+SUMPRODUCT(G1483:H1483,OFFSET($H$49:$I$49,D1483,0)))*(1+OFFSET($J$49,D1483,0))^I1483*(1+OFFSET($K$49,D1483,0))^J1483*(1+OFFSET($L$49,D1483,0))^K1483*(1+OFFSET($M$49,D1483,0))^L1483</f>
        <v>429.416470299276</v>
      </c>
      <c r="N1483" s="67">
        <f ca="1">MAX(MAX($N$62:N1482),OFFSET($C$61,MATCH(M1483*1.07,$M$62:$M$2061,1),0)-C1483)</f>
        <v>52200</v>
      </c>
    </row>
    <row r="1484" spans="2:14">
      <c r="B1484" s="67">
        <v>1423</v>
      </c>
      <c r="C1484" s="67">
        <f t="shared" si="139"/>
        <v>512280</v>
      </c>
      <c r="D1484" s="67">
        <f t="shared" si="142"/>
        <v>5</v>
      </c>
      <c r="E1484" s="67">
        <f ca="1" t="shared" si="143"/>
        <v>1453</v>
      </c>
      <c r="F1484" s="67">
        <f ca="1" t="shared" si="140"/>
        <v>0</v>
      </c>
      <c r="G1484" s="67">
        <f ca="1" t="shared" si="141"/>
        <v>0</v>
      </c>
      <c r="H1484" s="67" cm="1">
        <f ca="1" t="array" ref="H1484">MIN(30-SUM(I1484:L1484),_xlfn.XLOOKUP($D1484&amp;"_"&amp;H$61,$B$23:$B$45&amp;"_"&amp;$C$23:$C$45,$D$23:$D$45)*$E1484,18)</f>
        <v>10.1421922337562</v>
      </c>
      <c r="I1484" s="67" cm="1">
        <f ca="1" t="array" ref="I1484">MIN(30-SUM(J1484:L1484),6-L1484,_xlfn.XLOOKUP($D1484&amp;"_"&amp;I$61,$B$23:$B$45&amp;"_"&amp;$C$23:$C$45,$D$23:$D$45)*$E1484)</f>
        <v>0</v>
      </c>
      <c r="J1484" s="67" cm="1">
        <f ca="1" t="array" ref="J1484">MIN(8,_xlfn.XLOOKUP($D1484&amp;"_"&amp;J$61,$B$23:$B$45&amp;"_"&amp;$C$23:$C$45,$D$23:$D$45)*$E1484)</f>
        <v>8</v>
      </c>
      <c r="K1484" s="67" cm="1">
        <f ca="1" t="array" ref="K1484">MIN(18,_xlfn.XLOOKUP($D1484&amp;"_"&amp;K$61,$B$23:$B$45&amp;"_"&amp;$C$23:$C$45,$D$23:$D$45)*$E1484)</f>
        <v>5.85780776624376</v>
      </c>
      <c r="L1484" s="67" cm="1">
        <f ca="1" t="array" ref="L1484">MIN(6,_xlfn.XLOOKUP($D1484&amp;"_"&amp;L$61,$B$23:$B$45&amp;"_"&amp;$C$23:$C$45,$D$23:$D$45)*$E1484)</f>
        <v>6</v>
      </c>
      <c r="M1484" s="67" cm="1">
        <f ca="1" t="array" ref="M1484">(1+SUMPRODUCT(G1484:H1484,OFFSET($H$49:$I$49,D1484,0)))*(1+OFFSET($J$49,D1484,0))^I1484*(1+OFFSET($K$49,D1484,0))^J1484*(1+OFFSET($L$49,D1484,0))^K1484*(1+OFFSET($M$49,D1484,0))^L1484</f>
        <v>429.617838689644</v>
      </c>
      <c r="N1484" s="67">
        <f ca="1">MAX(MAX($N$62:N1483),OFFSET($C$61,MATCH(M1484*1.07,$M$62:$M$2061,1),0)-C1484)</f>
        <v>52200</v>
      </c>
    </row>
    <row r="1485" spans="2:14">
      <c r="B1485" s="67">
        <v>1424</v>
      </c>
      <c r="C1485" s="67">
        <f t="shared" si="139"/>
        <v>512640</v>
      </c>
      <c r="D1485" s="67">
        <f t="shared" si="142"/>
        <v>5</v>
      </c>
      <c r="E1485" s="67">
        <f ca="1" t="shared" si="143"/>
        <v>1454</v>
      </c>
      <c r="F1485" s="67">
        <f ca="1" t="shared" si="140"/>
        <v>0</v>
      </c>
      <c r="G1485" s="67">
        <f ca="1" t="shared" si="141"/>
        <v>0</v>
      </c>
      <c r="H1485" s="67" cm="1">
        <f ca="1" t="array" ref="H1485">MIN(30-SUM(I1485:L1485),_xlfn.XLOOKUP($D1485&amp;"_"&amp;H$61,$B$23:$B$45&amp;"_"&amp;$C$23:$C$45,$D$23:$D$45)*$E1485,18)</f>
        <v>10.1381607074202</v>
      </c>
      <c r="I1485" s="67" cm="1">
        <f ca="1" t="array" ref="I1485">MIN(30-SUM(J1485:L1485),6-L1485,_xlfn.XLOOKUP($D1485&amp;"_"&amp;I$61,$B$23:$B$45&amp;"_"&amp;$C$23:$C$45,$D$23:$D$45)*$E1485)</f>
        <v>0</v>
      </c>
      <c r="J1485" s="67" cm="1">
        <f ca="1" t="array" ref="J1485">MIN(8,_xlfn.XLOOKUP($D1485&amp;"_"&amp;J$61,$B$23:$B$45&amp;"_"&amp;$C$23:$C$45,$D$23:$D$45)*$E1485)</f>
        <v>8</v>
      </c>
      <c r="K1485" s="67" cm="1">
        <f ca="1" t="array" ref="K1485">MIN(18,_xlfn.XLOOKUP($D1485&amp;"_"&amp;K$61,$B$23:$B$45&amp;"_"&amp;$C$23:$C$45,$D$23:$D$45)*$E1485)</f>
        <v>5.86183929257978</v>
      </c>
      <c r="L1485" s="67" cm="1">
        <f ca="1" t="array" ref="L1485">MIN(6,_xlfn.XLOOKUP($D1485&amp;"_"&amp;L$61,$B$23:$B$45&amp;"_"&amp;$C$23:$C$45,$D$23:$D$45)*$E1485)</f>
        <v>6</v>
      </c>
      <c r="M1485" s="67" cm="1">
        <f ca="1" t="array" ref="M1485">(1+SUMPRODUCT(G1485:H1485,OFFSET($H$49:$I$49,D1485,0)))*(1+OFFSET($J$49,D1485,0))^I1485*(1+OFFSET($K$49,D1485,0))^J1485*(1+OFFSET($L$49,D1485,0))^K1485*(1+OFFSET($M$49,D1485,0))^L1485</f>
        <v>429.819271040446</v>
      </c>
      <c r="N1485" s="67">
        <f ca="1">MAX(MAX($N$62:N1484),OFFSET($C$61,MATCH(M1485*1.07,$M$62:$M$2061,1),0)-C1485)</f>
        <v>52560</v>
      </c>
    </row>
    <row r="1486" spans="2:14">
      <c r="B1486" s="67">
        <v>1425</v>
      </c>
      <c r="C1486" s="67">
        <f t="shared" si="139"/>
        <v>513000</v>
      </c>
      <c r="D1486" s="67">
        <f t="shared" si="142"/>
        <v>5</v>
      </c>
      <c r="E1486" s="67">
        <f ca="1" t="shared" si="143"/>
        <v>1455</v>
      </c>
      <c r="F1486" s="67">
        <f ca="1" t="shared" si="140"/>
        <v>0</v>
      </c>
      <c r="G1486" s="67">
        <f ca="1" t="shared" si="141"/>
        <v>0</v>
      </c>
      <c r="H1486" s="67" cm="1">
        <f ca="1" t="array" ref="H1486">MIN(30-SUM(I1486:L1486),_xlfn.XLOOKUP($D1486&amp;"_"&amp;H$61,$B$23:$B$45&amp;"_"&amp;$C$23:$C$45,$D$23:$D$45)*$E1486,18)</f>
        <v>10.1341291810842</v>
      </c>
      <c r="I1486" s="67" cm="1">
        <f ca="1" t="array" ref="I1486">MIN(30-SUM(J1486:L1486),6-L1486,_xlfn.XLOOKUP($D1486&amp;"_"&amp;I$61,$B$23:$B$45&amp;"_"&amp;$C$23:$C$45,$D$23:$D$45)*$E1486)</f>
        <v>0</v>
      </c>
      <c r="J1486" s="67" cm="1">
        <f ca="1" t="array" ref="J1486">MIN(8,_xlfn.XLOOKUP($D1486&amp;"_"&amp;J$61,$B$23:$B$45&amp;"_"&amp;$C$23:$C$45,$D$23:$D$45)*$E1486)</f>
        <v>8</v>
      </c>
      <c r="K1486" s="67" cm="1">
        <f ca="1" t="array" ref="K1486">MIN(18,_xlfn.XLOOKUP($D1486&amp;"_"&amp;K$61,$B$23:$B$45&amp;"_"&amp;$C$23:$C$45,$D$23:$D$45)*$E1486)</f>
        <v>5.86587081891581</v>
      </c>
      <c r="L1486" s="67" cm="1">
        <f ca="1" t="array" ref="L1486">MIN(6,_xlfn.XLOOKUP($D1486&amp;"_"&amp;L$61,$B$23:$B$45&amp;"_"&amp;$C$23:$C$45,$D$23:$D$45)*$E1486)</f>
        <v>6</v>
      </c>
      <c r="M1486" s="67" cm="1">
        <f ca="1" t="array" ref="M1486">(1+SUMPRODUCT(G1486:H1486,OFFSET($H$49:$I$49,D1486,0)))*(1+OFFSET($J$49,D1486,0))^I1486*(1+OFFSET($K$49,D1486,0))^J1486*(1+OFFSET($L$49,D1486,0))^K1486*(1+OFFSET($M$49,D1486,0))^L1486</f>
        <v>430.020767336867</v>
      </c>
      <c r="N1486" s="67">
        <f ca="1">MAX(MAX($N$62:N1485),OFFSET($C$61,MATCH(M1486*1.07,$M$62:$M$2061,1),0)-C1486)</f>
        <v>52560</v>
      </c>
    </row>
    <row r="1487" spans="2:14">
      <c r="B1487" s="67">
        <v>1426</v>
      </c>
      <c r="C1487" s="67">
        <f t="shared" si="139"/>
        <v>513360</v>
      </c>
      <c r="D1487" s="67">
        <f t="shared" si="142"/>
        <v>5</v>
      </c>
      <c r="E1487" s="67">
        <f ca="1" t="shared" si="143"/>
        <v>1456</v>
      </c>
      <c r="F1487" s="67">
        <f ca="1" t="shared" si="140"/>
        <v>0</v>
      </c>
      <c r="G1487" s="67">
        <f ca="1" t="shared" si="141"/>
        <v>0</v>
      </c>
      <c r="H1487" s="67" cm="1">
        <f ca="1" t="array" ref="H1487">MIN(30-SUM(I1487:L1487),_xlfn.XLOOKUP($D1487&amp;"_"&amp;H$61,$B$23:$B$45&amp;"_"&amp;$C$23:$C$45,$D$23:$D$45)*$E1487,18)</f>
        <v>10.1300976547482</v>
      </c>
      <c r="I1487" s="67" cm="1">
        <f ca="1" t="array" ref="I1487">MIN(30-SUM(J1487:L1487),6-L1487,_xlfn.XLOOKUP($D1487&amp;"_"&amp;I$61,$B$23:$B$45&amp;"_"&amp;$C$23:$C$45,$D$23:$D$45)*$E1487)</f>
        <v>0</v>
      </c>
      <c r="J1487" s="67" cm="1">
        <f ca="1" t="array" ref="J1487">MIN(8,_xlfn.XLOOKUP($D1487&amp;"_"&amp;J$61,$B$23:$B$45&amp;"_"&amp;$C$23:$C$45,$D$23:$D$45)*$E1487)</f>
        <v>8</v>
      </c>
      <c r="K1487" s="67" cm="1">
        <f ca="1" t="array" ref="K1487">MIN(18,_xlfn.XLOOKUP($D1487&amp;"_"&amp;K$61,$B$23:$B$45&amp;"_"&amp;$C$23:$C$45,$D$23:$D$45)*$E1487)</f>
        <v>5.86990234525183</v>
      </c>
      <c r="L1487" s="67" cm="1">
        <f ca="1" t="array" ref="L1487">MIN(6,_xlfn.XLOOKUP($D1487&amp;"_"&amp;L$61,$B$23:$B$45&amp;"_"&amp;$C$23:$C$45,$D$23:$D$45)*$E1487)</f>
        <v>6</v>
      </c>
      <c r="M1487" s="67" cm="1">
        <f ca="1" t="array" ref="M1487">(1+SUMPRODUCT(G1487:H1487,OFFSET($H$49:$I$49,D1487,0)))*(1+OFFSET($J$49,D1487,0))^I1487*(1+OFFSET($K$49,D1487,0))^J1487*(1+OFFSET($L$49,D1487,0))^K1487*(1+OFFSET($M$49,D1487,0))^L1487</f>
        <v>430.222327564037</v>
      </c>
      <c r="N1487" s="67">
        <f ca="1">MAX(MAX($N$62:N1486),OFFSET($C$61,MATCH(M1487*1.07,$M$62:$M$2061,1),0)-C1487)</f>
        <v>52560</v>
      </c>
    </row>
    <row r="1488" spans="2:14">
      <c r="B1488" s="67">
        <v>1427</v>
      </c>
      <c r="C1488" s="67">
        <f t="shared" si="139"/>
        <v>513720</v>
      </c>
      <c r="D1488" s="67">
        <f t="shared" si="142"/>
        <v>5</v>
      </c>
      <c r="E1488" s="67">
        <f ca="1" t="shared" si="143"/>
        <v>1457</v>
      </c>
      <c r="F1488" s="67">
        <f ca="1" t="shared" si="140"/>
        <v>0</v>
      </c>
      <c r="G1488" s="67">
        <f ca="1" t="shared" si="141"/>
        <v>0</v>
      </c>
      <c r="H1488" s="67" cm="1">
        <f ca="1" t="array" ref="H1488">MIN(30-SUM(I1488:L1488),_xlfn.XLOOKUP($D1488&amp;"_"&amp;H$61,$B$23:$B$45&amp;"_"&amp;$C$23:$C$45,$D$23:$D$45)*$E1488,18)</f>
        <v>10.1260661284121</v>
      </c>
      <c r="I1488" s="67" cm="1">
        <f ca="1" t="array" ref="I1488">MIN(30-SUM(J1488:L1488),6-L1488,_xlfn.XLOOKUP($D1488&amp;"_"&amp;I$61,$B$23:$B$45&amp;"_"&amp;$C$23:$C$45,$D$23:$D$45)*$E1488)</f>
        <v>0</v>
      </c>
      <c r="J1488" s="67" cm="1">
        <f ca="1" t="array" ref="J1488">MIN(8,_xlfn.XLOOKUP($D1488&amp;"_"&amp;J$61,$B$23:$B$45&amp;"_"&amp;$C$23:$C$45,$D$23:$D$45)*$E1488)</f>
        <v>8</v>
      </c>
      <c r="K1488" s="67" cm="1">
        <f ca="1" t="array" ref="K1488">MIN(18,_xlfn.XLOOKUP($D1488&amp;"_"&amp;K$61,$B$23:$B$45&amp;"_"&amp;$C$23:$C$45,$D$23:$D$45)*$E1488)</f>
        <v>5.87393387158786</v>
      </c>
      <c r="L1488" s="67" cm="1">
        <f ca="1" t="array" ref="L1488">MIN(6,_xlfn.XLOOKUP($D1488&amp;"_"&amp;L$61,$B$23:$B$45&amp;"_"&amp;$C$23:$C$45,$D$23:$D$45)*$E1488)</f>
        <v>6</v>
      </c>
      <c r="M1488" s="67" cm="1">
        <f ca="1" t="array" ref="M1488">(1+SUMPRODUCT(G1488:H1488,OFFSET($H$49:$I$49,D1488,0)))*(1+OFFSET($J$49,D1488,0))^I1488*(1+OFFSET($K$49,D1488,0))^J1488*(1+OFFSET($L$49,D1488,0))^K1488*(1+OFFSET($M$49,D1488,0))^L1488</f>
        <v>430.423951707031</v>
      </c>
      <c r="N1488" s="67">
        <f ca="1">MAX(MAX($N$62:N1487),OFFSET($C$61,MATCH(M1488*1.07,$M$62:$M$2061,1),0)-C1488)</f>
        <v>52560</v>
      </c>
    </row>
    <row r="1489" spans="2:14">
      <c r="B1489" s="67">
        <v>1428</v>
      </c>
      <c r="C1489" s="67">
        <f t="shared" si="139"/>
        <v>514080</v>
      </c>
      <c r="D1489" s="67">
        <f t="shared" si="142"/>
        <v>5</v>
      </c>
      <c r="E1489" s="67">
        <f ca="1" t="shared" si="143"/>
        <v>1458</v>
      </c>
      <c r="F1489" s="67">
        <f ca="1" t="shared" si="140"/>
        <v>0</v>
      </c>
      <c r="G1489" s="67">
        <f ca="1" t="shared" si="141"/>
        <v>0</v>
      </c>
      <c r="H1489" s="67" cm="1">
        <f ca="1" t="array" ref="H1489">MIN(30-SUM(I1489:L1489),_xlfn.XLOOKUP($D1489&amp;"_"&amp;H$61,$B$23:$B$45&amp;"_"&amp;$C$23:$C$45,$D$23:$D$45)*$E1489,18)</f>
        <v>10.1220346020761</v>
      </c>
      <c r="I1489" s="67" cm="1">
        <f ca="1" t="array" ref="I1489">MIN(30-SUM(J1489:L1489),6-L1489,_xlfn.XLOOKUP($D1489&amp;"_"&amp;I$61,$B$23:$B$45&amp;"_"&amp;$C$23:$C$45,$D$23:$D$45)*$E1489)</f>
        <v>0</v>
      </c>
      <c r="J1489" s="67" cm="1">
        <f ca="1" t="array" ref="J1489">MIN(8,_xlfn.XLOOKUP($D1489&amp;"_"&amp;J$61,$B$23:$B$45&amp;"_"&amp;$C$23:$C$45,$D$23:$D$45)*$E1489)</f>
        <v>8</v>
      </c>
      <c r="K1489" s="67" cm="1">
        <f ca="1" t="array" ref="K1489">MIN(18,_xlfn.XLOOKUP($D1489&amp;"_"&amp;K$61,$B$23:$B$45&amp;"_"&amp;$C$23:$C$45,$D$23:$D$45)*$E1489)</f>
        <v>5.87796539792388</v>
      </c>
      <c r="L1489" s="67" cm="1">
        <f ca="1" t="array" ref="L1489">MIN(6,_xlfn.XLOOKUP($D1489&amp;"_"&amp;L$61,$B$23:$B$45&amp;"_"&amp;$C$23:$C$45,$D$23:$D$45)*$E1489)</f>
        <v>6</v>
      </c>
      <c r="M1489" s="67" cm="1">
        <f ca="1" t="array" ref="M1489">(1+SUMPRODUCT(G1489:H1489,OFFSET($H$49:$I$49,D1489,0)))*(1+OFFSET($J$49,D1489,0))^I1489*(1+OFFSET($K$49,D1489,0))^J1489*(1+OFFSET($L$49,D1489,0))^K1489*(1+OFFSET($M$49,D1489,0))^L1489</f>
        <v>430.625639750865</v>
      </c>
      <c r="N1489" s="67">
        <f ca="1">MAX(MAX($N$62:N1488),OFFSET($C$61,MATCH(M1489*1.07,$M$62:$M$2061,1),0)-C1489)</f>
        <v>52560</v>
      </c>
    </row>
    <row r="1490" spans="2:14">
      <c r="B1490" s="67">
        <v>1429</v>
      </c>
      <c r="C1490" s="67">
        <f t="shared" si="139"/>
        <v>514440</v>
      </c>
      <c r="D1490" s="67">
        <f t="shared" si="142"/>
        <v>5</v>
      </c>
      <c r="E1490" s="67">
        <f ca="1" t="shared" si="143"/>
        <v>1459</v>
      </c>
      <c r="F1490" s="67">
        <f ca="1" t="shared" si="140"/>
        <v>0</v>
      </c>
      <c r="G1490" s="67">
        <f ca="1" t="shared" si="141"/>
        <v>0</v>
      </c>
      <c r="H1490" s="67" cm="1">
        <f ca="1" t="array" ref="H1490">MIN(30-SUM(I1490:L1490),_xlfn.XLOOKUP($D1490&amp;"_"&amp;H$61,$B$23:$B$45&amp;"_"&amp;$C$23:$C$45,$D$23:$D$45)*$E1490,18)</f>
        <v>10.1180030757401</v>
      </c>
      <c r="I1490" s="67" cm="1">
        <f ca="1" t="array" ref="I1490">MIN(30-SUM(J1490:L1490),6-L1490,_xlfn.XLOOKUP($D1490&amp;"_"&amp;I$61,$B$23:$B$45&amp;"_"&amp;$C$23:$C$45,$D$23:$D$45)*$E1490)</f>
        <v>0</v>
      </c>
      <c r="J1490" s="67" cm="1">
        <f ca="1" t="array" ref="J1490">MIN(8,_xlfn.XLOOKUP($D1490&amp;"_"&amp;J$61,$B$23:$B$45&amp;"_"&amp;$C$23:$C$45,$D$23:$D$45)*$E1490)</f>
        <v>8</v>
      </c>
      <c r="K1490" s="67" cm="1">
        <f ca="1" t="array" ref="K1490">MIN(18,_xlfn.XLOOKUP($D1490&amp;"_"&amp;K$61,$B$23:$B$45&amp;"_"&amp;$C$23:$C$45,$D$23:$D$45)*$E1490)</f>
        <v>5.88199692425991</v>
      </c>
      <c r="L1490" s="67" cm="1">
        <f ca="1" t="array" ref="L1490">MIN(6,_xlfn.XLOOKUP($D1490&amp;"_"&amp;L$61,$B$23:$B$45&amp;"_"&amp;$C$23:$C$45,$D$23:$D$45)*$E1490)</f>
        <v>6</v>
      </c>
      <c r="M1490" s="67" cm="1">
        <f ca="1" t="array" ref="M1490">(1+SUMPRODUCT(G1490:H1490,OFFSET($H$49:$I$49,D1490,0)))*(1+OFFSET($J$49,D1490,0))^I1490*(1+OFFSET($K$49,D1490,0))^J1490*(1+OFFSET($L$49,D1490,0))^K1490*(1+OFFSET($M$49,D1490,0))^L1490</f>
        <v>430.8273916805</v>
      </c>
      <c r="N1490" s="67">
        <f ca="1">MAX(MAX($N$62:N1489),OFFSET($C$61,MATCH(M1490*1.07,$M$62:$M$2061,1),0)-C1490)</f>
        <v>52560</v>
      </c>
    </row>
    <row r="1491" spans="2:14">
      <c r="B1491" s="67">
        <v>1430</v>
      </c>
      <c r="C1491" s="67">
        <f t="shared" si="139"/>
        <v>514800</v>
      </c>
      <c r="D1491" s="67">
        <f t="shared" si="142"/>
        <v>5</v>
      </c>
      <c r="E1491" s="67">
        <f ca="1" t="shared" si="143"/>
        <v>1460</v>
      </c>
      <c r="F1491" s="67">
        <f ca="1" t="shared" si="140"/>
        <v>0</v>
      </c>
      <c r="G1491" s="67">
        <f ca="1" t="shared" si="141"/>
        <v>0</v>
      </c>
      <c r="H1491" s="67" cm="1">
        <f ca="1" t="array" ref="H1491">MIN(30-SUM(I1491:L1491),_xlfn.XLOOKUP($D1491&amp;"_"&amp;H$61,$B$23:$B$45&amp;"_"&amp;$C$23:$C$45,$D$23:$D$45)*$E1491,18)</f>
        <v>10.1139715494041</v>
      </c>
      <c r="I1491" s="67" cm="1">
        <f ca="1" t="array" ref="I1491">MIN(30-SUM(J1491:L1491),6-L1491,_xlfn.XLOOKUP($D1491&amp;"_"&amp;I$61,$B$23:$B$45&amp;"_"&amp;$C$23:$C$45,$D$23:$D$45)*$E1491)</f>
        <v>0</v>
      </c>
      <c r="J1491" s="67" cm="1">
        <f ca="1" t="array" ref="J1491">MIN(8,_xlfn.XLOOKUP($D1491&amp;"_"&amp;J$61,$B$23:$B$45&amp;"_"&amp;$C$23:$C$45,$D$23:$D$45)*$E1491)</f>
        <v>8</v>
      </c>
      <c r="K1491" s="67" cm="1">
        <f ca="1" t="array" ref="K1491">MIN(18,_xlfn.XLOOKUP($D1491&amp;"_"&amp;K$61,$B$23:$B$45&amp;"_"&amp;$C$23:$C$45,$D$23:$D$45)*$E1491)</f>
        <v>5.88602845059593</v>
      </c>
      <c r="L1491" s="67" cm="1">
        <f ca="1" t="array" ref="L1491">MIN(6,_xlfn.XLOOKUP($D1491&amp;"_"&amp;L$61,$B$23:$B$45&amp;"_"&amp;$C$23:$C$45,$D$23:$D$45)*$E1491)</f>
        <v>6</v>
      </c>
      <c r="M1491" s="67" cm="1">
        <f ca="1" t="array" ref="M1491">(1+SUMPRODUCT(G1491:H1491,OFFSET($H$49:$I$49,D1491,0)))*(1+OFFSET($J$49,D1491,0))^I1491*(1+OFFSET($K$49,D1491,0))^J1491*(1+OFFSET($L$49,D1491,0))^K1491*(1+OFFSET($M$49,D1491,0))^L1491</f>
        <v>431.02920748084</v>
      </c>
      <c r="N1491" s="67">
        <f ca="1">MAX(MAX($N$62:N1490),OFFSET($C$61,MATCH(M1491*1.07,$M$62:$M$2061,1),0)-C1491)</f>
        <v>52560</v>
      </c>
    </row>
    <row r="1492" spans="2:14">
      <c r="B1492" s="67">
        <v>1431</v>
      </c>
      <c r="C1492" s="67">
        <f t="shared" si="139"/>
        <v>515160</v>
      </c>
      <c r="D1492" s="67">
        <f t="shared" si="142"/>
        <v>5</v>
      </c>
      <c r="E1492" s="67">
        <f ca="1" t="shared" si="143"/>
        <v>1461</v>
      </c>
      <c r="F1492" s="67">
        <f ca="1" t="shared" si="140"/>
        <v>0</v>
      </c>
      <c r="G1492" s="67">
        <f ca="1" t="shared" si="141"/>
        <v>0</v>
      </c>
      <c r="H1492" s="67" cm="1">
        <f ca="1" t="array" ref="H1492">MIN(30-SUM(I1492:L1492),_xlfn.XLOOKUP($D1492&amp;"_"&amp;H$61,$B$23:$B$45&amp;"_"&amp;$C$23:$C$45,$D$23:$D$45)*$E1492,18)</f>
        <v>10.109940023068</v>
      </c>
      <c r="I1492" s="67" cm="1">
        <f ca="1" t="array" ref="I1492">MIN(30-SUM(J1492:L1492),6-L1492,_xlfn.XLOOKUP($D1492&amp;"_"&amp;I$61,$B$23:$B$45&amp;"_"&amp;$C$23:$C$45,$D$23:$D$45)*$E1492)</f>
        <v>0</v>
      </c>
      <c r="J1492" s="67" cm="1">
        <f ca="1" t="array" ref="J1492">MIN(8,_xlfn.XLOOKUP($D1492&amp;"_"&amp;J$61,$B$23:$B$45&amp;"_"&amp;$C$23:$C$45,$D$23:$D$45)*$E1492)</f>
        <v>8</v>
      </c>
      <c r="K1492" s="67" cm="1">
        <f ca="1" t="array" ref="K1492">MIN(18,_xlfn.XLOOKUP($D1492&amp;"_"&amp;K$61,$B$23:$B$45&amp;"_"&amp;$C$23:$C$45,$D$23:$D$45)*$E1492)</f>
        <v>5.89005997693195</v>
      </c>
      <c r="L1492" s="67" cm="1">
        <f ca="1" t="array" ref="L1492">MIN(6,_xlfn.XLOOKUP($D1492&amp;"_"&amp;L$61,$B$23:$B$45&amp;"_"&amp;$C$23:$C$45,$D$23:$D$45)*$E1492)</f>
        <v>6</v>
      </c>
      <c r="M1492" s="67" cm="1">
        <f ca="1" t="array" ref="M1492">(1+SUMPRODUCT(G1492:H1492,OFFSET($H$49:$I$49,D1492,0)))*(1+OFFSET($J$49,D1492,0))^I1492*(1+OFFSET($K$49,D1492,0))^J1492*(1+OFFSET($L$49,D1492,0))^K1492*(1+OFFSET($M$49,D1492,0))^L1492</f>
        <v>431.231087136731</v>
      </c>
      <c r="N1492" s="67">
        <f ca="1">MAX(MAX($N$62:N1491),OFFSET($C$61,MATCH(M1492*1.07,$M$62:$M$2061,1),0)-C1492)</f>
        <v>52560</v>
      </c>
    </row>
    <row r="1493" spans="2:14">
      <c r="B1493" s="67">
        <v>1432</v>
      </c>
      <c r="C1493" s="67">
        <f t="shared" si="139"/>
        <v>515520</v>
      </c>
      <c r="D1493" s="67">
        <f t="shared" si="142"/>
        <v>5</v>
      </c>
      <c r="E1493" s="67">
        <f ca="1" t="shared" si="143"/>
        <v>1462</v>
      </c>
      <c r="F1493" s="67">
        <f ca="1" t="shared" si="140"/>
        <v>0</v>
      </c>
      <c r="G1493" s="67">
        <f ca="1" t="shared" si="141"/>
        <v>0</v>
      </c>
      <c r="H1493" s="67" cm="1">
        <f ca="1" t="array" ref="H1493">MIN(30-SUM(I1493:L1493),_xlfn.XLOOKUP($D1493&amp;"_"&amp;H$61,$B$23:$B$45&amp;"_"&amp;$C$23:$C$45,$D$23:$D$45)*$E1493,18)</f>
        <v>10.105908496732</v>
      </c>
      <c r="I1493" s="67" cm="1">
        <f ca="1" t="array" ref="I1493">MIN(30-SUM(J1493:L1493),6-L1493,_xlfn.XLOOKUP($D1493&amp;"_"&amp;I$61,$B$23:$B$45&amp;"_"&amp;$C$23:$C$45,$D$23:$D$45)*$E1493)</f>
        <v>0</v>
      </c>
      <c r="J1493" s="67" cm="1">
        <f ca="1" t="array" ref="J1493">MIN(8,_xlfn.XLOOKUP($D1493&amp;"_"&amp;J$61,$B$23:$B$45&amp;"_"&amp;$C$23:$C$45,$D$23:$D$45)*$E1493)</f>
        <v>8</v>
      </c>
      <c r="K1493" s="67" cm="1">
        <f ca="1" t="array" ref="K1493">MIN(18,_xlfn.XLOOKUP($D1493&amp;"_"&amp;K$61,$B$23:$B$45&amp;"_"&amp;$C$23:$C$45,$D$23:$D$45)*$E1493)</f>
        <v>5.89409150326798</v>
      </c>
      <c r="L1493" s="67" cm="1">
        <f ca="1" t="array" ref="L1493">MIN(6,_xlfn.XLOOKUP($D1493&amp;"_"&amp;L$61,$B$23:$B$45&amp;"_"&amp;$C$23:$C$45,$D$23:$D$45)*$E1493)</f>
        <v>6</v>
      </c>
      <c r="M1493" s="67" cm="1">
        <f ca="1" t="array" ref="M1493">(1+SUMPRODUCT(G1493:H1493,OFFSET($H$49:$I$49,D1493,0)))*(1+OFFSET($J$49,D1493,0))^I1493*(1+OFFSET($K$49,D1493,0))^J1493*(1+OFFSET($L$49,D1493,0))^K1493*(1+OFFSET($M$49,D1493,0))^L1493</f>
        <v>431.433030632964</v>
      </c>
      <c r="N1493" s="67">
        <f ca="1">MAX(MAX($N$62:N1492),OFFSET($C$61,MATCH(M1493*1.07,$M$62:$M$2061,1),0)-C1493)</f>
        <v>52560</v>
      </c>
    </row>
    <row r="1494" spans="2:14">
      <c r="B1494" s="67">
        <v>1433</v>
      </c>
      <c r="C1494" s="67">
        <f t="shared" si="139"/>
        <v>515880</v>
      </c>
      <c r="D1494" s="67">
        <f t="shared" si="142"/>
        <v>5</v>
      </c>
      <c r="E1494" s="67">
        <f ca="1" t="shared" si="143"/>
        <v>1463</v>
      </c>
      <c r="F1494" s="67">
        <f ca="1" t="shared" si="140"/>
        <v>0</v>
      </c>
      <c r="G1494" s="67">
        <f ca="1" t="shared" si="141"/>
        <v>0</v>
      </c>
      <c r="H1494" s="67" cm="1">
        <f ca="1" t="array" ref="H1494">MIN(30-SUM(I1494:L1494),_xlfn.XLOOKUP($D1494&amp;"_"&amp;H$61,$B$23:$B$45&amp;"_"&amp;$C$23:$C$45,$D$23:$D$45)*$E1494,18)</f>
        <v>10.101876970396</v>
      </c>
      <c r="I1494" s="67" cm="1">
        <f ca="1" t="array" ref="I1494">MIN(30-SUM(J1494:L1494),6-L1494,_xlfn.XLOOKUP($D1494&amp;"_"&amp;I$61,$B$23:$B$45&amp;"_"&amp;$C$23:$C$45,$D$23:$D$45)*$E1494)</f>
        <v>0</v>
      </c>
      <c r="J1494" s="67" cm="1">
        <f ca="1" t="array" ref="J1494">MIN(8,_xlfn.XLOOKUP($D1494&amp;"_"&amp;J$61,$B$23:$B$45&amp;"_"&amp;$C$23:$C$45,$D$23:$D$45)*$E1494)</f>
        <v>8</v>
      </c>
      <c r="K1494" s="67" cm="1">
        <f ca="1" t="array" ref="K1494">MIN(18,_xlfn.XLOOKUP($D1494&amp;"_"&amp;K$61,$B$23:$B$45&amp;"_"&amp;$C$23:$C$45,$D$23:$D$45)*$E1494)</f>
        <v>5.898123029604</v>
      </c>
      <c r="L1494" s="67" cm="1">
        <f ca="1" t="array" ref="L1494">MIN(6,_xlfn.XLOOKUP($D1494&amp;"_"&amp;L$61,$B$23:$B$45&amp;"_"&amp;$C$23:$C$45,$D$23:$D$45)*$E1494)</f>
        <v>6</v>
      </c>
      <c r="M1494" s="67" cm="1">
        <f ca="1" t="array" ref="M1494">(1+SUMPRODUCT(G1494:H1494,OFFSET($H$49:$I$49,D1494,0)))*(1+OFFSET($J$49,D1494,0))^I1494*(1+OFFSET($K$49,D1494,0))^J1494*(1+OFFSET($L$49,D1494,0))^K1494*(1+OFFSET($M$49,D1494,0))^L1494</f>
        <v>431.635037954273</v>
      </c>
      <c r="N1494" s="67">
        <f ca="1">MAX(MAX($N$62:N1493),OFFSET($C$61,MATCH(M1494*1.07,$M$62:$M$2061,1),0)-C1494)</f>
        <v>52560</v>
      </c>
    </row>
    <row r="1495" spans="2:14">
      <c r="B1495" s="67">
        <v>1434</v>
      </c>
      <c r="C1495" s="67">
        <f t="shared" si="139"/>
        <v>516240</v>
      </c>
      <c r="D1495" s="67">
        <f t="shared" si="142"/>
        <v>5</v>
      </c>
      <c r="E1495" s="67">
        <f ca="1" t="shared" si="143"/>
        <v>1464</v>
      </c>
      <c r="F1495" s="67">
        <f ca="1" t="shared" si="140"/>
        <v>0</v>
      </c>
      <c r="G1495" s="67">
        <f ca="1" t="shared" si="141"/>
        <v>0</v>
      </c>
      <c r="H1495" s="67" cm="1">
        <f ca="1" t="array" ref="H1495">MIN(30-SUM(I1495:L1495),_xlfn.XLOOKUP($D1495&amp;"_"&amp;H$61,$B$23:$B$45&amp;"_"&amp;$C$23:$C$45,$D$23:$D$45)*$E1495,18)</f>
        <v>10.09784544406</v>
      </c>
      <c r="I1495" s="67" cm="1">
        <f ca="1" t="array" ref="I1495">MIN(30-SUM(J1495:L1495),6-L1495,_xlfn.XLOOKUP($D1495&amp;"_"&amp;I$61,$B$23:$B$45&amp;"_"&amp;$C$23:$C$45,$D$23:$D$45)*$E1495)</f>
        <v>0</v>
      </c>
      <c r="J1495" s="67" cm="1">
        <f ca="1" t="array" ref="J1495">MIN(8,_xlfn.XLOOKUP($D1495&amp;"_"&amp;J$61,$B$23:$B$45&amp;"_"&amp;$C$23:$C$45,$D$23:$D$45)*$E1495)</f>
        <v>8</v>
      </c>
      <c r="K1495" s="67" cm="1">
        <f ca="1" t="array" ref="K1495">MIN(18,_xlfn.XLOOKUP($D1495&amp;"_"&amp;K$61,$B$23:$B$45&amp;"_"&amp;$C$23:$C$45,$D$23:$D$45)*$E1495)</f>
        <v>5.90215455594003</v>
      </c>
      <c r="L1495" s="67" cm="1">
        <f ca="1" t="array" ref="L1495">MIN(6,_xlfn.XLOOKUP($D1495&amp;"_"&amp;L$61,$B$23:$B$45&amp;"_"&amp;$C$23:$C$45,$D$23:$D$45)*$E1495)</f>
        <v>6</v>
      </c>
      <c r="M1495" s="67" cm="1">
        <f ca="1" t="array" ref="M1495">(1+SUMPRODUCT(G1495:H1495,OFFSET($H$49:$I$49,D1495,0)))*(1+OFFSET($J$49,D1495,0))^I1495*(1+OFFSET($K$49,D1495,0))^J1495*(1+OFFSET($L$49,D1495,0))^K1495*(1+OFFSET($M$49,D1495,0))^L1495</f>
        <v>431.837109085333</v>
      </c>
      <c r="N1495" s="67">
        <f ca="1">MAX(MAX($N$62:N1494),OFFSET($C$61,MATCH(M1495*1.07,$M$62:$M$2061,1),0)-C1495)</f>
        <v>52560</v>
      </c>
    </row>
    <row r="1496" spans="2:14">
      <c r="B1496" s="67">
        <v>1435</v>
      </c>
      <c r="C1496" s="67">
        <f t="shared" si="139"/>
        <v>516600</v>
      </c>
      <c r="D1496" s="67">
        <f t="shared" si="142"/>
        <v>5</v>
      </c>
      <c r="E1496" s="67">
        <f ca="1" t="shared" si="143"/>
        <v>1465</v>
      </c>
      <c r="F1496" s="67">
        <f ca="1" t="shared" si="140"/>
        <v>0</v>
      </c>
      <c r="G1496" s="67">
        <f ca="1" t="shared" si="141"/>
        <v>0</v>
      </c>
      <c r="H1496" s="67" cm="1">
        <f ca="1" t="array" ref="H1496">MIN(30-SUM(I1496:L1496),_xlfn.XLOOKUP($D1496&amp;"_"&amp;H$61,$B$23:$B$45&amp;"_"&amp;$C$23:$C$45,$D$23:$D$45)*$E1496,18)</f>
        <v>10.0938139177239</v>
      </c>
      <c r="I1496" s="67" cm="1">
        <f ca="1" t="array" ref="I1496">MIN(30-SUM(J1496:L1496),6-L1496,_xlfn.XLOOKUP($D1496&amp;"_"&amp;I$61,$B$23:$B$45&amp;"_"&amp;$C$23:$C$45,$D$23:$D$45)*$E1496)</f>
        <v>0</v>
      </c>
      <c r="J1496" s="67" cm="1">
        <f ca="1" t="array" ref="J1496">MIN(8,_xlfn.XLOOKUP($D1496&amp;"_"&amp;J$61,$B$23:$B$45&amp;"_"&amp;$C$23:$C$45,$D$23:$D$45)*$E1496)</f>
        <v>8</v>
      </c>
      <c r="K1496" s="67" cm="1">
        <f ca="1" t="array" ref="K1496">MIN(18,_xlfn.XLOOKUP($D1496&amp;"_"&amp;K$61,$B$23:$B$45&amp;"_"&amp;$C$23:$C$45,$D$23:$D$45)*$E1496)</f>
        <v>5.90618608227605</v>
      </c>
      <c r="L1496" s="67" cm="1">
        <f ca="1" t="array" ref="L1496">MIN(6,_xlfn.XLOOKUP($D1496&amp;"_"&amp;L$61,$B$23:$B$45&amp;"_"&amp;$C$23:$C$45,$D$23:$D$45)*$E1496)</f>
        <v>6</v>
      </c>
      <c r="M1496" s="67" cm="1">
        <f ca="1" t="array" ref="M1496">(1+SUMPRODUCT(G1496:H1496,OFFSET($H$49:$I$49,D1496,0)))*(1+OFFSET($J$49,D1496,0))^I1496*(1+OFFSET($K$49,D1496,0))^J1496*(1+OFFSET($L$49,D1496,0))^K1496*(1+OFFSET($M$49,D1496,0))^L1496</f>
        <v>432.039244010765</v>
      </c>
      <c r="N1496" s="67">
        <f ca="1">MAX(MAX($N$62:N1495),OFFSET($C$61,MATCH(M1496*1.07,$M$62:$M$2061,1),0)-C1496)</f>
        <v>52560</v>
      </c>
    </row>
    <row r="1497" spans="2:14">
      <c r="B1497" s="67">
        <v>1436</v>
      </c>
      <c r="C1497" s="67">
        <f t="shared" si="139"/>
        <v>516960</v>
      </c>
      <c r="D1497" s="67">
        <f t="shared" si="142"/>
        <v>5</v>
      </c>
      <c r="E1497" s="67">
        <f ca="1" t="shared" si="143"/>
        <v>1466</v>
      </c>
      <c r="F1497" s="67">
        <f ca="1" t="shared" si="140"/>
        <v>0</v>
      </c>
      <c r="G1497" s="67">
        <f ca="1" t="shared" si="141"/>
        <v>0</v>
      </c>
      <c r="H1497" s="67" cm="1">
        <f ca="1" t="array" ref="H1497">MIN(30-SUM(I1497:L1497),_xlfn.XLOOKUP($D1497&amp;"_"&amp;H$61,$B$23:$B$45&amp;"_"&amp;$C$23:$C$45,$D$23:$D$45)*$E1497,18)</f>
        <v>10.0897823913879</v>
      </c>
      <c r="I1497" s="67" cm="1">
        <f ca="1" t="array" ref="I1497">MIN(30-SUM(J1497:L1497),6-L1497,_xlfn.XLOOKUP($D1497&amp;"_"&amp;I$61,$B$23:$B$45&amp;"_"&amp;$C$23:$C$45,$D$23:$D$45)*$E1497)</f>
        <v>0</v>
      </c>
      <c r="J1497" s="67" cm="1">
        <f ca="1" t="array" ref="J1497">MIN(8,_xlfn.XLOOKUP($D1497&amp;"_"&amp;J$61,$B$23:$B$45&amp;"_"&amp;$C$23:$C$45,$D$23:$D$45)*$E1497)</f>
        <v>8</v>
      </c>
      <c r="K1497" s="67" cm="1">
        <f ca="1" t="array" ref="K1497">MIN(18,_xlfn.XLOOKUP($D1497&amp;"_"&amp;K$61,$B$23:$B$45&amp;"_"&amp;$C$23:$C$45,$D$23:$D$45)*$E1497)</f>
        <v>5.91021760861208</v>
      </c>
      <c r="L1497" s="67" cm="1">
        <f ca="1" t="array" ref="L1497">MIN(6,_xlfn.XLOOKUP($D1497&amp;"_"&amp;L$61,$B$23:$B$45&amp;"_"&amp;$C$23:$C$45,$D$23:$D$45)*$E1497)</f>
        <v>6</v>
      </c>
      <c r="M1497" s="67" cm="1">
        <f ca="1" t="array" ref="M1497">(1+SUMPRODUCT(G1497:H1497,OFFSET($H$49:$I$49,D1497,0)))*(1+OFFSET($J$49,D1497,0))^I1497*(1+OFFSET($K$49,D1497,0))^J1497*(1+OFFSET($L$49,D1497,0))^K1497*(1+OFFSET($M$49,D1497,0))^L1497</f>
        <v>432.24144271513</v>
      </c>
      <c r="N1497" s="67">
        <f ca="1">MAX(MAX($N$62:N1496),OFFSET($C$61,MATCH(M1497*1.07,$M$62:$M$2061,1),0)-C1497)</f>
        <v>52560</v>
      </c>
    </row>
    <row r="1498" spans="2:14">
      <c r="B1498" s="67">
        <v>1437</v>
      </c>
      <c r="C1498" s="67">
        <f t="shared" si="139"/>
        <v>517320</v>
      </c>
      <c r="D1498" s="67">
        <f t="shared" si="142"/>
        <v>5</v>
      </c>
      <c r="E1498" s="67">
        <f ca="1" t="shared" si="143"/>
        <v>1467</v>
      </c>
      <c r="F1498" s="67">
        <f ca="1" t="shared" si="140"/>
        <v>0</v>
      </c>
      <c r="G1498" s="67">
        <f ca="1" t="shared" si="141"/>
        <v>0</v>
      </c>
      <c r="H1498" s="67" cm="1">
        <f ca="1" t="array" ref="H1498">MIN(30-SUM(I1498:L1498),_xlfn.XLOOKUP($D1498&amp;"_"&amp;H$61,$B$23:$B$45&amp;"_"&amp;$C$23:$C$45,$D$23:$D$45)*$E1498,18)</f>
        <v>10.0857508650519</v>
      </c>
      <c r="I1498" s="67" cm="1">
        <f ca="1" t="array" ref="I1498">MIN(30-SUM(J1498:L1498),6-L1498,_xlfn.XLOOKUP($D1498&amp;"_"&amp;I$61,$B$23:$B$45&amp;"_"&amp;$C$23:$C$45,$D$23:$D$45)*$E1498)</f>
        <v>0</v>
      </c>
      <c r="J1498" s="67" cm="1">
        <f ca="1" t="array" ref="J1498">MIN(8,_xlfn.XLOOKUP($D1498&amp;"_"&amp;J$61,$B$23:$B$45&amp;"_"&amp;$C$23:$C$45,$D$23:$D$45)*$E1498)</f>
        <v>8</v>
      </c>
      <c r="K1498" s="67" cm="1">
        <f ca="1" t="array" ref="K1498">MIN(18,_xlfn.XLOOKUP($D1498&amp;"_"&amp;K$61,$B$23:$B$45&amp;"_"&amp;$C$23:$C$45,$D$23:$D$45)*$E1498)</f>
        <v>5.9142491349481</v>
      </c>
      <c r="L1498" s="67" cm="1">
        <f ca="1" t="array" ref="L1498">MIN(6,_xlfn.XLOOKUP($D1498&amp;"_"&amp;L$61,$B$23:$B$45&amp;"_"&amp;$C$23:$C$45,$D$23:$D$45)*$E1498)</f>
        <v>6</v>
      </c>
      <c r="M1498" s="67" cm="1">
        <f ca="1" t="array" ref="M1498">(1+SUMPRODUCT(G1498:H1498,OFFSET($H$49:$I$49,D1498,0)))*(1+OFFSET($J$49,D1498,0))^I1498*(1+OFFSET($K$49,D1498,0))^J1498*(1+OFFSET($L$49,D1498,0))^K1498*(1+OFFSET($M$49,D1498,0))^L1498</f>
        <v>432.443705182933</v>
      </c>
      <c r="N1498" s="67">
        <f ca="1">MAX(MAX($N$62:N1497),OFFSET($C$61,MATCH(M1498*1.07,$M$62:$M$2061,1),0)-C1498)</f>
        <v>52560</v>
      </c>
    </row>
    <row r="1499" spans="2:14">
      <c r="B1499" s="67">
        <v>1438</v>
      </c>
      <c r="C1499" s="67">
        <f t="shared" si="139"/>
        <v>517680</v>
      </c>
      <c r="D1499" s="67">
        <f t="shared" si="142"/>
        <v>5</v>
      </c>
      <c r="E1499" s="67">
        <f ca="1" t="shared" si="143"/>
        <v>1468</v>
      </c>
      <c r="F1499" s="67">
        <f ca="1" t="shared" si="140"/>
        <v>0</v>
      </c>
      <c r="G1499" s="67">
        <f ca="1" t="shared" si="141"/>
        <v>0</v>
      </c>
      <c r="H1499" s="67" cm="1">
        <f ca="1" t="array" ref="H1499">MIN(30-SUM(I1499:L1499),_xlfn.XLOOKUP($D1499&amp;"_"&amp;H$61,$B$23:$B$45&amp;"_"&amp;$C$23:$C$45,$D$23:$D$45)*$E1499,18)</f>
        <v>10.0817193387159</v>
      </c>
      <c r="I1499" s="67" cm="1">
        <f ca="1" t="array" ref="I1499">MIN(30-SUM(J1499:L1499),6-L1499,_xlfn.XLOOKUP($D1499&amp;"_"&amp;I$61,$B$23:$B$45&amp;"_"&amp;$C$23:$C$45,$D$23:$D$45)*$E1499)</f>
        <v>0</v>
      </c>
      <c r="J1499" s="67" cm="1">
        <f ca="1" t="array" ref="J1499">MIN(8,_xlfn.XLOOKUP($D1499&amp;"_"&amp;J$61,$B$23:$B$45&amp;"_"&amp;$C$23:$C$45,$D$23:$D$45)*$E1499)</f>
        <v>8</v>
      </c>
      <c r="K1499" s="67" cm="1">
        <f ca="1" t="array" ref="K1499">MIN(18,_xlfn.XLOOKUP($D1499&amp;"_"&amp;K$61,$B$23:$B$45&amp;"_"&amp;$C$23:$C$45,$D$23:$D$45)*$E1499)</f>
        <v>5.91828066128413</v>
      </c>
      <c r="L1499" s="67" cm="1">
        <f ca="1" t="array" ref="L1499">MIN(6,_xlfn.XLOOKUP($D1499&amp;"_"&amp;L$61,$B$23:$B$45&amp;"_"&amp;$C$23:$C$45,$D$23:$D$45)*$E1499)</f>
        <v>6</v>
      </c>
      <c r="M1499" s="67" cm="1">
        <f ca="1" t="array" ref="M1499">(1+SUMPRODUCT(G1499:H1499,OFFSET($H$49:$I$49,D1499,0)))*(1+OFFSET($J$49,D1499,0))^I1499*(1+OFFSET($K$49,D1499,0))^J1499*(1+OFFSET($L$49,D1499,0))^K1499*(1+OFFSET($M$49,D1499,0))^L1499</f>
        <v>432.646031398623</v>
      </c>
      <c r="N1499" s="67">
        <f ca="1">MAX(MAX($N$62:N1498),OFFSET($C$61,MATCH(M1499*1.07,$M$62:$M$2061,1),0)-C1499)</f>
        <v>52560</v>
      </c>
    </row>
    <row r="1500" spans="2:14">
      <c r="B1500" s="67">
        <v>1439</v>
      </c>
      <c r="C1500" s="67">
        <f t="shared" si="139"/>
        <v>518040</v>
      </c>
      <c r="D1500" s="67">
        <f t="shared" si="142"/>
        <v>5</v>
      </c>
      <c r="E1500" s="67">
        <f ca="1" t="shared" si="143"/>
        <v>1469</v>
      </c>
      <c r="F1500" s="67">
        <f ca="1" t="shared" si="140"/>
        <v>0</v>
      </c>
      <c r="G1500" s="67">
        <f ca="1" t="shared" si="141"/>
        <v>0</v>
      </c>
      <c r="H1500" s="67" cm="1">
        <f ca="1" t="array" ref="H1500">MIN(30-SUM(I1500:L1500),_xlfn.XLOOKUP($D1500&amp;"_"&amp;H$61,$B$23:$B$45&amp;"_"&amp;$C$23:$C$45,$D$23:$D$45)*$E1500,18)</f>
        <v>10.0776878123798</v>
      </c>
      <c r="I1500" s="67" cm="1">
        <f ca="1" t="array" ref="I1500">MIN(30-SUM(J1500:L1500),6-L1500,_xlfn.XLOOKUP($D1500&amp;"_"&amp;I$61,$B$23:$B$45&amp;"_"&amp;$C$23:$C$45,$D$23:$D$45)*$E1500)</f>
        <v>0</v>
      </c>
      <c r="J1500" s="67" cm="1">
        <f ca="1" t="array" ref="J1500">MIN(8,_xlfn.XLOOKUP($D1500&amp;"_"&amp;J$61,$B$23:$B$45&amp;"_"&amp;$C$23:$C$45,$D$23:$D$45)*$E1500)</f>
        <v>8</v>
      </c>
      <c r="K1500" s="67" cm="1">
        <f ca="1" t="array" ref="K1500">MIN(18,_xlfn.XLOOKUP($D1500&amp;"_"&amp;K$61,$B$23:$B$45&amp;"_"&amp;$C$23:$C$45,$D$23:$D$45)*$E1500)</f>
        <v>5.92231218762015</v>
      </c>
      <c r="L1500" s="67" cm="1">
        <f ca="1" t="array" ref="L1500">MIN(6,_xlfn.XLOOKUP($D1500&amp;"_"&amp;L$61,$B$23:$B$45&amp;"_"&amp;$C$23:$C$45,$D$23:$D$45)*$E1500)</f>
        <v>6</v>
      </c>
      <c r="M1500" s="67" cm="1">
        <f ca="1" t="array" ref="M1500">(1+SUMPRODUCT(G1500:H1500,OFFSET($H$49:$I$49,D1500,0)))*(1+OFFSET($J$49,D1500,0))^I1500*(1+OFFSET($K$49,D1500,0))^J1500*(1+OFFSET($L$49,D1500,0))^K1500*(1+OFFSET($M$49,D1500,0))^L1500</f>
        <v>432.848421346589</v>
      </c>
      <c r="N1500" s="67">
        <f ca="1">MAX(MAX($N$62:N1499),OFFSET($C$61,MATCH(M1500*1.07,$M$62:$M$2061,1),0)-C1500)</f>
        <v>52560</v>
      </c>
    </row>
    <row r="1501" spans="2:14">
      <c r="B1501" s="67">
        <v>1440</v>
      </c>
      <c r="C1501" s="67">
        <f t="shared" si="139"/>
        <v>518400</v>
      </c>
      <c r="D1501" s="67">
        <f t="shared" si="142"/>
        <v>5</v>
      </c>
      <c r="E1501" s="67">
        <f ca="1" t="shared" si="143"/>
        <v>1470</v>
      </c>
      <c r="F1501" s="67">
        <f ca="1" t="shared" si="140"/>
        <v>0</v>
      </c>
      <c r="G1501" s="67">
        <f ca="1" t="shared" si="141"/>
        <v>0</v>
      </c>
      <c r="H1501" s="67" cm="1">
        <f ca="1" t="array" ref="H1501">MIN(30-SUM(I1501:L1501),_xlfn.XLOOKUP($D1501&amp;"_"&amp;H$61,$B$23:$B$45&amp;"_"&amp;$C$23:$C$45,$D$23:$D$45)*$E1501,18)</f>
        <v>10.0736562860438</v>
      </c>
      <c r="I1501" s="67" cm="1">
        <f ca="1" t="array" ref="I1501">MIN(30-SUM(J1501:L1501),6-L1501,_xlfn.XLOOKUP($D1501&amp;"_"&amp;I$61,$B$23:$B$45&amp;"_"&amp;$C$23:$C$45,$D$23:$D$45)*$E1501)</f>
        <v>0</v>
      </c>
      <c r="J1501" s="67" cm="1">
        <f ca="1" t="array" ref="J1501">MIN(8,_xlfn.XLOOKUP($D1501&amp;"_"&amp;J$61,$B$23:$B$45&amp;"_"&amp;$C$23:$C$45,$D$23:$D$45)*$E1501)</f>
        <v>8</v>
      </c>
      <c r="K1501" s="67" cm="1">
        <f ca="1" t="array" ref="K1501">MIN(18,_xlfn.XLOOKUP($D1501&amp;"_"&amp;K$61,$B$23:$B$45&amp;"_"&amp;$C$23:$C$45,$D$23:$D$45)*$E1501)</f>
        <v>5.92634371395618</v>
      </c>
      <c r="L1501" s="67" cm="1">
        <f ca="1" t="array" ref="L1501">MIN(6,_xlfn.XLOOKUP($D1501&amp;"_"&amp;L$61,$B$23:$B$45&amp;"_"&amp;$C$23:$C$45,$D$23:$D$45)*$E1501)</f>
        <v>6</v>
      </c>
      <c r="M1501" s="67" cm="1">
        <f ca="1" t="array" ref="M1501">(1+SUMPRODUCT(G1501:H1501,OFFSET($H$49:$I$49,D1501,0)))*(1+OFFSET($J$49,D1501,0))^I1501*(1+OFFSET($K$49,D1501,0))^J1501*(1+OFFSET($L$49,D1501,0))^K1501*(1+OFFSET($M$49,D1501,0))^L1501</f>
        <v>433.050875011166</v>
      </c>
      <c r="N1501" s="67">
        <f ca="1">MAX(MAX($N$62:N1500),OFFSET($C$61,MATCH(M1501*1.07,$M$62:$M$2061,1),0)-C1501)</f>
        <v>52560</v>
      </c>
    </row>
    <row r="1502" spans="2:14">
      <c r="B1502" s="67">
        <v>1441</v>
      </c>
      <c r="C1502" s="67">
        <f t="shared" si="139"/>
        <v>518760</v>
      </c>
      <c r="D1502" s="67">
        <f t="shared" si="142"/>
        <v>5</v>
      </c>
      <c r="E1502" s="67">
        <f ca="1" t="shared" si="143"/>
        <v>1471</v>
      </c>
      <c r="F1502" s="67">
        <f ca="1" t="shared" si="140"/>
        <v>0</v>
      </c>
      <c r="G1502" s="67">
        <f ca="1" t="shared" si="141"/>
        <v>0</v>
      </c>
      <c r="H1502" s="67" cm="1">
        <f ca="1" t="array" ref="H1502">MIN(30-SUM(I1502:L1502),_xlfn.XLOOKUP($D1502&amp;"_"&amp;H$61,$B$23:$B$45&amp;"_"&amp;$C$23:$C$45,$D$23:$D$45)*$E1502,18)</f>
        <v>10.0696247597078</v>
      </c>
      <c r="I1502" s="67" cm="1">
        <f ca="1" t="array" ref="I1502">MIN(30-SUM(J1502:L1502),6-L1502,_xlfn.XLOOKUP($D1502&amp;"_"&amp;I$61,$B$23:$B$45&amp;"_"&amp;$C$23:$C$45,$D$23:$D$45)*$E1502)</f>
        <v>0</v>
      </c>
      <c r="J1502" s="67" cm="1">
        <f ca="1" t="array" ref="J1502">MIN(8,_xlfn.XLOOKUP($D1502&amp;"_"&amp;J$61,$B$23:$B$45&amp;"_"&amp;$C$23:$C$45,$D$23:$D$45)*$E1502)</f>
        <v>8</v>
      </c>
      <c r="K1502" s="67" cm="1">
        <f ca="1" t="array" ref="K1502">MIN(18,_xlfn.XLOOKUP($D1502&amp;"_"&amp;K$61,$B$23:$B$45&amp;"_"&amp;$C$23:$C$45,$D$23:$D$45)*$E1502)</f>
        <v>5.9303752402922</v>
      </c>
      <c r="L1502" s="67" cm="1">
        <f ca="1" t="array" ref="L1502">MIN(6,_xlfn.XLOOKUP($D1502&amp;"_"&amp;L$61,$B$23:$B$45&amp;"_"&amp;$C$23:$C$45,$D$23:$D$45)*$E1502)</f>
        <v>6</v>
      </c>
      <c r="M1502" s="67" cm="1">
        <f ca="1" t="array" ref="M1502">(1+SUMPRODUCT(G1502:H1502,OFFSET($H$49:$I$49,D1502,0)))*(1+OFFSET($J$49,D1502,0))^I1502*(1+OFFSET($K$49,D1502,0))^J1502*(1+OFFSET($L$49,D1502,0))^K1502*(1+OFFSET($M$49,D1502,0))^L1502</f>
        <v>433.253392376627</v>
      </c>
      <c r="N1502" s="67">
        <f ca="1">MAX(MAX($N$62:N1501),OFFSET($C$61,MATCH(M1502*1.07,$M$62:$M$2061,1),0)-C1502)</f>
        <v>52560</v>
      </c>
    </row>
    <row r="1503" spans="2:14">
      <c r="B1503" s="67">
        <v>1442</v>
      </c>
      <c r="C1503" s="67">
        <f t="shared" si="139"/>
        <v>519120</v>
      </c>
      <c r="D1503" s="67">
        <f t="shared" si="142"/>
        <v>5</v>
      </c>
      <c r="E1503" s="67">
        <f ca="1" t="shared" si="143"/>
        <v>1472</v>
      </c>
      <c r="F1503" s="67">
        <f ca="1" t="shared" si="140"/>
        <v>0</v>
      </c>
      <c r="G1503" s="67">
        <f ca="1" t="shared" si="141"/>
        <v>0</v>
      </c>
      <c r="H1503" s="67" cm="1">
        <f ca="1" t="array" ref="H1503">MIN(30-SUM(I1503:L1503),_xlfn.XLOOKUP($D1503&amp;"_"&amp;H$61,$B$23:$B$45&amp;"_"&amp;$C$23:$C$45,$D$23:$D$45)*$E1503,18)</f>
        <v>10.0655932333718</v>
      </c>
      <c r="I1503" s="67" cm="1">
        <f ca="1" t="array" ref="I1503">MIN(30-SUM(J1503:L1503),6-L1503,_xlfn.XLOOKUP($D1503&amp;"_"&amp;I$61,$B$23:$B$45&amp;"_"&amp;$C$23:$C$45,$D$23:$D$45)*$E1503)</f>
        <v>0</v>
      </c>
      <c r="J1503" s="67" cm="1">
        <f ca="1" t="array" ref="J1503">MIN(8,_xlfn.XLOOKUP($D1503&amp;"_"&amp;J$61,$B$23:$B$45&amp;"_"&amp;$C$23:$C$45,$D$23:$D$45)*$E1503)</f>
        <v>8</v>
      </c>
      <c r="K1503" s="67" cm="1">
        <f ca="1" t="array" ref="K1503">MIN(18,_xlfn.XLOOKUP($D1503&amp;"_"&amp;K$61,$B$23:$B$45&amp;"_"&amp;$C$23:$C$45,$D$23:$D$45)*$E1503)</f>
        <v>5.93440676662823</v>
      </c>
      <c r="L1503" s="67" cm="1">
        <f ca="1" t="array" ref="L1503">MIN(6,_xlfn.XLOOKUP($D1503&amp;"_"&amp;L$61,$B$23:$B$45&amp;"_"&amp;$C$23:$C$45,$D$23:$D$45)*$E1503)</f>
        <v>6</v>
      </c>
      <c r="M1503" s="67" cm="1">
        <f ca="1" t="array" ref="M1503">(1+SUMPRODUCT(G1503:H1503,OFFSET($H$49:$I$49,D1503,0)))*(1+OFFSET($J$49,D1503,0))^I1503*(1+OFFSET($K$49,D1503,0))^J1503*(1+OFFSET($L$49,D1503,0))^K1503*(1+OFFSET($M$49,D1503,0))^L1503</f>
        <v>433.455973427192</v>
      </c>
      <c r="N1503" s="67">
        <f ca="1">MAX(MAX($N$62:N1502),OFFSET($C$61,MATCH(M1503*1.07,$M$62:$M$2061,1),0)-C1503)</f>
        <v>52560</v>
      </c>
    </row>
    <row r="1504" spans="2:14">
      <c r="B1504" s="67">
        <v>1443</v>
      </c>
      <c r="C1504" s="67">
        <f t="shared" si="139"/>
        <v>519480</v>
      </c>
      <c r="D1504" s="67">
        <f t="shared" si="142"/>
        <v>5</v>
      </c>
      <c r="E1504" s="67">
        <f ca="1" t="shared" si="143"/>
        <v>1473</v>
      </c>
      <c r="F1504" s="67">
        <f ca="1" t="shared" si="140"/>
        <v>0</v>
      </c>
      <c r="G1504" s="67">
        <f ca="1" t="shared" si="141"/>
        <v>0</v>
      </c>
      <c r="H1504" s="67" cm="1">
        <f ca="1" t="array" ref="H1504">MIN(30-SUM(I1504:L1504),_xlfn.XLOOKUP($D1504&amp;"_"&amp;H$61,$B$23:$B$45&amp;"_"&amp;$C$23:$C$45,$D$23:$D$45)*$E1504,18)</f>
        <v>10.0615617070358</v>
      </c>
      <c r="I1504" s="67" cm="1">
        <f ca="1" t="array" ref="I1504">MIN(30-SUM(J1504:L1504),6-L1504,_xlfn.XLOOKUP($D1504&amp;"_"&amp;I$61,$B$23:$B$45&amp;"_"&amp;$C$23:$C$45,$D$23:$D$45)*$E1504)</f>
        <v>0</v>
      </c>
      <c r="J1504" s="67" cm="1">
        <f ca="1" t="array" ref="J1504">MIN(8,_xlfn.XLOOKUP($D1504&amp;"_"&amp;J$61,$B$23:$B$45&amp;"_"&amp;$C$23:$C$45,$D$23:$D$45)*$E1504)</f>
        <v>8</v>
      </c>
      <c r="K1504" s="67" cm="1">
        <f ca="1" t="array" ref="K1504">MIN(18,_xlfn.XLOOKUP($D1504&amp;"_"&amp;K$61,$B$23:$B$45&amp;"_"&amp;$C$23:$C$45,$D$23:$D$45)*$E1504)</f>
        <v>5.93843829296425</v>
      </c>
      <c r="L1504" s="67" cm="1">
        <f ca="1" t="array" ref="L1504">MIN(6,_xlfn.XLOOKUP($D1504&amp;"_"&amp;L$61,$B$23:$B$45&amp;"_"&amp;$C$23:$C$45,$D$23:$D$45)*$E1504)</f>
        <v>6</v>
      </c>
      <c r="M1504" s="67" cm="1">
        <f ca="1" t="array" ref="M1504">(1+SUMPRODUCT(G1504:H1504,OFFSET($H$49:$I$49,D1504,0)))*(1+OFFSET($J$49,D1504,0))^I1504*(1+OFFSET($K$49,D1504,0))^J1504*(1+OFFSET($L$49,D1504,0))^K1504*(1+OFFSET($M$49,D1504,0))^L1504</f>
        <v>433.65861814702</v>
      </c>
      <c r="N1504" s="67">
        <f ca="1">MAX(MAX($N$62:N1503),OFFSET($C$61,MATCH(M1504*1.07,$M$62:$M$2061,1),0)-C1504)</f>
        <v>52560</v>
      </c>
    </row>
    <row r="1505" spans="2:14">
      <c r="B1505" s="67">
        <v>1444</v>
      </c>
      <c r="C1505" s="67">
        <f t="shared" si="139"/>
        <v>519840</v>
      </c>
      <c r="D1505" s="67">
        <f t="shared" si="142"/>
        <v>5</v>
      </c>
      <c r="E1505" s="67">
        <f ca="1" t="shared" si="143"/>
        <v>1474</v>
      </c>
      <c r="F1505" s="67">
        <f ca="1" t="shared" si="140"/>
        <v>0</v>
      </c>
      <c r="G1505" s="67">
        <f ca="1" t="shared" si="141"/>
        <v>0</v>
      </c>
      <c r="H1505" s="67" cm="1">
        <f ca="1" t="array" ref="H1505">MIN(30-SUM(I1505:L1505),_xlfn.XLOOKUP($D1505&amp;"_"&amp;H$61,$B$23:$B$45&amp;"_"&amp;$C$23:$C$45,$D$23:$D$45)*$E1505,18)</f>
        <v>10.0575301806997</v>
      </c>
      <c r="I1505" s="67" cm="1">
        <f ca="1" t="array" ref="I1505">MIN(30-SUM(J1505:L1505),6-L1505,_xlfn.XLOOKUP($D1505&amp;"_"&amp;I$61,$B$23:$B$45&amp;"_"&amp;$C$23:$C$45,$D$23:$D$45)*$E1505)</f>
        <v>0</v>
      </c>
      <c r="J1505" s="67" cm="1">
        <f ca="1" t="array" ref="J1505">MIN(8,_xlfn.XLOOKUP($D1505&amp;"_"&amp;J$61,$B$23:$B$45&amp;"_"&amp;$C$23:$C$45,$D$23:$D$45)*$E1505)</f>
        <v>8</v>
      </c>
      <c r="K1505" s="67" cm="1">
        <f ca="1" t="array" ref="K1505">MIN(18,_xlfn.XLOOKUP($D1505&amp;"_"&amp;K$61,$B$23:$B$45&amp;"_"&amp;$C$23:$C$45,$D$23:$D$45)*$E1505)</f>
        <v>5.94246981930027</v>
      </c>
      <c r="L1505" s="67" cm="1">
        <f ca="1" t="array" ref="L1505">MIN(6,_xlfn.XLOOKUP($D1505&amp;"_"&amp;L$61,$B$23:$B$45&amp;"_"&amp;$C$23:$C$45,$D$23:$D$45)*$E1505)</f>
        <v>6</v>
      </c>
      <c r="M1505" s="67" cm="1">
        <f ca="1" t="array" ref="M1505">(1+SUMPRODUCT(G1505:H1505,OFFSET($H$49:$I$49,D1505,0)))*(1+OFFSET($J$49,D1505,0))^I1505*(1+OFFSET($K$49,D1505,0))^J1505*(1+OFFSET($L$49,D1505,0))^K1505*(1+OFFSET($M$49,D1505,0))^L1505</f>
        <v>433.861326520214</v>
      </c>
      <c r="N1505" s="67">
        <f ca="1">MAX(MAX($N$62:N1504),OFFSET($C$61,MATCH(M1505*1.07,$M$62:$M$2061,1),0)-C1505)</f>
        <v>52560</v>
      </c>
    </row>
    <row r="1506" spans="2:14">
      <c r="B1506" s="67">
        <v>1445</v>
      </c>
      <c r="C1506" s="67">
        <f t="shared" si="139"/>
        <v>520200</v>
      </c>
      <c r="D1506" s="67">
        <f t="shared" si="142"/>
        <v>5</v>
      </c>
      <c r="E1506" s="67">
        <f ca="1" t="shared" si="143"/>
        <v>1475</v>
      </c>
      <c r="F1506" s="67">
        <f ca="1" t="shared" si="140"/>
        <v>0</v>
      </c>
      <c r="G1506" s="67">
        <f ca="1" t="shared" si="141"/>
        <v>0</v>
      </c>
      <c r="H1506" s="67" cm="1">
        <f ca="1" t="array" ref="H1506">MIN(30-SUM(I1506:L1506),_xlfn.XLOOKUP($D1506&amp;"_"&amp;H$61,$B$23:$B$45&amp;"_"&amp;$C$23:$C$45,$D$23:$D$45)*$E1506,18)</f>
        <v>10.0534986543637</v>
      </c>
      <c r="I1506" s="67" cm="1">
        <f ca="1" t="array" ref="I1506">MIN(30-SUM(J1506:L1506),6-L1506,_xlfn.XLOOKUP($D1506&amp;"_"&amp;I$61,$B$23:$B$45&amp;"_"&amp;$C$23:$C$45,$D$23:$D$45)*$E1506)</f>
        <v>0</v>
      </c>
      <c r="J1506" s="67" cm="1">
        <f ca="1" t="array" ref="J1506">MIN(8,_xlfn.XLOOKUP($D1506&amp;"_"&amp;J$61,$B$23:$B$45&amp;"_"&amp;$C$23:$C$45,$D$23:$D$45)*$E1506)</f>
        <v>8</v>
      </c>
      <c r="K1506" s="67" cm="1">
        <f ca="1" t="array" ref="K1506">MIN(18,_xlfn.XLOOKUP($D1506&amp;"_"&amp;K$61,$B$23:$B$45&amp;"_"&amp;$C$23:$C$45,$D$23:$D$45)*$E1506)</f>
        <v>5.9465013456363</v>
      </c>
      <c r="L1506" s="67" cm="1">
        <f ca="1" t="array" ref="L1506">MIN(6,_xlfn.XLOOKUP($D1506&amp;"_"&amp;L$61,$B$23:$B$45&amp;"_"&amp;$C$23:$C$45,$D$23:$D$45)*$E1506)</f>
        <v>6</v>
      </c>
      <c r="M1506" s="67" cm="1">
        <f ca="1" t="array" ref="M1506">(1+SUMPRODUCT(G1506:H1506,OFFSET($H$49:$I$49,D1506,0)))*(1+OFFSET($J$49,D1506,0))^I1506*(1+OFFSET($K$49,D1506,0))^J1506*(1+OFFSET($L$49,D1506,0))^K1506*(1+OFFSET($M$49,D1506,0))^L1506</f>
        <v>434.064098530819</v>
      </c>
      <c r="N1506" s="67">
        <f ca="1">MAX(MAX($N$62:N1505),OFFSET($C$61,MATCH(M1506*1.07,$M$62:$M$2061,1),0)-C1506)</f>
        <v>52560</v>
      </c>
    </row>
    <row r="1507" spans="2:14">
      <c r="B1507" s="67">
        <v>1446</v>
      </c>
      <c r="C1507" s="67">
        <f t="shared" si="139"/>
        <v>520560</v>
      </c>
      <c r="D1507" s="67">
        <f t="shared" si="142"/>
        <v>5</v>
      </c>
      <c r="E1507" s="67">
        <f ca="1" t="shared" si="143"/>
        <v>1476</v>
      </c>
      <c r="F1507" s="67">
        <f ca="1" t="shared" si="140"/>
        <v>0</v>
      </c>
      <c r="G1507" s="67">
        <f ca="1" t="shared" si="141"/>
        <v>0</v>
      </c>
      <c r="H1507" s="67" cm="1">
        <f ca="1" t="array" ref="H1507">MIN(30-SUM(I1507:L1507),_xlfn.XLOOKUP($D1507&amp;"_"&amp;H$61,$B$23:$B$45&amp;"_"&amp;$C$23:$C$45,$D$23:$D$45)*$E1507,18)</f>
        <v>10.0494671280277</v>
      </c>
      <c r="I1507" s="67" cm="1">
        <f ca="1" t="array" ref="I1507">MIN(30-SUM(J1507:L1507),6-L1507,_xlfn.XLOOKUP($D1507&amp;"_"&amp;I$61,$B$23:$B$45&amp;"_"&amp;$C$23:$C$45,$D$23:$D$45)*$E1507)</f>
        <v>0</v>
      </c>
      <c r="J1507" s="67" cm="1">
        <f ca="1" t="array" ref="J1507">MIN(8,_xlfn.XLOOKUP($D1507&amp;"_"&amp;J$61,$B$23:$B$45&amp;"_"&amp;$C$23:$C$45,$D$23:$D$45)*$E1507)</f>
        <v>8</v>
      </c>
      <c r="K1507" s="67" cm="1">
        <f ca="1" t="array" ref="K1507">MIN(18,_xlfn.XLOOKUP($D1507&amp;"_"&amp;K$61,$B$23:$B$45&amp;"_"&amp;$C$23:$C$45,$D$23:$D$45)*$E1507)</f>
        <v>5.95053287197232</v>
      </c>
      <c r="L1507" s="67" cm="1">
        <f ca="1" t="array" ref="L1507">MIN(6,_xlfn.XLOOKUP($D1507&amp;"_"&amp;L$61,$B$23:$B$45&amp;"_"&amp;$C$23:$C$45,$D$23:$D$45)*$E1507)</f>
        <v>6</v>
      </c>
      <c r="M1507" s="67" cm="1">
        <f ca="1" t="array" ref="M1507">(1+SUMPRODUCT(G1507:H1507,OFFSET($H$49:$I$49,D1507,0)))*(1+OFFSET($J$49,D1507,0))^I1507*(1+OFFSET($K$49,D1507,0))^J1507*(1+OFFSET($L$49,D1507,0))^K1507*(1+OFFSET($M$49,D1507,0))^L1507</f>
        <v>434.266934162822</v>
      </c>
      <c r="N1507" s="67">
        <f ca="1">MAX(MAX($N$62:N1506),OFFSET($C$61,MATCH(M1507*1.07,$M$62:$M$2061,1),0)-C1507)</f>
        <v>52560</v>
      </c>
    </row>
    <row r="1508" spans="2:14">
      <c r="B1508" s="67">
        <v>1447</v>
      </c>
      <c r="C1508" s="67">
        <f t="shared" si="139"/>
        <v>520920</v>
      </c>
      <c r="D1508" s="67">
        <f t="shared" si="142"/>
        <v>5</v>
      </c>
      <c r="E1508" s="67">
        <f ca="1" t="shared" si="143"/>
        <v>1477</v>
      </c>
      <c r="F1508" s="67">
        <f ca="1" t="shared" si="140"/>
        <v>0</v>
      </c>
      <c r="G1508" s="67">
        <f ca="1" t="shared" si="141"/>
        <v>0</v>
      </c>
      <c r="H1508" s="67" cm="1">
        <f ca="1" t="array" ref="H1508">MIN(30-SUM(I1508:L1508),_xlfn.XLOOKUP($D1508&amp;"_"&amp;H$61,$B$23:$B$45&amp;"_"&amp;$C$23:$C$45,$D$23:$D$45)*$E1508,18)</f>
        <v>10.0454356016917</v>
      </c>
      <c r="I1508" s="67" cm="1">
        <f ca="1" t="array" ref="I1508">MIN(30-SUM(J1508:L1508),6-L1508,_xlfn.XLOOKUP($D1508&amp;"_"&amp;I$61,$B$23:$B$45&amp;"_"&amp;$C$23:$C$45,$D$23:$D$45)*$E1508)</f>
        <v>0</v>
      </c>
      <c r="J1508" s="67" cm="1">
        <f ca="1" t="array" ref="J1508">MIN(8,_xlfn.XLOOKUP($D1508&amp;"_"&amp;J$61,$B$23:$B$45&amp;"_"&amp;$C$23:$C$45,$D$23:$D$45)*$E1508)</f>
        <v>8</v>
      </c>
      <c r="K1508" s="67" cm="1">
        <f ca="1" t="array" ref="K1508">MIN(18,_xlfn.XLOOKUP($D1508&amp;"_"&amp;K$61,$B$23:$B$45&amp;"_"&amp;$C$23:$C$45,$D$23:$D$45)*$E1508)</f>
        <v>5.95456439830835</v>
      </c>
      <c r="L1508" s="67" cm="1">
        <f ca="1" t="array" ref="L1508">MIN(6,_xlfn.XLOOKUP($D1508&amp;"_"&amp;L$61,$B$23:$B$45&amp;"_"&amp;$C$23:$C$45,$D$23:$D$45)*$E1508)</f>
        <v>6</v>
      </c>
      <c r="M1508" s="67" cm="1">
        <f ca="1" t="array" ref="M1508">(1+SUMPRODUCT(G1508:H1508,OFFSET($H$49:$I$49,D1508,0)))*(1+OFFSET($J$49,D1508,0))^I1508*(1+OFFSET($K$49,D1508,0))^J1508*(1+OFFSET($L$49,D1508,0))^K1508*(1+OFFSET($M$49,D1508,0))^L1508</f>
        <v>434.469833400151</v>
      </c>
      <c r="N1508" s="67">
        <f ca="1">MAX(MAX($N$62:N1507),OFFSET($C$61,MATCH(M1508*1.07,$M$62:$M$2061,1),0)-C1508)</f>
        <v>52560</v>
      </c>
    </row>
    <row r="1509" spans="2:14">
      <c r="B1509" s="67">
        <v>1448</v>
      </c>
      <c r="C1509" s="67">
        <f t="shared" si="139"/>
        <v>521280</v>
      </c>
      <c r="D1509" s="67">
        <f t="shared" si="142"/>
        <v>5</v>
      </c>
      <c r="E1509" s="67">
        <f ca="1" t="shared" si="143"/>
        <v>1478</v>
      </c>
      <c r="F1509" s="67">
        <f ca="1" t="shared" si="140"/>
        <v>0</v>
      </c>
      <c r="G1509" s="67">
        <f ca="1" t="shared" si="141"/>
        <v>0</v>
      </c>
      <c r="H1509" s="67" cm="1">
        <f ca="1" t="array" ref="H1509">MIN(30-SUM(I1509:L1509),_xlfn.XLOOKUP($D1509&amp;"_"&amp;H$61,$B$23:$B$45&amp;"_"&amp;$C$23:$C$45,$D$23:$D$45)*$E1509,18)</f>
        <v>10.0414040753556</v>
      </c>
      <c r="I1509" s="67" cm="1">
        <f ca="1" t="array" ref="I1509">MIN(30-SUM(J1509:L1509),6-L1509,_xlfn.XLOOKUP($D1509&amp;"_"&amp;I$61,$B$23:$B$45&amp;"_"&amp;$C$23:$C$45,$D$23:$D$45)*$E1509)</f>
        <v>0</v>
      </c>
      <c r="J1509" s="67" cm="1">
        <f ca="1" t="array" ref="J1509">MIN(8,_xlfn.XLOOKUP($D1509&amp;"_"&amp;J$61,$B$23:$B$45&amp;"_"&amp;$C$23:$C$45,$D$23:$D$45)*$E1509)</f>
        <v>8</v>
      </c>
      <c r="K1509" s="67" cm="1">
        <f ca="1" t="array" ref="K1509">MIN(18,_xlfn.XLOOKUP($D1509&amp;"_"&amp;K$61,$B$23:$B$45&amp;"_"&amp;$C$23:$C$45,$D$23:$D$45)*$E1509)</f>
        <v>5.95859592464437</v>
      </c>
      <c r="L1509" s="67" cm="1">
        <f ca="1" t="array" ref="L1509">MIN(6,_xlfn.XLOOKUP($D1509&amp;"_"&amp;L$61,$B$23:$B$45&amp;"_"&amp;$C$23:$C$45,$D$23:$D$45)*$E1509)</f>
        <v>6</v>
      </c>
      <c r="M1509" s="67" cm="1">
        <f ca="1" t="array" ref="M1509">(1+SUMPRODUCT(G1509:H1509,OFFSET($H$49:$I$49,D1509,0)))*(1+OFFSET($J$49,D1509,0))^I1509*(1+OFFSET($K$49,D1509,0))^J1509*(1+OFFSET($L$49,D1509,0))^K1509*(1+OFFSET($M$49,D1509,0))^L1509</f>
        <v>434.672796226678</v>
      </c>
      <c r="N1509" s="67">
        <f ca="1">MAX(MAX($N$62:N1508),OFFSET($C$61,MATCH(M1509*1.07,$M$62:$M$2061,1),0)-C1509)</f>
        <v>52560</v>
      </c>
    </row>
    <row r="1510" spans="2:14">
      <c r="B1510" s="67">
        <v>1449</v>
      </c>
      <c r="C1510" s="67">
        <f t="shared" si="139"/>
        <v>521640</v>
      </c>
      <c r="D1510" s="67">
        <f t="shared" si="142"/>
        <v>5</v>
      </c>
      <c r="E1510" s="67">
        <f ca="1" t="shared" si="143"/>
        <v>1479</v>
      </c>
      <c r="F1510" s="67">
        <f ca="1" t="shared" si="140"/>
        <v>0</v>
      </c>
      <c r="G1510" s="67">
        <f ca="1" t="shared" si="141"/>
        <v>0</v>
      </c>
      <c r="H1510" s="67" cm="1">
        <f ca="1" t="array" ref="H1510">MIN(30-SUM(I1510:L1510),_xlfn.XLOOKUP($D1510&amp;"_"&amp;H$61,$B$23:$B$45&amp;"_"&amp;$C$23:$C$45,$D$23:$D$45)*$E1510,18)</f>
        <v>10.0373725490196</v>
      </c>
      <c r="I1510" s="67" cm="1">
        <f ca="1" t="array" ref="I1510">MIN(30-SUM(J1510:L1510),6-L1510,_xlfn.XLOOKUP($D1510&amp;"_"&amp;I$61,$B$23:$B$45&amp;"_"&amp;$C$23:$C$45,$D$23:$D$45)*$E1510)</f>
        <v>0</v>
      </c>
      <c r="J1510" s="67" cm="1">
        <f ca="1" t="array" ref="J1510">MIN(8,_xlfn.XLOOKUP($D1510&amp;"_"&amp;J$61,$B$23:$B$45&amp;"_"&amp;$C$23:$C$45,$D$23:$D$45)*$E1510)</f>
        <v>8</v>
      </c>
      <c r="K1510" s="67" cm="1">
        <f ca="1" t="array" ref="K1510">MIN(18,_xlfn.XLOOKUP($D1510&amp;"_"&amp;K$61,$B$23:$B$45&amp;"_"&amp;$C$23:$C$45,$D$23:$D$45)*$E1510)</f>
        <v>5.9626274509804</v>
      </c>
      <c r="L1510" s="67" cm="1">
        <f ca="1" t="array" ref="L1510">MIN(6,_xlfn.XLOOKUP($D1510&amp;"_"&amp;L$61,$B$23:$B$45&amp;"_"&amp;$C$23:$C$45,$D$23:$D$45)*$E1510)</f>
        <v>6</v>
      </c>
      <c r="M1510" s="67" cm="1">
        <f ca="1" t="array" ref="M1510">(1+SUMPRODUCT(G1510:H1510,OFFSET($H$49:$I$49,D1510,0)))*(1+OFFSET($J$49,D1510,0))^I1510*(1+OFFSET($K$49,D1510,0))^J1510*(1+OFFSET($L$49,D1510,0))^K1510*(1+OFFSET($M$49,D1510,0))^L1510</f>
        <v>434.875822626215</v>
      </c>
      <c r="N1510" s="67">
        <f ca="1">MAX(MAX($N$62:N1509),OFFSET($C$61,MATCH(M1510*1.07,$M$62:$M$2061,1),0)-C1510)</f>
        <v>52560</v>
      </c>
    </row>
    <row r="1511" spans="2:14">
      <c r="B1511" s="67">
        <v>1450</v>
      </c>
      <c r="C1511" s="67">
        <f t="shared" si="139"/>
        <v>522000</v>
      </c>
      <c r="D1511" s="67">
        <f t="shared" si="142"/>
        <v>5</v>
      </c>
      <c r="E1511" s="67">
        <f ca="1" t="shared" si="143"/>
        <v>1480</v>
      </c>
      <c r="F1511" s="67">
        <f ca="1" t="shared" si="140"/>
        <v>0</v>
      </c>
      <c r="G1511" s="67">
        <f ca="1" t="shared" si="141"/>
        <v>0</v>
      </c>
      <c r="H1511" s="67" cm="1">
        <f ca="1" t="array" ref="H1511">MIN(30-SUM(I1511:L1511),_xlfn.XLOOKUP($D1511&amp;"_"&amp;H$61,$B$23:$B$45&amp;"_"&amp;$C$23:$C$45,$D$23:$D$45)*$E1511,18)</f>
        <v>10.0333410226836</v>
      </c>
      <c r="I1511" s="67" cm="1">
        <f ca="1" t="array" ref="I1511">MIN(30-SUM(J1511:L1511),6-L1511,_xlfn.XLOOKUP($D1511&amp;"_"&amp;I$61,$B$23:$B$45&amp;"_"&amp;$C$23:$C$45,$D$23:$D$45)*$E1511)</f>
        <v>0</v>
      </c>
      <c r="J1511" s="67" cm="1">
        <f ca="1" t="array" ref="J1511">MIN(8,_xlfn.XLOOKUP($D1511&amp;"_"&amp;J$61,$B$23:$B$45&amp;"_"&amp;$C$23:$C$45,$D$23:$D$45)*$E1511)</f>
        <v>8</v>
      </c>
      <c r="K1511" s="67" cm="1">
        <f ca="1" t="array" ref="K1511">MIN(18,_xlfn.XLOOKUP($D1511&amp;"_"&amp;K$61,$B$23:$B$45&amp;"_"&amp;$C$23:$C$45,$D$23:$D$45)*$E1511)</f>
        <v>5.96665897731642</v>
      </c>
      <c r="L1511" s="67" cm="1">
        <f ca="1" t="array" ref="L1511">MIN(6,_xlfn.XLOOKUP($D1511&amp;"_"&amp;L$61,$B$23:$B$45&amp;"_"&amp;$C$23:$C$45,$D$23:$D$45)*$E1511)</f>
        <v>6</v>
      </c>
      <c r="M1511" s="67" cm="1">
        <f ca="1" t="array" ref="M1511">(1+SUMPRODUCT(G1511:H1511,OFFSET($H$49:$I$49,D1511,0)))*(1+OFFSET($J$49,D1511,0))^I1511*(1+OFFSET($K$49,D1511,0))^J1511*(1+OFFSET($L$49,D1511,0))^K1511*(1+OFFSET($M$49,D1511,0))^L1511</f>
        <v>435.078912582518</v>
      </c>
      <c r="N1511" s="67">
        <f ca="1">MAX(MAX($N$62:N1510),OFFSET($C$61,MATCH(M1511*1.07,$M$62:$M$2061,1),0)-C1511)</f>
        <v>52560</v>
      </c>
    </row>
    <row r="1512" spans="2:14">
      <c r="B1512" s="67">
        <v>1451</v>
      </c>
      <c r="C1512" s="67">
        <f t="shared" si="139"/>
        <v>522360</v>
      </c>
      <c r="D1512" s="67">
        <f t="shared" si="142"/>
        <v>5</v>
      </c>
      <c r="E1512" s="67">
        <f ca="1" t="shared" si="143"/>
        <v>1481</v>
      </c>
      <c r="F1512" s="67">
        <f ca="1" t="shared" si="140"/>
        <v>0</v>
      </c>
      <c r="G1512" s="67">
        <f ca="1" t="shared" si="141"/>
        <v>0</v>
      </c>
      <c r="H1512" s="67" cm="1">
        <f ca="1" t="array" ref="H1512">MIN(30-SUM(I1512:L1512),_xlfn.XLOOKUP($D1512&amp;"_"&amp;H$61,$B$23:$B$45&amp;"_"&amp;$C$23:$C$45,$D$23:$D$45)*$E1512,18)</f>
        <v>10.0293094963476</v>
      </c>
      <c r="I1512" s="67" cm="1">
        <f ca="1" t="array" ref="I1512">MIN(30-SUM(J1512:L1512),6-L1512,_xlfn.XLOOKUP($D1512&amp;"_"&amp;I$61,$B$23:$B$45&amp;"_"&amp;$C$23:$C$45,$D$23:$D$45)*$E1512)</f>
        <v>0</v>
      </c>
      <c r="J1512" s="67" cm="1">
        <f ca="1" t="array" ref="J1512">MIN(8,_xlfn.XLOOKUP($D1512&amp;"_"&amp;J$61,$B$23:$B$45&amp;"_"&amp;$C$23:$C$45,$D$23:$D$45)*$E1512)</f>
        <v>8</v>
      </c>
      <c r="K1512" s="67" cm="1">
        <f ca="1" t="array" ref="K1512">MIN(18,_xlfn.XLOOKUP($D1512&amp;"_"&amp;K$61,$B$23:$B$45&amp;"_"&amp;$C$23:$C$45,$D$23:$D$45)*$E1512)</f>
        <v>5.97069050365245</v>
      </c>
      <c r="L1512" s="67" cm="1">
        <f ca="1" t="array" ref="L1512">MIN(6,_xlfn.XLOOKUP($D1512&amp;"_"&amp;L$61,$B$23:$B$45&amp;"_"&amp;$C$23:$C$45,$D$23:$D$45)*$E1512)</f>
        <v>6</v>
      </c>
      <c r="M1512" s="67" cm="1">
        <f ca="1" t="array" ref="M1512">(1+SUMPRODUCT(G1512:H1512,OFFSET($H$49:$I$49,D1512,0)))*(1+OFFSET($J$49,D1512,0))^I1512*(1+OFFSET($K$49,D1512,0))^J1512*(1+OFFSET($L$49,D1512,0))^K1512*(1+OFFSET($M$49,D1512,0))^L1512</f>
        <v>435.282066079281</v>
      </c>
      <c r="N1512" s="67">
        <f ca="1">MAX(MAX($N$62:N1511),OFFSET($C$61,MATCH(M1512*1.07,$M$62:$M$2061,1),0)-C1512)</f>
        <v>52560</v>
      </c>
    </row>
    <row r="1513" spans="2:14">
      <c r="B1513" s="67">
        <v>1452</v>
      </c>
      <c r="C1513" s="67">
        <f t="shared" si="139"/>
        <v>522720</v>
      </c>
      <c r="D1513" s="67">
        <f t="shared" si="142"/>
        <v>5</v>
      </c>
      <c r="E1513" s="67">
        <f ca="1" t="shared" si="143"/>
        <v>1482</v>
      </c>
      <c r="F1513" s="67">
        <f ca="1" t="shared" si="140"/>
        <v>0</v>
      </c>
      <c r="G1513" s="67">
        <f ca="1" t="shared" si="141"/>
        <v>0</v>
      </c>
      <c r="H1513" s="67" cm="1">
        <f ca="1" t="array" ref="H1513">MIN(30-SUM(I1513:L1513),_xlfn.XLOOKUP($D1513&amp;"_"&amp;H$61,$B$23:$B$45&amp;"_"&amp;$C$23:$C$45,$D$23:$D$45)*$E1513,18)</f>
        <v>10.0252779700115</v>
      </c>
      <c r="I1513" s="67" cm="1">
        <f ca="1" t="array" ref="I1513">MIN(30-SUM(J1513:L1513),6-L1513,_xlfn.XLOOKUP($D1513&amp;"_"&amp;I$61,$B$23:$B$45&amp;"_"&amp;$C$23:$C$45,$D$23:$D$45)*$E1513)</f>
        <v>0</v>
      </c>
      <c r="J1513" s="67" cm="1">
        <f ca="1" t="array" ref="J1513">MIN(8,_xlfn.XLOOKUP($D1513&amp;"_"&amp;J$61,$B$23:$B$45&amp;"_"&amp;$C$23:$C$45,$D$23:$D$45)*$E1513)</f>
        <v>8</v>
      </c>
      <c r="K1513" s="67" cm="1">
        <f ca="1" t="array" ref="K1513">MIN(18,_xlfn.XLOOKUP($D1513&amp;"_"&amp;K$61,$B$23:$B$45&amp;"_"&amp;$C$23:$C$45,$D$23:$D$45)*$E1513)</f>
        <v>5.97472202998847</v>
      </c>
      <c r="L1513" s="67" cm="1">
        <f ca="1" t="array" ref="L1513">MIN(6,_xlfn.XLOOKUP($D1513&amp;"_"&amp;L$61,$B$23:$B$45&amp;"_"&amp;$C$23:$C$45,$D$23:$D$45)*$E1513)</f>
        <v>6</v>
      </c>
      <c r="M1513" s="67" cm="1">
        <f ca="1" t="array" ref="M1513">(1+SUMPRODUCT(G1513:H1513,OFFSET($H$49:$I$49,D1513,0)))*(1+OFFSET($J$49,D1513,0))^I1513*(1+OFFSET($K$49,D1513,0))^J1513*(1+OFFSET($L$49,D1513,0))^K1513*(1+OFFSET($M$49,D1513,0))^L1513</f>
        <v>435.485283100144</v>
      </c>
      <c r="N1513" s="67">
        <f ca="1">MAX(MAX($N$62:N1512),OFFSET($C$61,MATCH(M1513*1.07,$M$62:$M$2061,1),0)-C1513)</f>
        <v>52560</v>
      </c>
    </row>
    <row r="1514" spans="2:14">
      <c r="B1514" s="67">
        <v>1453</v>
      </c>
      <c r="C1514" s="67">
        <f t="shared" si="139"/>
        <v>523080</v>
      </c>
      <c r="D1514" s="67">
        <f t="shared" si="142"/>
        <v>5</v>
      </c>
      <c r="E1514" s="67">
        <f ca="1" t="shared" si="143"/>
        <v>1483</v>
      </c>
      <c r="F1514" s="67">
        <f ca="1" t="shared" si="140"/>
        <v>0</v>
      </c>
      <c r="G1514" s="67">
        <f ca="1" t="shared" si="141"/>
        <v>0</v>
      </c>
      <c r="H1514" s="67" cm="1">
        <f ca="1" t="array" ref="H1514">MIN(30-SUM(I1514:L1514),_xlfn.XLOOKUP($D1514&amp;"_"&amp;H$61,$B$23:$B$45&amp;"_"&amp;$C$23:$C$45,$D$23:$D$45)*$E1514,18)</f>
        <v>10.0212464436755</v>
      </c>
      <c r="I1514" s="67" cm="1">
        <f ca="1" t="array" ref="I1514">MIN(30-SUM(J1514:L1514),6-L1514,_xlfn.XLOOKUP($D1514&amp;"_"&amp;I$61,$B$23:$B$45&amp;"_"&amp;$C$23:$C$45,$D$23:$D$45)*$E1514)</f>
        <v>0</v>
      </c>
      <c r="J1514" s="67" cm="1">
        <f ca="1" t="array" ref="J1514">MIN(8,_xlfn.XLOOKUP($D1514&amp;"_"&amp;J$61,$B$23:$B$45&amp;"_"&amp;$C$23:$C$45,$D$23:$D$45)*$E1514)</f>
        <v>8</v>
      </c>
      <c r="K1514" s="67" cm="1">
        <f ca="1" t="array" ref="K1514">MIN(18,_xlfn.XLOOKUP($D1514&amp;"_"&amp;K$61,$B$23:$B$45&amp;"_"&amp;$C$23:$C$45,$D$23:$D$45)*$E1514)</f>
        <v>5.9787535563245</v>
      </c>
      <c r="L1514" s="67" cm="1">
        <f ca="1" t="array" ref="L1514">MIN(6,_xlfn.XLOOKUP($D1514&amp;"_"&amp;L$61,$B$23:$B$45&amp;"_"&amp;$C$23:$C$45,$D$23:$D$45)*$E1514)</f>
        <v>6</v>
      </c>
      <c r="M1514" s="67" cm="1">
        <f ca="1" t="array" ref="M1514">(1+SUMPRODUCT(G1514:H1514,OFFSET($H$49:$I$49,D1514,0)))*(1+OFFSET($J$49,D1514,0))^I1514*(1+OFFSET($K$49,D1514,0))^J1514*(1+OFFSET($L$49,D1514,0))^K1514*(1+OFFSET($M$49,D1514,0))^L1514</f>
        <v>435.688563628686</v>
      </c>
      <c r="N1514" s="67">
        <f ca="1">MAX(MAX($N$62:N1513),OFFSET($C$61,MATCH(M1514*1.07,$M$62:$M$2061,1),0)-C1514)</f>
        <v>52560</v>
      </c>
    </row>
    <row r="1515" spans="2:14">
      <c r="B1515" s="67">
        <v>1454</v>
      </c>
      <c r="C1515" s="67">
        <f t="shared" si="139"/>
        <v>523440</v>
      </c>
      <c r="D1515" s="67">
        <f t="shared" si="142"/>
        <v>5</v>
      </c>
      <c r="E1515" s="67">
        <f ca="1" t="shared" si="143"/>
        <v>1484</v>
      </c>
      <c r="F1515" s="67">
        <f ca="1" t="shared" si="140"/>
        <v>0</v>
      </c>
      <c r="G1515" s="67">
        <f ca="1" t="shared" si="141"/>
        <v>0</v>
      </c>
      <c r="H1515" s="67" cm="1">
        <f ca="1" t="array" ref="H1515">MIN(30-SUM(I1515:L1515),_xlfn.XLOOKUP($D1515&amp;"_"&amp;H$61,$B$23:$B$45&amp;"_"&amp;$C$23:$C$45,$D$23:$D$45)*$E1515,18)</f>
        <v>10.0172149173395</v>
      </c>
      <c r="I1515" s="67" cm="1">
        <f ca="1" t="array" ref="I1515">MIN(30-SUM(J1515:L1515),6-L1515,_xlfn.XLOOKUP($D1515&amp;"_"&amp;I$61,$B$23:$B$45&amp;"_"&amp;$C$23:$C$45,$D$23:$D$45)*$E1515)</f>
        <v>0</v>
      </c>
      <c r="J1515" s="67" cm="1">
        <f ca="1" t="array" ref="J1515">MIN(8,_xlfn.XLOOKUP($D1515&amp;"_"&amp;J$61,$B$23:$B$45&amp;"_"&amp;$C$23:$C$45,$D$23:$D$45)*$E1515)</f>
        <v>8</v>
      </c>
      <c r="K1515" s="67" cm="1">
        <f ca="1" t="array" ref="K1515">MIN(18,_xlfn.XLOOKUP($D1515&amp;"_"&amp;K$61,$B$23:$B$45&amp;"_"&amp;$C$23:$C$45,$D$23:$D$45)*$E1515)</f>
        <v>5.98278508266052</v>
      </c>
      <c r="L1515" s="67" cm="1">
        <f ca="1" t="array" ref="L1515">MIN(6,_xlfn.XLOOKUP($D1515&amp;"_"&amp;L$61,$B$23:$B$45&amp;"_"&amp;$C$23:$C$45,$D$23:$D$45)*$E1515)</f>
        <v>6</v>
      </c>
      <c r="M1515" s="67" cm="1">
        <f ca="1" t="array" ref="M1515">(1+SUMPRODUCT(G1515:H1515,OFFSET($H$49:$I$49,D1515,0)))*(1+OFFSET($J$49,D1515,0))^I1515*(1+OFFSET($K$49,D1515,0))^J1515*(1+OFFSET($L$49,D1515,0))^K1515*(1+OFFSET($M$49,D1515,0))^L1515</f>
        <v>435.891907648428</v>
      </c>
      <c r="N1515" s="67">
        <f ca="1">MAX(MAX($N$62:N1514),OFFSET($C$61,MATCH(M1515*1.07,$M$62:$M$2061,1),0)-C1515)</f>
        <v>52560</v>
      </c>
    </row>
    <row r="1516" spans="2:14">
      <c r="B1516" s="67">
        <v>1455</v>
      </c>
      <c r="C1516" s="67">
        <f t="shared" si="139"/>
        <v>523800</v>
      </c>
      <c r="D1516" s="67">
        <f t="shared" si="142"/>
        <v>5</v>
      </c>
      <c r="E1516" s="67">
        <f ca="1" t="shared" si="143"/>
        <v>1485</v>
      </c>
      <c r="F1516" s="67">
        <f ca="1" t="shared" si="140"/>
        <v>0</v>
      </c>
      <c r="G1516" s="67">
        <f ca="1" t="shared" si="141"/>
        <v>0</v>
      </c>
      <c r="H1516" s="67" cm="1">
        <f ca="1" t="array" ref="H1516">MIN(30-SUM(I1516:L1516),_xlfn.XLOOKUP($D1516&amp;"_"&amp;H$61,$B$23:$B$45&amp;"_"&amp;$C$23:$C$45,$D$23:$D$45)*$E1516,18)</f>
        <v>10.0131833910035</v>
      </c>
      <c r="I1516" s="67" cm="1">
        <f ca="1" t="array" ref="I1516">MIN(30-SUM(J1516:L1516),6-L1516,_xlfn.XLOOKUP($D1516&amp;"_"&amp;I$61,$B$23:$B$45&amp;"_"&amp;$C$23:$C$45,$D$23:$D$45)*$E1516)</f>
        <v>0</v>
      </c>
      <c r="J1516" s="67" cm="1">
        <f ca="1" t="array" ref="J1516">MIN(8,_xlfn.XLOOKUP($D1516&amp;"_"&amp;J$61,$B$23:$B$45&amp;"_"&amp;$C$23:$C$45,$D$23:$D$45)*$E1516)</f>
        <v>8</v>
      </c>
      <c r="K1516" s="67" cm="1">
        <f ca="1" t="array" ref="K1516">MIN(18,_xlfn.XLOOKUP($D1516&amp;"_"&amp;K$61,$B$23:$B$45&amp;"_"&amp;$C$23:$C$45,$D$23:$D$45)*$E1516)</f>
        <v>5.98681660899655</v>
      </c>
      <c r="L1516" s="67" cm="1">
        <f ca="1" t="array" ref="L1516">MIN(6,_xlfn.XLOOKUP($D1516&amp;"_"&amp;L$61,$B$23:$B$45&amp;"_"&amp;$C$23:$C$45,$D$23:$D$45)*$E1516)</f>
        <v>6</v>
      </c>
      <c r="M1516" s="67" cm="1">
        <f ca="1" t="array" ref="M1516">(1+SUMPRODUCT(G1516:H1516,OFFSET($H$49:$I$49,D1516,0)))*(1+OFFSET($J$49,D1516,0))^I1516*(1+OFFSET($K$49,D1516,0))^J1516*(1+OFFSET($L$49,D1516,0))^K1516*(1+OFFSET($M$49,D1516,0))^L1516</f>
        <v>436.095315142832</v>
      </c>
      <c r="N1516" s="67">
        <f ca="1">MAX(MAX($N$62:N1515),OFFSET($C$61,MATCH(M1516*1.07,$M$62:$M$2061,1),0)-C1516)</f>
        <v>52560</v>
      </c>
    </row>
    <row r="1517" spans="2:14">
      <c r="B1517" s="67">
        <v>1456</v>
      </c>
      <c r="C1517" s="67">
        <f t="shared" si="139"/>
        <v>524160</v>
      </c>
      <c r="D1517" s="67">
        <f t="shared" si="142"/>
        <v>5</v>
      </c>
      <c r="E1517" s="67">
        <f ca="1" t="shared" si="143"/>
        <v>1486</v>
      </c>
      <c r="F1517" s="67">
        <f ca="1" t="shared" si="140"/>
        <v>0</v>
      </c>
      <c r="G1517" s="67">
        <f ca="1" t="shared" si="141"/>
        <v>0</v>
      </c>
      <c r="H1517" s="67" cm="1">
        <f ca="1" t="array" ref="H1517">MIN(30-SUM(I1517:L1517),_xlfn.XLOOKUP($D1517&amp;"_"&amp;H$61,$B$23:$B$45&amp;"_"&amp;$C$23:$C$45,$D$23:$D$45)*$E1517,18)</f>
        <v>10.0091518646674</v>
      </c>
      <c r="I1517" s="67" cm="1">
        <f ca="1" t="array" ref="I1517">MIN(30-SUM(J1517:L1517),6-L1517,_xlfn.XLOOKUP($D1517&amp;"_"&amp;I$61,$B$23:$B$45&amp;"_"&amp;$C$23:$C$45,$D$23:$D$45)*$E1517)</f>
        <v>0</v>
      </c>
      <c r="J1517" s="67" cm="1">
        <f ca="1" t="array" ref="J1517">MIN(8,_xlfn.XLOOKUP($D1517&amp;"_"&amp;J$61,$B$23:$B$45&amp;"_"&amp;$C$23:$C$45,$D$23:$D$45)*$E1517)</f>
        <v>8</v>
      </c>
      <c r="K1517" s="67" cm="1">
        <f ca="1" t="array" ref="K1517">MIN(18,_xlfn.XLOOKUP($D1517&amp;"_"&amp;K$61,$B$23:$B$45&amp;"_"&amp;$C$23:$C$45,$D$23:$D$45)*$E1517)</f>
        <v>5.99084813533257</v>
      </c>
      <c r="L1517" s="67" cm="1">
        <f ca="1" t="array" ref="L1517">MIN(6,_xlfn.XLOOKUP($D1517&amp;"_"&amp;L$61,$B$23:$B$45&amp;"_"&amp;$C$23:$C$45,$D$23:$D$45)*$E1517)</f>
        <v>6</v>
      </c>
      <c r="M1517" s="67" cm="1">
        <f ca="1" t="array" ref="M1517">(1+SUMPRODUCT(G1517:H1517,OFFSET($H$49:$I$49,D1517,0)))*(1+OFFSET($J$49,D1517,0))^I1517*(1+OFFSET($K$49,D1517,0))^J1517*(1+OFFSET($L$49,D1517,0))^K1517*(1+OFFSET($M$49,D1517,0))^L1517</f>
        <v>436.298786095302</v>
      </c>
      <c r="N1517" s="67">
        <f ca="1">MAX(MAX($N$62:N1516),OFFSET($C$61,MATCH(M1517*1.07,$M$62:$M$2061,1),0)-C1517)</f>
        <v>52560</v>
      </c>
    </row>
    <row r="1518" spans="2:14">
      <c r="B1518" s="67">
        <v>1457</v>
      </c>
      <c r="C1518" s="67">
        <f t="shared" ref="C1518:C1581" si="144">C1517+360</f>
        <v>524520</v>
      </c>
      <c r="D1518" s="67">
        <f t="shared" si="142"/>
        <v>5</v>
      </c>
      <c r="E1518" s="67">
        <f ca="1" t="shared" si="143"/>
        <v>1487</v>
      </c>
      <c r="F1518" s="67">
        <f ca="1" t="shared" ref="F1518:F1581" si="145">30-SUM(G1518:L1518)</f>
        <v>0</v>
      </c>
      <c r="G1518" s="67">
        <f ca="1" t="shared" ref="G1518:G1581" si="146">30-SUM(H1518:L1518)</f>
        <v>0</v>
      </c>
      <c r="H1518" s="67" cm="1">
        <f ca="1" t="array" ref="H1518">MIN(30-SUM(I1518:L1518),_xlfn.XLOOKUP($D1518&amp;"_"&amp;H$61,$B$23:$B$45&amp;"_"&amp;$C$23:$C$45,$D$23:$D$45)*$E1518,18)</f>
        <v>10.0051203383314</v>
      </c>
      <c r="I1518" s="67" cm="1">
        <f ca="1" t="array" ref="I1518">MIN(30-SUM(J1518:L1518),6-L1518,_xlfn.XLOOKUP($D1518&amp;"_"&amp;I$61,$B$23:$B$45&amp;"_"&amp;$C$23:$C$45,$D$23:$D$45)*$E1518)</f>
        <v>0</v>
      </c>
      <c r="J1518" s="67" cm="1">
        <f ca="1" t="array" ref="J1518">MIN(8,_xlfn.XLOOKUP($D1518&amp;"_"&amp;J$61,$B$23:$B$45&amp;"_"&amp;$C$23:$C$45,$D$23:$D$45)*$E1518)</f>
        <v>8</v>
      </c>
      <c r="K1518" s="67" cm="1">
        <f ca="1" t="array" ref="K1518">MIN(18,_xlfn.XLOOKUP($D1518&amp;"_"&amp;K$61,$B$23:$B$45&amp;"_"&amp;$C$23:$C$45,$D$23:$D$45)*$E1518)</f>
        <v>5.99487966166859</v>
      </c>
      <c r="L1518" s="67" cm="1">
        <f ca="1" t="array" ref="L1518">MIN(6,_xlfn.XLOOKUP($D1518&amp;"_"&amp;L$61,$B$23:$B$45&amp;"_"&amp;$C$23:$C$45,$D$23:$D$45)*$E1518)</f>
        <v>6</v>
      </c>
      <c r="M1518" s="67" cm="1">
        <f ca="1" t="array" ref="M1518">(1+SUMPRODUCT(G1518:H1518,OFFSET($H$49:$I$49,D1518,0)))*(1+OFFSET($J$49,D1518,0))^I1518*(1+OFFSET($K$49,D1518,0))^J1518*(1+OFFSET($L$49,D1518,0))^K1518*(1+OFFSET($M$49,D1518,0))^L1518</f>
        <v>436.502320489185</v>
      </c>
      <c r="N1518" s="67">
        <f ca="1">MAX(MAX($N$62:N1517),OFFSET($C$61,MATCH(M1518*1.07,$M$62:$M$2061,1),0)-C1518)</f>
        <v>52560</v>
      </c>
    </row>
    <row r="1519" spans="2:14">
      <c r="B1519" s="67">
        <v>1458</v>
      </c>
      <c r="C1519" s="67">
        <f t="shared" si="144"/>
        <v>524880</v>
      </c>
      <c r="D1519" s="67">
        <f t="shared" si="142"/>
        <v>5</v>
      </c>
      <c r="E1519" s="67">
        <f ca="1" t="shared" si="143"/>
        <v>1488</v>
      </c>
      <c r="F1519" s="67">
        <f ca="1" t="shared" si="145"/>
        <v>0</v>
      </c>
      <c r="G1519" s="67">
        <f ca="1" t="shared" si="146"/>
        <v>0</v>
      </c>
      <c r="H1519" s="67" cm="1">
        <f ca="1" t="array" ref="H1519">MIN(30-SUM(I1519:L1519),_xlfn.XLOOKUP($D1519&amp;"_"&amp;H$61,$B$23:$B$45&amp;"_"&amp;$C$23:$C$45,$D$23:$D$45)*$E1519,18)</f>
        <v>10.0010888119954</v>
      </c>
      <c r="I1519" s="67" cm="1">
        <f ca="1" t="array" ref="I1519">MIN(30-SUM(J1519:L1519),6-L1519,_xlfn.XLOOKUP($D1519&amp;"_"&amp;I$61,$B$23:$B$45&amp;"_"&amp;$C$23:$C$45,$D$23:$D$45)*$E1519)</f>
        <v>0</v>
      </c>
      <c r="J1519" s="67" cm="1">
        <f ca="1" t="array" ref="J1519">MIN(8,_xlfn.XLOOKUP($D1519&amp;"_"&amp;J$61,$B$23:$B$45&amp;"_"&amp;$C$23:$C$45,$D$23:$D$45)*$E1519)</f>
        <v>8</v>
      </c>
      <c r="K1519" s="67" cm="1">
        <f ca="1" t="array" ref="K1519">MIN(18,_xlfn.XLOOKUP($D1519&amp;"_"&amp;K$61,$B$23:$B$45&amp;"_"&amp;$C$23:$C$45,$D$23:$D$45)*$E1519)</f>
        <v>5.99891118800462</v>
      </c>
      <c r="L1519" s="67" cm="1">
        <f ca="1" t="array" ref="L1519">MIN(6,_xlfn.XLOOKUP($D1519&amp;"_"&amp;L$61,$B$23:$B$45&amp;"_"&amp;$C$23:$C$45,$D$23:$D$45)*$E1519)</f>
        <v>6</v>
      </c>
      <c r="M1519" s="67" cm="1">
        <f ca="1" t="array" ref="M1519">(1+SUMPRODUCT(G1519:H1519,OFFSET($H$49:$I$49,D1519,0)))*(1+OFFSET($J$49,D1519,0))^I1519*(1+OFFSET($K$49,D1519,0))^J1519*(1+OFFSET($L$49,D1519,0))^K1519*(1+OFFSET($M$49,D1519,0))^L1519</f>
        <v>436.705918307764</v>
      </c>
      <c r="N1519" s="67">
        <f ca="1">MAX(MAX($N$62:N1518),OFFSET($C$61,MATCH(M1519*1.07,$M$62:$M$2061,1),0)-C1519)</f>
        <v>52560</v>
      </c>
    </row>
    <row r="1520" spans="2:14">
      <c r="B1520" s="67">
        <v>1459</v>
      </c>
      <c r="C1520" s="67">
        <f t="shared" si="144"/>
        <v>525240</v>
      </c>
      <c r="D1520" s="67">
        <f t="shared" si="142"/>
        <v>5</v>
      </c>
      <c r="E1520" s="67">
        <f ca="1" t="shared" si="143"/>
        <v>1489</v>
      </c>
      <c r="F1520" s="67">
        <f ca="1" t="shared" si="145"/>
        <v>0</v>
      </c>
      <c r="G1520" s="67">
        <f ca="1" t="shared" si="146"/>
        <v>0</v>
      </c>
      <c r="H1520" s="67" cm="1">
        <f ca="1" t="array" ref="H1520">MIN(30-SUM(I1520:L1520),_xlfn.XLOOKUP($D1520&amp;"_"&amp;H$61,$B$23:$B$45&amp;"_"&amp;$C$23:$C$45,$D$23:$D$45)*$E1520,18)</f>
        <v>9.99705728565936</v>
      </c>
      <c r="I1520" s="67" cm="1">
        <f ca="1" t="array" ref="I1520">MIN(30-SUM(J1520:L1520),6-L1520,_xlfn.XLOOKUP($D1520&amp;"_"&amp;I$61,$B$23:$B$45&amp;"_"&amp;$C$23:$C$45,$D$23:$D$45)*$E1520)</f>
        <v>0</v>
      </c>
      <c r="J1520" s="67" cm="1">
        <f ca="1" t="array" ref="J1520">MIN(8,_xlfn.XLOOKUP($D1520&amp;"_"&amp;J$61,$B$23:$B$45&amp;"_"&amp;$C$23:$C$45,$D$23:$D$45)*$E1520)</f>
        <v>8</v>
      </c>
      <c r="K1520" s="67" cm="1">
        <f ca="1" t="array" ref="K1520">MIN(18,_xlfn.XLOOKUP($D1520&amp;"_"&amp;K$61,$B$23:$B$45&amp;"_"&amp;$C$23:$C$45,$D$23:$D$45)*$E1520)</f>
        <v>6.00294271434064</v>
      </c>
      <c r="L1520" s="67" cm="1">
        <f ca="1" t="array" ref="L1520">MIN(6,_xlfn.XLOOKUP($D1520&amp;"_"&amp;L$61,$B$23:$B$45&amp;"_"&amp;$C$23:$C$45,$D$23:$D$45)*$E1520)</f>
        <v>6</v>
      </c>
      <c r="M1520" s="67" cm="1">
        <f ca="1" t="array" ref="M1520">(1+SUMPRODUCT(G1520:H1520,OFFSET($H$49:$I$49,D1520,0)))*(1+OFFSET($J$49,D1520,0))^I1520*(1+OFFSET($K$49,D1520,0))^J1520*(1+OFFSET($L$49,D1520,0))^K1520*(1+OFFSET($M$49,D1520,0))^L1520</f>
        <v>436.90957953427</v>
      </c>
      <c r="N1520" s="67">
        <f ca="1">MAX(MAX($N$62:N1519),OFFSET($C$61,MATCH(M1520*1.07,$M$62:$M$2061,1),0)-C1520)</f>
        <v>52560</v>
      </c>
    </row>
    <row r="1521" spans="2:14">
      <c r="B1521" s="67">
        <v>1460</v>
      </c>
      <c r="C1521" s="67">
        <f t="shared" si="144"/>
        <v>525600</v>
      </c>
      <c r="D1521" s="67">
        <f t="shared" si="142"/>
        <v>5</v>
      </c>
      <c r="E1521" s="67">
        <f ca="1" t="shared" si="143"/>
        <v>1490</v>
      </c>
      <c r="F1521" s="67">
        <f ca="1" t="shared" si="145"/>
        <v>0</v>
      </c>
      <c r="G1521" s="67">
        <f ca="1" t="shared" si="146"/>
        <v>0</v>
      </c>
      <c r="H1521" s="67" cm="1">
        <f ca="1" t="array" ref="H1521">MIN(30-SUM(I1521:L1521),_xlfn.XLOOKUP($D1521&amp;"_"&amp;H$61,$B$23:$B$45&amp;"_"&amp;$C$23:$C$45,$D$23:$D$45)*$E1521,18)</f>
        <v>9.99302575932333</v>
      </c>
      <c r="I1521" s="67" cm="1">
        <f ca="1" t="array" ref="I1521">MIN(30-SUM(J1521:L1521),6-L1521,_xlfn.XLOOKUP($D1521&amp;"_"&amp;I$61,$B$23:$B$45&amp;"_"&amp;$C$23:$C$45,$D$23:$D$45)*$E1521)</f>
        <v>0</v>
      </c>
      <c r="J1521" s="67" cm="1">
        <f ca="1" t="array" ref="J1521">MIN(8,_xlfn.XLOOKUP($D1521&amp;"_"&amp;J$61,$B$23:$B$45&amp;"_"&amp;$C$23:$C$45,$D$23:$D$45)*$E1521)</f>
        <v>8</v>
      </c>
      <c r="K1521" s="67" cm="1">
        <f ca="1" t="array" ref="K1521">MIN(18,_xlfn.XLOOKUP($D1521&amp;"_"&amp;K$61,$B$23:$B$45&amp;"_"&amp;$C$23:$C$45,$D$23:$D$45)*$E1521)</f>
        <v>6.00697424067667</v>
      </c>
      <c r="L1521" s="67" cm="1">
        <f ca="1" t="array" ref="L1521">MIN(6,_xlfn.XLOOKUP($D1521&amp;"_"&amp;L$61,$B$23:$B$45&amp;"_"&amp;$C$23:$C$45,$D$23:$D$45)*$E1521)</f>
        <v>6</v>
      </c>
      <c r="M1521" s="67" cm="1">
        <f ca="1" t="array" ref="M1521">(1+SUMPRODUCT(G1521:H1521,OFFSET($H$49:$I$49,D1521,0)))*(1+OFFSET($J$49,D1521,0))^I1521*(1+OFFSET($K$49,D1521,0))^J1521*(1+OFFSET($L$49,D1521,0))^K1521*(1+OFFSET($M$49,D1521,0))^L1521</f>
        <v>437.113304151869</v>
      </c>
      <c r="N1521" s="67">
        <f ca="1">MAX(MAX($N$62:N1520),OFFSET($C$61,MATCH(M1521*1.07,$M$62:$M$2061,1),0)-C1521)</f>
        <v>52560</v>
      </c>
    </row>
    <row r="1522" spans="2:14">
      <c r="B1522" s="67">
        <v>1461</v>
      </c>
      <c r="C1522" s="67">
        <f t="shared" si="144"/>
        <v>525960</v>
      </c>
      <c r="D1522" s="67">
        <f t="shared" si="142"/>
        <v>5</v>
      </c>
      <c r="E1522" s="67">
        <f ca="1" t="shared" si="143"/>
        <v>1491</v>
      </c>
      <c r="F1522" s="67">
        <f ca="1" t="shared" si="145"/>
        <v>0</v>
      </c>
      <c r="G1522" s="67">
        <f ca="1" t="shared" si="146"/>
        <v>0</v>
      </c>
      <c r="H1522" s="67" cm="1">
        <f ca="1" t="array" ref="H1522">MIN(30-SUM(I1522:L1522),_xlfn.XLOOKUP($D1522&amp;"_"&amp;H$61,$B$23:$B$45&amp;"_"&amp;$C$23:$C$45,$D$23:$D$45)*$E1522,18)</f>
        <v>9.98899423298731</v>
      </c>
      <c r="I1522" s="67" cm="1">
        <f ca="1" t="array" ref="I1522">MIN(30-SUM(J1522:L1522),6-L1522,_xlfn.XLOOKUP($D1522&amp;"_"&amp;I$61,$B$23:$B$45&amp;"_"&amp;$C$23:$C$45,$D$23:$D$45)*$E1522)</f>
        <v>0</v>
      </c>
      <c r="J1522" s="67" cm="1">
        <f ca="1" t="array" ref="J1522">MIN(8,_xlfn.XLOOKUP($D1522&amp;"_"&amp;J$61,$B$23:$B$45&amp;"_"&amp;$C$23:$C$45,$D$23:$D$45)*$E1522)</f>
        <v>8</v>
      </c>
      <c r="K1522" s="67" cm="1">
        <f ca="1" t="array" ref="K1522">MIN(18,_xlfn.XLOOKUP($D1522&amp;"_"&amp;K$61,$B$23:$B$45&amp;"_"&amp;$C$23:$C$45,$D$23:$D$45)*$E1522)</f>
        <v>6.01100576701269</v>
      </c>
      <c r="L1522" s="67" cm="1">
        <f ca="1" t="array" ref="L1522">MIN(6,_xlfn.XLOOKUP($D1522&amp;"_"&amp;L$61,$B$23:$B$45&amp;"_"&amp;$C$23:$C$45,$D$23:$D$45)*$E1522)</f>
        <v>6</v>
      </c>
      <c r="M1522" s="67" cm="1">
        <f ca="1" t="array" ref="M1522">(1+SUMPRODUCT(G1522:H1522,OFFSET($H$49:$I$49,D1522,0)))*(1+OFFSET($J$49,D1522,0))^I1522*(1+OFFSET($K$49,D1522,0))^J1522*(1+OFFSET($L$49,D1522,0))^K1522*(1+OFFSET($M$49,D1522,0))^L1522</f>
        <v>437.317092143671</v>
      </c>
      <c r="N1522" s="67">
        <f ca="1">MAX(MAX($N$62:N1521),OFFSET($C$61,MATCH(M1522*1.07,$M$62:$M$2061,1),0)-C1522)</f>
        <v>52560</v>
      </c>
    </row>
    <row r="1523" spans="2:14">
      <c r="B1523" s="67">
        <v>1462</v>
      </c>
      <c r="C1523" s="67">
        <f t="shared" si="144"/>
        <v>526320</v>
      </c>
      <c r="D1523" s="67">
        <f t="shared" si="142"/>
        <v>5</v>
      </c>
      <c r="E1523" s="67">
        <f ca="1" t="shared" si="143"/>
        <v>1492</v>
      </c>
      <c r="F1523" s="67">
        <f ca="1" t="shared" si="145"/>
        <v>0</v>
      </c>
      <c r="G1523" s="67">
        <f ca="1" t="shared" si="146"/>
        <v>0</v>
      </c>
      <c r="H1523" s="67" cm="1">
        <f ca="1" t="array" ref="H1523">MIN(30-SUM(I1523:L1523),_xlfn.XLOOKUP($D1523&amp;"_"&amp;H$61,$B$23:$B$45&amp;"_"&amp;$C$23:$C$45,$D$23:$D$45)*$E1523,18)</f>
        <v>9.98496270665128</v>
      </c>
      <c r="I1523" s="67" cm="1">
        <f ca="1" t="array" ref="I1523">MIN(30-SUM(J1523:L1523),6-L1523,_xlfn.XLOOKUP($D1523&amp;"_"&amp;I$61,$B$23:$B$45&amp;"_"&amp;$C$23:$C$45,$D$23:$D$45)*$E1523)</f>
        <v>0</v>
      </c>
      <c r="J1523" s="67" cm="1">
        <f ca="1" t="array" ref="J1523">MIN(8,_xlfn.XLOOKUP($D1523&amp;"_"&amp;J$61,$B$23:$B$45&amp;"_"&amp;$C$23:$C$45,$D$23:$D$45)*$E1523)</f>
        <v>8</v>
      </c>
      <c r="K1523" s="67" cm="1">
        <f ca="1" t="array" ref="K1523">MIN(18,_xlfn.XLOOKUP($D1523&amp;"_"&amp;K$61,$B$23:$B$45&amp;"_"&amp;$C$23:$C$45,$D$23:$D$45)*$E1523)</f>
        <v>6.01503729334872</v>
      </c>
      <c r="L1523" s="67" cm="1">
        <f ca="1" t="array" ref="L1523">MIN(6,_xlfn.XLOOKUP($D1523&amp;"_"&amp;L$61,$B$23:$B$45&amp;"_"&amp;$C$23:$C$45,$D$23:$D$45)*$E1523)</f>
        <v>6</v>
      </c>
      <c r="M1523" s="67" cm="1">
        <f ca="1" t="array" ref="M1523">(1+SUMPRODUCT(G1523:H1523,OFFSET($H$49:$I$49,D1523,0)))*(1+OFFSET($J$49,D1523,0))^I1523*(1+OFFSET($K$49,D1523,0))^J1523*(1+OFFSET($L$49,D1523,0))^K1523*(1+OFFSET($M$49,D1523,0))^L1523</f>
        <v>437.520943492727</v>
      </c>
      <c r="N1523" s="67">
        <f ca="1">MAX(MAX($N$62:N1522),OFFSET($C$61,MATCH(M1523*1.07,$M$62:$M$2061,1),0)-C1523)</f>
        <v>52560</v>
      </c>
    </row>
    <row r="1524" spans="2:14">
      <c r="B1524" s="67">
        <v>1463</v>
      </c>
      <c r="C1524" s="67">
        <f t="shared" si="144"/>
        <v>526680</v>
      </c>
      <c r="D1524" s="67">
        <f t="shared" si="142"/>
        <v>5</v>
      </c>
      <c r="E1524" s="67">
        <f ca="1" t="shared" si="143"/>
        <v>1493</v>
      </c>
      <c r="F1524" s="67">
        <f ca="1" t="shared" si="145"/>
        <v>0</v>
      </c>
      <c r="G1524" s="67">
        <f ca="1" t="shared" si="146"/>
        <v>0</v>
      </c>
      <c r="H1524" s="67" cm="1">
        <f ca="1" t="array" ref="H1524">MIN(30-SUM(I1524:L1524),_xlfn.XLOOKUP($D1524&amp;"_"&amp;H$61,$B$23:$B$45&amp;"_"&amp;$C$23:$C$45,$D$23:$D$45)*$E1524,18)</f>
        <v>9.98093118031526</v>
      </c>
      <c r="I1524" s="67" cm="1">
        <f ca="1" t="array" ref="I1524">MIN(30-SUM(J1524:L1524),6-L1524,_xlfn.XLOOKUP($D1524&amp;"_"&amp;I$61,$B$23:$B$45&amp;"_"&amp;$C$23:$C$45,$D$23:$D$45)*$E1524)</f>
        <v>0</v>
      </c>
      <c r="J1524" s="67" cm="1">
        <f ca="1" t="array" ref="J1524">MIN(8,_xlfn.XLOOKUP($D1524&amp;"_"&amp;J$61,$B$23:$B$45&amp;"_"&amp;$C$23:$C$45,$D$23:$D$45)*$E1524)</f>
        <v>8</v>
      </c>
      <c r="K1524" s="67" cm="1">
        <f ca="1" t="array" ref="K1524">MIN(18,_xlfn.XLOOKUP($D1524&amp;"_"&amp;K$61,$B$23:$B$45&amp;"_"&amp;$C$23:$C$45,$D$23:$D$45)*$E1524)</f>
        <v>6.01906881968474</v>
      </c>
      <c r="L1524" s="67" cm="1">
        <f ca="1" t="array" ref="L1524">MIN(6,_xlfn.XLOOKUP($D1524&amp;"_"&amp;L$61,$B$23:$B$45&amp;"_"&amp;$C$23:$C$45,$D$23:$D$45)*$E1524)</f>
        <v>6</v>
      </c>
      <c r="M1524" s="67" cm="1">
        <f ca="1" t="array" ref="M1524">(1+SUMPRODUCT(G1524:H1524,OFFSET($H$49:$I$49,D1524,0)))*(1+OFFSET($J$49,D1524,0))^I1524*(1+OFFSET($K$49,D1524,0))^J1524*(1+OFFSET($L$49,D1524,0))^K1524*(1+OFFSET($M$49,D1524,0))^L1524</f>
        <v>437.724858182028</v>
      </c>
      <c r="N1524" s="67">
        <f ca="1">MAX(MAX($N$62:N1523),OFFSET($C$61,MATCH(M1524*1.07,$M$62:$M$2061,1),0)-C1524)</f>
        <v>52560</v>
      </c>
    </row>
    <row r="1525" spans="2:14">
      <c r="B1525" s="67">
        <v>1464</v>
      </c>
      <c r="C1525" s="67">
        <f t="shared" si="144"/>
        <v>527040</v>
      </c>
      <c r="D1525" s="67">
        <f t="shared" si="142"/>
        <v>5</v>
      </c>
      <c r="E1525" s="67">
        <f ca="1" t="shared" si="143"/>
        <v>1494</v>
      </c>
      <c r="F1525" s="67">
        <f ca="1" t="shared" si="145"/>
        <v>0</v>
      </c>
      <c r="G1525" s="67">
        <f ca="1" t="shared" si="146"/>
        <v>0</v>
      </c>
      <c r="H1525" s="67" cm="1">
        <f ca="1" t="array" ref="H1525">MIN(30-SUM(I1525:L1525),_xlfn.XLOOKUP($D1525&amp;"_"&amp;H$61,$B$23:$B$45&amp;"_"&amp;$C$23:$C$45,$D$23:$D$45)*$E1525,18)</f>
        <v>9.97689965397923</v>
      </c>
      <c r="I1525" s="67" cm="1">
        <f ca="1" t="array" ref="I1525">MIN(30-SUM(J1525:L1525),6-L1525,_xlfn.XLOOKUP($D1525&amp;"_"&amp;I$61,$B$23:$B$45&amp;"_"&amp;$C$23:$C$45,$D$23:$D$45)*$E1525)</f>
        <v>0</v>
      </c>
      <c r="J1525" s="67" cm="1">
        <f ca="1" t="array" ref="J1525">MIN(8,_xlfn.XLOOKUP($D1525&amp;"_"&amp;J$61,$B$23:$B$45&amp;"_"&amp;$C$23:$C$45,$D$23:$D$45)*$E1525)</f>
        <v>8</v>
      </c>
      <c r="K1525" s="67" cm="1">
        <f ca="1" t="array" ref="K1525">MIN(18,_xlfn.XLOOKUP($D1525&amp;"_"&amp;K$61,$B$23:$B$45&amp;"_"&amp;$C$23:$C$45,$D$23:$D$45)*$E1525)</f>
        <v>6.02310034602077</v>
      </c>
      <c r="L1525" s="67" cm="1">
        <f ca="1" t="array" ref="L1525">MIN(6,_xlfn.XLOOKUP($D1525&amp;"_"&amp;L$61,$B$23:$B$45&amp;"_"&amp;$C$23:$C$45,$D$23:$D$45)*$E1525)</f>
        <v>6</v>
      </c>
      <c r="M1525" s="67" cm="1">
        <f ca="1" t="array" ref="M1525">(1+SUMPRODUCT(G1525:H1525,OFFSET($H$49:$I$49,D1525,0)))*(1+OFFSET($J$49,D1525,0))^I1525*(1+OFFSET($K$49,D1525,0))^J1525*(1+OFFSET($L$49,D1525,0))^K1525*(1+OFFSET($M$49,D1525,0))^L1525</f>
        <v>437.928836194505</v>
      </c>
      <c r="N1525" s="67">
        <f ca="1">MAX(MAX($N$62:N1524),OFFSET($C$61,MATCH(M1525*1.07,$M$62:$M$2061,1),0)-C1525)</f>
        <v>52560</v>
      </c>
    </row>
    <row r="1526" spans="2:14">
      <c r="B1526" s="67">
        <v>1465</v>
      </c>
      <c r="C1526" s="67">
        <f t="shared" si="144"/>
        <v>527400</v>
      </c>
      <c r="D1526" s="67">
        <f t="shared" si="142"/>
        <v>5</v>
      </c>
      <c r="E1526" s="67">
        <f ca="1" t="shared" si="143"/>
        <v>1495</v>
      </c>
      <c r="F1526" s="67">
        <f ca="1" t="shared" si="145"/>
        <v>0</v>
      </c>
      <c r="G1526" s="67">
        <f ca="1" t="shared" si="146"/>
        <v>0</v>
      </c>
      <c r="H1526" s="67" cm="1">
        <f ca="1" t="array" ref="H1526">MIN(30-SUM(I1526:L1526),_xlfn.XLOOKUP($D1526&amp;"_"&amp;H$61,$B$23:$B$45&amp;"_"&amp;$C$23:$C$45,$D$23:$D$45)*$E1526,18)</f>
        <v>9.97286812764321</v>
      </c>
      <c r="I1526" s="67" cm="1">
        <f ca="1" t="array" ref="I1526">MIN(30-SUM(J1526:L1526),6-L1526,_xlfn.XLOOKUP($D1526&amp;"_"&amp;I$61,$B$23:$B$45&amp;"_"&amp;$C$23:$C$45,$D$23:$D$45)*$E1526)</f>
        <v>0</v>
      </c>
      <c r="J1526" s="67" cm="1">
        <f ca="1" t="array" ref="J1526">MIN(8,_xlfn.XLOOKUP($D1526&amp;"_"&amp;J$61,$B$23:$B$45&amp;"_"&amp;$C$23:$C$45,$D$23:$D$45)*$E1526)</f>
        <v>8</v>
      </c>
      <c r="K1526" s="67" cm="1">
        <f ca="1" t="array" ref="K1526">MIN(18,_xlfn.XLOOKUP($D1526&amp;"_"&amp;K$61,$B$23:$B$45&amp;"_"&amp;$C$23:$C$45,$D$23:$D$45)*$E1526)</f>
        <v>6.02713187235679</v>
      </c>
      <c r="L1526" s="67" cm="1">
        <f ca="1" t="array" ref="L1526">MIN(6,_xlfn.XLOOKUP($D1526&amp;"_"&amp;L$61,$B$23:$B$45&amp;"_"&amp;$C$23:$C$45,$D$23:$D$45)*$E1526)</f>
        <v>6</v>
      </c>
      <c r="M1526" s="67" cm="1">
        <f ca="1" t="array" ref="M1526">(1+SUMPRODUCT(G1526:H1526,OFFSET($H$49:$I$49,D1526,0)))*(1+OFFSET($J$49,D1526,0))^I1526*(1+OFFSET($K$49,D1526,0))^J1526*(1+OFFSET($L$49,D1526,0))^K1526*(1+OFFSET($M$49,D1526,0))^L1526</f>
        <v>438.132877513032</v>
      </c>
      <c r="N1526" s="67">
        <f ca="1">MAX(MAX($N$62:N1525),OFFSET($C$61,MATCH(M1526*1.07,$M$62:$M$2061,1),0)-C1526)</f>
        <v>52560</v>
      </c>
    </row>
    <row r="1527" spans="2:14">
      <c r="B1527" s="67">
        <v>1466</v>
      </c>
      <c r="C1527" s="67">
        <f t="shared" si="144"/>
        <v>527760</v>
      </c>
      <c r="D1527" s="67">
        <f t="shared" si="142"/>
        <v>5</v>
      </c>
      <c r="E1527" s="67">
        <f ca="1" t="shared" si="143"/>
        <v>1496</v>
      </c>
      <c r="F1527" s="67">
        <f ca="1" t="shared" si="145"/>
        <v>0</v>
      </c>
      <c r="G1527" s="67">
        <f ca="1" t="shared" si="146"/>
        <v>0</v>
      </c>
      <c r="H1527" s="67" cm="1">
        <f ca="1" t="array" ref="H1527">MIN(30-SUM(I1527:L1527),_xlfn.XLOOKUP($D1527&amp;"_"&amp;H$61,$B$23:$B$45&amp;"_"&amp;$C$23:$C$45,$D$23:$D$45)*$E1527,18)</f>
        <v>9.96883660130718</v>
      </c>
      <c r="I1527" s="67" cm="1">
        <f ca="1" t="array" ref="I1527">MIN(30-SUM(J1527:L1527),6-L1527,_xlfn.XLOOKUP($D1527&amp;"_"&amp;I$61,$B$23:$B$45&amp;"_"&amp;$C$23:$C$45,$D$23:$D$45)*$E1527)</f>
        <v>0</v>
      </c>
      <c r="J1527" s="67" cm="1">
        <f ca="1" t="array" ref="J1527">MIN(8,_xlfn.XLOOKUP($D1527&amp;"_"&amp;J$61,$B$23:$B$45&amp;"_"&amp;$C$23:$C$45,$D$23:$D$45)*$E1527)</f>
        <v>8</v>
      </c>
      <c r="K1527" s="67" cm="1">
        <f ca="1" t="array" ref="K1527">MIN(18,_xlfn.XLOOKUP($D1527&amp;"_"&amp;K$61,$B$23:$B$45&amp;"_"&amp;$C$23:$C$45,$D$23:$D$45)*$E1527)</f>
        <v>6.03116339869282</v>
      </c>
      <c r="L1527" s="67" cm="1">
        <f ca="1" t="array" ref="L1527">MIN(6,_xlfn.XLOOKUP($D1527&amp;"_"&amp;L$61,$B$23:$B$45&amp;"_"&amp;$C$23:$C$45,$D$23:$D$45)*$E1527)</f>
        <v>6</v>
      </c>
      <c r="M1527" s="67" cm="1">
        <f ca="1" t="array" ref="M1527">(1+SUMPRODUCT(G1527:H1527,OFFSET($H$49:$I$49,D1527,0)))*(1+OFFSET($J$49,D1527,0))^I1527*(1+OFFSET($K$49,D1527,0))^J1527*(1+OFFSET($L$49,D1527,0))^K1527*(1+OFFSET($M$49,D1527,0))^L1527</f>
        <v>438.336982120421</v>
      </c>
      <c r="N1527" s="67">
        <f ca="1">MAX(MAX($N$62:N1526),OFFSET($C$61,MATCH(M1527*1.07,$M$62:$M$2061,1),0)-C1527)</f>
        <v>52920</v>
      </c>
    </row>
    <row r="1528" spans="2:14">
      <c r="B1528" s="67">
        <v>1467</v>
      </c>
      <c r="C1528" s="67">
        <f t="shared" si="144"/>
        <v>528120</v>
      </c>
      <c r="D1528" s="67">
        <f t="shared" si="142"/>
        <v>5</v>
      </c>
      <c r="E1528" s="67">
        <f ca="1" t="shared" si="143"/>
        <v>1497</v>
      </c>
      <c r="F1528" s="67">
        <f ca="1" t="shared" si="145"/>
        <v>0</v>
      </c>
      <c r="G1528" s="67">
        <f ca="1" t="shared" si="146"/>
        <v>0</v>
      </c>
      <c r="H1528" s="67" cm="1">
        <f ca="1" t="array" ref="H1528">MIN(30-SUM(I1528:L1528),_xlfn.XLOOKUP($D1528&amp;"_"&amp;H$61,$B$23:$B$45&amp;"_"&amp;$C$23:$C$45,$D$23:$D$45)*$E1528,18)</f>
        <v>9.96480507497116</v>
      </c>
      <c r="I1528" s="67" cm="1">
        <f ca="1" t="array" ref="I1528">MIN(30-SUM(J1528:L1528),6-L1528,_xlfn.XLOOKUP($D1528&amp;"_"&amp;I$61,$B$23:$B$45&amp;"_"&amp;$C$23:$C$45,$D$23:$D$45)*$E1528)</f>
        <v>0</v>
      </c>
      <c r="J1528" s="67" cm="1">
        <f ca="1" t="array" ref="J1528">MIN(8,_xlfn.XLOOKUP($D1528&amp;"_"&amp;J$61,$B$23:$B$45&amp;"_"&amp;$C$23:$C$45,$D$23:$D$45)*$E1528)</f>
        <v>8</v>
      </c>
      <c r="K1528" s="67" cm="1">
        <f ca="1" t="array" ref="K1528">MIN(18,_xlfn.XLOOKUP($D1528&amp;"_"&amp;K$61,$B$23:$B$45&amp;"_"&amp;$C$23:$C$45,$D$23:$D$45)*$E1528)</f>
        <v>6.03519492502884</v>
      </c>
      <c r="L1528" s="67" cm="1">
        <f ca="1" t="array" ref="L1528">MIN(6,_xlfn.XLOOKUP($D1528&amp;"_"&amp;L$61,$B$23:$B$45&amp;"_"&amp;$C$23:$C$45,$D$23:$D$45)*$E1528)</f>
        <v>6</v>
      </c>
      <c r="M1528" s="67" cm="1">
        <f ca="1" t="array" ref="M1528">(1+SUMPRODUCT(G1528:H1528,OFFSET($H$49:$I$49,D1528,0)))*(1+OFFSET($J$49,D1528,0))^I1528*(1+OFFSET($K$49,D1528,0))^J1528*(1+OFFSET($L$49,D1528,0))^K1528*(1+OFFSET($M$49,D1528,0))^L1528</f>
        <v>438.541149999427</v>
      </c>
      <c r="N1528" s="67">
        <f ca="1">MAX(MAX($N$62:N1527),OFFSET($C$61,MATCH(M1528*1.07,$M$62:$M$2061,1),0)-C1528)</f>
        <v>52920</v>
      </c>
    </row>
    <row r="1529" spans="2:14">
      <c r="B1529" s="67">
        <v>1468</v>
      </c>
      <c r="C1529" s="67">
        <f t="shared" si="144"/>
        <v>528480</v>
      </c>
      <c r="D1529" s="67">
        <f t="shared" si="142"/>
        <v>5</v>
      </c>
      <c r="E1529" s="67">
        <f ca="1" t="shared" si="143"/>
        <v>1498</v>
      </c>
      <c r="F1529" s="67">
        <f ca="1" t="shared" si="145"/>
        <v>0</v>
      </c>
      <c r="G1529" s="67">
        <f ca="1" t="shared" si="146"/>
        <v>0</v>
      </c>
      <c r="H1529" s="67" cm="1">
        <f ca="1" t="array" ref="H1529">MIN(30-SUM(I1529:L1529),_xlfn.XLOOKUP($D1529&amp;"_"&amp;H$61,$B$23:$B$45&amp;"_"&amp;$C$23:$C$45,$D$23:$D$45)*$E1529,18)</f>
        <v>9.96077354863514</v>
      </c>
      <c r="I1529" s="67" cm="1">
        <f ca="1" t="array" ref="I1529">MIN(30-SUM(J1529:L1529),6-L1529,_xlfn.XLOOKUP($D1529&amp;"_"&amp;I$61,$B$23:$B$45&amp;"_"&amp;$C$23:$C$45,$D$23:$D$45)*$E1529)</f>
        <v>0</v>
      </c>
      <c r="J1529" s="67" cm="1">
        <f ca="1" t="array" ref="J1529">MIN(8,_xlfn.XLOOKUP($D1529&amp;"_"&amp;J$61,$B$23:$B$45&amp;"_"&amp;$C$23:$C$45,$D$23:$D$45)*$E1529)</f>
        <v>8</v>
      </c>
      <c r="K1529" s="67" cm="1">
        <f ca="1" t="array" ref="K1529">MIN(18,_xlfn.XLOOKUP($D1529&amp;"_"&amp;K$61,$B$23:$B$45&amp;"_"&amp;$C$23:$C$45,$D$23:$D$45)*$E1529)</f>
        <v>6.03922645136487</v>
      </c>
      <c r="L1529" s="67" cm="1">
        <f ca="1" t="array" ref="L1529">MIN(6,_xlfn.XLOOKUP($D1529&amp;"_"&amp;L$61,$B$23:$B$45&amp;"_"&amp;$C$23:$C$45,$D$23:$D$45)*$E1529)</f>
        <v>6</v>
      </c>
      <c r="M1529" s="67" cm="1">
        <f ca="1" t="array" ref="M1529">(1+SUMPRODUCT(G1529:H1529,OFFSET($H$49:$I$49,D1529,0)))*(1+OFFSET($J$49,D1529,0))^I1529*(1+OFFSET($K$49,D1529,0))^J1529*(1+OFFSET($L$49,D1529,0))^K1529*(1+OFFSET($M$49,D1529,0))^L1529</f>
        <v>438.745381132742</v>
      </c>
      <c r="N1529" s="67">
        <f ca="1">MAX(MAX($N$62:N1528),OFFSET($C$61,MATCH(M1529*1.07,$M$62:$M$2061,1),0)-C1529)</f>
        <v>52920</v>
      </c>
    </row>
    <row r="1530" spans="2:14">
      <c r="B1530" s="67">
        <v>1469</v>
      </c>
      <c r="C1530" s="67">
        <f t="shared" si="144"/>
        <v>528840</v>
      </c>
      <c r="D1530" s="67">
        <f t="shared" si="142"/>
        <v>5</v>
      </c>
      <c r="E1530" s="67">
        <f ca="1" t="shared" si="143"/>
        <v>1499</v>
      </c>
      <c r="F1530" s="67">
        <f ca="1" t="shared" si="145"/>
        <v>0</v>
      </c>
      <c r="G1530" s="67">
        <f ca="1" t="shared" si="146"/>
        <v>0</v>
      </c>
      <c r="H1530" s="67" cm="1">
        <f ca="1" t="array" ref="H1530">MIN(30-SUM(I1530:L1530),_xlfn.XLOOKUP($D1530&amp;"_"&amp;H$61,$B$23:$B$45&amp;"_"&amp;$C$23:$C$45,$D$23:$D$45)*$E1530,18)</f>
        <v>9.95674202229911</v>
      </c>
      <c r="I1530" s="67" cm="1">
        <f ca="1" t="array" ref="I1530">MIN(30-SUM(J1530:L1530),6-L1530,_xlfn.XLOOKUP($D1530&amp;"_"&amp;I$61,$B$23:$B$45&amp;"_"&amp;$C$23:$C$45,$D$23:$D$45)*$E1530)</f>
        <v>0</v>
      </c>
      <c r="J1530" s="67" cm="1">
        <f ca="1" t="array" ref="J1530">MIN(8,_xlfn.XLOOKUP($D1530&amp;"_"&amp;J$61,$B$23:$B$45&amp;"_"&amp;$C$23:$C$45,$D$23:$D$45)*$E1530)</f>
        <v>8</v>
      </c>
      <c r="K1530" s="67" cm="1">
        <f ca="1" t="array" ref="K1530">MIN(18,_xlfn.XLOOKUP($D1530&amp;"_"&amp;K$61,$B$23:$B$45&amp;"_"&amp;$C$23:$C$45,$D$23:$D$45)*$E1530)</f>
        <v>6.04325797770089</v>
      </c>
      <c r="L1530" s="67" cm="1">
        <f ca="1" t="array" ref="L1530">MIN(6,_xlfn.XLOOKUP($D1530&amp;"_"&amp;L$61,$B$23:$B$45&amp;"_"&amp;$C$23:$C$45,$D$23:$D$45)*$E1530)</f>
        <v>6</v>
      </c>
      <c r="M1530" s="67" cm="1">
        <f ca="1" t="array" ref="M1530">(1+SUMPRODUCT(G1530:H1530,OFFSET($H$49:$I$49,D1530,0)))*(1+OFFSET($J$49,D1530,0))^I1530*(1+OFFSET($K$49,D1530,0))^J1530*(1+OFFSET($L$49,D1530,0))^K1530*(1+OFFSET($M$49,D1530,0))^L1530</f>
        <v>438.949675503002</v>
      </c>
      <c r="N1530" s="67">
        <f ca="1">MAX(MAX($N$62:N1529),OFFSET($C$61,MATCH(M1530*1.07,$M$62:$M$2061,1),0)-C1530)</f>
        <v>52920</v>
      </c>
    </row>
    <row r="1531" spans="2:14">
      <c r="B1531" s="67">
        <v>1470</v>
      </c>
      <c r="C1531" s="67">
        <f t="shared" si="144"/>
        <v>529200</v>
      </c>
      <c r="D1531" s="67">
        <f t="shared" si="142"/>
        <v>5</v>
      </c>
      <c r="E1531" s="67">
        <f ca="1" t="shared" si="143"/>
        <v>1500</v>
      </c>
      <c r="F1531" s="67">
        <f ca="1" t="shared" si="145"/>
        <v>0</v>
      </c>
      <c r="G1531" s="67">
        <f ca="1" t="shared" si="146"/>
        <v>0</v>
      </c>
      <c r="H1531" s="67" cm="1">
        <f ca="1" t="array" ref="H1531">MIN(30-SUM(I1531:L1531),_xlfn.XLOOKUP($D1531&amp;"_"&amp;H$61,$B$23:$B$45&amp;"_"&amp;$C$23:$C$45,$D$23:$D$45)*$E1531,18)</f>
        <v>9.95271049596309</v>
      </c>
      <c r="I1531" s="67" cm="1">
        <f ca="1" t="array" ref="I1531">MIN(30-SUM(J1531:L1531),6-L1531,_xlfn.XLOOKUP($D1531&amp;"_"&amp;I$61,$B$23:$B$45&amp;"_"&amp;$C$23:$C$45,$D$23:$D$45)*$E1531)</f>
        <v>0</v>
      </c>
      <c r="J1531" s="67" cm="1">
        <f ca="1" t="array" ref="J1531">MIN(8,_xlfn.XLOOKUP($D1531&amp;"_"&amp;J$61,$B$23:$B$45&amp;"_"&amp;$C$23:$C$45,$D$23:$D$45)*$E1531)</f>
        <v>8</v>
      </c>
      <c r="K1531" s="67" cm="1">
        <f ca="1" t="array" ref="K1531">MIN(18,_xlfn.XLOOKUP($D1531&amp;"_"&amp;K$61,$B$23:$B$45&amp;"_"&amp;$C$23:$C$45,$D$23:$D$45)*$E1531)</f>
        <v>6.04728950403691</v>
      </c>
      <c r="L1531" s="67" cm="1">
        <f ca="1" t="array" ref="L1531">MIN(6,_xlfn.XLOOKUP($D1531&amp;"_"&amp;L$61,$B$23:$B$45&amp;"_"&amp;$C$23:$C$45,$D$23:$D$45)*$E1531)</f>
        <v>6</v>
      </c>
      <c r="M1531" s="67" cm="1">
        <f ca="1" t="array" ref="M1531">(1+SUMPRODUCT(G1531:H1531,OFFSET($H$49:$I$49,D1531,0)))*(1+OFFSET($J$49,D1531,0))^I1531*(1+OFFSET($K$49,D1531,0))^J1531*(1+OFFSET($L$49,D1531,0))^K1531*(1+OFFSET($M$49,D1531,0))^L1531</f>
        <v>439.15403309278</v>
      </c>
      <c r="N1531" s="67">
        <f ca="1">MAX(MAX($N$62:N1530),OFFSET($C$61,MATCH(M1531*1.07,$M$62:$M$2061,1),0)-C1531)</f>
        <v>52920</v>
      </c>
    </row>
    <row r="1532" spans="2:14">
      <c r="B1532" s="67">
        <v>1471</v>
      </c>
      <c r="C1532" s="67">
        <f t="shared" si="144"/>
        <v>529560</v>
      </c>
      <c r="D1532" s="67">
        <f t="shared" si="142"/>
        <v>5</v>
      </c>
      <c r="E1532" s="67">
        <f ca="1" t="shared" si="143"/>
        <v>1501</v>
      </c>
      <c r="F1532" s="67">
        <f ca="1" t="shared" si="145"/>
        <v>0</v>
      </c>
      <c r="G1532" s="67">
        <f ca="1" t="shared" si="146"/>
        <v>0</v>
      </c>
      <c r="H1532" s="67" cm="1">
        <f ca="1" t="array" ref="H1532">MIN(30-SUM(I1532:L1532),_xlfn.XLOOKUP($D1532&amp;"_"&amp;H$61,$B$23:$B$45&amp;"_"&amp;$C$23:$C$45,$D$23:$D$45)*$E1532,18)</f>
        <v>9.94867896962706</v>
      </c>
      <c r="I1532" s="67" cm="1">
        <f ca="1" t="array" ref="I1532">MIN(30-SUM(J1532:L1532),6-L1532,_xlfn.XLOOKUP($D1532&amp;"_"&amp;I$61,$B$23:$B$45&amp;"_"&amp;$C$23:$C$45,$D$23:$D$45)*$E1532)</f>
        <v>0</v>
      </c>
      <c r="J1532" s="67" cm="1">
        <f ca="1" t="array" ref="J1532">MIN(8,_xlfn.XLOOKUP($D1532&amp;"_"&amp;J$61,$B$23:$B$45&amp;"_"&amp;$C$23:$C$45,$D$23:$D$45)*$E1532)</f>
        <v>8</v>
      </c>
      <c r="K1532" s="67" cm="1">
        <f ca="1" t="array" ref="K1532">MIN(18,_xlfn.XLOOKUP($D1532&amp;"_"&amp;K$61,$B$23:$B$45&amp;"_"&amp;$C$23:$C$45,$D$23:$D$45)*$E1532)</f>
        <v>6.05132103037294</v>
      </c>
      <c r="L1532" s="67" cm="1">
        <f ca="1" t="array" ref="L1532">MIN(6,_xlfn.XLOOKUP($D1532&amp;"_"&amp;L$61,$B$23:$B$45&amp;"_"&amp;$C$23:$C$45,$D$23:$D$45)*$E1532)</f>
        <v>6</v>
      </c>
      <c r="M1532" s="67" cm="1">
        <f ca="1" t="array" ref="M1532">(1+SUMPRODUCT(G1532:H1532,OFFSET($H$49:$I$49,D1532,0)))*(1+OFFSET($J$49,D1532,0))^I1532*(1+OFFSET($K$49,D1532,0))^J1532*(1+OFFSET($L$49,D1532,0))^K1532*(1+OFFSET($M$49,D1532,0))^L1532</f>
        <v>439.358453884593</v>
      </c>
      <c r="N1532" s="67">
        <f ca="1">MAX(MAX($N$62:N1531),OFFSET($C$61,MATCH(M1532*1.07,$M$62:$M$2061,1),0)-C1532)</f>
        <v>52920</v>
      </c>
    </row>
    <row r="1533" spans="2:14">
      <c r="B1533" s="67">
        <v>1472</v>
      </c>
      <c r="C1533" s="67">
        <f t="shared" si="144"/>
        <v>529920</v>
      </c>
      <c r="D1533" s="67">
        <f t="shared" si="142"/>
        <v>5</v>
      </c>
      <c r="E1533" s="67">
        <f ca="1" t="shared" si="143"/>
        <v>1502</v>
      </c>
      <c r="F1533" s="67">
        <f ca="1" t="shared" si="145"/>
        <v>0</v>
      </c>
      <c r="G1533" s="67">
        <f ca="1" t="shared" si="146"/>
        <v>0</v>
      </c>
      <c r="H1533" s="67" cm="1">
        <f ca="1" t="array" ref="H1533">MIN(30-SUM(I1533:L1533),_xlfn.XLOOKUP($D1533&amp;"_"&amp;H$61,$B$23:$B$45&amp;"_"&amp;$C$23:$C$45,$D$23:$D$45)*$E1533,18)</f>
        <v>9.94464744329104</v>
      </c>
      <c r="I1533" s="67" cm="1">
        <f ca="1" t="array" ref="I1533">MIN(30-SUM(J1533:L1533),6-L1533,_xlfn.XLOOKUP($D1533&amp;"_"&amp;I$61,$B$23:$B$45&amp;"_"&amp;$C$23:$C$45,$D$23:$D$45)*$E1533)</f>
        <v>0</v>
      </c>
      <c r="J1533" s="67" cm="1">
        <f ca="1" t="array" ref="J1533">MIN(8,_xlfn.XLOOKUP($D1533&amp;"_"&amp;J$61,$B$23:$B$45&amp;"_"&amp;$C$23:$C$45,$D$23:$D$45)*$E1533)</f>
        <v>8</v>
      </c>
      <c r="K1533" s="67" cm="1">
        <f ca="1" t="array" ref="K1533">MIN(18,_xlfn.XLOOKUP($D1533&amp;"_"&amp;K$61,$B$23:$B$45&amp;"_"&amp;$C$23:$C$45,$D$23:$D$45)*$E1533)</f>
        <v>6.05535255670896</v>
      </c>
      <c r="L1533" s="67" cm="1">
        <f ca="1" t="array" ref="L1533">MIN(6,_xlfn.XLOOKUP($D1533&amp;"_"&amp;L$61,$B$23:$B$45&amp;"_"&amp;$C$23:$C$45,$D$23:$D$45)*$E1533)</f>
        <v>6</v>
      </c>
      <c r="M1533" s="67" cm="1">
        <f ca="1" t="array" ref="M1533">(1+SUMPRODUCT(G1533:H1533,OFFSET($H$49:$I$49,D1533,0)))*(1+OFFSET($J$49,D1533,0))^I1533*(1+OFFSET($K$49,D1533,0))^J1533*(1+OFFSET($L$49,D1533,0))^K1533*(1+OFFSET($M$49,D1533,0))^L1533</f>
        <v>439.562937860894</v>
      </c>
      <c r="N1533" s="67">
        <f ca="1">MAX(MAX($N$62:N1532),OFFSET($C$61,MATCH(M1533*1.07,$M$62:$M$2061,1),0)-C1533)</f>
        <v>52920</v>
      </c>
    </row>
    <row r="1534" spans="2:14">
      <c r="B1534" s="67">
        <v>1473</v>
      </c>
      <c r="C1534" s="67">
        <f t="shared" si="144"/>
        <v>530280</v>
      </c>
      <c r="D1534" s="67">
        <f t="shared" si="142"/>
        <v>5</v>
      </c>
      <c r="E1534" s="67">
        <f ca="1" t="shared" si="143"/>
        <v>1503</v>
      </c>
      <c r="F1534" s="67">
        <f ca="1" t="shared" si="145"/>
        <v>0</v>
      </c>
      <c r="G1534" s="67">
        <f ca="1" t="shared" si="146"/>
        <v>0</v>
      </c>
      <c r="H1534" s="67" cm="1">
        <f ca="1" t="array" ref="H1534">MIN(30-SUM(I1534:L1534),_xlfn.XLOOKUP($D1534&amp;"_"&amp;H$61,$B$23:$B$45&amp;"_"&amp;$C$23:$C$45,$D$23:$D$45)*$E1534,18)</f>
        <v>9.94061591695501</v>
      </c>
      <c r="I1534" s="67" cm="1">
        <f ca="1" t="array" ref="I1534">MIN(30-SUM(J1534:L1534),6-L1534,_xlfn.XLOOKUP($D1534&amp;"_"&amp;I$61,$B$23:$B$45&amp;"_"&amp;$C$23:$C$45,$D$23:$D$45)*$E1534)</f>
        <v>0</v>
      </c>
      <c r="J1534" s="67" cm="1">
        <f ca="1" t="array" ref="J1534">MIN(8,_xlfn.XLOOKUP($D1534&amp;"_"&amp;J$61,$B$23:$B$45&amp;"_"&amp;$C$23:$C$45,$D$23:$D$45)*$E1534)</f>
        <v>8</v>
      </c>
      <c r="K1534" s="67" cm="1">
        <f ca="1" t="array" ref="K1534">MIN(18,_xlfn.XLOOKUP($D1534&amp;"_"&amp;K$61,$B$23:$B$45&amp;"_"&amp;$C$23:$C$45,$D$23:$D$45)*$E1534)</f>
        <v>6.05938408304499</v>
      </c>
      <c r="L1534" s="67" cm="1">
        <f ca="1" t="array" ref="L1534">MIN(6,_xlfn.XLOOKUP($D1534&amp;"_"&amp;L$61,$B$23:$B$45&amp;"_"&amp;$C$23:$C$45,$D$23:$D$45)*$E1534)</f>
        <v>6</v>
      </c>
      <c r="M1534" s="67" cm="1">
        <f ca="1" t="array" ref="M1534">(1+SUMPRODUCT(G1534:H1534,OFFSET($H$49:$I$49,D1534,0)))*(1+OFFSET($J$49,D1534,0))^I1534*(1+OFFSET($K$49,D1534,0))^J1534*(1+OFFSET($L$49,D1534,0))^K1534*(1+OFFSET($M$49,D1534,0))^L1534</f>
        <v>439.76748500408</v>
      </c>
      <c r="N1534" s="67">
        <f ca="1">MAX(MAX($N$62:N1533),OFFSET($C$61,MATCH(M1534*1.07,$M$62:$M$2061,1),0)-C1534)</f>
        <v>52920</v>
      </c>
    </row>
    <row r="1535" spans="2:14">
      <c r="B1535" s="67">
        <v>1474</v>
      </c>
      <c r="C1535" s="67">
        <f t="shared" si="144"/>
        <v>530640</v>
      </c>
      <c r="D1535" s="67">
        <f t="shared" ref="D1535:D1598" si="147">_xlfn.XLOOKUP("非R",$B$49:$B$54,$C$49:$C$54)</f>
        <v>5</v>
      </c>
      <c r="E1535" s="67">
        <f ca="1" t="shared" ref="E1535:E1598" si="148">INT(C1535/_xlfn.XLOOKUP(D1535,$R$14:$R$21,$S$14:$S$21))+OFFSET($R$49,D1535,0)</f>
        <v>1504</v>
      </c>
      <c r="F1535" s="67">
        <f ca="1" t="shared" si="145"/>
        <v>0</v>
      </c>
      <c r="G1535" s="67">
        <f ca="1" t="shared" si="146"/>
        <v>0</v>
      </c>
      <c r="H1535" s="67" cm="1">
        <f ca="1" t="array" ref="H1535">MIN(30-SUM(I1535:L1535),_xlfn.XLOOKUP($D1535&amp;"_"&amp;H$61,$B$23:$B$45&amp;"_"&amp;$C$23:$C$45,$D$23:$D$45)*$E1535,18)</f>
        <v>9.93658439061899</v>
      </c>
      <c r="I1535" s="67" cm="1">
        <f ca="1" t="array" ref="I1535">MIN(30-SUM(J1535:L1535),6-L1535,_xlfn.XLOOKUP($D1535&amp;"_"&amp;I$61,$B$23:$B$45&amp;"_"&amp;$C$23:$C$45,$D$23:$D$45)*$E1535)</f>
        <v>0</v>
      </c>
      <c r="J1535" s="67" cm="1">
        <f ca="1" t="array" ref="J1535">MIN(8,_xlfn.XLOOKUP($D1535&amp;"_"&amp;J$61,$B$23:$B$45&amp;"_"&amp;$C$23:$C$45,$D$23:$D$45)*$E1535)</f>
        <v>8</v>
      </c>
      <c r="K1535" s="67" cm="1">
        <f ca="1" t="array" ref="K1535">MIN(18,_xlfn.XLOOKUP($D1535&amp;"_"&amp;K$61,$B$23:$B$45&amp;"_"&amp;$C$23:$C$45,$D$23:$D$45)*$E1535)</f>
        <v>6.06341560938101</v>
      </c>
      <c r="L1535" s="67" cm="1">
        <f ca="1" t="array" ref="L1535">MIN(6,_xlfn.XLOOKUP($D1535&amp;"_"&amp;L$61,$B$23:$B$45&amp;"_"&amp;$C$23:$C$45,$D$23:$D$45)*$E1535)</f>
        <v>6</v>
      </c>
      <c r="M1535" s="67" cm="1">
        <f ca="1" t="array" ref="M1535">(1+SUMPRODUCT(G1535:H1535,OFFSET($H$49:$I$49,D1535,0)))*(1+OFFSET($J$49,D1535,0))^I1535*(1+OFFSET($K$49,D1535,0))^J1535*(1+OFFSET($L$49,D1535,0))^K1535*(1+OFFSET($M$49,D1535,0))^L1535</f>
        <v>439.972095296484</v>
      </c>
      <c r="N1535" s="67">
        <f ca="1">MAX(MAX($N$62:N1534),OFFSET($C$61,MATCH(M1535*1.07,$M$62:$M$2061,1),0)-C1535)</f>
        <v>52920</v>
      </c>
    </row>
    <row r="1536" spans="2:14">
      <c r="B1536" s="67">
        <v>1475</v>
      </c>
      <c r="C1536" s="67">
        <f t="shared" si="144"/>
        <v>531000</v>
      </c>
      <c r="D1536" s="67">
        <f t="shared" si="147"/>
        <v>5</v>
      </c>
      <c r="E1536" s="67">
        <f ca="1" t="shared" si="148"/>
        <v>1505</v>
      </c>
      <c r="F1536" s="67">
        <f ca="1" t="shared" si="145"/>
        <v>0</v>
      </c>
      <c r="G1536" s="67">
        <f ca="1" t="shared" si="146"/>
        <v>0</v>
      </c>
      <c r="H1536" s="67" cm="1">
        <f ca="1" t="array" ref="H1536">MIN(30-SUM(I1536:L1536),_xlfn.XLOOKUP($D1536&amp;"_"&amp;H$61,$B$23:$B$45&amp;"_"&amp;$C$23:$C$45,$D$23:$D$45)*$E1536,18)</f>
        <v>9.93255286428296</v>
      </c>
      <c r="I1536" s="67" cm="1">
        <f ca="1" t="array" ref="I1536">MIN(30-SUM(J1536:L1536),6-L1536,_xlfn.XLOOKUP($D1536&amp;"_"&amp;I$61,$B$23:$B$45&amp;"_"&amp;$C$23:$C$45,$D$23:$D$45)*$E1536)</f>
        <v>0</v>
      </c>
      <c r="J1536" s="67" cm="1">
        <f ca="1" t="array" ref="J1536">MIN(8,_xlfn.XLOOKUP($D1536&amp;"_"&amp;J$61,$B$23:$B$45&amp;"_"&amp;$C$23:$C$45,$D$23:$D$45)*$E1536)</f>
        <v>8</v>
      </c>
      <c r="K1536" s="67" cm="1">
        <f ca="1" t="array" ref="K1536">MIN(18,_xlfn.XLOOKUP($D1536&amp;"_"&amp;K$61,$B$23:$B$45&amp;"_"&amp;$C$23:$C$45,$D$23:$D$45)*$E1536)</f>
        <v>6.06744713571704</v>
      </c>
      <c r="L1536" s="67" cm="1">
        <f ca="1" t="array" ref="L1536">MIN(6,_xlfn.XLOOKUP($D1536&amp;"_"&amp;L$61,$B$23:$B$45&amp;"_"&amp;$C$23:$C$45,$D$23:$D$45)*$E1536)</f>
        <v>6</v>
      </c>
      <c r="M1536" s="67" cm="1">
        <f ca="1" t="array" ref="M1536">(1+SUMPRODUCT(G1536:H1536,OFFSET($H$49:$I$49,D1536,0)))*(1+OFFSET($J$49,D1536,0))^I1536*(1+OFFSET($K$49,D1536,0))^J1536*(1+OFFSET($L$49,D1536,0))^K1536*(1+OFFSET($M$49,D1536,0))^L1536</f>
        <v>440.176768720381</v>
      </c>
      <c r="N1536" s="67">
        <f ca="1">MAX(MAX($N$62:N1535),OFFSET($C$61,MATCH(M1536*1.07,$M$62:$M$2061,1),0)-C1536)</f>
        <v>52920</v>
      </c>
    </row>
    <row r="1537" spans="2:14">
      <c r="B1537" s="67">
        <v>1476</v>
      </c>
      <c r="C1537" s="67">
        <f t="shared" si="144"/>
        <v>531360</v>
      </c>
      <c r="D1537" s="67">
        <f t="shared" si="147"/>
        <v>5</v>
      </c>
      <c r="E1537" s="67">
        <f ca="1" t="shared" si="148"/>
        <v>1506</v>
      </c>
      <c r="F1537" s="67">
        <f ca="1" t="shared" si="145"/>
        <v>0</v>
      </c>
      <c r="G1537" s="67">
        <f ca="1" t="shared" si="146"/>
        <v>0</v>
      </c>
      <c r="H1537" s="67" cm="1">
        <f ca="1" t="array" ref="H1537">MIN(30-SUM(I1537:L1537),_xlfn.XLOOKUP($D1537&amp;"_"&amp;H$61,$B$23:$B$45&amp;"_"&amp;$C$23:$C$45,$D$23:$D$45)*$E1537,18)</f>
        <v>9.92852133794694</v>
      </c>
      <c r="I1537" s="67" cm="1">
        <f ca="1" t="array" ref="I1537">MIN(30-SUM(J1537:L1537),6-L1537,_xlfn.XLOOKUP($D1537&amp;"_"&amp;I$61,$B$23:$B$45&amp;"_"&amp;$C$23:$C$45,$D$23:$D$45)*$E1537)</f>
        <v>0</v>
      </c>
      <c r="J1537" s="67" cm="1">
        <f ca="1" t="array" ref="J1537">MIN(8,_xlfn.XLOOKUP($D1537&amp;"_"&amp;J$61,$B$23:$B$45&amp;"_"&amp;$C$23:$C$45,$D$23:$D$45)*$E1537)</f>
        <v>8</v>
      </c>
      <c r="K1537" s="67" cm="1">
        <f ca="1" t="array" ref="K1537">MIN(18,_xlfn.XLOOKUP($D1537&amp;"_"&amp;K$61,$B$23:$B$45&amp;"_"&amp;$C$23:$C$45,$D$23:$D$45)*$E1537)</f>
        <v>6.07147866205306</v>
      </c>
      <c r="L1537" s="67" cm="1">
        <f ca="1" t="array" ref="L1537">MIN(6,_xlfn.XLOOKUP($D1537&amp;"_"&amp;L$61,$B$23:$B$45&amp;"_"&amp;$C$23:$C$45,$D$23:$D$45)*$E1537)</f>
        <v>6</v>
      </c>
      <c r="M1537" s="67" cm="1">
        <f ca="1" t="array" ref="M1537">(1+SUMPRODUCT(G1537:H1537,OFFSET($H$49:$I$49,D1537,0)))*(1+OFFSET($J$49,D1537,0))^I1537*(1+OFFSET($K$49,D1537,0))^J1537*(1+OFFSET($L$49,D1537,0))^K1537*(1+OFFSET($M$49,D1537,0))^L1537</f>
        <v>440.381505257987</v>
      </c>
      <c r="N1537" s="67">
        <f ca="1">MAX(MAX($N$62:N1536),OFFSET($C$61,MATCH(M1537*1.07,$M$62:$M$2061,1),0)-C1537)</f>
        <v>52920</v>
      </c>
    </row>
    <row r="1538" spans="2:14">
      <c r="B1538" s="67">
        <v>1477</v>
      </c>
      <c r="C1538" s="67">
        <f t="shared" si="144"/>
        <v>531720</v>
      </c>
      <c r="D1538" s="67">
        <f t="shared" si="147"/>
        <v>5</v>
      </c>
      <c r="E1538" s="67">
        <f ca="1" t="shared" si="148"/>
        <v>1507</v>
      </c>
      <c r="F1538" s="67">
        <f ca="1" t="shared" si="145"/>
        <v>0</v>
      </c>
      <c r="G1538" s="67">
        <f ca="1" t="shared" si="146"/>
        <v>0</v>
      </c>
      <c r="H1538" s="67" cm="1">
        <f ca="1" t="array" ref="H1538">MIN(30-SUM(I1538:L1538),_xlfn.XLOOKUP($D1538&amp;"_"&amp;H$61,$B$23:$B$45&amp;"_"&amp;$C$23:$C$45,$D$23:$D$45)*$E1538,18)</f>
        <v>9.92448981161091</v>
      </c>
      <c r="I1538" s="67" cm="1">
        <f ca="1" t="array" ref="I1538">MIN(30-SUM(J1538:L1538),6-L1538,_xlfn.XLOOKUP($D1538&amp;"_"&amp;I$61,$B$23:$B$45&amp;"_"&amp;$C$23:$C$45,$D$23:$D$45)*$E1538)</f>
        <v>0</v>
      </c>
      <c r="J1538" s="67" cm="1">
        <f ca="1" t="array" ref="J1538">MIN(8,_xlfn.XLOOKUP($D1538&amp;"_"&amp;J$61,$B$23:$B$45&amp;"_"&amp;$C$23:$C$45,$D$23:$D$45)*$E1538)</f>
        <v>8</v>
      </c>
      <c r="K1538" s="67" cm="1">
        <f ca="1" t="array" ref="K1538">MIN(18,_xlfn.XLOOKUP($D1538&amp;"_"&amp;K$61,$B$23:$B$45&amp;"_"&amp;$C$23:$C$45,$D$23:$D$45)*$E1538)</f>
        <v>6.07551018838909</v>
      </c>
      <c r="L1538" s="67" cm="1">
        <f ca="1" t="array" ref="L1538">MIN(6,_xlfn.XLOOKUP($D1538&amp;"_"&amp;L$61,$B$23:$B$45&amp;"_"&amp;$C$23:$C$45,$D$23:$D$45)*$E1538)</f>
        <v>6</v>
      </c>
      <c r="M1538" s="67" cm="1">
        <f ca="1" t="array" ref="M1538">(1+SUMPRODUCT(G1538:H1538,OFFSET($H$49:$I$49,D1538,0)))*(1+OFFSET($J$49,D1538,0))^I1538*(1+OFFSET($K$49,D1538,0))^J1538*(1+OFFSET($L$49,D1538,0))^K1538*(1+OFFSET($M$49,D1538,0))^L1538</f>
        <v>440.586304891454</v>
      </c>
      <c r="N1538" s="67">
        <f ca="1">MAX(MAX($N$62:N1537),OFFSET($C$61,MATCH(M1538*1.07,$M$62:$M$2061,1),0)-C1538)</f>
        <v>52920</v>
      </c>
    </row>
    <row r="1539" spans="2:14">
      <c r="B1539" s="67">
        <v>1478</v>
      </c>
      <c r="C1539" s="67">
        <f t="shared" si="144"/>
        <v>532080</v>
      </c>
      <c r="D1539" s="67">
        <f t="shared" si="147"/>
        <v>5</v>
      </c>
      <c r="E1539" s="67">
        <f ca="1" t="shared" si="148"/>
        <v>1508</v>
      </c>
      <c r="F1539" s="67">
        <f ca="1" t="shared" si="145"/>
        <v>0</v>
      </c>
      <c r="G1539" s="67">
        <f ca="1" t="shared" si="146"/>
        <v>0</v>
      </c>
      <c r="H1539" s="67" cm="1">
        <f ca="1" t="array" ref="H1539">MIN(30-SUM(I1539:L1539),_xlfn.XLOOKUP($D1539&amp;"_"&amp;H$61,$B$23:$B$45&amp;"_"&amp;$C$23:$C$45,$D$23:$D$45)*$E1539,18)</f>
        <v>9.92045828527489</v>
      </c>
      <c r="I1539" s="67" cm="1">
        <f ca="1" t="array" ref="I1539">MIN(30-SUM(J1539:L1539),6-L1539,_xlfn.XLOOKUP($D1539&amp;"_"&amp;I$61,$B$23:$B$45&amp;"_"&amp;$C$23:$C$45,$D$23:$D$45)*$E1539)</f>
        <v>0</v>
      </c>
      <c r="J1539" s="67" cm="1">
        <f ca="1" t="array" ref="J1539">MIN(8,_xlfn.XLOOKUP($D1539&amp;"_"&amp;J$61,$B$23:$B$45&amp;"_"&amp;$C$23:$C$45,$D$23:$D$45)*$E1539)</f>
        <v>8</v>
      </c>
      <c r="K1539" s="67" cm="1">
        <f ca="1" t="array" ref="K1539">MIN(18,_xlfn.XLOOKUP($D1539&amp;"_"&amp;K$61,$B$23:$B$45&amp;"_"&amp;$C$23:$C$45,$D$23:$D$45)*$E1539)</f>
        <v>6.07954171472511</v>
      </c>
      <c r="L1539" s="67" cm="1">
        <f ca="1" t="array" ref="L1539">MIN(6,_xlfn.XLOOKUP($D1539&amp;"_"&amp;L$61,$B$23:$B$45&amp;"_"&amp;$C$23:$C$45,$D$23:$D$45)*$E1539)</f>
        <v>6</v>
      </c>
      <c r="M1539" s="67" cm="1">
        <f ca="1" t="array" ref="M1539">(1+SUMPRODUCT(G1539:H1539,OFFSET($H$49:$I$49,D1539,0)))*(1+OFFSET($J$49,D1539,0))^I1539*(1+OFFSET($K$49,D1539,0))^J1539*(1+OFFSET($L$49,D1539,0))^K1539*(1+OFFSET($M$49,D1539,0))^L1539</f>
        <v>440.791167602878</v>
      </c>
      <c r="N1539" s="67">
        <f ca="1">MAX(MAX($N$62:N1538),OFFSET($C$61,MATCH(M1539*1.07,$M$62:$M$2061,1),0)-C1539)</f>
        <v>52920</v>
      </c>
    </row>
    <row r="1540" spans="2:14">
      <c r="B1540" s="67">
        <v>1479</v>
      </c>
      <c r="C1540" s="67">
        <f t="shared" si="144"/>
        <v>532440</v>
      </c>
      <c r="D1540" s="67">
        <f t="shared" si="147"/>
        <v>5</v>
      </c>
      <c r="E1540" s="67">
        <f ca="1" t="shared" si="148"/>
        <v>1509</v>
      </c>
      <c r="F1540" s="67">
        <f ca="1" t="shared" si="145"/>
        <v>0</v>
      </c>
      <c r="G1540" s="67">
        <f ca="1" t="shared" si="146"/>
        <v>0</v>
      </c>
      <c r="H1540" s="67" cm="1">
        <f ca="1" t="array" ref="H1540">MIN(30-SUM(I1540:L1540),_xlfn.XLOOKUP($D1540&amp;"_"&amp;H$61,$B$23:$B$45&amp;"_"&amp;$C$23:$C$45,$D$23:$D$45)*$E1540,18)</f>
        <v>9.91642675893887</v>
      </c>
      <c r="I1540" s="67" cm="1">
        <f ca="1" t="array" ref="I1540">MIN(30-SUM(J1540:L1540),6-L1540,_xlfn.XLOOKUP($D1540&amp;"_"&amp;I$61,$B$23:$B$45&amp;"_"&amp;$C$23:$C$45,$D$23:$D$45)*$E1540)</f>
        <v>0</v>
      </c>
      <c r="J1540" s="67" cm="1">
        <f ca="1" t="array" ref="J1540">MIN(8,_xlfn.XLOOKUP($D1540&amp;"_"&amp;J$61,$B$23:$B$45&amp;"_"&amp;$C$23:$C$45,$D$23:$D$45)*$E1540)</f>
        <v>8</v>
      </c>
      <c r="K1540" s="67" cm="1">
        <f ca="1" t="array" ref="K1540">MIN(18,_xlfn.XLOOKUP($D1540&amp;"_"&amp;K$61,$B$23:$B$45&amp;"_"&amp;$C$23:$C$45,$D$23:$D$45)*$E1540)</f>
        <v>6.08357324106114</v>
      </c>
      <c r="L1540" s="67" cm="1">
        <f ca="1" t="array" ref="L1540">MIN(6,_xlfn.XLOOKUP($D1540&amp;"_"&amp;L$61,$B$23:$B$45&amp;"_"&amp;$C$23:$C$45,$D$23:$D$45)*$E1540)</f>
        <v>6</v>
      </c>
      <c r="M1540" s="67" cm="1">
        <f ca="1" t="array" ref="M1540">(1+SUMPRODUCT(G1540:H1540,OFFSET($H$49:$I$49,D1540,0)))*(1+OFFSET($J$49,D1540,0))^I1540*(1+OFFSET($K$49,D1540,0))^J1540*(1+OFFSET($L$49,D1540,0))^K1540*(1+OFFSET($M$49,D1540,0))^L1540</f>
        <v>440.996093374292</v>
      </c>
      <c r="N1540" s="67">
        <f ca="1">MAX(MAX($N$62:N1539),OFFSET($C$61,MATCH(M1540*1.07,$M$62:$M$2061,1),0)-C1540)</f>
        <v>52920</v>
      </c>
    </row>
    <row r="1541" spans="2:14">
      <c r="B1541" s="67">
        <v>1480</v>
      </c>
      <c r="C1541" s="67">
        <f t="shared" si="144"/>
        <v>532800</v>
      </c>
      <c r="D1541" s="67">
        <f t="shared" si="147"/>
        <v>5</v>
      </c>
      <c r="E1541" s="67">
        <f ca="1" t="shared" si="148"/>
        <v>1510</v>
      </c>
      <c r="F1541" s="67">
        <f ca="1" t="shared" si="145"/>
        <v>0</v>
      </c>
      <c r="G1541" s="67">
        <f ca="1" t="shared" si="146"/>
        <v>0</v>
      </c>
      <c r="H1541" s="67" cm="1">
        <f ca="1" t="array" ref="H1541">MIN(30-SUM(I1541:L1541),_xlfn.XLOOKUP($D1541&amp;"_"&amp;H$61,$B$23:$B$45&amp;"_"&amp;$C$23:$C$45,$D$23:$D$45)*$E1541,18)</f>
        <v>9.91239523260284</v>
      </c>
      <c r="I1541" s="67" cm="1">
        <f ca="1" t="array" ref="I1541">MIN(30-SUM(J1541:L1541),6-L1541,_xlfn.XLOOKUP($D1541&amp;"_"&amp;I$61,$B$23:$B$45&amp;"_"&amp;$C$23:$C$45,$D$23:$D$45)*$E1541)</f>
        <v>0</v>
      </c>
      <c r="J1541" s="67" cm="1">
        <f ca="1" t="array" ref="J1541">MIN(8,_xlfn.XLOOKUP($D1541&amp;"_"&amp;J$61,$B$23:$B$45&amp;"_"&amp;$C$23:$C$45,$D$23:$D$45)*$E1541)</f>
        <v>8</v>
      </c>
      <c r="K1541" s="67" cm="1">
        <f ca="1" t="array" ref="K1541">MIN(18,_xlfn.XLOOKUP($D1541&amp;"_"&amp;K$61,$B$23:$B$45&amp;"_"&amp;$C$23:$C$45,$D$23:$D$45)*$E1541)</f>
        <v>6.08760476739716</v>
      </c>
      <c r="L1541" s="67" cm="1">
        <f ca="1" t="array" ref="L1541">MIN(6,_xlfn.XLOOKUP($D1541&amp;"_"&amp;L$61,$B$23:$B$45&amp;"_"&amp;$C$23:$C$45,$D$23:$D$45)*$E1541)</f>
        <v>6</v>
      </c>
      <c r="M1541" s="67" cm="1">
        <f ca="1" t="array" ref="M1541">(1+SUMPRODUCT(G1541:H1541,OFFSET($H$49:$I$49,D1541,0)))*(1+OFFSET($J$49,D1541,0))^I1541*(1+OFFSET($K$49,D1541,0))^J1541*(1+OFFSET($L$49,D1541,0))^K1541*(1+OFFSET($M$49,D1541,0))^L1541</f>
        <v>441.201082187669</v>
      </c>
      <c r="N1541" s="67">
        <f ca="1">MAX(MAX($N$62:N1540),OFFSET($C$61,MATCH(M1541*1.07,$M$62:$M$2061,1),0)-C1541)</f>
        <v>52920</v>
      </c>
    </row>
    <row r="1542" spans="2:14">
      <c r="B1542" s="67">
        <v>1481</v>
      </c>
      <c r="C1542" s="67">
        <f t="shared" si="144"/>
        <v>533160</v>
      </c>
      <c r="D1542" s="67">
        <f t="shared" si="147"/>
        <v>5</v>
      </c>
      <c r="E1542" s="67">
        <f ca="1" t="shared" si="148"/>
        <v>1511</v>
      </c>
      <c r="F1542" s="67">
        <f ca="1" t="shared" si="145"/>
        <v>0</v>
      </c>
      <c r="G1542" s="67">
        <f ca="1" t="shared" si="146"/>
        <v>0</v>
      </c>
      <c r="H1542" s="67" cm="1">
        <f ca="1" t="array" ref="H1542">MIN(30-SUM(I1542:L1542),_xlfn.XLOOKUP($D1542&amp;"_"&amp;H$61,$B$23:$B$45&amp;"_"&amp;$C$23:$C$45,$D$23:$D$45)*$E1542,18)</f>
        <v>9.90836370626682</v>
      </c>
      <c r="I1542" s="67" cm="1">
        <f ca="1" t="array" ref="I1542">MIN(30-SUM(J1542:L1542),6-L1542,_xlfn.XLOOKUP($D1542&amp;"_"&amp;I$61,$B$23:$B$45&amp;"_"&amp;$C$23:$C$45,$D$23:$D$45)*$E1542)</f>
        <v>0</v>
      </c>
      <c r="J1542" s="67" cm="1">
        <f ca="1" t="array" ref="J1542">MIN(8,_xlfn.XLOOKUP($D1542&amp;"_"&amp;J$61,$B$23:$B$45&amp;"_"&amp;$C$23:$C$45,$D$23:$D$45)*$E1542)</f>
        <v>8</v>
      </c>
      <c r="K1542" s="67" cm="1">
        <f ca="1" t="array" ref="K1542">MIN(18,_xlfn.XLOOKUP($D1542&amp;"_"&amp;K$61,$B$23:$B$45&amp;"_"&amp;$C$23:$C$45,$D$23:$D$45)*$E1542)</f>
        <v>6.09163629373319</v>
      </c>
      <c r="L1542" s="67" cm="1">
        <f ca="1" t="array" ref="L1542">MIN(6,_xlfn.XLOOKUP($D1542&amp;"_"&amp;L$61,$B$23:$B$45&amp;"_"&amp;$C$23:$C$45,$D$23:$D$45)*$E1542)</f>
        <v>6</v>
      </c>
      <c r="M1542" s="67" cm="1">
        <f ca="1" t="array" ref="M1542">(1+SUMPRODUCT(G1542:H1542,OFFSET($H$49:$I$49,D1542,0)))*(1+OFFSET($J$49,D1542,0))^I1542*(1+OFFSET($K$49,D1542,0))^J1542*(1+OFFSET($L$49,D1542,0))^K1542*(1+OFFSET($M$49,D1542,0))^L1542</f>
        <v>441.40613402492</v>
      </c>
      <c r="N1542" s="67">
        <f ca="1">MAX(MAX($N$62:N1541),OFFSET($C$61,MATCH(M1542*1.07,$M$62:$M$2061,1),0)-C1542)</f>
        <v>52920</v>
      </c>
    </row>
    <row r="1543" spans="2:14">
      <c r="B1543" s="67">
        <v>1482</v>
      </c>
      <c r="C1543" s="67">
        <f t="shared" si="144"/>
        <v>533520</v>
      </c>
      <c r="D1543" s="67">
        <f t="shared" si="147"/>
        <v>5</v>
      </c>
      <c r="E1543" s="67">
        <f ca="1" t="shared" si="148"/>
        <v>1512</v>
      </c>
      <c r="F1543" s="67">
        <f ca="1" t="shared" si="145"/>
        <v>0</v>
      </c>
      <c r="G1543" s="67">
        <f ca="1" t="shared" si="146"/>
        <v>0</v>
      </c>
      <c r="H1543" s="67" cm="1">
        <f ca="1" t="array" ref="H1543">MIN(30-SUM(I1543:L1543),_xlfn.XLOOKUP($D1543&amp;"_"&amp;H$61,$B$23:$B$45&amp;"_"&amp;$C$23:$C$45,$D$23:$D$45)*$E1543,18)</f>
        <v>9.90433217993079</v>
      </c>
      <c r="I1543" s="67" cm="1">
        <f ca="1" t="array" ref="I1543">MIN(30-SUM(J1543:L1543),6-L1543,_xlfn.XLOOKUP($D1543&amp;"_"&amp;I$61,$B$23:$B$45&amp;"_"&amp;$C$23:$C$45,$D$23:$D$45)*$E1543)</f>
        <v>0</v>
      </c>
      <c r="J1543" s="67" cm="1">
        <f ca="1" t="array" ref="J1543">MIN(8,_xlfn.XLOOKUP($D1543&amp;"_"&amp;J$61,$B$23:$B$45&amp;"_"&amp;$C$23:$C$45,$D$23:$D$45)*$E1543)</f>
        <v>8</v>
      </c>
      <c r="K1543" s="67" cm="1">
        <f ca="1" t="array" ref="K1543">MIN(18,_xlfn.XLOOKUP($D1543&amp;"_"&amp;K$61,$B$23:$B$45&amp;"_"&amp;$C$23:$C$45,$D$23:$D$45)*$E1543)</f>
        <v>6.09566782006921</v>
      </c>
      <c r="L1543" s="67" cm="1">
        <f ca="1" t="array" ref="L1543">MIN(6,_xlfn.XLOOKUP($D1543&amp;"_"&amp;L$61,$B$23:$B$45&amp;"_"&amp;$C$23:$C$45,$D$23:$D$45)*$E1543)</f>
        <v>6</v>
      </c>
      <c r="M1543" s="67" cm="1">
        <f ca="1" t="array" ref="M1543">(1+SUMPRODUCT(G1543:H1543,OFFSET($H$49:$I$49,D1543,0)))*(1+OFFSET($J$49,D1543,0))^I1543*(1+OFFSET($K$49,D1543,0))^J1543*(1+OFFSET($L$49,D1543,0))^K1543*(1+OFFSET($M$49,D1543,0))^L1543</f>
        <v>441.611248867898</v>
      </c>
      <c r="N1543" s="67">
        <f ca="1">MAX(MAX($N$62:N1542),OFFSET($C$61,MATCH(M1543*1.07,$M$62:$M$2061,1),0)-C1543)</f>
        <v>52920</v>
      </c>
    </row>
    <row r="1544" spans="2:14">
      <c r="B1544" s="67">
        <v>1483</v>
      </c>
      <c r="C1544" s="67">
        <f t="shared" si="144"/>
        <v>533880</v>
      </c>
      <c r="D1544" s="67">
        <f t="shared" si="147"/>
        <v>5</v>
      </c>
      <c r="E1544" s="67">
        <f ca="1" t="shared" si="148"/>
        <v>1513</v>
      </c>
      <c r="F1544" s="67">
        <f ca="1" t="shared" si="145"/>
        <v>0</v>
      </c>
      <c r="G1544" s="67">
        <f ca="1" t="shared" si="146"/>
        <v>0</v>
      </c>
      <c r="H1544" s="67" cm="1">
        <f ca="1" t="array" ref="H1544">MIN(30-SUM(I1544:L1544),_xlfn.XLOOKUP($D1544&amp;"_"&amp;H$61,$B$23:$B$45&amp;"_"&amp;$C$23:$C$45,$D$23:$D$45)*$E1544,18)</f>
        <v>9.90030065359477</v>
      </c>
      <c r="I1544" s="67" cm="1">
        <f ca="1" t="array" ref="I1544">MIN(30-SUM(J1544:L1544),6-L1544,_xlfn.XLOOKUP($D1544&amp;"_"&amp;I$61,$B$23:$B$45&amp;"_"&amp;$C$23:$C$45,$D$23:$D$45)*$E1544)</f>
        <v>0</v>
      </c>
      <c r="J1544" s="67" cm="1">
        <f ca="1" t="array" ref="J1544">MIN(8,_xlfn.XLOOKUP($D1544&amp;"_"&amp;J$61,$B$23:$B$45&amp;"_"&amp;$C$23:$C$45,$D$23:$D$45)*$E1544)</f>
        <v>8</v>
      </c>
      <c r="K1544" s="67" cm="1">
        <f ca="1" t="array" ref="K1544">MIN(18,_xlfn.XLOOKUP($D1544&amp;"_"&amp;K$61,$B$23:$B$45&amp;"_"&amp;$C$23:$C$45,$D$23:$D$45)*$E1544)</f>
        <v>6.09969934640523</v>
      </c>
      <c r="L1544" s="67" cm="1">
        <f ca="1" t="array" ref="L1544">MIN(6,_xlfn.XLOOKUP($D1544&amp;"_"&amp;L$61,$B$23:$B$45&amp;"_"&amp;$C$23:$C$45,$D$23:$D$45)*$E1544)</f>
        <v>6</v>
      </c>
      <c r="M1544" s="67" cm="1">
        <f ca="1" t="array" ref="M1544">(1+SUMPRODUCT(G1544:H1544,OFFSET($H$49:$I$49,D1544,0)))*(1+OFFSET($J$49,D1544,0))^I1544*(1+OFFSET($K$49,D1544,0))^J1544*(1+OFFSET($L$49,D1544,0))^K1544*(1+OFFSET($M$49,D1544,0))^L1544</f>
        <v>441.816426698393</v>
      </c>
      <c r="N1544" s="67">
        <f ca="1">MAX(MAX($N$62:N1543),OFFSET($C$61,MATCH(M1544*1.07,$M$62:$M$2061,1),0)-C1544)</f>
        <v>52920</v>
      </c>
    </row>
    <row r="1545" spans="2:14">
      <c r="B1545" s="67">
        <v>1484</v>
      </c>
      <c r="C1545" s="67">
        <f t="shared" si="144"/>
        <v>534240</v>
      </c>
      <c r="D1545" s="67">
        <f t="shared" si="147"/>
        <v>5</v>
      </c>
      <c r="E1545" s="67">
        <f ca="1" t="shared" si="148"/>
        <v>1514</v>
      </c>
      <c r="F1545" s="67">
        <f ca="1" t="shared" si="145"/>
        <v>0</v>
      </c>
      <c r="G1545" s="67">
        <f ca="1" t="shared" si="146"/>
        <v>0</v>
      </c>
      <c r="H1545" s="67" cm="1">
        <f ca="1" t="array" ref="H1545">MIN(30-SUM(I1545:L1545),_xlfn.XLOOKUP($D1545&amp;"_"&amp;H$61,$B$23:$B$45&amp;"_"&amp;$C$23:$C$45,$D$23:$D$45)*$E1545,18)</f>
        <v>9.89626912725874</v>
      </c>
      <c r="I1545" s="67" cm="1">
        <f ca="1" t="array" ref="I1545">MIN(30-SUM(J1545:L1545),6-L1545,_xlfn.XLOOKUP($D1545&amp;"_"&amp;I$61,$B$23:$B$45&amp;"_"&amp;$C$23:$C$45,$D$23:$D$45)*$E1545)</f>
        <v>0</v>
      </c>
      <c r="J1545" s="67" cm="1">
        <f ca="1" t="array" ref="J1545">MIN(8,_xlfn.XLOOKUP($D1545&amp;"_"&amp;J$61,$B$23:$B$45&amp;"_"&amp;$C$23:$C$45,$D$23:$D$45)*$E1545)</f>
        <v>8</v>
      </c>
      <c r="K1545" s="67" cm="1">
        <f ca="1" t="array" ref="K1545">MIN(18,_xlfn.XLOOKUP($D1545&amp;"_"&amp;K$61,$B$23:$B$45&amp;"_"&amp;$C$23:$C$45,$D$23:$D$45)*$E1545)</f>
        <v>6.10373087274126</v>
      </c>
      <c r="L1545" s="67" cm="1">
        <f ca="1" t="array" ref="L1545">MIN(6,_xlfn.XLOOKUP($D1545&amp;"_"&amp;L$61,$B$23:$B$45&amp;"_"&amp;$C$23:$C$45,$D$23:$D$45)*$E1545)</f>
        <v>6</v>
      </c>
      <c r="M1545" s="67" cm="1">
        <f ca="1" t="array" ref="M1545">(1+SUMPRODUCT(G1545:H1545,OFFSET($H$49:$I$49,D1545,0)))*(1+OFFSET($J$49,D1545,0))^I1545*(1+OFFSET($K$49,D1545,0))^J1545*(1+OFFSET($L$49,D1545,0))^K1545*(1+OFFSET($M$49,D1545,0))^L1545</f>
        <v>442.021667498136</v>
      </c>
      <c r="N1545" s="67">
        <f ca="1">MAX(MAX($N$62:N1544),OFFSET($C$61,MATCH(M1545*1.07,$M$62:$M$2061,1),0)-C1545)</f>
        <v>52920</v>
      </c>
    </row>
    <row r="1546" spans="2:14">
      <c r="B1546" s="67">
        <v>1485</v>
      </c>
      <c r="C1546" s="67">
        <f t="shared" si="144"/>
        <v>534600</v>
      </c>
      <c r="D1546" s="67">
        <f t="shared" si="147"/>
        <v>5</v>
      </c>
      <c r="E1546" s="67">
        <f ca="1" t="shared" si="148"/>
        <v>1515</v>
      </c>
      <c r="F1546" s="67">
        <f ca="1" t="shared" si="145"/>
        <v>0</v>
      </c>
      <c r="G1546" s="67">
        <f ca="1" t="shared" si="146"/>
        <v>0</v>
      </c>
      <c r="H1546" s="67" cm="1">
        <f ca="1" t="array" ref="H1546">MIN(30-SUM(I1546:L1546),_xlfn.XLOOKUP($D1546&amp;"_"&amp;H$61,$B$23:$B$45&amp;"_"&amp;$C$23:$C$45,$D$23:$D$45)*$E1546,18)</f>
        <v>9.89223760092272</v>
      </c>
      <c r="I1546" s="67" cm="1">
        <f ca="1" t="array" ref="I1546">MIN(30-SUM(J1546:L1546),6-L1546,_xlfn.XLOOKUP($D1546&amp;"_"&amp;I$61,$B$23:$B$45&amp;"_"&amp;$C$23:$C$45,$D$23:$D$45)*$E1546)</f>
        <v>0</v>
      </c>
      <c r="J1546" s="67" cm="1">
        <f ca="1" t="array" ref="J1546">MIN(8,_xlfn.XLOOKUP($D1546&amp;"_"&amp;J$61,$B$23:$B$45&amp;"_"&amp;$C$23:$C$45,$D$23:$D$45)*$E1546)</f>
        <v>8</v>
      </c>
      <c r="K1546" s="67" cm="1">
        <f ca="1" t="array" ref="K1546">MIN(18,_xlfn.XLOOKUP($D1546&amp;"_"&amp;K$61,$B$23:$B$45&amp;"_"&amp;$C$23:$C$45,$D$23:$D$45)*$E1546)</f>
        <v>6.10776239907728</v>
      </c>
      <c r="L1546" s="67" cm="1">
        <f ca="1" t="array" ref="L1546">MIN(6,_xlfn.XLOOKUP($D1546&amp;"_"&amp;L$61,$B$23:$B$45&amp;"_"&amp;$C$23:$C$45,$D$23:$D$45)*$E1546)</f>
        <v>6</v>
      </c>
      <c r="M1546" s="67" cm="1">
        <f ca="1" t="array" ref="M1546">(1+SUMPRODUCT(G1546:H1546,OFFSET($H$49:$I$49,D1546,0)))*(1+OFFSET($J$49,D1546,0))^I1546*(1+OFFSET($K$49,D1546,0))^J1546*(1+OFFSET($L$49,D1546,0))^K1546*(1+OFFSET($M$49,D1546,0))^L1546</f>
        <v>442.226971248796</v>
      </c>
      <c r="N1546" s="67">
        <f ca="1">MAX(MAX($N$62:N1545),OFFSET($C$61,MATCH(M1546*1.07,$M$62:$M$2061,1),0)-C1546)</f>
        <v>52920</v>
      </c>
    </row>
    <row r="1547" spans="2:14">
      <c r="B1547" s="67">
        <v>1486</v>
      </c>
      <c r="C1547" s="67">
        <f t="shared" si="144"/>
        <v>534960</v>
      </c>
      <c r="D1547" s="67">
        <f t="shared" si="147"/>
        <v>5</v>
      </c>
      <c r="E1547" s="67">
        <f ca="1" t="shared" si="148"/>
        <v>1516</v>
      </c>
      <c r="F1547" s="67">
        <f ca="1" t="shared" si="145"/>
        <v>0</v>
      </c>
      <c r="G1547" s="67">
        <f ca="1" t="shared" si="146"/>
        <v>0</v>
      </c>
      <c r="H1547" s="67" cm="1">
        <f ca="1" t="array" ref="H1547">MIN(30-SUM(I1547:L1547),_xlfn.XLOOKUP($D1547&amp;"_"&amp;H$61,$B$23:$B$45&amp;"_"&amp;$C$23:$C$45,$D$23:$D$45)*$E1547,18)</f>
        <v>9.88820607458669</v>
      </c>
      <c r="I1547" s="67" cm="1">
        <f ca="1" t="array" ref="I1547">MIN(30-SUM(J1547:L1547),6-L1547,_xlfn.XLOOKUP($D1547&amp;"_"&amp;I$61,$B$23:$B$45&amp;"_"&amp;$C$23:$C$45,$D$23:$D$45)*$E1547)</f>
        <v>0</v>
      </c>
      <c r="J1547" s="67" cm="1">
        <f ca="1" t="array" ref="J1547">MIN(8,_xlfn.XLOOKUP($D1547&amp;"_"&amp;J$61,$B$23:$B$45&amp;"_"&amp;$C$23:$C$45,$D$23:$D$45)*$E1547)</f>
        <v>8</v>
      </c>
      <c r="K1547" s="67" cm="1">
        <f ca="1" t="array" ref="K1547">MIN(18,_xlfn.XLOOKUP($D1547&amp;"_"&amp;K$61,$B$23:$B$45&amp;"_"&amp;$C$23:$C$45,$D$23:$D$45)*$E1547)</f>
        <v>6.11179392541331</v>
      </c>
      <c r="L1547" s="67" cm="1">
        <f ca="1" t="array" ref="L1547">MIN(6,_xlfn.XLOOKUP($D1547&amp;"_"&amp;L$61,$B$23:$B$45&amp;"_"&amp;$C$23:$C$45,$D$23:$D$45)*$E1547)</f>
        <v>6</v>
      </c>
      <c r="M1547" s="67" cm="1">
        <f ca="1" t="array" ref="M1547">(1+SUMPRODUCT(G1547:H1547,OFFSET($H$49:$I$49,D1547,0)))*(1+OFFSET($J$49,D1547,0))^I1547*(1+OFFSET($K$49,D1547,0))^J1547*(1+OFFSET($L$49,D1547,0))^K1547*(1+OFFSET($M$49,D1547,0))^L1547</f>
        <v>442.43233793198</v>
      </c>
      <c r="N1547" s="67">
        <f ca="1">MAX(MAX($N$62:N1546),OFFSET($C$61,MATCH(M1547*1.07,$M$62:$M$2061,1),0)-C1547)</f>
        <v>52920</v>
      </c>
    </row>
    <row r="1548" spans="2:14">
      <c r="B1548" s="67">
        <v>1487</v>
      </c>
      <c r="C1548" s="67">
        <f t="shared" si="144"/>
        <v>535320</v>
      </c>
      <c r="D1548" s="67">
        <f t="shared" si="147"/>
        <v>5</v>
      </c>
      <c r="E1548" s="67">
        <f ca="1" t="shared" si="148"/>
        <v>1517</v>
      </c>
      <c r="F1548" s="67">
        <f ca="1" t="shared" si="145"/>
        <v>0</v>
      </c>
      <c r="G1548" s="67">
        <f ca="1" t="shared" si="146"/>
        <v>0</v>
      </c>
      <c r="H1548" s="67" cm="1">
        <f ca="1" t="array" ref="H1548">MIN(30-SUM(I1548:L1548),_xlfn.XLOOKUP($D1548&amp;"_"&amp;H$61,$B$23:$B$45&amp;"_"&amp;$C$23:$C$45,$D$23:$D$45)*$E1548,18)</f>
        <v>9.88417454825067</v>
      </c>
      <c r="I1548" s="67" cm="1">
        <f ca="1" t="array" ref="I1548">MIN(30-SUM(J1548:L1548),6-L1548,_xlfn.XLOOKUP($D1548&amp;"_"&amp;I$61,$B$23:$B$45&amp;"_"&amp;$C$23:$C$45,$D$23:$D$45)*$E1548)</f>
        <v>0</v>
      </c>
      <c r="J1548" s="67" cm="1">
        <f ca="1" t="array" ref="J1548">MIN(8,_xlfn.XLOOKUP($D1548&amp;"_"&amp;J$61,$B$23:$B$45&amp;"_"&amp;$C$23:$C$45,$D$23:$D$45)*$E1548)</f>
        <v>8</v>
      </c>
      <c r="K1548" s="67" cm="1">
        <f ca="1" t="array" ref="K1548">MIN(18,_xlfn.XLOOKUP($D1548&amp;"_"&amp;K$61,$B$23:$B$45&amp;"_"&amp;$C$23:$C$45,$D$23:$D$45)*$E1548)</f>
        <v>6.11582545174933</v>
      </c>
      <c r="L1548" s="67" cm="1">
        <f ca="1" t="array" ref="L1548">MIN(6,_xlfn.XLOOKUP($D1548&amp;"_"&amp;L$61,$B$23:$B$45&amp;"_"&amp;$C$23:$C$45,$D$23:$D$45)*$E1548)</f>
        <v>6</v>
      </c>
      <c r="M1548" s="67" cm="1">
        <f ca="1" t="array" ref="M1548">(1+SUMPRODUCT(G1548:H1548,OFFSET($H$49:$I$49,D1548,0)))*(1+OFFSET($J$49,D1548,0))^I1548*(1+OFFSET($K$49,D1548,0))^J1548*(1+OFFSET($L$49,D1548,0))^K1548*(1+OFFSET($M$49,D1548,0))^L1548</f>
        <v>442.637767529236</v>
      </c>
      <c r="N1548" s="67">
        <f ca="1">MAX(MAX($N$62:N1547),OFFSET($C$61,MATCH(M1548*1.07,$M$62:$M$2061,1),0)-C1548)</f>
        <v>52920</v>
      </c>
    </row>
    <row r="1549" spans="2:14">
      <c r="B1549" s="67">
        <v>1488</v>
      </c>
      <c r="C1549" s="67">
        <f t="shared" si="144"/>
        <v>535680</v>
      </c>
      <c r="D1549" s="67">
        <f t="shared" si="147"/>
        <v>5</v>
      </c>
      <c r="E1549" s="67">
        <f ca="1" t="shared" si="148"/>
        <v>1518</v>
      </c>
      <c r="F1549" s="67">
        <f ca="1" t="shared" si="145"/>
        <v>0</v>
      </c>
      <c r="G1549" s="67">
        <f ca="1" t="shared" si="146"/>
        <v>0</v>
      </c>
      <c r="H1549" s="67" cm="1">
        <f ca="1" t="array" ref="H1549">MIN(30-SUM(I1549:L1549),_xlfn.XLOOKUP($D1549&amp;"_"&amp;H$61,$B$23:$B$45&amp;"_"&amp;$C$23:$C$45,$D$23:$D$45)*$E1549,18)</f>
        <v>9.88014302191464</v>
      </c>
      <c r="I1549" s="67" cm="1">
        <f ca="1" t="array" ref="I1549">MIN(30-SUM(J1549:L1549),6-L1549,_xlfn.XLOOKUP($D1549&amp;"_"&amp;I$61,$B$23:$B$45&amp;"_"&amp;$C$23:$C$45,$D$23:$D$45)*$E1549)</f>
        <v>0</v>
      </c>
      <c r="J1549" s="67" cm="1">
        <f ca="1" t="array" ref="J1549">MIN(8,_xlfn.XLOOKUP($D1549&amp;"_"&amp;J$61,$B$23:$B$45&amp;"_"&amp;$C$23:$C$45,$D$23:$D$45)*$E1549)</f>
        <v>8</v>
      </c>
      <c r="K1549" s="67" cm="1">
        <f ca="1" t="array" ref="K1549">MIN(18,_xlfn.XLOOKUP($D1549&amp;"_"&amp;K$61,$B$23:$B$45&amp;"_"&amp;$C$23:$C$45,$D$23:$D$45)*$E1549)</f>
        <v>6.11985697808536</v>
      </c>
      <c r="L1549" s="67" cm="1">
        <f ca="1" t="array" ref="L1549">MIN(6,_xlfn.XLOOKUP($D1549&amp;"_"&amp;L$61,$B$23:$B$45&amp;"_"&amp;$C$23:$C$45,$D$23:$D$45)*$E1549)</f>
        <v>6</v>
      </c>
      <c r="M1549" s="67" cm="1">
        <f ca="1" t="array" ref="M1549">(1+SUMPRODUCT(G1549:H1549,OFFSET($H$49:$I$49,D1549,0)))*(1+OFFSET($J$49,D1549,0))^I1549*(1+OFFSET($K$49,D1549,0))^J1549*(1+OFFSET($L$49,D1549,0))^K1549*(1+OFFSET($M$49,D1549,0))^L1549</f>
        <v>442.84326002205</v>
      </c>
      <c r="N1549" s="67">
        <f ca="1">MAX(MAX($N$62:N1548),OFFSET($C$61,MATCH(M1549*1.07,$M$62:$M$2061,1),0)-C1549)</f>
        <v>52920</v>
      </c>
    </row>
    <row r="1550" spans="2:14">
      <c r="B1550" s="67">
        <v>1489</v>
      </c>
      <c r="C1550" s="67">
        <f t="shared" si="144"/>
        <v>536040</v>
      </c>
      <c r="D1550" s="67">
        <f t="shared" si="147"/>
        <v>5</v>
      </c>
      <c r="E1550" s="67">
        <f ca="1" t="shared" si="148"/>
        <v>1519</v>
      </c>
      <c r="F1550" s="67">
        <f ca="1" t="shared" si="145"/>
        <v>0</v>
      </c>
      <c r="G1550" s="67">
        <f ca="1" t="shared" si="146"/>
        <v>0</v>
      </c>
      <c r="H1550" s="67" cm="1">
        <f ca="1" t="array" ref="H1550">MIN(30-SUM(I1550:L1550),_xlfn.XLOOKUP($D1550&amp;"_"&amp;H$61,$B$23:$B$45&amp;"_"&amp;$C$23:$C$45,$D$23:$D$45)*$E1550,18)</f>
        <v>9.87611149557862</v>
      </c>
      <c r="I1550" s="67" cm="1">
        <f ca="1" t="array" ref="I1550">MIN(30-SUM(J1550:L1550),6-L1550,_xlfn.XLOOKUP($D1550&amp;"_"&amp;I$61,$B$23:$B$45&amp;"_"&amp;$C$23:$C$45,$D$23:$D$45)*$E1550)</f>
        <v>0</v>
      </c>
      <c r="J1550" s="67" cm="1">
        <f ca="1" t="array" ref="J1550">MIN(8,_xlfn.XLOOKUP($D1550&amp;"_"&amp;J$61,$B$23:$B$45&amp;"_"&amp;$C$23:$C$45,$D$23:$D$45)*$E1550)</f>
        <v>8</v>
      </c>
      <c r="K1550" s="67" cm="1">
        <f ca="1" t="array" ref="K1550">MIN(18,_xlfn.XLOOKUP($D1550&amp;"_"&amp;K$61,$B$23:$B$45&amp;"_"&amp;$C$23:$C$45,$D$23:$D$45)*$E1550)</f>
        <v>6.12388850442138</v>
      </c>
      <c r="L1550" s="67" cm="1">
        <f ca="1" t="array" ref="L1550">MIN(6,_xlfn.XLOOKUP($D1550&amp;"_"&amp;L$61,$B$23:$B$45&amp;"_"&amp;$C$23:$C$45,$D$23:$D$45)*$E1550)</f>
        <v>6</v>
      </c>
      <c r="M1550" s="67" cm="1">
        <f ca="1" t="array" ref="M1550">(1+SUMPRODUCT(G1550:H1550,OFFSET($H$49:$I$49,D1550,0)))*(1+OFFSET($J$49,D1550,0))^I1550*(1+OFFSET($K$49,D1550,0))^J1550*(1+OFFSET($L$49,D1550,0))^K1550*(1+OFFSET($M$49,D1550,0))^L1550</f>
        <v>443.048815391846</v>
      </c>
      <c r="N1550" s="67">
        <f ca="1">MAX(MAX($N$62:N1549),OFFSET($C$61,MATCH(M1550*1.07,$M$62:$M$2061,1),0)-C1550)</f>
        <v>52920</v>
      </c>
    </row>
    <row r="1551" spans="2:14">
      <c r="B1551" s="67">
        <v>1490</v>
      </c>
      <c r="C1551" s="67">
        <f t="shared" si="144"/>
        <v>536400</v>
      </c>
      <c r="D1551" s="67">
        <f t="shared" si="147"/>
        <v>5</v>
      </c>
      <c r="E1551" s="67">
        <f ca="1" t="shared" si="148"/>
        <v>1520</v>
      </c>
      <c r="F1551" s="67">
        <f ca="1" t="shared" si="145"/>
        <v>0</v>
      </c>
      <c r="G1551" s="67">
        <f ca="1" t="shared" si="146"/>
        <v>0</v>
      </c>
      <c r="H1551" s="67" cm="1">
        <f ca="1" t="array" ref="H1551">MIN(30-SUM(I1551:L1551),_xlfn.XLOOKUP($D1551&amp;"_"&amp;H$61,$B$23:$B$45&amp;"_"&amp;$C$23:$C$45,$D$23:$D$45)*$E1551,18)</f>
        <v>9.87207996924259</v>
      </c>
      <c r="I1551" s="67" cm="1">
        <f ca="1" t="array" ref="I1551">MIN(30-SUM(J1551:L1551),6-L1551,_xlfn.XLOOKUP($D1551&amp;"_"&amp;I$61,$B$23:$B$45&amp;"_"&amp;$C$23:$C$45,$D$23:$D$45)*$E1551)</f>
        <v>0</v>
      </c>
      <c r="J1551" s="67" cm="1">
        <f ca="1" t="array" ref="J1551">MIN(8,_xlfn.XLOOKUP($D1551&amp;"_"&amp;J$61,$B$23:$B$45&amp;"_"&amp;$C$23:$C$45,$D$23:$D$45)*$E1551)</f>
        <v>8</v>
      </c>
      <c r="K1551" s="67" cm="1">
        <f ca="1" t="array" ref="K1551">MIN(18,_xlfn.XLOOKUP($D1551&amp;"_"&amp;K$61,$B$23:$B$45&amp;"_"&amp;$C$23:$C$45,$D$23:$D$45)*$E1551)</f>
        <v>6.12792003075741</v>
      </c>
      <c r="L1551" s="67" cm="1">
        <f ca="1" t="array" ref="L1551">MIN(6,_xlfn.XLOOKUP($D1551&amp;"_"&amp;L$61,$B$23:$B$45&amp;"_"&amp;$C$23:$C$45,$D$23:$D$45)*$E1551)</f>
        <v>6</v>
      </c>
      <c r="M1551" s="67" cm="1">
        <f ca="1" t="array" ref="M1551">(1+SUMPRODUCT(G1551:H1551,OFFSET($H$49:$I$49,D1551,0)))*(1+OFFSET($J$49,D1551,0))^I1551*(1+OFFSET($K$49,D1551,0))^J1551*(1+OFFSET($L$49,D1551,0))^K1551*(1+OFFSET($M$49,D1551,0))^L1551</f>
        <v>443.254433619987</v>
      </c>
      <c r="N1551" s="67">
        <f ca="1">MAX(MAX($N$62:N1550),OFFSET($C$61,MATCH(M1551*1.07,$M$62:$M$2061,1),0)-C1551)</f>
        <v>52920</v>
      </c>
    </row>
    <row r="1552" spans="2:14">
      <c r="B1552" s="67">
        <v>1491</v>
      </c>
      <c r="C1552" s="67">
        <f t="shared" si="144"/>
        <v>536760</v>
      </c>
      <c r="D1552" s="67">
        <f t="shared" si="147"/>
        <v>5</v>
      </c>
      <c r="E1552" s="67">
        <f ca="1" t="shared" si="148"/>
        <v>1521</v>
      </c>
      <c r="F1552" s="67">
        <f ca="1" t="shared" si="145"/>
        <v>0</v>
      </c>
      <c r="G1552" s="67">
        <f ca="1" t="shared" si="146"/>
        <v>0</v>
      </c>
      <c r="H1552" s="67" cm="1">
        <f ca="1" t="array" ref="H1552">MIN(30-SUM(I1552:L1552),_xlfn.XLOOKUP($D1552&amp;"_"&amp;H$61,$B$23:$B$45&amp;"_"&amp;$C$23:$C$45,$D$23:$D$45)*$E1552,18)</f>
        <v>9.86804844290657</v>
      </c>
      <c r="I1552" s="67" cm="1">
        <f ca="1" t="array" ref="I1552">MIN(30-SUM(J1552:L1552),6-L1552,_xlfn.XLOOKUP($D1552&amp;"_"&amp;I$61,$B$23:$B$45&amp;"_"&amp;$C$23:$C$45,$D$23:$D$45)*$E1552)</f>
        <v>0</v>
      </c>
      <c r="J1552" s="67" cm="1">
        <f ca="1" t="array" ref="J1552">MIN(8,_xlfn.XLOOKUP($D1552&amp;"_"&amp;J$61,$B$23:$B$45&amp;"_"&amp;$C$23:$C$45,$D$23:$D$45)*$E1552)</f>
        <v>8</v>
      </c>
      <c r="K1552" s="67" cm="1">
        <f ca="1" t="array" ref="K1552">MIN(18,_xlfn.XLOOKUP($D1552&amp;"_"&amp;K$61,$B$23:$B$45&amp;"_"&amp;$C$23:$C$45,$D$23:$D$45)*$E1552)</f>
        <v>6.13195155709343</v>
      </c>
      <c r="L1552" s="67" cm="1">
        <f ca="1" t="array" ref="L1552">MIN(6,_xlfn.XLOOKUP($D1552&amp;"_"&amp;L$61,$B$23:$B$45&amp;"_"&amp;$C$23:$C$45,$D$23:$D$45)*$E1552)</f>
        <v>6</v>
      </c>
      <c r="M1552" s="67" cm="1">
        <f ca="1" t="array" ref="M1552">(1+SUMPRODUCT(G1552:H1552,OFFSET($H$49:$I$49,D1552,0)))*(1+OFFSET($J$49,D1552,0))^I1552*(1+OFFSET($K$49,D1552,0))^J1552*(1+OFFSET($L$49,D1552,0))^K1552*(1+OFFSET($M$49,D1552,0))^L1552</f>
        <v>443.460114687776</v>
      </c>
      <c r="N1552" s="67">
        <f ca="1">MAX(MAX($N$62:N1551),OFFSET($C$61,MATCH(M1552*1.07,$M$62:$M$2061,1),0)-C1552)</f>
        <v>52920</v>
      </c>
    </row>
    <row r="1553" spans="2:14">
      <c r="B1553" s="67">
        <v>1492</v>
      </c>
      <c r="C1553" s="67">
        <f t="shared" si="144"/>
        <v>537120</v>
      </c>
      <c r="D1553" s="67">
        <f t="shared" si="147"/>
        <v>5</v>
      </c>
      <c r="E1553" s="67">
        <f ca="1" t="shared" si="148"/>
        <v>1522</v>
      </c>
      <c r="F1553" s="67">
        <f ca="1" t="shared" si="145"/>
        <v>0</v>
      </c>
      <c r="G1553" s="67">
        <f ca="1" t="shared" si="146"/>
        <v>0</v>
      </c>
      <c r="H1553" s="67" cm="1">
        <f ca="1" t="array" ref="H1553">MIN(30-SUM(I1553:L1553),_xlfn.XLOOKUP($D1553&amp;"_"&amp;H$61,$B$23:$B$45&amp;"_"&amp;$C$23:$C$45,$D$23:$D$45)*$E1553,18)</f>
        <v>9.86401691657055</v>
      </c>
      <c r="I1553" s="67" cm="1">
        <f ca="1" t="array" ref="I1553">MIN(30-SUM(J1553:L1553),6-L1553,_xlfn.XLOOKUP($D1553&amp;"_"&amp;I$61,$B$23:$B$45&amp;"_"&amp;$C$23:$C$45,$D$23:$D$45)*$E1553)</f>
        <v>0</v>
      </c>
      <c r="J1553" s="67" cm="1">
        <f ca="1" t="array" ref="J1553">MIN(8,_xlfn.XLOOKUP($D1553&amp;"_"&amp;J$61,$B$23:$B$45&amp;"_"&amp;$C$23:$C$45,$D$23:$D$45)*$E1553)</f>
        <v>8</v>
      </c>
      <c r="K1553" s="67" cm="1">
        <f ca="1" t="array" ref="K1553">MIN(18,_xlfn.XLOOKUP($D1553&amp;"_"&amp;K$61,$B$23:$B$45&amp;"_"&amp;$C$23:$C$45,$D$23:$D$45)*$E1553)</f>
        <v>6.13598308342946</v>
      </c>
      <c r="L1553" s="67" cm="1">
        <f ca="1" t="array" ref="L1553">MIN(6,_xlfn.XLOOKUP($D1553&amp;"_"&amp;L$61,$B$23:$B$45&amp;"_"&amp;$C$23:$C$45,$D$23:$D$45)*$E1553)</f>
        <v>6</v>
      </c>
      <c r="M1553" s="67" cm="1">
        <f ca="1" t="array" ref="M1553">(1+SUMPRODUCT(G1553:H1553,OFFSET($H$49:$I$49,D1553,0)))*(1+OFFSET($J$49,D1553,0))^I1553*(1+OFFSET($K$49,D1553,0))^J1553*(1+OFFSET($L$49,D1553,0))^K1553*(1+OFFSET($M$49,D1553,0))^L1553</f>
        <v>443.665858576453</v>
      </c>
      <c r="N1553" s="67">
        <f ca="1">MAX(MAX($N$62:N1552),OFFSET($C$61,MATCH(M1553*1.07,$M$62:$M$2061,1),0)-C1553)</f>
        <v>52920</v>
      </c>
    </row>
    <row r="1554" spans="2:14">
      <c r="B1554" s="67">
        <v>1493</v>
      </c>
      <c r="C1554" s="67">
        <f t="shared" si="144"/>
        <v>537480</v>
      </c>
      <c r="D1554" s="67">
        <f t="shared" si="147"/>
        <v>5</v>
      </c>
      <c r="E1554" s="67">
        <f ca="1" t="shared" si="148"/>
        <v>1523</v>
      </c>
      <c r="F1554" s="67">
        <f ca="1" t="shared" si="145"/>
        <v>0</v>
      </c>
      <c r="G1554" s="67">
        <f ca="1" t="shared" si="146"/>
        <v>0</v>
      </c>
      <c r="H1554" s="67" cm="1">
        <f ca="1" t="array" ref="H1554">MIN(30-SUM(I1554:L1554),_xlfn.XLOOKUP($D1554&amp;"_"&amp;H$61,$B$23:$B$45&amp;"_"&amp;$C$23:$C$45,$D$23:$D$45)*$E1554,18)</f>
        <v>9.85998539023452</v>
      </c>
      <c r="I1554" s="67" cm="1">
        <f ca="1" t="array" ref="I1554">MIN(30-SUM(J1554:L1554),6-L1554,_xlfn.XLOOKUP($D1554&amp;"_"&amp;I$61,$B$23:$B$45&amp;"_"&amp;$C$23:$C$45,$D$23:$D$45)*$E1554)</f>
        <v>0</v>
      </c>
      <c r="J1554" s="67" cm="1">
        <f ca="1" t="array" ref="J1554">MIN(8,_xlfn.XLOOKUP($D1554&amp;"_"&amp;J$61,$B$23:$B$45&amp;"_"&amp;$C$23:$C$45,$D$23:$D$45)*$E1554)</f>
        <v>8</v>
      </c>
      <c r="K1554" s="67" cm="1">
        <f ca="1" t="array" ref="K1554">MIN(18,_xlfn.XLOOKUP($D1554&amp;"_"&amp;K$61,$B$23:$B$45&amp;"_"&amp;$C$23:$C$45,$D$23:$D$45)*$E1554)</f>
        <v>6.14001460976548</v>
      </c>
      <c r="L1554" s="67" cm="1">
        <f ca="1" t="array" ref="L1554">MIN(6,_xlfn.XLOOKUP($D1554&amp;"_"&amp;L$61,$B$23:$B$45&amp;"_"&amp;$C$23:$C$45,$D$23:$D$45)*$E1554)</f>
        <v>6</v>
      </c>
      <c r="M1554" s="67" cm="1">
        <f ca="1" t="array" ref="M1554">(1+SUMPRODUCT(G1554:H1554,OFFSET($H$49:$I$49,D1554,0)))*(1+OFFSET($J$49,D1554,0))^I1554*(1+OFFSET($K$49,D1554,0))^J1554*(1+OFFSET($L$49,D1554,0))^K1554*(1+OFFSET($M$49,D1554,0))^L1554</f>
        <v>443.871665267197</v>
      </c>
      <c r="N1554" s="67">
        <f ca="1">MAX(MAX($N$62:N1553),OFFSET($C$61,MATCH(M1554*1.07,$M$62:$M$2061,1),0)-C1554)</f>
        <v>52920</v>
      </c>
    </row>
    <row r="1555" spans="2:14">
      <c r="B1555" s="67">
        <v>1494</v>
      </c>
      <c r="C1555" s="67">
        <f t="shared" si="144"/>
        <v>537840</v>
      </c>
      <c r="D1555" s="67">
        <f t="shared" si="147"/>
        <v>5</v>
      </c>
      <c r="E1555" s="67">
        <f ca="1" t="shared" si="148"/>
        <v>1524</v>
      </c>
      <c r="F1555" s="67">
        <f ca="1" t="shared" si="145"/>
        <v>0</v>
      </c>
      <c r="G1555" s="67">
        <f ca="1" t="shared" si="146"/>
        <v>0</v>
      </c>
      <c r="H1555" s="67" cm="1">
        <f ca="1" t="array" ref="H1555">MIN(30-SUM(I1555:L1555),_xlfn.XLOOKUP($D1555&amp;"_"&amp;H$61,$B$23:$B$45&amp;"_"&amp;$C$23:$C$45,$D$23:$D$45)*$E1555,18)</f>
        <v>9.8559538638985</v>
      </c>
      <c r="I1555" s="67" cm="1">
        <f ca="1" t="array" ref="I1555">MIN(30-SUM(J1555:L1555),6-L1555,_xlfn.XLOOKUP($D1555&amp;"_"&amp;I$61,$B$23:$B$45&amp;"_"&amp;$C$23:$C$45,$D$23:$D$45)*$E1555)</f>
        <v>0</v>
      </c>
      <c r="J1555" s="67" cm="1">
        <f ca="1" t="array" ref="J1555">MIN(8,_xlfn.XLOOKUP($D1555&amp;"_"&amp;J$61,$B$23:$B$45&amp;"_"&amp;$C$23:$C$45,$D$23:$D$45)*$E1555)</f>
        <v>8</v>
      </c>
      <c r="K1555" s="67" cm="1">
        <f ca="1" t="array" ref="K1555">MIN(18,_xlfn.XLOOKUP($D1555&amp;"_"&amp;K$61,$B$23:$B$45&amp;"_"&amp;$C$23:$C$45,$D$23:$D$45)*$E1555)</f>
        <v>6.14404613610151</v>
      </c>
      <c r="L1555" s="67" cm="1">
        <f ca="1" t="array" ref="L1555">MIN(6,_xlfn.XLOOKUP($D1555&amp;"_"&amp;L$61,$B$23:$B$45&amp;"_"&amp;$C$23:$C$45,$D$23:$D$45)*$E1555)</f>
        <v>6</v>
      </c>
      <c r="M1555" s="67" cm="1">
        <f ca="1" t="array" ref="M1555">(1+SUMPRODUCT(G1555:H1555,OFFSET($H$49:$I$49,D1555,0)))*(1+OFFSET($J$49,D1555,0))^I1555*(1+OFFSET($K$49,D1555,0))^J1555*(1+OFFSET($L$49,D1555,0))^K1555*(1+OFFSET($M$49,D1555,0))^L1555</f>
        <v>444.077534741124</v>
      </c>
      <c r="N1555" s="67">
        <f ca="1">MAX(MAX($N$62:N1554),OFFSET($C$61,MATCH(M1555*1.07,$M$62:$M$2061,1),0)-C1555)</f>
        <v>52920</v>
      </c>
    </row>
    <row r="1556" spans="2:14">
      <c r="B1556" s="67">
        <v>1495</v>
      </c>
      <c r="C1556" s="67">
        <f t="shared" si="144"/>
        <v>538200</v>
      </c>
      <c r="D1556" s="67">
        <f t="shared" si="147"/>
        <v>5</v>
      </c>
      <c r="E1556" s="67">
        <f ca="1" t="shared" si="148"/>
        <v>1525</v>
      </c>
      <c r="F1556" s="67">
        <f ca="1" t="shared" si="145"/>
        <v>0</v>
      </c>
      <c r="G1556" s="67">
        <f ca="1" t="shared" si="146"/>
        <v>0</v>
      </c>
      <c r="H1556" s="67" cm="1">
        <f ca="1" t="array" ref="H1556">MIN(30-SUM(I1556:L1556),_xlfn.XLOOKUP($D1556&amp;"_"&amp;H$61,$B$23:$B$45&amp;"_"&amp;$C$23:$C$45,$D$23:$D$45)*$E1556,18)</f>
        <v>9.85192233756247</v>
      </c>
      <c r="I1556" s="67" cm="1">
        <f ca="1" t="array" ref="I1556">MIN(30-SUM(J1556:L1556),6-L1556,_xlfn.XLOOKUP($D1556&amp;"_"&amp;I$61,$B$23:$B$45&amp;"_"&amp;$C$23:$C$45,$D$23:$D$45)*$E1556)</f>
        <v>0</v>
      </c>
      <c r="J1556" s="67" cm="1">
        <f ca="1" t="array" ref="J1556">MIN(8,_xlfn.XLOOKUP($D1556&amp;"_"&amp;J$61,$B$23:$B$45&amp;"_"&amp;$C$23:$C$45,$D$23:$D$45)*$E1556)</f>
        <v>8</v>
      </c>
      <c r="K1556" s="67" cm="1">
        <f ca="1" t="array" ref="K1556">MIN(18,_xlfn.XLOOKUP($D1556&amp;"_"&amp;K$61,$B$23:$B$45&amp;"_"&amp;$C$23:$C$45,$D$23:$D$45)*$E1556)</f>
        <v>6.14807766243753</v>
      </c>
      <c r="L1556" s="67" cm="1">
        <f ca="1" t="array" ref="L1556">MIN(6,_xlfn.XLOOKUP($D1556&amp;"_"&amp;L$61,$B$23:$B$45&amp;"_"&amp;$C$23:$C$45,$D$23:$D$45)*$E1556)</f>
        <v>6</v>
      </c>
      <c r="M1556" s="67" cm="1">
        <f ca="1" t="array" ref="M1556">(1+SUMPRODUCT(G1556:H1556,OFFSET($H$49:$I$49,D1556,0)))*(1+OFFSET($J$49,D1556,0))^I1556*(1+OFFSET($K$49,D1556,0))^J1556*(1+OFFSET($L$49,D1556,0))^K1556*(1+OFFSET($M$49,D1556,0))^L1556</f>
        <v>444.283466979291</v>
      </c>
      <c r="N1556" s="67">
        <f ca="1">MAX(MAX($N$62:N1555),OFFSET($C$61,MATCH(M1556*1.07,$M$62:$M$2061,1),0)-C1556)</f>
        <v>52920</v>
      </c>
    </row>
    <row r="1557" spans="2:14">
      <c r="B1557" s="67">
        <v>1496</v>
      </c>
      <c r="C1557" s="67">
        <f t="shared" si="144"/>
        <v>538560</v>
      </c>
      <c r="D1557" s="67">
        <f t="shared" si="147"/>
        <v>5</v>
      </c>
      <c r="E1557" s="67">
        <f ca="1" t="shared" si="148"/>
        <v>1526</v>
      </c>
      <c r="F1557" s="67">
        <f ca="1" t="shared" si="145"/>
        <v>0</v>
      </c>
      <c r="G1557" s="67">
        <f ca="1" t="shared" si="146"/>
        <v>0</v>
      </c>
      <c r="H1557" s="67" cm="1">
        <f ca="1" t="array" ref="H1557">MIN(30-SUM(I1557:L1557),_xlfn.XLOOKUP($D1557&amp;"_"&amp;H$61,$B$23:$B$45&amp;"_"&amp;$C$23:$C$45,$D$23:$D$45)*$E1557,18)</f>
        <v>9.84789081122645</v>
      </c>
      <c r="I1557" s="67" cm="1">
        <f ca="1" t="array" ref="I1557">MIN(30-SUM(J1557:L1557),6-L1557,_xlfn.XLOOKUP($D1557&amp;"_"&amp;I$61,$B$23:$B$45&amp;"_"&amp;$C$23:$C$45,$D$23:$D$45)*$E1557)</f>
        <v>0</v>
      </c>
      <c r="J1557" s="67" cm="1">
        <f ca="1" t="array" ref="J1557">MIN(8,_xlfn.XLOOKUP($D1557&amp;"_"&amp;J$61,$B$23:$B$45&amp;"_"&amp;$C$23:$C$45,$D$23:$D$45)*$E1557)</f>
        <v>8</v>
      </c>
      <c r="K1557" s="67" cm="1">
        <f ca="1" t="array" ref="K1557">MIN(18,_xlfn.XLOOKUP($D1557&amp;"_"&amp;K$61,$B$23:$B$45&amp;"_"&amp;$C$23:$C$45,$D$23:$D$45)*$E1557)</f>
        <v>6.15210918877355</v>
      </c>
      <c r="L1557" s="67" cm="1">
        <f ca="1" t="array" ref="L1557">MIN(6,_xlfn.XLOOKUP($D1557&amp;"_"&amp;L$61,$B$23:$B$45&amp;"_"&amp;$C$23:$C$45,$D$23:$D$45)*$E1557)</f>
        <v>6</v>
      </c>
      <c r="M1557" s="67" cm="1">
        <f ca="1" t="array" ref="M1557">(1+SUMPRODUCT(G1557:H1557,OFFSET($H$49:$I$49,D1557,0)))*(1+OFFSET($J$49,D1557,0))^I1557*(1+OFFSET($K$49,D1557,0))^J1557*(1+OFFSET($L$49,D1557,0))^K1557*(1+OFFSET($M$49,D1557,0))^L1557</f>
        <v>444.489461962691</v>
      </c>
      <c r="N1557" s="67">
        <f ca="1">MAX(MAX($N$62:N1556),OFFSET($C$61,MATCH(M1557*1.07,$M$62:$M$2061,1),0)-C1557)</f>
        <v>52920</v>
      </c>
    </row>
    <row r="1558" spans="2:14">
      <c r="B1558" s="67">
        <v>1497</v>
      </c>
      <c r="C1558" s="67">
        <f t="shared" si="144"/>
        <v>538920</v>
      </c>
      <c r="D1558" s="67">
        <f t="shared" si="147"/>
        <v>5</v>
      </c>
      <c r="E1558" s="67">
        <f ca="1" t="shared" si="148"/>
        <v>1527</v>
      </c>
      <c r="F1558" s="67">
        <f ca="1" t="shared" si="145"/>
        <v>0</v>
      </c>
      <c r="G1558" s="67">
        <f ca="1" t="shared" si="146"/>
        <v>0</v>
      </c>
      <c r="H1558" s="67" cm="1">
        <f ca="1" t="array" ref="H1558">MIN(30-SUM(I1558:L1558),_xlfn.XLOOKUP($D1558&amp;"_"&amp;H$61,$B$23:$B$45&amp;"_"&amp;$C$23:$C$45,$D$23:$D$45)*$E1558,18)</f>
        <v>9.84385928489042</v>
      </c>
      <c r="I1558" s="67" cm="1">
        <f ca="1" t="array" ref="I1558">MIN(30-SUM(J1558:L1558),6-L1558,_xlfn.XLOOKUP($D1558&amp;"_"&amp;I$61,$B$23:$B$45&amp;"_"&amp;$C$23:$C$45,$D$23:$D$45)*$E1558)</f>
        <v>0</v>
      </c>
      <c r="J1558" s="67" cm="1">
        <f ca="1" t="array" ref="J1558">MIN(8,_xlfn.XLOOKUP($D1558&amp;"_"&amp;J$61,$B$23:$B$45&amp;"_"&amp;$C$23:$C$45,$D$23:$D$45)*$E1558)</f>
        <v>8</v>
      </c>
      <c r="K1558" s="67" cm="1">
        <f ca="1" t="array" ref="K1558">MIN(18,_xlfn.XLOOKUP($D1558&amp;"_"&amp;K$61,$B$23:$B$45&amp;"_"&amp;$C$23:$C$45,$D$23:$D$45)*$E1558)</f>
        <v>6.15614071510958</v>
      </c>
      <c r="L1558" s="67" cm="1">
        <f ca="1" t="array" ref="L1558">MIN(6,_xlfn.XLOOKUP($D1558&amp;"_"&amp;L$61,$B$23:$B$45&amp;"_"&amp;$C$23:$C$45,$D$23:$D$45)*$E1558)</f>
        <v>6</v>
      </c>
      <c r="M1558" s="67" cm="1">
        <f ca="1" t="array" ref="M1558">(1+SUMPRODUCT(G1558:H1558,OFFSET($H$49:$I$49,D1558,0)))*(1+OFFSET($J$49,D1558,0))^I1558*(1+OFFSET($K$49,D1558,0))^J1558*(1+OFFSET($L$49,D1558,0))^K1558*(1+OFFSET($M$49,D1558,0))^L1558</f>
        <v>444.695519672255</v>
      </c>
      <c r="N1558" s="67">
        <f ca="1">MAX(MAX($N$62:N1557),OFFSET($C$61,MATCH(M1558*1.07,$M$62:$M$2061,1),0)-C1558)</f>
        <v>52920</v>
      </c>
    </row>
    <row r="1559" spans="2:14">
      <c r="B1559" s="67">
        <v>1498</v>
      </c>
      <c r="C1559" s="67">
        <f t="shared" si="144"/>
        <v>539280</v>
      </c>
      <c r="D1559" s="67">
        <f t="shared" si="147"/>
        <v>5</v>
      </c>
      <c r="E1559" s="67">
        <f ca="1" t="shared" si="148"/>
        <v>1528</v>
      </c>
      <c r="F1559" s="67">
        <f ca="1" t="shared" si="145"/>
        <v>0</v>
      </c>
      <c r="G1559" s="67">
        <f ca="1" t="shared" si="146"/>
        <v>0</v>
      </c>
      <c r="H1559" s="67" cm="1">
        <f ca="1" t="array" ref="H1559">MIN(30-SUM(I1559:L1559),_xlfn.XLOOKUP($D1559&amp;"_"&amp;H$61,$B$23:$B$45&amp;"_"&amp;$C$23:$C$45,$D$23:$D$45)*$E1559,18)</f>
        <v>9.8398277585544</v>
      </c>
      <c r="I1559" s="67" cm="1">
        <f ca="1" t="array" ref="I1559">MIN(30-SUM(J1559:L1559),6-L1559,_xlfn.XLOOKUP($D1559&amp;"_"&amp;I$61,$B$23:$B$45&amp;"_"&amp;$C$23:$C$45,$D$23:$D$45)*$E1559)</f>
        <v>0</v>
      </c>
      <c r="J1559" s="67" cm="1">
        <f ca="1" t="array" ref="J1559">MIN(8,_xlfn.XLOOKUP($D1559&amp;"_"&amp;J$61,$B$23:$B$45&amp;"_"&amp;$C$23:$C$45,$D$23:$D$45)*$E1559)</f>
        <v>8</v>
      </c>
      <c r="K1559" s="67" cm="1">
        <f ca="1" t="array" ref="K1559">MIN(18,_xlfn.XLOOKUP($D1559&amp;"_"&amp;K$61,$B$23:$B$45&amp;"_"&amp;$C$23:$C$45,$D$23:$D$45)*$E1559)</f>
        <v>6.1601722414456</v>
      </c>
      <c r="L1559" s="67" cm="1">
        <f ca="1" t="array" ref="L1559">MIN(6,_xlfn.XLOOKUP($D1559&amp;"_"&amp;L$61,$B$23:$B$45&amp;"_"&amp;$C$23:$C$45,$D$23:$D$45)*$E1559)</f>
        <v>6</v>
      </c>
      <c r="M1559" s="67" cm="1">
        <f ca="1" t="array" ref="M1559">(1+SUMPRODUCT(G1559:H1559,OFFSET($H$49:$I$49,D1559,0)))*(1+OFFSET($J$49,D1559,0))^I1559*(1+OFFSET($K$49,D1559,0))^J1559*(1+OFFSET($L$49,D1559,0))^K1559*(1+OFFSET($M$49,D1559,0))^L1559</f>
        <v>444.901640088855</v>
      </c>
      <c r="N1559" s="67">
        <f ca="1">MAX(MAX($N$62:N1558),OFFSET($C$61,MATCH(M1559*1.07,$M$62:$M$2061,1),0)-C1559)</f>
        <v>52920</v>
      </c>
    </row>
    <row r="1560" spans="2:14">
      <c r="B1560" s="67">
        <v>1499</v>
      </c>
      <c r="C1560" s="67">
        <f t="shared" si="144"/>
        <v>539640</v>
      </c>
      <c r="D1560" s="67">
        <f t="shared" si="147"/>
        <v>5</v>
      </c>
      <c r="E1560" s="67">
        <f ca="1" t="shared" si="148"/>
        <v>1529</v>
      </c>
      <c r="F1560" s="67">
        <f ca="1" t="shared" si="145"/>
        <v>0</v>
      </c>
      <c r="G1560" s="67">
        <f ca="1" t="shared" si="146"/>
        <v>0</v>
      </c>
      <c r="H1560" s="67" cm="1">
        <f ca="1" t="array" ref="H1560">MIN(30-SUM(I1560:L1560),_xlfn.XLOOKUP($D1560&amp;"_"&amp;H$61,$B$23:$B$45&amp;"_"&amp;$C$23:$C$45,$D$23:$D$45)*$E1560,18)</f>
        <v>9.83579623221837</v>
      </c>
      <c r="I1560" s="67" cm="1">
        <f ca="1" t="array" ref="I1560">MIN(30-SUM(J1560:L1560),6-L1560,_xlfn.XLOOKUP($D1560&amp;"_"&amp;I$61,$B$23:$B$45&amp;"_"&amp;$C$23:$C$45,$D$23:$D$45)*$E1560)</f>
        <v>0</v>
      </c>
      <c r="J1560" s="67" cm="1">
        <f ca="1" t="array" ref="J1560">MIN(8,_xlfn.XLOOKUP($D1560&amp;"_"&amp;J$61,$B$23:$B$45&amp;"_"&amp;$C$23:$C$45,$D$23:$D$45)*$E1560)</f>
        <v>8</v>
      </c>
      <c r="K1560" s="67" cm="1">
        <f ca="1" t="array" ref="K1560">MIN(18,_xlfn.XLOOKUP($D1560&amp;"_"&amp;K$61,$B$23:$B$45&amp;"_"&amp;$C$23:$C$45,$D$23:$D$45)*$E1560)</f>
        <v>6.16420376778163</v>
      </c>
      <c r="L1560" s="67" cm="1">
        <f ca="1" t="array" ref="L1560">MIN(6,_xlfn.XLOOKUP($D1560&amp;"_"&amp;L$61,$B$23:$B$45&amp;"_"&amp;$C$23:$C$45,$D$23:$D$45)*$E1560)</f>
        <v>6</v>
      </c>
      <c r="M1560" s="67" cm="1">
        <f ca="1" t="array" ref="M1560">(1+SUMPRODUCT(G1560:H1560,OFFSET($H$49:$I$49,D1560,0)))*(1+OFFSET($J$49,D1560,0))^I1560*(1+OFFSET($K$49,D1560,0))^J1560*(1+OFFSET($L$49,D1560,0))^K1560*(1+OFFSET($M$49,D1560,0))^L1560</f>
        <v>445.107823193297</v>
      </c>
      <c r="N1560" s="67">
        <f ca="1">MAX(MAX($N$62:N1559),OFFSET($C$61,MATCH(M1560*1.07,$M$62:$M$2061,1),0)-C1560)</f>
        <v>52920</v>
      </c>
    </row>
    <row r="1561" spans="2:14">
      <c r="B1561" s="67">
        <v>1500</v>
      </c>
      <c r="C1561" s="67">
        <f t="shared" si="144"/>
        <v>540000</v>
      </c>
      <c r="D1561" s="67">
        <f t="shared" si="147"/>
        <v>5</v>
      </c>
      <c r="E1561" s="67">
        <f ca="1" t="shared" si="148"/>
        <v>1530</v>
      </c>
      <c r="F1561" s="67">
        <f ca="1" t="shared" si="145"/>
        <v>0</v>
      </c>
      <c r="G1561" s="67">
        <f ca="1" t="shared" si="146"/>
        <v>0</v>
      </c>
      <c r="H1561" s="67" cm="1">
        <f ca="1" t="array" ref="H1561">MIN(30-SUM(I1561:L1561),_xlfn.XLOOKUP($D1561&amp;"_"&amp;H$61,$B$23:$B$45&amp;"_"&amp;$C$23:$C$45,$D$23:$D$45)*$E1561,18)</f>
        <v>9.83176470588235</v>
      </c>
      <c r="I1561" s="67" cm="1">
        <f ca="1" t="array" ref="I1561">MIN(30-SUM(J1561:L1561),6-L1561,_xlfn.XLOOKUP($D1561&amp;"_"&amp;I$61,$B$23:$B$45&amp;"_"&amp;$C$23:$C$45,$D$23:$D$45)*$E1561)</f>
        <v>0</v>
      </c>
      <c r="J1561" s="67" cm="1">
        <f ca="1" t="array" ref="J1561">MIN(8,_xlfn.XLOOKUP($D1561&amp;"_"&amp;J$61,$B$23:$B$45&amp;"_"&amp;$C$23:$C$45,$D$23:$D$45)*$E1561)</f>
        <v>8</v>
      </c>
      <c r="K1561" s="67" cm="1">
        <f ca="1" t="array" ref="K1561">MIN(18,_xlfn.XLOOKUP($D1561&amp;"_"&amp;K$61,$B$23:$B$45&amp;"_"&amp;$C$23:$C$45,$D$23:$D$45)*$E1561)</f>
        <v>6.16823529411765</v>
      </c>
      <c r="L1561" s="67" cm="1">
        <f ca="1" t="array" ref="L1561">MIN(6,_xlfn.XLOOKUP($D1561&amp;"_"&amp;L$61,$B$23:$B$45&amp;"_"&amp;$C$23:$C$45,$D$23:$D$45)*$E1561)</f>
        <v>6</v>
      </c>
      <c r="M1561" s="67" cm="1">
        <f ca="1" t="array" ref="M1561">(1+SUMPRODUCT(G1561:H1561,OFFSET($H$49:$I$49,D1561,0)))*(1+OFFSET($J$49,D1561,0))^I1561*(1+OFFSET($K$49,D1561,0))^J1561*(1+OFFSET($L$49,D1561,0))^K1561*(1+OFFSET($M$49,D1561,0))^L1561</f>
        <v>445.314068966327</v>
      </c>
      <c r="N1561" s="67">
        <f ca="1">MAX(MAX($N$62:N1560),OFFSET($C$61,MATCH(M1561*1.07,$M$62:$M$2061,1),0)-C1561)</f>
        <v>52920</v>
      </c>
    </row>
    <row r="1562" spans="2:14">
      <c r="B1562" s="67">
        <v>1501</v>
      </c>
      <c r="C1562" s="67">
        <f t="shared" si="144"/>
        <v>540360</v>
      </c>
      <c r="D1562" s="67">
        <f t="shared" si="147"/>
        <v>5</v>
      </c>
      <c r="E1562" s="67">
        <f ca="1" t="shared" si="148"/>
        <v>1531</v>
      </c>
      <c r="F1562" s="67">
        <f ca="1" t="shared" si="145"/>
        <v>0</v>
      </c>
      <c r="G1562" s="67">
        <f ca="1" t="shared" si="146"/>
        <v>0</v>
      </c>
      <c r="H1562" s="67" cm="1">
        <f ca="1" t="array" ref="H1562">MIN(30-SUM(I1562:L1562),_xlfn.XLOOKUP($D1562&amp;"_"&amp;H$61,$B$23:$B$45&amp;"_"&amp;$C$23:$C$45,$D$23:$D$45)*$E1562,18)</f>
        <v>9.82773317954632</v>
      </c>
      <c r="I1562" s="67" cm="1">
        <f ca="1" t="array" ref="I1562">MIN(30-SUM(J1562:L1562),6-L1562,_xlfn.XLOOKUP($D1562&amp;"_"&amp;I$61,$B$23:$B$45&amp;"_"&amp;$C$23:$C$45,$D$23:$D$45)*$E1562)</f>
        <v>0</v>
      </c>
      <c r="J1562" s="67" cm="1">
        <f ca="1" t="array" ref="J1562">MIN(8,_xlfn.XLOOKUP($D1562&amp;"_"&amp;J$61,$B$23:$B$45&amp;"_"&amp;$C$23:$C$45,$D$23:$D$45)*$E1562)</f>
        <v>8</v>
      </c>
      <c r="K1562" s="67" cm="1">
        <f ca="1" t="array" ref="K1562">MIN(18,_xlfn.XLOOKUP($D1562&amp;"_"&amp;K$61,$B$23:$B$45&amp;"_"&amp;$C$23:$C$45,$D$23:$D$45)*$E1562)</f>
        <v>6.17226682045368</v>
      </c>
      <c r="L1562" s="67" cm="1">
        <f ca="1" t="array" ref="L1562">MIN(6,_xlfn.XLOOKUP($D1562&amp;"_"&amp;L$61,$B$23:$B$45&amp;"_"&amp;$C$23:$C$45,$D$23:$D$45)*$E1562)</f>
        <v>6</v>
      </c>
      <c r="M1562" s="67" cm="1">
        <f ca="1" t="array" ref="M1562">(1+SUMPRODUCT(G1562:H1562,OFFSET($H$49:$I$49,D1562,0)))*(1+OFFSET($J$49,D1562,0))^I1562*(1+OFFSET($K$49,D1562,0))^J1562*(1+OFFSET($L$49,D1562,0))^K1562*(1+OFFSET($M$49,D1562,0))^L1562</f>
        <v>445.520377388628</v>
      </c>
      <c r="N1562" s="67">
        <f ca="1">MAX(MAX($N$62:N1561),OFFSET($C$61,MATCH(M1562*1.07,$M$62:$M$2061,1),0)-C1562)</f>
        <v>52920</v>
      </c>
    </row>
    <row r="1563" spans="2:14">
      <c r="B1563" s="67">
        <v>1502</v>
      </c>
      <c r="C1563" s="67">
        <f t="shared" si="144"/>
        <v>540720</v>
      </c>
      <c r="D1563" s="67">
        <f t="shared" si="147"/>
        <v>5</v>
      </c>
      <c r="E1563" s="67">
        <f ca="1" t="shared" si="148"/>
        <v>1532</v>
      </c>
      <c r="F1563" s="67">
        <f ca="1" t="shared" si="145"/>
        <v>0</v>
      </c>
      <c r="G1563" s="67">
        <f ca="1" t="shared" si="146"/>
        <v>0</v>
      </c>
      <c r="H1563" s="67" cm="1">
        <f ca="1" t="array" ref="H1563">MIN(30-SUM(I1563:L1563),_xlfn.XLOOKUP($D1563&amp;"_"&amp;H$61,$B$23:$B$45&amp;"_"&amp;$C$23:$C$45,$D$23:$D$45)*$E1563,18)</f>
        <v>9.8237016532103</v>
      </c>
      <c r="I1563" s="67" cm="1">
        <f ca="1" t="array" ref="I1563">MIN(30-SUM(J1563:L1563),6-L1563,_xlfn.XLOOKUP($D1563&amp;"_"&amp;I$61,$B$23:$B$45&amp;"_"&amp;$C$23:$C$45,$D$23:$D$45)*$E1563)</f>
        <v>0</v>
      </c>
      <c r="J1563" s="67" cm="1">
        <f ca="1" t="array" ref="J1563">MIN(8,_xlfn.XLOOKUP($D1563&amp;"_"&amp;J$61,$B$23:$B$45&amp;"_"&amp;$C$23:$C$45,$D$23:$D$45)*$E1563)</f>
        <v>8</v>
      </c>
      <c r="K1563" s="67" cm="1">
        <f ca="1" t="array" ref="K1563">MIN(18,_xlfn.XLOOKUP($D1563&amp;"_"&amp;K$61,$B$23:$B$45&amp;"_"&amp;$C$23:$C$45,$D$23:$D$45)*$E1563)</f>
        <v>6.1762983467897</v>
      </c>
      <c r="L1563" s="67" cm="1">
        <f ca="1" t="array" ref="L1563">MIN(6,_xlfn.XLOOKUP($D1563&amp;"_"&amp;L$61,$B$23:$B$45&amp;"_"&amp;$C$23:$C$45,$D$23:$D$45)*$E1563)</f>
        <v>6</v>
      </c>
      <c r="M1563" s="67" cm="1">
        <f ca="1" t="array" ref="M1563">(1+SUMPRODUCT(G1563:H1563,OFFSET($H$49:$I$49,D1563,0)))*(1+OFFSET($J$49,D1563,0))^I1563*(1+OFFSET($K$49,D1563,0))^J1563*(1+OFFSET($L$49,D1563,0))^K1563*(1+OFFSET($M$49,D1563,0))^L1563</f>
        <v>445.726748440822</v>
      </c>
      <c r="N1563" s="67">
        <f ca="1">MAX(MAX($N$62:N1562),OFFSET($C$61,MATCH(M1563*1.07,$M$62:$M$2061,1),0)-C1563)</f>
        <v>52920</v>
      </c>
    </row>
    <row r="1564" spans="2:14">
      <c r="B1564" s="67">
        <v>1503</v>
      </c>
      <c r="C1564" s="67">
        <f t="shared" si="144"/>
        <v>541080</v>
      </c>
      <c r="D1564" s="67">
        <f t="shared" si="147"/>
        <v>5</v>
      </c>
      <c r="E1564" s="67">
        <f ca="1" t="shared" si="148"/>
        <v>1533</v>
      </c>
      <c r="F1564" s="67">
        <f ca="1" t="shared" si="145"/>
        <v>0</v>
      </c>
      <c r="G1564" s="67">
        <f ca="1" t="shared" si="146"/>
        <v>0</v>
      </c>
      <c r="H1564" s="67" cm="1">
        <f ca="1" t="array" ref="H1564">MIN(30-SUM(I1564:L1564),_xlfn.XLOOKUP($D1564&amp;"_"&amp;H$61,$B$23:$B$45&amp;"_"&amp;$C$23:$C$45,$D$23:$D$45)*$E1564,18)</f>
        <v>9.81967012687427</v>
      </c>
      <c r="I1564" s="67" cm="1">
        <f ca="1" t="array" ref="I1564">MIN(30-SUM(J1564:L1564),6-L1564,_xlfn.XLOOKUP($D1564&amp;"_"&amp;I$61,$B$23:$B$45&amp;"_"&amp;$C$23:$C$45,$D$23:$D$45)*$E1564)</f>
        <v>0</v>
      </c>
      <c r="J1564" s="67" cm="1">
        <f ca="1" t="array" ref="J1564">MIN(8,_xlfn.XLOOKUP($D1564&amp;"_"&amp;J$61,$B$23:$B$45&amp;"_"&amp;$C$23:$C$45,$D$23:$D$45)*$E1564)</f>
        <v>8</v>
      </c>
      <c r="K1564" s="67" cm="1">
        <f ca="1" t="array" ref="K1564">MIN(18,_xlfn.XLOOKUP($D1564&amp;"_"&amp;K$61,$B$23:$B$45&amp;"_"&amp;$C$23:$C$45,$D$23:$D$45)*$E1564)</f>
        <v>6.18032987312573</v>
      </c>
      <c r="L1564" s="67" cm="1">
        <f ca="1" t="array" ref="L1564">MIN(6,_xlfn.XLOOKUP($D1564&amp;"_"&amp;L$61,$B$23:$B$45&amp;"_"&amp;$C$23:$C$45,$D$23:$D$45)*$E1564)</f>
        <v>6</v>
      </c>
      <c r="M1564" s="67" cm="1">
        <f ca="1" t="array" ref="M1564">(1+SUMPRODUCT(G1564:H1564,OFFSET($H$49:$I$49,D1564,0)))*(1+OFFSET($J$49,D1564,0))^I1564*(1+OFFSET($K$49,D1564,0))^J1564*(1+OFFSET($L$49,D1564,0))^K1564*(1+OFFSET($M$49,D1564,0))^L1564</f>
        <v>445.933182103468</v>
      </c>
      <c r="N1564" s="67">
        <f ca="1">MAX(MAX($N$62:N1563),OFFSET($C$61,MATCH(M1564*1.07,$M$62:$M$2061,1),0)-C1564)</f>
        <v>52920</v>
      </c>
    </row>
    <row r="1565" spans="2:14">
      <c r="B1565" s="67">
        <v>1504</v>
      </c>
      <c r="C1565" s="67">
        <f t="shared" si="144"/>
        <v>541440</v>
      </c>
      <c r="D1565" s="67">
        <f t="shared" si="147"/>
        <v>5</v>
      </c>
      <c r="E1565" s="67">
        <f ca="1" t="shared" si="148"/>
        <v>1534</v>
      </c>
      <c r="F1565" s="67">
        <f ca="1" t="shared" si="145"/>
        <v>0</v>
      </c>
      <c r="G1565" s="67">
        <f ca="1" t="shared" si="146"/>
        <v>0</v>
      </c>
      <c r="H1565" s="67" cm="1">
        <f ca="1" t="array" ref="H1565">MIN(30-SUM(I1565:L1565),_xlfn.XLOOKUP($D1565&amp;"_"&amp;H$61,$B$23:$B$45&amp;"_"&amp;$C$23:$C$45,$D$23:$D$45)*$E1565,18)</f>
        <v>9.81563860053825</v>
      </c>
      <c r="I1565" s="67" cm="1">
        <f ca="1" t="array" ref="I1565">MIN(30-SUM(J1565:L1565),6-L1565,_xlfn.XLOOKUP($D1565&amp;"_"&amp;I$61,$B$23:$B$45&amp;"_"&amp;$C$23:$C$45,$D$23:$D$45)*$E1565)</f>
        <v>0</v>
      </c>
      <c r="J1565" s="67" cm="1">
        <f ca="1" t="array" ref="J1565">MIN(8,_xlfn.XLOOKUP($D1565&amp;"_"&amp;J$61,$B$23:$B$45&amp;"_"&amp;$C$23:$C$45,$D$23:$D$45)*$E1565)</f>
        <v>8</v>
      </c>
      <c r="K1565" s="67" cm="1">
        <f ca="1" t="array" ref="K1565">MIN(18,_xlfn.XLOOKUP($D1565&amp;"_"&amp;K$61,$B$23:$B$45&amp;"_"&amp;$C$23:$C$45,$D$23:$D$45)*$E1565)</f>
        <v>6.18436139946175</v>
      </c>
      <c r="L1565" s="67" cm="1">
        <f ca="1" t="array" ref="L1565">MIN(6,_xlfn.XLOOKUP($D1565&amp;"_"&amp;L$61,$B$23:$B$45&amp;"_"&amp;$C$23:$C$45,$D$23:$D$45)*$E1565)</f>
        <v>6</v>
      </c>
      <c r="M1565" s="67" cm="1">
        <f ca="1" t="array" ref="M1565">(1+SUMPRODUCT(G1565:H1565,OFFSET($H$49:$I$49,D1565,0)))*(1+OFFSET($J$49,D1565,0))^I1565*(1+OFFSET($K$49,D1565,0))^J1565*(1+OFFSET($L$49,D1565,0))^K1565*(1+OFFSET($M$49,D1565,0))^L1565</f>
        <v>446.139678357061</v>
      </c>
      <c r="N1565" s="67">
        <f ca="1">MAX(MAX($N$62:N1564),OFFSET($C$61,MATCH(M1565*1.07,$M$62:$M$2061,1),0)-C1565)</f>
        <v>52920</v>
      </c>
    </row>
    <row r="1566" spans="2:14">
      <c r="B1566" s="67">
        <v>1505</v>
      </c>
      <c r="C1566" s="67">
        <f t="shared" si="144"/>
        <v>541800</v>
      </c>
      <c r="D1566" s="67">
        <f t="shared" si="147"/>
        <v>5</v>
      </c>
      <c r="E1566" s="67">
        <f ca="1" t="shared" si="148"/>
        <v>1535</v>
      </c>
      <c r="F1566" s="67">
        <f ca="1" t="shared" si="145"/>
        <v>0</v>
      </c>
      <c r="G1566" s="67">
        <f ca="1" t="shared" si="146"/>
        <v>0</v>
      </c>
      <c r="H1566" s="67" cm="1">
        <f ca="1" t="array" ref="H1566">MIN(30-SUM(I1566:L1566),_xlfn.XLOOKUP($D1566&amp;"_"&amp;H$61,$B$23:$B$45&amp;"_"&amp;$C$23:$C$45,$D$23:$D$45)*$E1566,18)</f>
        <v>9.81160707420223</v>
      </c>
      <c r="I1566" s="67" cm="1">
        <f ca="1" t="array" ref="I1566">MIN(30-SUM(J1566:L1566),6-L1566,_xlfn.XLOOKUP($D1566&amp;"_"&amp;I$61,$B$23:$B$45&amp;"_"&amp;$C$23:$C$45,$D$23:$D$45)*$E1566)</f>
        <v>0</v>
      </c>
      <c r="J1566" s="67" cm="1">
        <f ca="1" t="array" ref="J1566">MIN(8,_xlfn.XLOOKUP($D1566&amp;"_"&amp;J$61,$B$23:$B$45&amp;"_"&amp;$C$23:$C$45,$D$23:$D$45)*$E1566)</f>
        <v>8</v>
      </c>
      <c r="K1566" s="67" cm="1">
        <f ca="1" t="array" ref="K1566">MIN(18,_xlfn.XLOOKUP($D1566&amp;"_"&amp;K$61,$B$23:$B$45&amp;"_"&amp;$C$23:$C$45,$D$23:$D$45)*$E1566)</f>
        <v>6.18839292579778</v>
      </c>
      <c r="L1566" s="67" cm="1">
        <f ca="1" t="array" ref="L1566">MIN(6,_xlfn.XLOOKUP($D1566&amp;"_"&amp;L$61,$B$23:$B$45&amp;"_"&amp;$C$23:$C$45,$D$23:$D$45)*$E1566)</f>
        <v>6</v>
      </c>
      <c r="M1566" s="67" cm="1">
        <f ca="1" t="array" ref="M1566">(1+SUMPRODUCT(G1566:H1566,OFFSET($H$49:$I$49,D1566,0)))*(1+OFFSET($J$49,D1566,0))^I1566*(1+OFFSET($K$49,D1566,0))^J1566*(1+OFFSET($L$49,D1566,0))^K1566*(1+OFFSET($M$49,D1566,0))^L1566</f>
        <v>446.346237182036</v>
      </c>
      <c r="N1566" s="67">
        <f ca="1">MAX(MAX($N$62:N1565),OFFSET($C$61,MATCH(M1566*1.07,$M$62:$M$2061,1),0)-C1566)</f>
        <v>52920</v>
      </c>
    </row>
    <row r="1567" spans="2:14">
      <c r="B1567" s="67">
        <v>1506</v>
      </c>
      <c r="C1567" s="67">
        <f t="shared" si="144"/>
        <v>542160</v>
      </c>
      <c r="D1567" s="67">
        <f t="shared" si="147"/>
        <v>5</v>
      </c>
      <c r="E1567" s="67">
        <f ca="1" t="shared" si="148"/>
        <v>1536</v>
      </c>
      <c r="F1567" s="67">
        <f ca="1" t="shared" si="145"/>
        <v>0</v>
      </c>
      <c r="G1567" s="67">
        <f ca="1" t="shared" si="146"/>
        <v>0</v>
      </c>
      <c r="H1567" s="67" cm="1">
        <f ca="1" t="array" ref="H1567">MIN(30-SUM(I1567:L1567),_xlfn.XLOOKUP($D1567&amp;"_"&amp;H$61,$B$23:$B$45&amp;"_"&amp;$C$23:$C$45,$D$23:$D$45)*$E1567,18)</f>
        <v>9.8075755478662</v>
      </c>
      <c r="I1567" s="67" cm="1">
        <f ca="1" t="array" ref="I1567">MIN(30-SUM(J1567:L1567),6-L1567,_xlfn.XLOOKUP($D1567&amp;"_"&amp;I$61,$B$23:$B$45&amp;"_"&amp;$C$23:$C$45,$D$23:$D$45)*$E1567)</f>
        <v>0</v>
      </c>
      <c r="J1567" s="67" cm="1">
        <f ca="1" t="array" ref="J1567">MIN(8,_xlfn.XLOOKUP($D1567&amp;"_"&amp;J$61,$B$23:$B$45&amp;"_"&amp;$C$23:$C$45,$D$23:$D$45)*$E1567)</f>
        <v>8</v>
      </c>
      <c r="K1567" s="67" cm="1">
        <f ca="1" t="array" ref="K1567">MIN(18,_xlfn.XLOOKUP($D1567&amp;"_"&amp;K$61,$B$23:$B$45&amp;"_"&amp;$C$23:$C$45,$D$23:$D$45)*$E1567)</f>
        <v>6.1924244521338</v>
      </c>
      <c r="L1567" s="67" cm="1">
        <f ca="1" t="array" ref="L1567">MIN(6,_xlfn.XLOOKUP($D1567&amp;"_"&amp;L$61,$B$23:$B$45&amp;"_"&amp;$C$23:$C$45,$D$23:$D$45)*$E1567)</f>
        <v>6</v>
      </c>
      <c r="M1567" s="67" cm="1">
        <f ca="1" t="array" ref="M1567">(1+SUMPRODUCT(G1567:H1567,OFFSET($H$49:$I$49,D1567,0)))*(1+OFFSET($J$49,D1567,0))^I1567*(1+OFFSET($K$49,D1567,0))^J1567*(1+OFFSET($L$49,D1567,0))^K1567*(1+OFFSET($M$49,D1567,0))^L1567</f>
        <v>446.552858558764</v>
      </c>
      <c r="N1567" s="67">
        <f ca="1">MAX(MAX($N$62:N1566),OFFSET($C$61,MATCH(M1567*1.07,$M$62:$M$2061,1),0)-C1567)</f>
        <v>53280</v>
      </c>
    </row>
    <row r="1568" spans="2:14">
      <c r="B1568" s="67">
        <v>1507</v>
      </c>
      <c r="C1568" s="67">
        <f t="shared" si="144"/>
        <v>542520</v>
      </c>
      <c r="D1568" s="67">
        <f t="shared" si="147"/>
        <v>5</v>
      </c>
      <c r="E1568" s="67">
        <f ca="1" t="shared" si="148"/>
        <v>1537</v>
      </c>
      <c r="F1568" s="67">
        <f ca="1" t="shared" si="145"/>
        <v>0</v>
      </c>
      <c r="G1568" s="67">
        <f ca="1" t="shared" si="146"/>
        <v>0</v>
      </c>
      <c r="H1568" s="67" cm="1">
        <f ca="1" t="array" ref="H1568">MIN(30-SUM(I1568:L1568),_xlfn.XLOOKUP($D1568&amp;"_"&amp;H$61,$B$23:$B$45&amp;"_"&amp;$C$23:$C$45,$D$23:$D$45)*$E1568,18)</f>
        <v>9.80354402153018</v>
      </c>
      <c r="I1568" s="67" cm="1">
        <f ca="1" t="array" ref="I1568">MIN(30-SUM(J1568:L1568),6-L1568,_xlfn.XLOOKUP($D1568&amp;"_"&amp;I$61,$B$23:$B$45&amp;"_"&amp;$C$23:$C$45,$D$23:$D$45)*$E1568)</f>
        <v>0</v>
      </c>
      <c r="J1568" s="67" cm="1">
        <f ca="1" t="array" ref="J1568">MIN(8,_xlfn.XLOOKUP($D1568&amp;"_"&amp;J$61,$B$23:$B$45&amp;"_"&amp;$C$23:$C$45,$D$23:$D$45)*$E1568)</f>
        <v>8</v>
      </c>
      <c r="K1568" s="67" cm="1">
        <f ca="1" t="array" ref="K1568">MIN(18,_xlfn.XLOOKUP($D1568&amp;"_"&amp;K$61,$B$23:$B$45&amp;"_"&amp;$C$23:$C$45,$D$23:$D$45)*$E1568)</f>
        <v>6.19645597846983</v>
      </c>
      <c r="L1568" s="67" cm="1">
        <f ca="1" t="array" ref="L1568">MIN(6,_xlfn.XLOOKUP($D1568&amp;"_"&amp;L$61,$B$23:$B$45&amp;"_"&amp;$C$23:$C$45,$D$23:$D$45)*$E1568)</f>
        <v>6</v>
      </c>
      <c r="M1568" s="67" cm="1">
        <f ca="1" t="array" ref="M1568">(1+SUMPRODUCT(G1568:H1568,OFFSET($H$49:$I$49,D1568,0)))*(1+OFFSET($J$49,D1568,0))^I1568*(1+OFFSET($K$49,D1568,0))^J1568*(1+OFFSET($L$49,D1568,0))^K1568*(1+OFFSET($M$49,D1568,0))^L1568</f>
        <v>446.759542467553</v>
      </c>
      <c r="N1568" s="67">
        <f ca="1">MAX(MAX($N$62:N1567),OFFSET($C$61,MATCH(M1568*1.07,$M$62:$M$2061,1),0)-C1568)</f>
        <v>53280</v>
      </c>
    </row>
    <row r="1569" spans="2:14">
      <c r="B1569" s="67">
        <v>1508</v>
      </c>
      <c r="C1569" s="67">
        <f t="shared" si="144"/>
        <v>542880</v>
      </c>
      <c r="D1569" s="67">
        <f t="shared" si="147"/>
        <v>5</v>
      </c>
      <c r="E1569" s="67">
        <f ca="1" t="shared" si="148"/>
        <v>1538</v>
      </c>
      <c r="F1569" s="67">
        <f ca="1" t="shared" si="145"/>
        <v>0</v>
      </c>
      <c r="G1569" s="67">
        <f ca="1" t="shared" si="146"/>
        <v>0</v>
      </c>
      <c r="H1569" s="67" cm="1">
        <f ca="1" t="array" ref="H1569">MIN(30-SUM(I1569:L1569),_xlfn.XLOOKUP($D1569&amp;"_"&amp;H$61,$B$23:$B$45&amp;"_"&amp;$C$23:$C$45,$D$23:$D$45)*$E1569,18)</f>
        <v>9.79951249519415</v>
      </c>
      <c r="I1569" s="67" cm="1">
        <f ca="1" t="array" ref="I1569">MIN(30-SUM(J1569:L1569),6-L1569,_xlfn.XLOOKUP($D1569&amp;"_"&amp;I$61,$B$23:$B$45&amp;"_"&amp;$C$23:$C$45,$D$23:$D$45)*$E1569)</f>
        <v>0</v>
      </c>
      <c r="J1569" s="67" cm="1">
        <f ca="1" t="array" ref="J1569">MIN(8,_xlfn.XLOOKUP($D1569&amp;"_"&amp;J$61,$B$23:$B$45&amp;"_"&amp;$C$23:$C$45,$D$23:$D$45)*$E1569)</f>
        <v>8</v>
      </c>
      <c r="K1569" s="67" cm="1">
        <f ca="1" t="array" ref="K1569">MIN(18,_xlfn.XLOOKUP($D1569&amp;"_"&amp;K$61,$B$23:$B$45&amp;"_"&amp;$C$23:$C$45,$D$23:$D$45)*$E1569)</f>
        <v>6.20048750480585</v>
      </c>
      <c r="L1569" s="67" cm="1">
        <f ca="1" t="array" ref="L1569">MIN(6,_xlfn.XLOOKUP($D1569&amp;"_"&amp;L$61,$B$23:$B$45&amp;"_"&amp;$C$23:$C$45,$D$23:$D$45)*$E1569)</f>
        <v>6</v>
      </c>
      <c r="M1569" s="67" cm="1">
        <f ca="1" t="array" ref="M1569">(1+SUMPRODUCT(G1569:H1569,OFFSET($H$49:$I$49,D1569,0)))*(1+OFFSET($J$49,D1569,0))^I1569*(1+OFFSET($K$49,D1569,0))^J1569*(1+OFFSET($L$49,D1569,0))^K1569*(1+OFFSET($M$49,D1569,0))^L1569</f>
        <v>446.966288888649</v>
      </c>
      <c r="N1569" s="67">
        <f ca="1">MAX(MAX($N$62:N1568),OFFSET($C$61,MATCH(M1569*1.07,$M$62:$M$2061,1),0)-C1569)</f>
        <v>53280</v>
      </c>
    </row>
    <row r="1570" spans="2:14">
      <c r="B1570" s="67">
        <v>1509</v>
      </c>
      <c r="C1570" s="67">
        <f t="shared" si="144"/>
        <v>543240</v>
      </c>
      <c r="D1570" s="67">
        <f t="shared" si="147"/>
        <v>5</v>
      </c>
      <c r="E1570" s="67">
        <f ca="1" t="shared" si="148"/>
        <v>1539</v>
      </c>
      <c r="F1570" s="67">
        <f ca="1" t="shared" si="145"/>
        <v>0</v>
      </c>
      <c r="G1570" s="67">
        <f ca="1" t="shared" si="146"/>
        <v>0</v>
      </c>
      <c r="H1570" s="67" cm="1">
        <f ca="1" t="array" ref="H1570">MIN(30-SUM(I1570:L1570),_xlfn.XLOOKUP($D1570&amp;"_"&amp;H$61,$B$23:$B$45&amp;"_"&amp;$C$23:$C$45,$D$23:$D$45)*$E1570,18)</f>
        <v>9.79548096885813</v>
      </c>
      <c r="I1570" s="67" cm="1">
        <f ca="1" t="array" ref="I1570">MIN(30-SUM(J1570:L1570),6-L1570,_xlfn.XLOOKUP($D1570&amp;"_"&amp;I$61,$B$23:$B$45&amp;"_"&amp;$C$23:$C$45,$D$23:$D$45)*$E1570)</f>
        <v>0</v>
      </c>
      <c r="J1570" s="67" cm="1">
        <f ca="1" t="array" ref="J1570">MIN(8,_xlfn.XLOOKUP($D1570&amp;"_"&amp;J$61,$B$23:$B$45&amp;"_"&amp;$C$23:$C$45,$D$23:$D$45)*$E1570)</f>
        <v>8</v>
      </c>
      <c r="K1570" s="67" cm="1">
        <f ca="1" t="array" ref="K1570">MIN(18,_xlfn.XLOOKUP($D1570&amp;"_"&amp;K$61,$B$23:$B$45&amp;"_"&amp;$C$23:$C$45,$D$23:$D$45)*$E1570)</f>
        <v>6.20451903114187</v>
      </c>
      <c r="L1570" s="67" cm="1">
        <f ca="1" t="array" ref="L1570">MIN(6,_xlfn.XLOOKUP($D1570&amp;"_"&amp;L$61,$B$23:$B$45&amp;"_"&amp;$C$23:$C$45,$D$23:$D$45)*$E1570)</f>
        <v>6</v>
      </c>
      <c r="M1570" s="67" cm="1">
        <f ca="1" t="array" ref="M1570">(1+SUMPRODUCT(G1570:H1570,OFFSET($H$49:$I$49,D1570,0)))*(1+OFFSET($J$49,D1570,0))^I1570*(1+OFFSET($K$49,D1570,0))^J1570*(1+OFFSET($L$49,D1570,0))^K1570*(1+OFFSET($M$49,D1570,0))^L1570</f>
        <v>447.173097802234</v>
      </c>
      <c r="N1570" s="67">
        <f ca="1">MAX(MAX($N$62:N1569),OFFSET($C$61,MATCH(M1570*1.07,$M$62:$M$2061,1),0)-C1570)</f>
        <v>53280</v>
      </c>
    </row>
    <row r="1571" spans="2:14">
      <c r="B1571" s="67">
        <v>1510</v>
      </c>
      <c r="C1571" s="67">
        <f t="shared" si="144"/>
        <v>543600</v>
      </c>
      <c r="D1571" s="67">
        <f t="shared" si="147"/>
        <v>5</v>
      </c>
      <c r="E1571" s="67">
        <f ca="1" t="shared" si="148"/>
        <v>1540</v>
      </c>
      <c r="F1571" s="67">
        <f ca="1" t="shared" si="145"/>
        <v>0</v>
      </c>
      <c r="G1571" s="67">
        <f ca="1" t="shared" si="146"/>
        <v>0</v>
      </c>
      <c r="H1571" s="67" cm="1">
        <f ca="1" t="array" ref="H1571">MIN(30-SUM(I1571:L1571),_xlfn.XLOOKUP($D1571&amp;"_"&amp;H$61,$B$23:$B$45&amp;"_"&amp;$C$23:$C$45,$D$23:$D$45)*$E1571,18)</f>
        <v>9.7914494425221</v>
      </c>
      <c r="I1571" s="67" cm="1">
        <f ca="1" t="array" ref="I1571">MIN(30-SUM(J1571:L1571),6-L1571,_xlfn.XLOOKUP($D1571&amp;"_"&amp;I$61,$B$23:$B$45&amp;"_"&amp;$C$23:$C$45,$D$23:$D$45)*$E1571)</f>
        <v>0</v>
      </c>
      <c r="J1571" s="67" cm="1">
        <f ca="1" t="array" ref="J1571">MIN(8,_xlfn.XLOOKUP($D1571&amp;"_"&amp;J$61,$B$23:$B$45&amp;"_"&amp;$C$23:$C$45,$D$23:$D$45)*$E1571)</f>
        <v>8</v>
      </c>
      <c r="K1571" s="67" cm="1">
        <f ca="1" t="array" ref="K1571">MIN(18,_xlfn.XLOOKUP($D1571&amp;"_"&amp;K$61,$B$23:$B$45&amp;"_"&amp;$C$23:$C$45,$D$23:$D$45)*$E1571)</f>
        <v>6.2085505574779</v>
      </c>
      <c r="L1571" s="67" cm="1">
        <f ca="1" t="array" ref="L1571">MIN(6,_xlfn.XLOOKUP($D1571&amp;"_"&amp;L$61,$B$23:$B$45&amp;"_"&amp;$C$23:$C$45,$D$23:$D$45)*$E1571)</f>
        <v>6</v>
      </c>
      <c r="M1571" s="67" cm="1">
        <f ca="1" t="array" ref="M1571">(1+SUMPRODUCT(G1571:H1571,OFFSET($H$49:$I$49,D1571,0)))*(1+OFFSET($J$49,D1571,0))^I1571*(1+OFFSET($K$49,D1571,0))^J1571*(1+OFFSET($L$49,D1571,0))^K1571*(1+OFFSET($M$49,D1571,0))^L1571</f>
        <v>447.379969188429</v>
      </c>
      <c r="N1571" s="67">
        <f ca="1">MAX(MAX($N$62:N1570),OFFSET($C$61,MATCH(M1571*1.07,$M$62:$M$2061,1),0)-C1571)</f>
        <v>53280</v>
      </c>
    </row>
    <row r="1572" spans="2:14">
      <c r="B1572" s="67">
        <v>1511</v>
      </c>
      <c r="C1572" s="67">
        <f t="shared" si="144"/>
        <v>543960</v>
      </c>
      <c r="D1572" s="67">
        <f t="shared" si="147"/>
        <v>5</v>
      </c>
      <c r="E1572" s="67">
        <f ca="1" t="shared" si="148"/>
        <v>1541</v>
      </c>
      <c r="F1572" s="67">
        <f ca="1" t="shared" si="145"/>
        <v>0</v>
      </c>
      <c r="G1572" s="67">
        <f ca="1" t="shared" si="146"/>
        <v>0</v>
      </c>
      <c r="H1572" s="67" cm="1">
        <f ca="1" t="array" ref="H1572">MIN(30-SUM(I1572:L1572),_xlfn.XLOOKUP($D1572&amp;"_"&amp;H$61,$B$23:$B$45&amp;"_"&amp;$C$23:$C$45,$D$23:$D$45)*$E1572,18)</f>
        <v>9.78741791618608</v>
      </c>
      <c r="I1572" s="67" cm="1">
        <f ca="1" t="array" ref="I1572">MIN(30-SUM(J1572:L1572),6-L1572,_xlfn.XLOOKUP($D1572&amp;"_"&amp;I$61,$B$23:$B$45&amp;"_"&amp;$C$23:$C$45,$D$23:$D$45)*$E1572)</f>
        <v>0</v>
      </c>
      <c r="J1572" s="67" cm="1">
        <f ca="1" t="array" ref="J1572">MIN(8,_xlfn.XLOOKUP($D1572&amp;"_"&amp;J$61,$B$23:$B$45&amp;"_"&amp;$C$23:$C$45,$D$23:$D$45)*$E1572)</f>
        <v>8</v>
      </c>
      <c r="K1572" s="67" cm="1">
        <f ca="1" t="array" ref="K1572">MIN(18,_xlfn.XLOOKUP($D1572&amp;"_"&amp;K$61,$B$23:$B$45&amp;"_"&amp;$C$23:$C$45,$D$23:$D$45)*$E1572)</f>
        <v>6.21258208381392</v>
      </c>
      <c r="L1572" s="67" cm="1">
        <f ca="1" t="array" ref="L1572">MIN(6,_xlfn.XLOOKUP($D1572&amp;"_"&amp;L$61,$B$23:$B$45&amp;"_"&amp;$C$23:$C$45,$D$23:$D$45)*$E1572)</f>
        <v>6</v>
      </c>
      <c r="M1572" s="67" cm="1">
        <f ca="1" t="array" ref="M1572">(1+SUMPRODUCT(G1572:H1572,OFFSET($H$49:$I$49,D1572,0)))*(1+OFFSET($J$49,D1572,0))^I1572*(1+OFFSET($K$49,D1572,0))^J1572*(1+OFFSET($L$49,D1572,0))^K1572*(1+OFFSET($M$49,D1572,0))^L1572</f>
        <v>447.586903027291</v>
      </c>
      <c r="N1572" s="67">
        <f ca="1">MAX(MAX($N$62:N1571),OFFSET($C$61,MATCH(M1572*1.07,$M$62:$M$2061,1),0)-C1572)</f>
        <v>53280</v>
      </c>
    </row>
    <row r="1573" spans="2:14">
      <c r="B1573" s="67">
        <v>1512</v>
      </c>
      <c r="C1573" s="67">
        <f t="shared" si="144"/>
        <v>544320</v>
      </c>
      <c r="D1573" s="67">
        <f t="shared" si="147"/>
        <v>5</v>
      </c>
      <c r="E1573" s="67">
        <f ca="1" t="shared" si="148"/>
        <v>1542</v>
      </c>
      <c r="F1573" s="67">
        <f ca="1" t="shared" si="145"/>
        <v>0</v>
      </c>
      <c r="G1573" s="67">
        <f ca="1" t="shared" si="146"/>
        <v>0</v>
      </c>
      <c r="H1573" s="67" cm="1">
        <f ca="1" t="array" ref="H1573">MIN(30-SUM(I1573:L1573),_xlfn.XLOOKUP($D1573&amp;"_"&amp;H$61,$B$23:$B$45&amp;"_"&amp;$C$23:$C$45,$D$23:$D$45)*$E1573,18)</f>
        <v>9.78338638985005</v>
      </c>
      <c r="I1573" s="67" cm="1">
        <f ca="1" t="array" ref="I1573">MIN(30-SUM(J1573:L1573),6-L1573,_xlfn.XLOOKUP($D1573&amp;"_"&amp;I$61,$B$23:$B$45&amp;"_"&amp;$C$23:$C$45,$D$23:$D$45)*$E1573)</f>
        <v>0</v>
      </c>
      <c r="J1573" s="67" cm="1">
        <f ca="1" t="array" ref="J1573">MIN(8,_xlfn.XLOOKUP($D1573&amp;"_"&amp;J$61,$B$23:$B$45&amp;"_"&amp;$C$23:$C$45,$D$23:$D$45)*$E1573)</f>
        <v>8</v>
      </c>
      <c r="K1573" s="67" cm="1">
        <f ca="1" t="array" ref="K1573">MIN(18,_xlfn.XLOOKUP($D1573&amp;"_"&amp;K$61,$B$23:$B$45&amp;"_"&amp;$C$23:$C$45,$D$23:$D$45)*$E1573)</f>
        <v>6.21661361014995</v>
      </c>
      <c r="L1573" s="67" cm="1">
        <f ca="1" t="array" ref="L1573">MIN(6,_xlfn.XLOOKUP($D1573&amp;"_"&amp;L$61,$B$23:$B$45&amp;"_"&amp;$C$23:$C$45,$D$23:$D$45)*$E1573)</f>
        <v>6</v>
      </c>
      <c r="M1573" s="67" cm="1">
        <f ca="1" t="array" ref="M1573">(1+SUMPRODUCT(G1573:H1573,OFFSET($H$49:$I$49,D1573,0)))*(1+OFFSET($J$49,D1573,0))^I1573*(1+OFFSET($K$49,D1573,0))^J1573*(1+OFFSET($L$49,D1573,0))^K1573*(1+OFFSET($M$49,D1573,0))^L1573</f>
        <v>447.793899298813</v>
      </c>
      <c r="N1573" s="67">
        <f ca="1">MAX(MAX($N$62:N1572),OFFSET($C$61,MATCH(M1573*1.07,$M$62:$M$2061,1),0)-C1573)</f>
        <v>53280</v>
      </c>
    </row>
    <row r="1574" spans="2:14">
      <c r="B1574" s="67">
        <v>1513</v>
      </c>
      <c r="C1574" s="67">
        <f t="shared" si="144"/>
        <v>544680</v>
      </c>
      <c r="D1574" s="67">
        <f t="shared" si="147"/>
        <v>5</v>
      </c>
      <c r="E1574" s="67">
        <f ca="1" t="shared" si="148"/>
        <v>1543</v>
      </c>
      <c r="F1574" s="67">
        <f ca="1" t="shared" si="145"/>
        <v>0</v>
      </c>
      <c r="G1574" s="67">
        <f ca="1" t="shared" si="146"/>
        <v>0</v>
      </c>
      <c r="H1574" s="67" cm="1">
        <f ca="1" t="array" ref="H1574">MIN(30-SUM(I1574:L1574),_xlfn.XLOOKUP($D1574&amp;"_"&amp;H$61,$B$23:$B$45&amp;"_"&amp;$C$23:$C$45,$D$23:$D$45)*$E1574,18)</f>
        <v>9.77935486351403</v>
      </c>
      <c r="I1574" s="67" cm="1">
        <f ca="1" t="array" ref="I1574">MIN(30-SUM(J1574:L1574),6-L1574,_xlfn.XLOOKUP($D1574&amp;"_"&amp;I$61,$B$23:$B$45&amp;"_"&amp;$C$23:$C$45,$D$23:$D$45)*$E1574)</f>
        <v>0</v>
      </c>
      <c r="J1574" s="67" cm="1">
        <f ca="1" t="array" ref="J1574">MIN(8,_xlfn.XLOOKUP($D1574&amp;"_"&amp;J$61,$B$23:$B$45&amp;"_"&amp;$C$23:$C$45,$D$23:$D$45)*$E1574)</f>
        <v>8</v>
      </c>
      <c r="K1574" s="67" cm="1">
        <f ca="1" t="array" ref="K1574">MIN(18,_xlfn.XLOOKUP($D1574&amp;"_"&amp;K$61,$B$23:$B$45&amp;"_"&amp;$C$23:$C$45,$D$23:$D$45)*$E1574)</f>
        <v>6.22064513648597</v>
      </c>
      <c r="L1574" s="67" cm="1">
        <f ca="1" t="array" ref="L1574">MIN(6,_xlfn.XLOOKUP($D1574&amp;"_"&amp;L$61,$B$23:$B$45&amp;"_"&amp;$C$23:$C$45,$D$23:$D$45)*$E1574)</f>
        <v>6</v>
      </c>
      <c r="M1574" s="67" cm="1">
        <f ca="1" t="array" ref="M1574">(1+SUMPRODUCT(G1574:H1574,OFFSET($H$49:$I$49,D1574,0)))*(1+OFFSET($J$49,D1574,0))^I1574*(1+OFFSET($K$49,D1574,0))^J1574*(1+OFFSET($L$49,D1574,0))^K1574*(1+OFFSET($M$49,D1574,0))^L1574</f>
        <v>448.000957982926</v>
      </c>
      <c r="N1574" s="67">
        <f ca="1">MAX(MAX($N$62:N1573),OFFSET($C$61,MATCH(M1574*1.07,$M$62:$M$2061,1),0)-C1574)</f>
        <v>53280</v>
      </c>
    </row>
    <row r="1575" spans="2:14">
      <c r="B1575" s="67">
        <v>1514</v>
      </c>
      <c r="C1575" s="67">
        <f t="shared" si="144"/>
        <v>545040</v>
      </c>
      <c r="D1575" s="67">
        <f t="shared" si="147"/>
        <v>5</v>
      </c>
      <c r="E1575" s="67">
        <f ca="1" t="shared" si="148"/>
        <v>1544</v>
      </c>
      <c r="F1575" s="67">
        <f ca="1" t="shared" si="145"/>
        <v>0</v>
      </c>
      <c r="G1575" s="67">
        <f ca="1" t="shared" si="146"/>
        <v>0</v>
      </c>
      <c r="H1575" s="67" cm="1">
        <f ca="1" t="array" ref="H1575">MIN(30-SUM(I1575:L1575),_xlfn.XLOOKUP($D1575&amp;"_"&amp;H$61,$B$23:$B$45&amp;"_"&amp;$C$23:$C$45,$D$23:$D$45)*$E1575,18)</f>
        <v>9.775323337178</v>
      </c>
      <c r="I1575" s="67" cm="1">
        <f ca="1" t="array" ref="I1575">MIN(30-SUM(J1575:L1575),6-L1575,_xlfn.XLOOKUP($D1575&amp;"_"&amp;I$61,$B$23:$B$45&amp;"_"&amp;$C$23:$C$45,$D$23:$D$45)*$E1575)</f>
        <v>0</v>
      </c>
      <c r="J1575" s="67" cm="1">
        <f ca="1" t="array" ref="J1575">MIN(8,_xlfn.XLOOKUP($D1575&amp;"_"&amp;J$61,$B$23:$B$45&amp;"_"&amp;$C$23:$C$45,$D$23:$D$45)*$E1575)</f>
        <v>8</v>
      </c>
      <c r="K1575" s="67" cm="1">
        <f ca="1" t="array" ref="K1575">MIN(18,_xlfn.XLOOKUP($D1575&amp;"_"&amp;K$61,$B$23:$B$45&amp;"_"&amp;$C$23:$C$45,$D$23:$D$45)*$E1575)</f>
        <v>6.224676662822</v>
      </c>
      <c r="L1575" s="67" cm="1">
        <f ca="1" t="array" ref="L1575">MIN(6,_xlfn.XLOOKUP($D1575&amp;"_"&amp;L$61,$B$23:$B$45&amp;"_"&amp;$C$23:$C$45,$D$23:$D$45)*$E1575)</f>
        <v>6</v>
      </c>
      <c r="M1575" s="67" cm="1">
        <f ca="1" t="array" ref="M1575">(1+SUMPRODUCT(G1575:H1575,OFFSET($H$49:$I$49,D1575,0)))*(1+OFFSET($J$49,D1575,0))^I1575*(1+OFFSET($K$49,D1575,0))^J1575*(1+OFFSET($L$49,D1575,0))^K1575*(1+OFFSET($M$49,D1575,0))^L1575</f>
        <v>448.208079059497</v>
      </c>
      <c r="N1575" s="67">
        <f ca="1">MAX(MAX($N$62:N1574),OFFSET($C$61,MATCH(M1575*1.07,$M$62:$M$2061,1),0)-C1575)</f>
        <v>53280</v>
      </c>
    </row>
    <row r="1576" spans="2:14">
      <c r="B1576" s="67">
        <v>1515</v>
      </c>
      <c r="C1576" s="67">
        <f t="shared" si="144"/>
        <v>545400</v>
      </c>
      <c r="D1576" s="67">
        <f t="shared" si="147"/>
        <v>5</v>
      </c>
      <c r="E1576" s="67">
        <f ca="1" t="shared" si="148"/>
        <v>1545</v>
      </c>
      <c r="F1576" s="67">
        <f ca="1" t="shared" si="145"/>
        <v>0</v>
      </c>
      <c r="G1576" s="67">
        <f ca="1" t="shared" si="146"/>
        <v>0</v>
      </c>
      <c r="H1576" s="67" cm="1">
        <f ca="1" t="array" ref="H1576">MIN(30-SUM(I1576:L1576),_xlfn.XLOOKUP($D1576&amp;"_"&amp;H$61,$B$23:$B$45&amp;"_"&amp;$C$23:$C$45,$D$23:$D$45)*$E1576,18)</f>
        <v>9.77129181084198</v>
      </c>
      <c r="I1576" s="67" cm="1">
        <f ca="1" t="array" ref="I1576">MIN(30-SUM(J1576:L1576),6-L1576,_xlfn.XLOOKUP($D1576&amp;"_"&amp;I$61,$B$23:$B$45&amp;"_"&amp;$C$23:$C$45,$D$23:$D$45)*$E1576)</f>
        <v>0</v>
      </c>
      <c r="J1576" s="67" cm="1">
        <f ca="1" t="array" ref="J1576">MIN(8,_xlfn.XLOOKUP($D1576&amp;"_"&amp;J$61,$B$23:$B$45&amp;"_"&amp;$C$23:$C$45,$D$23:$D$45)*$E1576)</f>
        <v>8</v>
      </c>
      <c r="K1576" s="67" cm="1">
        <f ca="1" t="array" ref="K1576">MIN(18,_xlfn.XLOOKUP($D1576&amp;"_"&amp;K$61,$B$23:$B$45&amp;"_"&amp;$C$23:$C$45,$D$23:$D$45)*$E1576)</f>
        <v>6.22870818915802</v>
      </c>
      <c r="L1576" s="67" cm="1">
        <f ca="1" t="array" ref="L1576">MIN(6,_xlfn.XLOOKUP($D1576&amp;"_"&amp;L$61,$B$23:$B$45&amp;"_"&amp;$C$23:$C$45,$D$23:$D$45)*$E1576)</f>
        <v>6</v>
      </c>
      <c r="M1576" s="67" cm="1">
        <f ca="1" t="array" ref="M1576">(1+SUMPRODUCT(G1576:H1576,OFFSET($H$49:$I$49,D1576,0)))*(1+OFFSET($J$49,D1576,0))^I1576*(1+OFFSET($K$49,D1576,0))^J1576*(1+OFFSET($L$49,D1576,0))^K1576*(1+OFFSET($M$49,D1576,0))^L1576</f>
        <v>448.41526250833</v>
      </c>
      <c r="N1576" s="67">
        <f ca="1">MAX(MAX($N$62:N1575),OFFSET($C$61,MATCH(M1576*1.07,$M$62:$M$2061,1),0)-C1576)</f>
        <v>53280</v>
      </c>
    </row>
    <row r="1577" spans="2:14">
      <c r="B1577" s="67">
        <v>1516</v>
      </c>
      <c r="C1577" s="67">
        <f t="shared" si="144"/>
        <v>545760</v>
      </c>
      <c r="D1577" s="67">
        <f t="shared" si="147"/>
        <v>5</v>
      </c>
      <c r="E1577" s="67">
        <f ca="1" t="shared" si="148"/>
        <v>1546</v>
      </c>
      <c r="F1577" s="67">
        <f ca="1" t="shared" si="145"/>
        <v>0</v>
      </c>
      <c r="G1577" s="67">
        <f ca="1" t="shared" si="146"/>
        <v>0</v>
      </c>
      <c r="H1577" s="67" cm="1">
        <f ca="1" t="array" ref="H1577">MIN(30-SUM(I1577:L1577),_xlfn.XLOOKUP($D1577&amp;"_"&amp;H$61,$B$23:$B$45&amp;"_"&amp;$C$23:$C$45,$D$23:$D$45)*$E1577,18)</f>
        <v>9.76726028450595</v>
      </c>
      <c r="I1577" s="67" cm="1">
        <f ca="1" t="array" ref="I1577">MIN(30-SUM(J1577:L1577),6-L1577,_xlfn.XLOOKUP($D1577&amp;"_"&amp;I$61,$B$23:$B$45&amp;"_"&amp;$C$23:$C$45,$D$23:$D$45)*$E1577)</f>
        <v>0</v>
      </c>
      <c r="J1577" s="67" cm="1">
        <f ca="1" t="array" ref="J1577">MIN(8,_xlfn.XLOOKUP($D1577&amp;"_"&amp;J$61,$B$23:$B$45&amp;"_"&amp;$C$23:$C$45,$D$23:$D$45)*$E1577)</f>
        <v>8</v>
      </c>
      <c r="K1577" s="67" cm="1">
        <f ca="1" t="array" ref="K1577">MIN(18,_xlfn.XLOOKUP($D1577&amp;"_"&amp;K$61,$B$23:$B$45&amp;"_"&amp;$C$23:$C$45,$D$23:$D$45)*$E1577)</f>
        <v>6.23273971549405</v>
      </c>
      <c r="L1577" s="67" cm="1">
        <f ca="1" t="array" ref="L1577">MIN(6,_xlfn.XLOOKUP($D1577&amp;"_"&amp;L$61,$B$23:$B$45&amp;"_"&amp;$C$23:$C$45,$D$23:$D$45)*$E1577)</f>
        <v>6</v>
      </c>
      <c r="M1577" s="67" cm="1">
        <f ca="1" t="array" ref="M1577">(1+SUMPRODUCT(G1577:H1577,OFFSET($H$49:$I$49,D1577,0)))*(1+OFFSET($J$49,D1577,0))^I1577*(1+OFFSET($K$49,D1577,0))^J1577*(1+OFFSET($L$49,D1577,0))^K1577*(1+OFFSET($M$49,D1577,0))^L1577</f>
        <v>448.622508309166</v>
      </c>
      <c r="N1577" s="67">
        <f ca="1">MAX(MAX($N$62:N1576),OFFSET($C$61,MATCH(M1577*1.07,$M$62:$M$2061,1),0)-C1577)</f>
        <v>53280</v>
      </c>
    </row>
    <row r="1578" spans="2:14">
      <c r="B1578" s="67">
        <v>1517</v>
      </c>
      <c r="C1578" s="67">
        <f t="shared" si="144"/>
        <v>546120</v>
      </c>
      <c r="D1578" s="67">
        <f t="shared" si="147"/>
        <v>5</v>
      </c>
      <c r="E1578" s="67">
        <f ca="1" t="shared" si="148"/>
        <v>1547</v>
      </c>
      <c r="F1578" s="67">
        <f ca="1" t="shared" si="145"/>
        <v>0</v>
      </c>
      <c r="G1578" s="67">
        <f ca="1" t="shared" si="146"/>
        <v>0</v>
      </c>
      <c r="H1578" s="67" cm="1">
        <f ca="1" t="array" ref="H1578">MIN(30-SUM(I1578:L1578),_xlfn.XLOOKUP($D1578&amp;"_"&amp;H$61,$B$23:$B$45&amp;"_"&amp;$C$23:$C$45,$D$23:$D$45)*$E1578,18)</f>
        <v>9.76322875816993</v>
      </c>
      <c r="I1578" s="67" cm="1">
        <f ca="1" t="array" ref="I1578">MIN(30-SUM(J1578:L1578),6-L1578,_xlfn.XLOOKUP($D1578&amp;"_"&amp;I$61,$B$23:$B$45&amp;"_"&amp;$C$23:$C$45,$D$23:$D$45)*$E1578)</f>
        <v>0</v>
      </c>
      <c r="J1578" s="67" cm="1">
        <f ca="1" t="array" ref="J1578">MIN(8,_xlfn.XLOOKUP($D1578&amp;"_"&amp;J$61,$B$23:$B$45&amp;"_"&amp;$C$23:$C$45,$D$23:$D$45)*$E1578)</f>
        <v>8</v>
      </c>
      <c r="K1578" s="67" cm="1">
        <f ca="1" t="array" ref="K1578">MIN(18,_xlfn.XLOOKUP($D1578&amp;"_"&amp;K$61,$B$23:$B$45&amp;"_"&amp;$C$23:$C$45,$D$23:$D$45)*$E1578)</f>
        <v>6.23677124183007</v>
      </c>
      <c r="L1578" s="67" cm="1">
        <f ca="1" t="array" ref="L1578">MIN(6,_xlfn.XLOOKUP($D1578&amp;"_"&amp;L$61,$B$23:$B$45&amp;"_"&amp;$C$23:$C$45,$D$23:$D$45)*$E1578)</f>
        <v>6</v>
      </c>
      <c r="M1578" s="67" cm="1">
        <f ca="1" t="array" ref="M1578">(1+SUMPRODUCT(G1578:H1578,OFFSET($H$49:$I$49,D1578,0)))*(1+OFFSET($J$49,D1578,0))^I1578*(1+OFFSET($K$49,D1578,0))^J1578*(1+OFFSET($L$49,D1578,0))^K1578*(1+OFFSET($M$49,D1578,0))^L1578</f>
        <v>448.829816441681</v>
      </c>
      <c r="N1578" s="67">
        <f ca="1">MAX(MAX($N$62:N1577),OFFSET($C$61,MATCH(M1578*1.07,$M$62:$M$2061,1),0)-C1578)</f>
        <v>53280</v>
      </c>
    </row>
    <row r="1579" spans="2:14">
      <c r="B1579" s="67">
        <v>1518</v>
      </c>
      <c r="C1579" s="67">
        <f t="shared" si="144"/>
        <v>546480</v>
      </c>
      <c r="D1579" s="67">
        <f t="shared" si="147"/>
        <v>5</v>
      </c>
      <c r="E1579" s="67">
        <f ca="1" t="shared" si="148"/>
        <v>1548</v>
      </c>
      <c r="F1579" s="67">
        <f ca="1" t="shared" si="145"/>
        <v>0</v>
      </c>
      <c r="G1579" s="67">
        <f ca="1" t="shared" si="146"/>
        <v>0</v>
      </c>
      <c r="H1579" s="67" cm="1">
        <f ca="1" t="array" ref="H1579">MIN(30-SUM(I1579:L1579),_xlfn.XLOOKUP($D1579&amp;"_"&amp;H$61,$B$23:$B$45&amp;"_"&amp;$C$23:$C$45,$D$23:$D$45)*$E1579,18)</f>
        <v>9.75919723183391</v>
      </c>
      <c r="I1579" s="67" cm="1">
        <f ca="1" t="array" ref="I1579">MIN(30-SUM(J1579:L1579),6-L1579,_xlfn.XLOOKUP($D1579&amp;"_"&amp;I$61,$B$23:$B$45&amp;"_"&amp;$C$23:$C$45,$D$23:$D$45)*$E1579)</f>
        <v>0</v>
      </c>
      <c r="J1579" s="67" cm="1">
        <f ca="1" t="array" ref="J1579">MIN(8,_xlfn.XLOOKUP($D1579&amp;"_"&amp;J$61,$B$23:$B$45&amp;"_"&amp;$C$23:$C$45,$D$23:$D$45)*$E1579)</f>
        <v>8</v>
      </c>
      <c r="K1579" s="67" cm="1">
        <f ca="1" t="array" ref="K1579">MIN(18,_xlfn.XLOOKUP($D1579&amp;"_"&amp;K$61,$B$23:$B$45&amp;"_"&amp;$C$23:$C$45,$D$23:$D$45)*$E1579)</f>
        <v>6.2408027681661</v>
      </c>
      <c r="L1579" s="67" cm="1">
        <f ca="1" t="array" ref="L1579">MIN(6,_xlfn.XLOOKUP($D1579&amp;"_"&amp;L$61,$B$23:$B$45&amp;"_"&amp;$C$23:$C$45,$D$23:$D$45)*$E1579)</f>
        <v>6</v>
      </c>
      <c r="M1579" s="67" cm="1">
        <f ca="1" t="array" ref="M1579">(1+SUMPRODUCT(G1579:H1579,OFFSET($H$49:$I$49,D1579,0)))*(1+OFFSET($J$49,D1579,0))^I1579*(1+OFFSET($K$49,D1579,0))^J1579*(1+OFFSET($L$49,D1579,0))^K1579*(1+OFFSET($M$49,D1579,0))^L1579</f>
        <v>449.03718688549</v>
      </c>
      <c r="N1579" s="67">
        <f ca="1">MAX(MAX($N$62:N1578),OFFSET($C$61,MATCH(M1579*1.07,$M$62:$M$2061,1),0)-C1579)</f>
        <v>53280</v>
      </c>
    </row>
    <row r="1580" spans="2:14">
      <c r="B1580" s="67">
        <v>1519</v>
      </c>
      <c r="C1580" s="67">
        <f t="shared" si="144"/>
        <v>546840</v>
      </c>
      <c r="D1580" s="67">
        <f t="shared" si="147"/>
        <v>5</v>
      </c>
      <c r="E1580" s="67">
        <f ca="1" t="shared" si="148"/>
        <v>1549</v>
      </c>
      <c r="F1580" s="67">
        <f ca="1" t="shared" si="145"/>
        <v>0</v>
      </c>
      <c r="G1580" s="67">
        <f ca="1" t="shared" si="146"/>
        <v>0</v>
      </c>
      <c r="H1580" s="67" cm="1">
        <f ca="1" t="array" ref="H1580">MIN(30-SUM(I1580:L1580),_xlfn.XLOOKUP($D1580&amp;"_"&amp;H$61,$B$23:$B$45&amp;"_"&amp;$C$23:$C$45,$D$23:$D$45)*$E1580,18)</f>
        <v>9.75516570549788</v>
      </c>
      <c r="I1580" s="67" cm="1">
        <f ca="1" t="array" ref="I1580">MIN(30-SUM(J1580:L1580),6-L1580,_xlfn.XLOOKUP($D1580&amp;"_"&amp;I$61,$B$23:$B$45&amp;"_"&amp;$C$23:$C$45,$D$23:$D$45)*$E1580)</f>
        <v>0</v>
      </c>
      <c r="J1580" s="67" cm="1">
        <f ca="1" t="array" ref="J1580">MIN(8,_xlfn.XLOOKUP($D1580&amp;"_"&amp;J$61,$B$23:$B$45&amp;"_"&amp;$C$23:$C$45,$D$23:$D$45)*$E1580)</f>
        <v>8</v>
      </c>
      <c r="K1580" s="67" cm="1">
        <f ca="1" t="array" ref="K1580">MIN(18,_xlfn.XLOOKUP($D1580&amp;"_"&amp;K$61,$B$23:$B$45&amp;"_"&amp;$C$23:$C$45,$D$23:$D$45)*$E1580)</f>
        <v>6.24483429450212</v>
      </c>
      <c r="L1580" s="67" cm="1">
        <f ca="1" t="array" ref="L1580">MIN(6,_xlfn.XLOOKUP($D1580&amp;"_"&amp;L$61,$B$23:$B$45&amp;"_"&amp;$C$23:$C$45,$D$23:$D$45)*$E1580)</f>
        <v>6</v>
      </c>
      <c r="M1580" s="67" cm="1">
        <f ca="1" t="array" ref="M1580">(1+SUMPRODUCT(G1580:H1580,OFFSET($H$49:$I$49,D1580,0)))*(1+OFFSET($J$49,D1580,0))^I1580*(1+OFFSET($K$49,D1580,0))^J1580*(1+OFFSET($L$49,D1580,0))^K1580*(1+OFFSET($M$49,D1580,0))^L1580</f>
        <v>449.244619620141</v>
      </c>
      <c r="N1580" s="67">
        <f ca="1">MAX(MAX($N$62:N1579),OFFSET($C$61,MATCH(M1580*1.07,$M$62:$M$2061,1),0)-C1580)</f>
        <v>53280</v>
      </c>
    </row>
    <row r="1581" spans="2:14">
      <c r="B1581" s="67">
        <v>1520</v>
      </c>
      <c r="C1581" s="67">
        <f t="shared" si="144"/>
        <v>547200</v>
      </c>
      <c r="D1581" s="67">
        <f t="shared" si="147"/>
        <v>5</v>
      </c>
      <c r="E1581" s="67">
        <f ca="1" t="shared" si="148"/>
        <v>1550</v>
      </c>
      <c r="F1581" s="67">
        <f ca="1" t="shared" si="145"/>
        <v>0</v>
      </c>
      <c r="G1581" s="67">
        <f ca="1" t="shared" si="146"/>
        <v>0</v>
      </c>
      <c r="H1581" s="67" cm="1">
        <f ca="1" t="array" ref="H1581">MIN(30-SUM(I1581:L1581),_xlfn.XLOOKUP($D1581&amp;"_"&amp;H$61,$B$23:$B$45&amp;"_"&amp;$C$23:$C$45,$D$23:$D$45)*$E1581,18)</f>
        <v>9.75113417916186</v>
      </c>
      <c r="I1581" s="67" cm="1">
        <f ca="1" t="array" ref="I1581">MIN(30-SUM(J1581:L1581),6-L1581,_xlfn.XLOOKUP($D1581&amp;"_"&amp;I$61,$B$23:$B$45&amp;"_"&amp;$C$23:$C$45,$D$23:$D$45)*$E1581)</f>
        <v>0</v>
      </c>
      <c r="J1581" s="67" cm="1">
        <f ca="1" t="array" ref="J1581">MIN(8,_xlfn.XLOOKUP($D1581&amp;"_"&amp;J$61,$B$23:$B$45&amp;"_"&amp;$C$23:$C$45,$D$23:$D$45)*$E1581)</f>
        <v>8</v>
      </c>
      <c r="K1581" s="67" cm="1">
        <f ca="1" t="array" ref="K1581">MIN(18,_xlfn.XLOOKUP($D1581&amp;"_"&amp;K$61,$B$23:$B$45&amp;"_"&amp;$C$23:$C$45,$D$23:$D$45)*$E1581)</f>
        <v>6.24886582083815</v>
      </c>
      <c r="L1581" s="67" cm="1">
        <f ca="1" t="array" ref="L1581">MIN(6,_xlfn.XLOOKUP($D1581&amp;"_"&amp;L$61,$B$23:$B$45&amp;"_"&amp;$C$23:$C$45,$D$23:$D$45)*$E1581)</f>
        <v>6</v>
      </c>
      <c r="M1581" s="67" cm="1">
        <f ca="1" t="array" ref="M1581">(1+SUMPRODUCT(G1581:H1581,OFFSET($H$49:$I$49,D1581,0)))*(1+OFFSET($J$49,D1581,0))^I1581*(1+OFFSET($K$49,D1581,0))^J1581*(1+OFFSET($L$49,D1581,0))^K1581*(1+OFFSET($M$49,D1581,0))^L1581</f>
        <v>449.452114625121</v>
      </c>
      <c r="N1581" s="67">
        <f ca="1">MAX(MAX($N$62:N1580),OFFSET($C$61,MATCH(M1581*1.07,$M$62:$M$2061,1),0)-C1581)</f>
        <v>53280</v>
      </c>
    </row>
    <row r="1582" spans="2:14">
      <c r="B1582" s="67">
        <v>1521</v>
      </c>
      <c r="C1582" s="67">
        <f t="shared" ref="C1582:C1645" si="149">C1581+360</f>
        <v>547560</v>
      </c>
      <c r="D1582" s="67">
        <f t="shared" si="147"/>
        <v>5</v>
      </c>
      <c r="E1582" s="67">
        <f ca="1" t="shared" si="148"/>
        <v>1551</v>
      </c>
      <c r="F1582" s="67">
        <f ca="1" t="shared" ref="F1582:F1645" si="150">30-SUM(G1582:L1582)</f>
        <v>0</v>
      </c>
      <c r="G1582" s="67">
        <f ca="1" t="shared" ref="G1582:G1645" si="151">30-SUM(H1582:L1582)</f>
        <v>0</v>
      </c>
      <c r="H1582" s="67" cm="1">
        <f ca="1" t="array" ref="H1582">MIN(30-SUM(I1582:L1582),_xlfn.XLOOKUP($D1582&amp;"_"&amp;H$61,$B$23:$B$45&amp;"_"&amp;$C$23:$C$45,$D$23:$D$45)*$E1582,18)</f>
        <v>9.74710265282583</v>
      </c>
      <c r="I1582" s="67" cm="1">
        <f ca="1" t="array" ref="I1582">MIN(30-SUM(J1582:L1582),6-L1582,_xlfn.XLOOKUP($D1582&amp;"_"&amp;I$61,$B$23:$B$45&amp;"_"&amp;$C$23:$C$45,$D$23:$D$45)*$E1582)</f>
        <v>0</v>
      </c>
      <c r="J1582" s="67" cm="1">
        <f ca="1" t="array" ref="J1582">MIN(8,_xlfn.XLOOKUP($D1582&amp;"_"&amp;J$61,$B$23:$B$45&amp;"_"&amp;$C$23:$C$45,$D$23:$D$45)*$E1582)</f>
        <v>8</v>
      </c>
      <c r="K1582" s="67" cm="1">
        <f ca="1" t="array" ref="K1582">MIN(18,_xlfn.XLOOKUP($D1582&amp;"_"&amp;K$61,$B$23:$B$45&amp;"_"&amp;$C$23:$C$45,$D$23:$D$45)*$E1582)</f>
        <v>6.25289734717417</v>
      </c>
      <c r="L1582" s="67" cm="1">
        <f ca="1" t="array" ref="L1582">MIN(6,_xlfn.XLOOKUP($D1582&amp;"_"&amp;L$61,$B$23:$B$45&amp;"_"&amp;$C$23:$C$45,$D$23:$D$45)*$E1582)</f>
        <v>6</v>
      </c>
      <c r="M1582" s="67" cm="1">
        <f ca="1" t="array" ref="M1582">(1+SUMPRODUCT(G1582:H1582,OFFSET($H$49:$I$49,D1582,0)))*(1+OFFSET($J$49,D1582,0))^I1582*(1+OFFSET($K$49,D1582,0))^J1582*(1+OFFSET($L$49,D1582,0))^K1582*(1+OFFSET($M$49,D1582,0))^L1582</f>
        <v>449.659671879852</v>
      </c>
      <c r="N1582" s="67">
        <f ca="1">MAX(MAX($N$62:N1581),OFFSET($C$61,MATCH(M1582*1.07,$M$62:$M$2061,1),0)-C1582)</f>
        <v>53280</v>
      </c>
    </row>
    <row r="1583" spans="2:14">
      <c r="B1583" s="67">
        <v>1522</v>
      </c>
      <c r="C1583" s="67">
        <f t="shared" si="149"/>
        <v>547920</v>
      </c>
      <c r="D1583" s="67">
        <f t="shared" si="147"/>
        <v>5</v>
      </c>
      <c r="E1583" s="67">
        <f ca="1" t="shared" si="148"/>
        <v>1552</v>
      </c>
      <c r="F1583" s="67">
        <f ca="1" t="shared" si="150"/>
        <v>0</v>
      </c>
      <c r="G1583" s="67">
        <f ca="1" t="shared" si="151"/>
        <v>0</v>
      </c>
      <c r="H1583" s="67" cm="1">
        <f ca="1" t="array" ref="H1583">MIN(30-SUM(I1583:L1583),_xlfn.XLOOKUP($D1583&amp;"_"&amp;H$61,$B$23:$B$45&amp;"_"&amp;$C$23:$C$45,$D$23:$D$45)*$E1583,18)</f>
        <v>9.74307112648981</v>
      </c>
      <c r="I1583" s="67" cm="1">
        <f ca="1" t="array" ref="I1583">MIN(30-SUM(J1583:L1583),6-L1583,_xlfn.XLOOKUP($D1583&amp;"_"&amp;I$61,$B$23:$B$45&amp;"_"&amp;$C$23:$C$45,$D$23:$D$45)*$E1583)</f>
        <v>0</v>
      </c>
      <c r="J1583" s="67" cm="1">
        <f ca="1" t="array" ref="J1583">MIN(8,_xlfn.XLOOKUP($D1583&amp;"_"&amp;J$61,$B$23:$B$45&amp;"_"&amp;$C$23:$C$45,$D$23:$D$45)*$E1583)</f>
        <v>8</v>
      </c>
      <c r="K1583" s="67" cm="1">
        <f ca="1" t="array" ref="K1583">MIN(18,_xlfn.XLOOKUP($D1583&amp;"_"&amp;K$61,$B$23:$B$45&amp;"_"&amp;$C$23:$C$45,$D$23:$D$45)*$E1583)</f>
        <v>6.25692887351019</v>
      </c>
      <c r="L1583" s="67" cm="1">
        <f ca="1" t="array" ref="L1583">MIN(6,_xlfn.XLOOKUP($D1583&amp;"_"&amp;L$61,$B$23:$B$45&amp;"_"&amp;$C$23:$C$45,$D$23:$D$45)*$E1583)</f>
        <v>6</v>
      </c>
      <c r="M1583" s="67" cm="1">
        <f ca="1" t="array" ref="M1583">(1+SUMPRODUCT(G1583:H1583,OFFSET($H$49:$I$49,D1583,0)))*(1+OFFSET($J$49,D1583,0))^I1583*(1+OFFSET($K$49,D1583,0))^J1583*(1+OFFSET($L$49,D1583,0))^K1583*(1+OFFSET($M$49,D1583,0))^L1583</f>
        <v>449.867291363692</v>
      </c>
      <c r="N1583" s="67">
        <f ca="1">MAX(MAX($N$62:N1582),OFFSET($C$61,MATCH(M1583*1.07,$M$62:$M$2061,1),0)-C1583)</f>
        <v>53280</v>
      </c>
    </row>
    <row r="1584" spans="2:14">
      <c r="B1584" s="67">
        <v>1523</v>
      </c>
      <c r="C1584" s="67">
        <f t="shared" si="149"/>
        <v>548280</v>
      </c>
      <c r="D1584" s="67">
        <f t="shared" si="147"/>
        <v>5</v>
      </c>
      <c r="E1584" s="67">
        <f ca="1" t="shared" si="148"/>
        <v>1553</v>
      </c>
      <c r="F1584" s="67">
        <f ca="1" t="shared" si="150"/>
        <v>0</v>
      </c>
      <c r="G1584" s="67">
        <f ca="1" t="shared" si="151"/>
        <v>0</v>
      </c>
      <c r="H1584" s="67" cm="1">
        <f ca="1" t="array" ref="H1584">MIN(30-SUM(I1584:L1584),_xlfn.XLOOKUP($D1584&amp;"_"&amp;H$61,$B$23:$B$45&amp;"_"&amp;$C$23:$C$45,$D$23:$D$45)*$E1584,18)</f>
        <v>9.73903960015378</v>
      </c>
      <c r="I1584" s="67" cm="1">
        <f ca="1" t="array" ref="I1584">MIN(30-SUM(J1584:L1584),6-L1584,_xlfn.XLOOKUP($D1584&amp;"_"&amp;I$61,$B$23:$B$45&amp;"_"&amp;$C$23:$C$45,$D$23:$D$45)*$E1584)</f>
        <v>0</v>
      </c>
      <c r="J1584" s="67" cm="1">
        <f ca="1" t="array" ref="J1584">MIN(8,_xlfn.XLOOKUP($D1584&amp;"_"&amp;J$61,$B$23:$B$45&amp;"_"&amp;$C$23:$C$45,$D$23:$D$45)*$E1584)</f>
        <v>8</v>
      </c>
      <c r="K1584" s="67" cm="1">
        <f ca="1" t="array" ref="K1584">MIN(18,_xlfn.XLOOKUP($D1584&amp;"_"&amp;K$61,$B$23:$B$45&amp;"_"&amp;$C$23:$C$45,$D$23:$D$45)*$E1584)</f>
        <v>6.26096039984622</v>
      </c>
      <c r="L1584" s="67" cm="1">
        <f ca="1" t="array" ref="L1584">MIN(6,_xlfn.XLOOKUP($D1584&amp;"_"&amp;L$61,$B$23:$B$45&amp;"_"&amp;$C$23:$C$45,$D$23:$D$45)*$E1584)</f>
        <v>6</v>
      </c>
      <c r="M1584" s="67" cm="1">
        <f ca="1" t="array" ref="M1584">(1+SUMPRODUCT(G1584:H1584,OFFSET($H$49:$I$49,D1584,0)))*(1+OFFSET($J$49,D1584,0))^I1584*(1+OFFSET($K$49,D1584,0))^J1584*(1+OFFSET($L$49,D1584,0))^K1584*(1+OFFSET($M$49,D1584,0))^L1584</f>
        <v>450.074973055935</v>
      </c>
      <c r="N1584" s="67">
        <f ca="1">MAX(MAX($N$62:N1583),OFFSET($C$61,MATCH(M1584*1.07,$M$62:$M$2061,1),0)-C1584)</f>
        <v>53280</v>
      </c>
    </row>
    <row r="1585" spans="2:14">
      <c r="B1585" s="67">
        <v>1524</v>
      </c>
      <c r="C1585" s="67">
        <f t="shared" si="149"/>
        <v>548640</v>
      </c>
      <c r="D1585" s="67">
        <f t="shared" si="147"/>
        <v>5</v>
      </c>
      <c r="E1585" s="67">
        <f ca="1" t="shared" si="148"/>
        <v>1554</v>
      </c>
      <c r="F1585" s="67">
        <f ca="1" t="shared" si="150"/>
        <v>0</v>
      </c>
      <c r="G1585" s="67">
        <f ca="1" t="shared" si="151"/>
        <v>0</v>
      </c>
      <c r="H1585" s="67" cm="1">
        <f ca="1" t="array" ref="H1585">MIN(30-SUM(I1585:L1585),_xlfn.XLOOKUP($D1585&amp;"_"&amp;H$61,$B$23:$B$45&amp;"_"&amp;$C$23:$C$45,$D$23:$D$45)*$E1585,18)</f>
        <v>9.73500807381776</v>
      </c>
      <c r="I1585" s="67" cm="1">
        <f ca="1" t="array" ref="I1585">MIN(30-SUM(J1585:L1585),6-L1585,_xlfn.XLOOKUP($D1585&amp;"_"&amp;I$61,$B$23:$B$45&amp;"_"&amp;$C$23:$C$45,$D$23:$D$45)*$E1585)</f>
        <v>0</v>
      </c>
      <c r="J1585" s="67" cm="1">
        <f ca="1" t="array" ref="J1585">MIN(8,_xlfn.XLOOKUP($D1585&amp;"_"&amp;J$61,$B$23:$B$45&amp;"_"&amp;$C$23:$C$45,$D$23:$D$45)*$E1585)</f>
        <v>8</v>
      </c>
      <c r="K1585" s="67" cm="1">
        <f ca="1" t="array" ref="K1585">MIN(18,_xlfn.XLOOKUP($D1585&amp;"_"&amp;K$61,$B$23:$B$45&amp;"_"&amp;$C$23:$C$45,$D$23:$D$45)*$E1585)</f>
        <v>6.26499192618224</v>
      </c>
      <c r="L1585" s="67" cm="1">
        <f ca="1" t="array" ref="L1585">MIN(6,_xlfn.XLOOKUP($D1585&amp;"_"&amp;L$61,$B$23:$B$45&amp;"_"&amp;$C$23:$C$45,$D$23:$D$45)*$E1585)</f>
        <v>6</v>
      </c>
      <c r="M1585" s="67" cm="1">
        <f ca="1" t="array" ref="M1585">(1+SUMPRODUCT(G1585:H1585,OFFSET($H$49:$I$49,D1585,0)))*(1+OFFSET($J$49,D1585,0))^I1585*(1+OFFSET($K$49,D1585,0))^J1585*(1+OFFSET($L$49,D1585,0))^K1585*(1+OFFSET($M$49,D1585,0))^L1585</f>
        <v>450.282716935811</v>
      </c>
      <c r="N1585" s="67">
        <f ca="1">MAX(MAX($N$62:N1584),OFFSET($C$61,MATCH(M1585*1.07,$M$62:$M$2061,1),0)-C1585)</f>
        <v>53280</v>
      </c>
    </row>
    <row r="1586" spans="2:14">
      <c r="B1586" s="67">
        <v>1525</v>
      </c>
      <c r="C1586" s="67">
        <f t="shared" si="149"/>
        <v>549000</v>
      </c>
      <c r="D1586" s="67">
        <f t="shared" si="147"/>
        <v>5</v>
      </c>
      <c r="E1586" s="67">
        <f ca="1" t="shared" si="148"/>
        <v>1555</v>
      </c>
      <c r="F1586" s="67">
        <f ca="1" t="shared" si="150"/>
        <v>0</v>
      </c>
      <c r="G1586" s="67">
        <f ca="1" t="shared" si="151"/>
        <v>0</v>
      </c>
      <c r="H1586" s="67" cm="1">
        <f ca="1" t="array" ref="H1586">MIN(30-SUM(I1586:L1586),_xlfn.XLOOKUP($D1586&amp;"_"&amp;H$61,$B$23:$B$45&amp;"_"&amp;$C$23:$C$45,$D$23:$D$45)*$E1586,18)</f>
        <v>9.73097654748173</v>
      </c>
      <c r="I1586" s="67" cm="1">
        <f ca="1" t="array" ref="I1586">MIN(30-SUM(J1586:L1586),6-L1586,_xlfn.XLOOKUP($D1586&amp;"_"&amp;I$61,$B$23:$B$45&amp;"_"&amp;$C$23:$C$45,$D$23:$D$45)*$E1586)</f>
        <v>0</v>
      </c>
      <c r="J1586" s="67" cm="1">
        <f ca="1" t="array" ref="J1586">MIN(8,_xlfn.XLOOKUP($D1586&amp;"_"&amp;J$61,$B$23:$B$45&amp;"_"&amp;$C$23:$C$45,$D$23:$D$45)*$E1586)</f>
        <v>8</v>
      </c>
      <c r="K1586" s="67" cm="1">
        <f ca="1" t="array" ref="K1586">MIN(18,_xlfn.XLOOKUP($D1586&amp;"_"&amp;K$61,$B$23:$B$45&amp;"_"&amp;$C$23:$C$45,$D$23:$D$45)*$E1586)</f>
        <v>6.26902345251827</v>
      </c>
      <c r="L1586" s="67" cm="1">
        <f ca="1" t="array" ref="L1586">MIN(6,_xlfn.XLOOKUP($D1586&amp;"_"&amp;L$61,$B$23:$B$45&amp;"_"&amp;$C$23:$C$45,$D$23:$D$45)*$E1586)</f>
        <v>6</v>
      </c>
      <c r="M1586" s="67" cm="1">
        <f ca="1" t="array" ref="M1586">(1+SUMPRODUCT(G1586:H1586,OFFSET($H$49:$I$49,D1586,0)))*(1+OFFSET($J$49,D1586,0))^I1586*(1+OFFSET($K$49,D1586,0))^J1586*(1+OFFSET($L$49,D1586,0))^K1586*(1+OFFSET($M$49,D1586,0))^L1586</f>
        <v>450.490522982487</v>
      </c>
      <c r="N1586" s="67">
        <f ca="1">MAX(MAX($N$62:N1585),OFFSET($C$61,MATCH(M1586*1.07,$M$62:$M$2061,1),0)-C1586)</f>
        <v>53280</v>
      </c>
    </row>
    <row r="1587" spans="2:14">
      <c r="B1587" s="67">
        <v>1526</v>
      </c>
      <c r="C1587" s="67">
        <f t="shared" si="149"/>
        <v>549360</v>
      </c>
      <c r="D1587" s="67">
        <f t="shared" si="147"/>
        <v>5</v>
      </c>
      <c r="E1587" s="67">
        <f ca="1" t="shared" si="148"/>
        <v>1556</v>
      </c>
      <c r="F1587" s="67">
        <f ca="1" t="shared" si="150"/>
        <v>0</v>
      </c>
      <c r="G1587" s="67">
        <f ca="1" t="shared" si="151"/>
        <v>0</v>
      </c>
      <c r="H1587" s="67" cm="1">
        <f ca="1" t="array" ref="H1587">MIN(30-SUM(I1587:L1587),_xlfn.XLOOKUP($D1587&amp;"_"&amp;H$61,$B$23:$B$45&amp;"_"&amp;$C$23:$C$45,$D$23:$D$45)*$E1587,18)</f>
        <v>9.72694502114571</v>
      </c>
      <c r="I1587" s="67" cm="1">
        <f ca="1" t="array" ref="I1587">MIN(30-SUM(J1587:L1587),6-L1587,_xlfn.XLOOKUP($D1587&amp;"_"&amp;I$61,$B$23:$B$45&amp;"_"&amp;$C$23:$C$45,$D$23:$D$45)*$E1587)</f>
        <v>0</v>
      </c>
      <c r="J1587" s="67" cm="1">
        <f ca="1" t="array" ref="J1587">MIN(8,_xlfn.XLOOKUP($D1587&amp;"_"&amp;J$61,$B$23:$B$45&amp;"_"&amp;$C$23:$C$45,$D$23:$D$45)*$E1587)</f>
        <v>8</v>
      </c>
      <c r="K1587" s="67" cm="1">
        <f ca="1" t="array" ref="K1587">MIN(18,_xlfn.XLOOKUP($D1587&amp;"_"&amp;K$61,$B$23:$B$45&amp;"_"&amp;$C$23:$C$45,$D$23:$D$45)*$E1587)</f>
        <v>6.27305497885429</v>
      </c>
      <c r="L1587" s="67" cm="1">
        <f ca="1" t="array" ref="L1587">MIN(6,_xlfn.XLOOKUP($D1587&amp;"_"&amp;L$61,$B$23:$B$45&amp;"_"&amp;$C$23:$C$45,$D$23:$D$45)*$E1587)</f>
        <v>6</v>
      </c>
      <c r="M1587" s="67" cm="1">
        <f ca="1" t="array" ref="M1587">(1+SUMPRODUCT(G1587:H1587,OFFSET($H$49:$I$49,D1587,0)))*(1+OFFSET($J$49,D1587,0))^I1587*(1+OFFSET($K$49,D1587,0))^J1587*(1+OFFSET($L$49,D1587,0))^K1587*(1+OFFSET($M$49,D1587,0))^L1587</f>
        <v>450.698391175063</v>
      </c>
      <c r="N1587" s="67">
        <f ca="1">MAX(MAX($N$62:N1586),OFFSET($C$61,MATCH(M1587*1.07,$M$62:$M$2061,1),0)-C1587)</f>
        <v>53280</v>
      </c>
    </row>
    <row r="1588" spans="2:14">
      <c r="B1588" s="67">
        <v>1527</v>
      </c>
      <c r="C1588" s="67">
        <f t="shared" si="149"/>
        <v>549720</v>
      </c>
      <c r="D1588" s="67">
        <f t="shared" si="147"/>
        <v>5</v>
      </c>
      <c r="E1588" s="67">
        <f ca="1" t="shared" si="148"/>
        <v>1557</v>
      </c>
      <c r="F1588" s="67">
        <f ca="1" t="shared" si="150"/>
        <v>0</v>
      </c>
      <c r="G1588" s="67">
        <f ca="1" t="shared" si="151"/>
        <v>0</v>
      </c>
      <c r="H1588" s="67" cm="1">
        <f ca="1" t="array" ref="H1588">MIN(30-SUM(I1588:L1588),_xlfn.XLOOKUP($D1588&amp;"_"&amp;H$61,$B$23:$B$45&amp;"_"&amp;$C$23:$C$45,$D$23:$D$45)*$E1588,18)</f>
        <v>9.72291349480968</v>
      </c>
      <c r="I1588" s="67" cm="1">
        <f ca="1" t="array" ref="I1588">MIN(30-SUM(J1588:L1588),6-L1588,_xlfn.XLOOKUP($D1588&amp;"_"&amp;I$61,$B$23:$B$45&amp;"_"&amp;$C$23:$C$45,$D$23:$D$45)*$E1588)</f>
        <v>0</v>
      </c>
      <c r="J1588" s="67" cm="1">
        <f ca="1" t="array" ref="J1588">MIN(8,_xlfn.XLOOKUP($D1588&amp;"_"&amp;J$61,$B$23:$B$45&amp;"_"&amp;$C$23:$C$45,$D$23:$D$45)*$E1588)</f>
        <v>8</v>
      </c>
      <c r="K1588" s="67" cm="1">
        <f ca="1" t="array" ref="K1588">MIN(18,_xlfn.XLOOKUP($D1588&amp;"_"&amp;K$61,$B$23:$B$45&amp;"_"&amp;$C$23:$C$45,$D$23:$D$45)*$E1588)</f>
        <v>6.27708650519032</v>
      </c>
      <c r="L1588" s="67" cm="1">
        <f ca="1" t="array" ref="L1588">MIN(6,_xlfn.XLOOKUP($D1588&amp;"_"&amp;L$61,$B$23:$B$45&amp;"_"&amp;$C$23:$C$45,$D$23:$D$45)*$E1588)</f>
        <v>6</v>
      </c>
      <c r="M1588" s="67" cm="1">
        <f ca="1" t="array" ref="M1588">(1+SUMPRODUCT(G1588:H1588,OFFSET($H$49:$I$49,D1588,0)))*(1+OFFSET($J$49,D1588,0))^I1588*(1+OFFSET($K$49,D1588,0))^J1588*(1+OFFSET($L$49,D1588,0))^K1588*(1+OFFSET($M$49,D1588,0))^L1588</f>
        <v>450.906321492577</v>
      </c>
      <c r="N1588" s="67">
        <f ca="1">MAX(MAX($N$62:N1587),OFFSET($C$61,MATCH(M1588*1.07,$M$62:$M$2061,1),0)-C1588)</f>
        <v>53280</v>
      </c>
    </row>
    <row r="1589" spans="2:14">
      <c r="B1589" s="67">
        <v>1528</v>
      </c>
      <c r="C1589" s="67">
        <f t="shared" si="149"/>
        <v>550080</v>
      </c>
      <c r="D1589" s="67">
        <f t="shared" si="147"/>
        <v>5</v>
      </c>
      <c r="E1589" s="67">
        <f ca="1" t="shared" si="148"/>
        <v>1558</v>
      </c>
      <c r="F1589" s="67">
        <f ca="1" t="shared" si="150"/>
        <v>0</v>
      </c>
      <c r="G1589" s="67">
        <f ca="1" t="shared" si="151"/>
        <v>0</v>
      </c>
      <c r="H1589" s="67" cm="1">
        <f ca="1" t="array" ref="H1589">MIN(30-SUM(I1589:L1589),_xlfn.XLOOKUP($D1589&amp;"_"&amp;H$61,$B$23:$B$45&amp;"_"&amp;$C$23:$C$45,$D$23:$D$45)*$E1589,18)</f>
        <v>9.71888196847366</v>
      </c>
      <c r="I1589" s="67" cm="1">
        <f ca="1" t="array" ref="I1589">MIN(30-SUM(J1589:L1589),6-L1589,_xlfn.XLOOKUP($D1589&amp;"_"&amp;I$61,$B$23:$B$45&amp;"_"&amp;$C$23:$C$45,$D$23:$D$45)*$E1589)</f>
        <v>0</v>
      </c>
      <c r="J1589" s="67" cm="1">
        <f ca="1" t="array" ref="J1589">MIN(8,_xlfn.XLOOKUP($D1589&amp;"_"&amp;J$61,$B$23:$B$45&amp;"_"&amp;$C$23:$C$45,$D$23:$D$45)*$E1589)</f>
        <v>8</v>
      </c>
      <c r="K1589" s="67" cm="1">
        <f ca="1" t="array" ref="K1589">MIN(18,_xlfn.XLOOKUP($D1589&amp;"_"&amp;K$61,$B$23:$B$45&amp;"_"&amp;$C$23:$C$45,$D$23:$D$45)*$E1589)</f>
        <v>6.28111803152634</v>
      </c>
      <c r="L1589" s="67" cm="1">
        <f ca="1" t="array" ref="L1589">MIN(6,_xlfn.XLOOKUP($D1589&amp;"_"&amp;L$61,$B$23:$B$45&amp;"_"&amp;$C$23:$C$45,$D$23:$D$45)*$E1589)</f>
        <v>6</v>
      </c>
      <c r="M1589" s="67" cm="1">
        <f ca="1" t="array" ref="M1589">(1+SUMPRODUCT(G1589:H1589,OFFSET($H$49:$I$49,D1589,0)))*(1+OFFSET($J$49,D1589,0))^I1589*(1+OFFSET($K$49,D1589,0))^J1589*(1+OFFSET($L$49,D1589,0))^K1589*(1+OFFSET($M$49,D1589,0))^L1589</f>
        <v>451.114313914003</v>
      </c>
      <c r="N1589" s="67">
        <f ca="1">MAX(MAX($N$62:N1588),OFFSET($C$61,MATCH(M1589*1.07,$M$62:$M$2061,1),0)-C1589)</f>
        <v>53280</v>
      </c>
    </row>
    <row r="1590" spans="2:14">
      <c r="B1590" s="67">
        <v>1529</v>
      </c>
      <c r="C1590" s="67">
        <f t="shared" si="149"/>
        <v>550440</v>
      </c>
      <c r="D1590" s="67">
        <f t="shared" si="147"/>
        <v>5</v>
      </c>
      <c r="E1590" s="67">
        <f ca="1" t="shared" si="148"/>
        <v>1559</v>
      </c>
      <c r="F1590" s="67">
        <f ca="1" t="shared" si="150"/>
        <v>0</v>
      </c>
      <c r="G1590" s="67">
        <f ca="1" t="shared" si="151"/>
        <v>0</v>
      </c>
      <c r="H1590" s="67" cm="1">
        <f ca="1" t="array" ref="H1590">MIN(30-SUM(I1590:L1590),_xlfn.XLOOKUP($D1590&amp;"_"&amp;H$61,$B$23:$B$45&amp;"_"&amp;$C$23:$C$45,$D$23:$D$45)*$E1590,18)</f>
        <v>9.71485044213763</v>
      </c>
      <c r="I1590" s="67" cm="1">
        <f ca="1" t="array" ref="I1590">MIN(30-SUM(J1590:L1590),6-L1590,_xlfn.XLOOKUP($D1590&amp;"_"&amp;I$61,$B$23:$B$45&amp;"_"&amp;$C$23:$C$45,$D$23:$D$45)*$E1590)</f>
        <v>0</v>
      </c>
      <c r="J1590" s="67" cm="1">
        <f ca="1" t="array" ref="J1590">MIN(8,_xlfn.XLOOKUP($D1590&amp;"_"&amp;J$61,$B$23:$B$45&amp;"_"&amp;$C$23:$C$45,$D$23:$D$45)*$E1590)</f>
        <v>8</v>
      </c>
      <c r="K1590" s="67" cm="1">
        <f ca="1" t="array" ref="K1590">MIN(18,_xlfn.XLOOKUP($D1590&amp;"_"&amp;K$61,$B$23:$B$45&amp;"_"&amp;$C$23:$C$45,$D$23:$D$45)*$E1590)</f>
        <v>6.28514955786237</v>
      </c>
      <c r="L1590" s="67" cm="1">
        <f ca="1" t="array" ref="L1590">MIN(6,_xlfn.XLOOKUP($D1590&amp;"_"&amp;L$61,$B$23:$B$45&amp;"_"&amp;$C$23:$C$45,$D$23:$D$45)*$E1590)</f>
        <v>6</v>
      </c>
      <c r="M1590" s="67" cm="1">
        <f ca="1" t="array" ref="M1590">(1+SUMPRODUCT(G1590:H1590,OFFSET($H$49:$I$49,D1590,0)))*(1+OFFSET($J$49,D1590,0))^I1590*(1+OFFSET($K$49,D1590,0))^J1590*(1+OFFSET($L$49,D1590,0))^K1590*(1+OFFSET($M$49,D1590,0))^L1590</f>
        <v>451.322368418247</v>
      </c>
      <c r="N1590" s="67">
        <f ca="1">MAX(MAX($N$62:N1589),OFFSET($C$61,MATCH(M1590*1.07,$M$62:$M$2061,1),0)-C1590)</f>
        <v>53280</v>
      </c>
    </row>
    <row r="1591" spans="2:14">
      <c r="B1591" s="67">
        <v>1530</v>
      </c>
      <c r="C1591" s="67">
        <f t="shared" si="149"/>
        <v>550800</v>
      </c>
      <c r="D1591" s="67">
        <f t="shared" si="147"/>
        <v>5</v>
      </c>
      <c r="E1591" s="67">
        <f ca="1" t="shared" si="148"/>
        <v>1560</v>
      </c>
      <c r="F1591" s="67">
        <f ca="1" t="shared" si="150"/>
        <v>0</v>
      </c>
      <c r="G1591" s="67">
        <f ca="1" t="shared" si="151"/>
        <v>0</v>
      </c>
      <c r="H1591" s="67" cm="1">
        <f ca="1" t="array" ref="H1591">MIN(30-SUM(I1591:L1591),_xlfn.XLOOKUP($D1591&amp;"_"&amp;H$61,$B$23:$B$45&amp;"_"&amp;$C$23:$C$45,$D$23:$D$45)*$E1591,18)</f>
        <v>9.71081891580161</v>
      </c>
      <c r="I1591" s="67" cm="1">
        <f ca="1" t="array" ref="I1591">MIN(30-SUM(J1591:L1591),6-L1591,_xlfn.XLOOKUP($D1591&amp;"_"&amp;I$61,$B$23:$B$45&amp;"_"&amp;$C$23:$C$45,$D$23:$D$45)*$E1591)</f>
        <v>0</v>
      </c>
      <c r="J1591" s="67" cm="1">
        <f ca="1" t="array" ref="J1591">MIN(8,_xlfn.XLOOKUP($D1591&amp;"_"&amp;J$61,$B$23:$B$45&amp;"_"&amp;$C$23:$C$45,$D$23:$D$45)*$E1591)</f>
        <v>8</v>
      </c>
      <c r="K1591" s="67" cm="1">
        <f ca="1" t="array" ref="K1591">MIN(18,_xlfn.XLOOKUP($D1591&amp;"_"&amp;K$61,$B$23:$B$45&amp;"_"&amp;$C$23:$C$45,$D$23:$D$45)*$E1591)</f>
        <v>6.28918108419839</v>
      </c>
      <c r="L1591" s="67" cm="1">
        <f ca="1" t="array" ref="L1591">MIN(6,_xlfn.XLOOKUP($D1591&amp;"_"&amp;L$61,$B$23:$B$45&amp;"_"&amp;$C$23:$C$45,$D$23:$D$45)*$E1591)</f>
        <v>6</v>
      </c>
      <c r="M1591" s="67" cm="1">
        <f ca="1" t="array" ref="M1591">(1+SUMPRODUCT(G1591:H1591,OFFSET($H$49:$I$49,D1591,0)))*(1+OFFSET($J$49,D1591,0))^I1591*(1+OFFSET($K$49,D1591,0))^J1591*(1+OFFSET($L$49,D1591,0))^K1591*(1+OFFSET($M$49,D1591,0))^L1591</f>
        <v>451.530484984155</v>
      </c>
      <c r="N1591" s="67">
        <f ca="1">MAX(MAX($N$62:N1590),OFFSET($C$61,MATCH(M1591*1.07,$M$62:$M$2061,1),0)-C1591)</f>
        <v>53280</v>
      </c>
    </row>
    <row r="1592" spans="2:14">
      <c r="B1592" s="67">
        <v>1531</v>
      </c>
      <c r="C1592" s="67">
        <f t="shared" si="149"/>
        <v>551160</v>
      </c>
      <c r="D1592" s="67">
        <f t="shared" si="147"/>
        <v>5</v>
      </c>
      <c r="E1592" s="67">
        <f ca="1" t="shared" si="148"/>
        <v>1561</v>
      </c>
      <c r="F1592" s="67">
        <f ca="1" t="shared" si="150"/>
        <v>0</v>
      </c>
      <c r="G1592" s="67">
        <f ca="1" t="shared" si="151"/>
        <v>0</v>
      </c>
      <c r="H1592" s="67" cm="1">
        <f ca="1" t="array" ref="H1592">MIN(30-SUM(I1592:L1592),_xlfn.XLOOKUP($D1592&amp;"_"&amp;H$61,$B$23:$B$45&amp;"_"&amp;$C$23:$C$45,$D$23:$D$45)*$E1592,18)</f>
        <v>9.70678738946559</v>
      </c>
      <c r="I1592" s="67" cm="1">
        <f ca="1" t="array" ref="I1592">MIN(30-SUM(J1592:L1592),6-L1592,_xlfn.XLOOKUP($D1592&amp;"_"&amp;I$61,$B$23:$B$45&amp;"_"&amp;$C$23:$C$45,$D$23:$D$45)*$E1592)</f>
        <v>0</v>
      </c>
      <c r="J1592" s="67" cm="1">
        <f ca="1" t="array" ref="J1592">MIN(8,_xlfn.XLOOKUP($D1592&amp;"_"&amp;J$61,$B$23:$B$45&amp;"_"&amp;$C$23:$C$45,$D$23:$D$45)*$E1592)</f>
        <v>8</v>
      </c>
      <c r="K1592" s="67" cm="1">
        <f ca="1" t="array" ref="K1592">MIN(18,_xlfn.XLOOKUP($D1592&amp;"_"&amp;K$61,$B$23:$B$45&amp;"_"&amp;$C$23:$C$45,$D$23:$D$45)*$E1592)</f>
        <v>6.29321261053442</v>
      </c>
      <c r="L1592" s="67" cm="1">
        <f ca="1" t="array" ref="L1592">MIN(6,_xlfn.XLOOKUP($D1592&amp;"_"&amp;L$61,$B$23:$B$45&amp;"_"&amp;$C$23:$C$45,$D$23:$D$45)*$E1592)</f>
        <v>6</v>
      </c>
      <c r="M1592" s="67" cm="1">
        <f ca="1" t="array" ref="M1592">(1+SUMPRODUCT(G1592:H1592,OFFSET($H$49:$I$49,D1592,0)))*(1+OFFSET($J$49,D1592,0))^I1592*(1+OFFSET($K$49,D1592,0))^J1592*(1+OFFSET($L$49,D1592,0))^K1592*(1+OFFSET($M$49,D1592,0))^L1592</f>
        <v>451.738663590505</v>
      </c>
      <c r="N1592" s="67">
        <f ca="1">MAX(MAX($N$62:N1591),OFFSET($C$61,MATCH(M1592*1.07,$M$62:$M$2061,1),0)-C1592)</f>
        <v>53280</v>
      </c>
    </row>
    <row r="1593" spans="2:14">
      <c r="B1593" s="67">
        <v>1532</v>
      </c>
      <c r="C1593" s="67">
        <f t="shared" si="149"/>
        <v>551520</v>
      </c>
      <c r="D1593" s="67">
        <f t="shared" si="147"/>
        <v>5</v>
      </c>
      <c r="E1593" s="67">
        <f ca="1" t="shared" si="148"/>
        <v>1562</v>
      </c>
      <c r="F1593" s="67">
        <f ca="1" t="shared" si="150"/>
        <v>0</v>
      </c>
      <c r="G1593" s="67">
        <f ca="1" t="shared" si="151"/>
        <v>0</v>
      </c>
      <c r="H1593" s="67" cm="1">
        <f ca="1" t="array" ref="H1593">MIN(30-SUM(I1593:L1593),_xlfn.XLOOKUP($D1593&amp;"_"&amp;H$61,$B$23:$B$45&amp;"_"&amp;$C$23:$C$45,$D$23:$D$45)*$E1593,18)</f>
        <v>9.70275586312956</v>
      </c>
      <c r="I1593" s="67" cm="1">
        <f ca="1" t="array" ref="I1593">MIN(30-SUM(J1593:L1593),6-L1593,_xlfn.XLOOKUP($D1593&amp;"_"&amp;I$61,$B$23:$B$45&amp;"_"&amp;$C$23:$C$45,$D$23:$D$45)*$E1593)</f>
        <v>0</v>
      </c>
      <c r="J1593" s="67" cm="1">
        <f ca="1" t="array" ref="J1593">MIN(8,_xlfn.XLOOKUP($D1593&amp;"_"&amp;J$61,$B$23:$B$45&amp;"_"&amp;$C$23:$C$45,$D$23:$D$45)*$E1593)</f>
        <v>8</v>
      </c>
      <c r="K1593" s="67" cm="1">
        <f ca="1" t="array" ref="K1593">MIN(18,_xlfn.XLOOKUP($D1593&amp;"_"&amp;K$61,$B$23:$B$45&amp;"_"&amp;$C$23:$C$45,$D$23:$D$45)*$E1593)</f>
        <v>6.29724413687044</v>
      </c>
      <c r="L1593" s="67" cm="1">
        <f ca="1" t="array" ref="L1593">MIN(6,_xlfn.XLOOKUP($D1593&amp;"_"&amp;L$61,$B$23:$B$45&amp;"_"&amp;$C$23:$C$45,$D$23:$D$45)*$E1593)</f>
        <v>6</v>
      </c>
      <c r="M1593" s="67" cm="1">
        <f ca="1" t="array" ref="M1593">(1+SUMPRODUCT(G1593:H1593,OFFSET($H$49:$I$49,D1593,0)))*(1+OFFSET($J$49,D1593,0))^I1593*(1+OFFSET($K$49,D1593,0))^J1593*(1+OFFSET($L$49,D1593,0))^K1593*(1+OFFSET($M$49,D1593,0))^L1593</f>
        <v>451.946904216011</v>
      </c>
      <c r="N1593" s="67">
        <f ca="1">MAX(MAX($N$62:N1592),OFFSET($C$61,MATCH(M1593*1.07,$M$62:$M$2061,1),0)-C1593)</f>
        <v>53280</v>
      </c>
    </row>
    <row r="1594" spans="2:14">
      <c r="B1594" s="67">
        <v>1533</v>
      </c>
      <c r="C1594" s="67">
        <f t="shared" si="149"/>
        <v>551880</v>
      </c>
      <c r="D1594" s="67">
        <f t="shared" si="147"/>
        <v>5</v>
      </c>
      <c r="E1594" s="67">
        <f ca="1" t="shared" si="148"/>
        <v>1563</v>
      </c>
      <c r="F1594" s="67">
        <f ca="1" t="shared" si="150"/>
        <v>0</v>
      </c>
      <c r="G1594" s="67">
        <f ca="1" t="shared" si="151"/>
        <v>0</v>
      </c>
      <c r="H1594" s="67" cm="1">
        <f ca="1" t="array" ref="H1594">MIN(30-SUM(I1594:L1594),_xlfn.XLOOKUP($D1594&amp;"_"&amp;H$61,$B$23:$B$45&amp;"_"&amp;$C$23:$C$45,$D$23:$D$45)*$E1594,18)</f>
        <v>9.69872433679354</v>
      </c>
      <c r="I1594" s="67" cm="1">
        <f ca="1" t="array" ref="I1594">MIN(30-SUM(J1594:L1594),6-L1594,_xlfn.XLOOKUP($D1594&amp;"_"&amp;I$61,$B$23:$B$45&amp;"_"&amp;$C$23:$C$45,$D$23:$D$45)*$E1594)</f>
        <v>0</v>
      </c>
      <c r="J1594" s="67" cm="1">
        <f ca="1" t="array" ref="J1594">MIN(8,_xlfn.XLOOKUP($D1594&amp;"_"&amp;J$61,$B$23:$B$45&amp;"_"&amp;$C$23:$C$45,$D$23:$D$45)*$E1594)</f>
        <v>8</v>
      </c>
      <c r="K1594" s="67" cm="1">
        <f ca="1" t="array" ref="K1594">MIN(18,_xlfn.XLOOKUP($D1594&amp;"_"&amp;K$61,$B$23:$B$45&amp;"_"&amp;$C$23:$C$45,$D$23:$D$45)*$E1594)</f>
        <v>6.30127566320647</v>
      </c>
      <c r="L1594" s="67" cm="1">
        <f ca="1" t="array" ref="L1594">MIN(6,_xlfn.XLOOKUP($D1594&amp;"_"&amp;L$61,$B$23:$B$45&amp;"_"&amp;$C$23:$C$45,$D$23:$D$45)*$E1594)</f>
        <v>6</v>
      </c>
      <c r="M1594" s="67" cm="1">
        <f ca="1" t="array" ref="M1594">(1+SUMPRODUCT(G1594:H1594,OFFSET($H$49:$I$49,D1594,0)))*(1+OFFSET($J$49,D1594,0))^I1594*(1+OFFSET($K$49,D1594,0))^J1594*(1+OFFSET($L$49,D1594,0))^K1594*(1+OFFSET($M$49,D1594,0))^L1594</f>
        <v>452.155206839324</v>
      </c>
      <c r="N1594" s="67">
        <f ca="1">MAX(MAX($N$62:N1593),OFFSET($C$61,MATCH(M1594*1.07,$M$62:$M$2061,1),0)-C1594)</f>
        <v>53280</v>
      </c>
    </row>
    <row r="1595" spans="2:14">
      <c r="B1595" s="67">
        <v>1534</v>
      </c>
      <c r="C1595" s="67">
        <f t="shared" si="149"/>
        <v>552240</v>
      </c>
      <c r="D1595" s="67">
        <f t="shared" si="147"/>
        <v>5</v>
      </c>
      <c r="E1595" s="67">
        <f ca="1" t="shared" si="148"/>
        <v>1564</v>
      </c>
      <c r="F1595" s="67">
        <f ca="1" t="shared" si="150"/>
        <v>0</v>
      </c>
      <c r="G1595" s="67">
        <f ca="1" t="shared" si="151"/>
        <v>0</v>
      </c>
      <c r="H1595" s="67" cm="1">
        <f ca="1" t="array" ref="H1595">MIN(30-SUM(I1595:L1595),_xlfn.XLOOKUP($D1595&amp;"_"&amp;H$61,$B$23:$B$45&amp;"_"&amp;$C$23:$C$45,$D$23:$D$45)*$E1595,18)</f>
        <v>9.69469281045751</v>
      </c>
      <c r="I1595" s="67" cm="1">
        <f ca="1" t="array" ref="I1595">MIN(30-SUM(J1595:L1595),6-L1595,_xlfn.XLOOKUP($D1595&amp;"_"&amp;I$61,$B$23:$B$45&amp;"_"&amp;$C$23:$C$45,$D$23:$D$45)*$E1595)</f>
        <v>0</v>
      </c>
      <c r="J1595" s="67" cm="1">
        <f ca="1" t="array" ref="J1595">MIN(8,_xlfn.XLOOKUP($D1595&amp;"_"&amp;J$61,$B$23:$B$45&amp;"_"&amp;$C$23:$C$45,$D$23:$D$45)*$E1595)</f>
        <v>8</v>
      </c>
      <c r="K1595" s="67" cm="1">
        <f ca="1" t="array" ref="K1595">MIN(18,_xlfn.XLOOKUP($D1595&amp;"_"&amp;K$61,$B$23:$B$45&amp;"_"&amp;$C$23:$C$45,$D$23:$D$45)*$E1595)</f>
        <v>6.30530718954249</v>
      </c>
      <c r="L1595" s="67" cm="1">
        <f ca="1" t="array" ref="L1595">MIN(6,_xlfn.XLOOKUP($D1595&amp;"_"&amp;L$61,$B$23:$B$45&amp;"_"&amp;$C$23:$C$45,$D$23:$D$45)*$E1595)</f>
        <v>6</v>
      </c>
      <c r="M1595" s="67" cm="1">
        <f ca="1" t="array" ref="M1595">(1+SUMPRODUCT(G1595:H1595,OFFSET($H$49:$I$49,D1595,0)))*(1+OFFSET($J$49,D1595,0))^I1595*(1+OFFSET($K$49,D1595,0))^J1595*(1+OFFSET($L$49,D1595,0))^K1595*(1+OFFSET($M$49,D1595,0))^L1595</f>
        <v>452.363571439026</v>
      </c>
      <c r="N1595" s="67">
        <f ca="1">MAX(MAX($N$62:N1594),OFFSET($C$61,MATCH(M1595*1.07,$M$62:$M$2061,1),0)-C1595)</f>
        <v>53280</v>
      </c>
    </row>
    <row r="1596" spans="2:14">
      <c r="B1596" s="67">
        <v>1535</v>
      </c>
      <c r="C1596" s="67">
        <f t="shared" si="149"/>
        <v>552600</v>
      </c>
      <c r="D1596" s="67">
        <f t="shared" si="147"/>
        <v>5</v>
      </c>
      <c r="E1596" s="67">
        <f ca="1" t="shared" si="148"/>
        <v>1565</v>
      </c>
      <c r="F1596" s="67">
        <f ca="1" t="shared" si="150"/>
        <v>0</v>
      </c>
      <c r="G1596" s="67">
        <f ca="1" t="shared" si="151"/>
        <v>0</v>
      </c>
      <c r="H1596" s="67" cm="1">
        <f ca="1" t="array" ref="H1596">MIN(30-SUM(I1596:L1596),_xlfn.XLOOKUP($D1596&amp;"_"&amp;H$61,$B$23:$B$45&amp;"_"&amp;$C$23:$C$45,$D$23:$D$45)*$E1596,18)</f>
        <v>9.69066128412149</v>
      </c>
      <c r="I1596" s="67" cm="1">
        <f ca="1" t="array" ref="I1596">MIN(30-SUM(J1596:L1596),6-L1596,_xlfn.XLOOKUP($D1596&amp;"_"&amp;I$61,$B$23:$B$45&amp;"_"&amp;$C$23:$C$45,$D$23:$D$45)*$E1596)</f>
        <v>0</v>
      </c>
      <c r="J1596" s="67" cm="1">
        <f ca="1" t="array" ref="J1596">MIN(8,_xlfn.XLOOKUP($D1596&amp;"_"&amp;J$61,$B$23:$B$45&amp;"_"&amp;$C$23:$C$45,$D$23:$D$45)*$E1596)</f>
        <v>8</v>
      </c>
      <c r="K1596" s="67" cm="1">
        <f ca="1" t="array" ref="K1596">MIN(18,_xlfn.XLOOKUP($D1596&amp;"_"&amp;K$61,$B$23:$B$45&amp;"_"&amp;$C$23:$C$45,$D$23:$D$45)*$E1596)</f>
        <v>6.30933871587851</v>
      </c>
      <c r="L1596" s="67" cm="1">
        <f ca="1" t="array" ref="L1596">MIN(6,_xlfn.XLOOKUP($D1596&amp;"_"&amp;L$61,$B$23:$B$45&amp;"_"&amp;$C$23:$C$45,$D$23:$D$45)*$E1596)</f>
        <v>6</v>
      </c>
      <c r="M1596" s="67" cm="1">
        <f ca="1" t="array" ref="M1596">(1+SUMPRODUCT(G1596:H1596,OFFSET($H$49:$I$49,D1596,0)))*(1+OFFSET($J$49,D1596,0))^I1596*(1+OFFSET($K$49,D1596,0))^J1596*(1+OFFSET($L$49,D1596,0))^K1596*(1+OFFSET($M$49,D1596,0))^L1596</f>
        <v>452.571997993639</v>
      </c>
      <c r="N1596" s="67">
        <f ca="1">MAX(MAX($N$62:N1595),OFFSET($C$61,MATCH(M1596*1.07,$M$62:$M$2061,1),0)-C1596)</f>
        <v>53280</v>
      </c>
    </row>
    <row r="1597" spans="2:14">
      <c r="B1597" s="67">
        <v>1536</v>
      </c>
      <c r="C1597" s="67">
        <f t="shared" si="149"/>
        <v>552960</v>
      </c>
      <c r="D1597" s="67">
        <f t="shared" si="147"/>
        <v>5</v>
      </c>
      <c r="E1597" s="67">
        <f ca="1" t="shared" si="148"/>
        <v>1566</v>
      </c>
      <c r="F1597" s="67">
        <f ca="1" t="shared" si="150"/>
        <v>0</v>
      </c>
      <c r="G1597" s="67">
        <f ca="1" t="shared" si="151"/>
        <v>0</v>
      </c>
      <c r="H1597" s="67" cm="1">
        <f ca="1" t="array" ref="H1597">MIN(30-SUM(I1597:L1597),_xlfn.XLOOKUP($D1597&amp;"_"&amp;H$61,$B$23:$B$45&amp;"_"&amp;$C$23:$C$45,$D$23:$D$45)*$E1597,18)</f>
        <v>9.68662975778546</v>
      </c>
      <c r="I1597" s="67" cm="1">
        <f ca="1" t="array" ref="I1597">MIN(30-SUM(J1597:L1597),6-L1597,_xlfn.XLOOKUP($D1597&amp;"_"&amp;I$61,$B$23:$B$45&amp;"_"&amp;$C$23:$C$45,$D$23:$D$45)*$E1597)</f>
        <v>0</v>
      </c>
      <c r="J1597" s="67" cm="1">
        <f ca="1" t="array" ref="J1597">MIN(8,_xlfn.XLOOKUP($D1597&amp;"_"&amp;J$61,$B$23:$B$45&amp;"_"&amp;$C$23:$C$45,$D$23:$D$45)*$E1597)</f>
        <v>8</v>
      </c>
      <c r="K1597" s="67" cm="1">
        <f ca="1" t="array" ref="K1597">MIN(18,_xlfn.XLOOKUP($D1597&amp;"_"&amp;K$61,$B$23:$B$45&amp;"_"&amp;$C$23:$C$45,$D$23:$D$45)*$E1597)</f>
        <v>6.31337024221454</v>
      </c>
      <c r="L1597" s="67" cm="1">
        <f ca="1" t="array" ref="L1597">MIN(6,_xlfn.XLOOKUP($D1597&amp;"_"&amp;L$61,$B$23:$B$45&amp;"_"&amp;$C$23:$C$45,$D$23:$D$45)*$E1597)</f>
        <v>6</v>
      </c>
      <c r="M1597" s="67" cm="1">
        <f ca="1" t="array" ref="M1597">(1+SUMPRODUCT(G1597:H1597,OFFSET($H$49:$I$49,D1597,0)))*(1+OFFSET($J$49,D1597,0))^I1597*(1+OFFSET($K$49,D1597,0))^J1597*(1+OFFSET($L$49,D1597,0))^K1597*(1+OFFSET($M$49,D1597,0))^L1597</f>
        <v>452.780486481616</v>
      </c>
      <c r="N1597" s="67">
        <f ca="1">MAX(MAX($N$62:N1596),OFFSET($C$61,MATCH(M1597*1.07,$M$62:$M$2061,1),0)-C1597)</f>
        <v>53280</v>
      </c>
    </row>
    <row r="1598" spans="2:14">
      <c r="B1598" s="67">
        <v>1537</v>
      </c>
      <c r="C1598" s="67">
        <f t="shared" si="149"/>
        <v>553320</v>
      </c>
      <c r="D1598" s="67">
        <f t="shared" si="147"/>
        <v>5</v>
      </c>
      <c r="E1598" s="67">
        <f ca="1" t="shared" si="148"/>
        <v>1567</v>
      </c>
      <c r="F1598" s="67">
        <f ca="1" t="shared" si="150"/>
        <v>0</v>
      </c>
      <c r="G1598" s="67">
        <f ca="1" t="shared" si="151"/>
        <v>0</v>
      </c>
      <c r="H1598" s="67" cm="1">
        <f ca="1" t="array" ref="H1598">MIN(30-SUM(I1598:L1598),_xlfn.XLOOKUP($D1598&amp;"_"&amp;H$61,$B$23:$B$45&amp;"_"&amp;$C$23:$C$45,$D$23:$D$45)*$E1598,18)</f>
        <v>9.68259823144944</v>
      </c>
      <c r="I1598" s="67" cm="1">
        <f ca="1" t="array" ref="I1598">MIN(30-SUM(J1598:L1598),6-L1598,_xlfn.XLOOKUP($D1598&amp;"_"&amp;I$61,$B$23:$B$45&amp;"_"&amp;$C$23:$C$45,$D$23:$D$45)*$E1598)</f>
        <v>0</v>
      </c>
      <c r="J1598" s="67" cm="1">
        <f ca="1" t="array" ref="J1598">MIN(8,_xlfn.XLOOKUP($D1598&amp;"_"&amp;J$61,$B$23:$B$45&amp;"_"&amp;$C$23:$C$45,$D$23:$D$45)*$E1598)</f>
        <v>8</v>
      </c>
      <c r="K1598" s="67" cm="1">
        <f ca="1" t="array" ref="K1598">MIN(18,_xlfn.XLOOKUP($D1598&amp;"_"&amp;K$61,$B$23:$B$45&amp;"_"&amp;$C$23:$C$45,$D$23:$D$45)*$E1598)</f>
        <v>6.31740176855056</v>
      </c>
      <c r="L1598" s="67" cm="1">
        <f ca="1" t="array" ref="L1598">MIN(6,_xlfn.XLOOKUP($D1598&amp;"_"&amp;L$61,$B$23:$B$45&amp;"_"&amp;$C$23:$C$45,$D$23:$D$45)*$E1598)</f>
        <v>6</v>
      </c>
      <c r="M1598" s="67" cm="1">
        <f ca="1" t="array" ref="M1598">(1+SUMPRODUCT(G1598:H1598,OFFSET($H$49:$I$49,D1598,0)))*(1+OFFSET($J$49,D1598,0))^I1598*(1+OFFSET($K$49,D1598,0))^J1598*(1+OFFSET($L$49,D1598,0))^K1598*(1+OFFSET($M$49,D1598,0))^L1598</f>
        <v>452.989036881346</v>
      </c>
      <c r="N1598" s="67">
        <f ca="1">MAX(MAX($N$62:N1597),OFFSET($C$61,MATCH(M1598*1.07,$M$62:$M$2061,1),0)-C1598)</f>
        <v>53280</v>
      </c>
    </row>
    <row r="1599" spans="2:14">
      <c r="B1599" s="67">
        <v>1538</v>
      </c>
      <c r="C1599" s="67">
        <f t="shared" si="149"/>
        <v>553680</v>
      </c>
      <c r="D1599" s="67">
        <f t="shared" ref="D1599:D1662" si="152">_xlfn.XLOOKUP("非R",$B$49:$B$54,$C$49:$C$54)</f>
        <v>5</v>
      </c>
      <c r="E1599" s="67">
        <f ca="1" t="shared" ref="E1599:E1662" si="153">INT(C1599/_xlfn.XLOOKUP(D1599,$R$14:$R$21,$S$14:$S$21))+OFFSET($R$49,D1599,0)</f>
        <v>1568</v>
      </c>
      <c r="F1599" s="67">
        <f ca="1" t="shared" si="150"/>
        <v>0</v>
      </c>
      <c r="G1599" s="67">
        <f ca="1" t="shared" si="151"/>
        <v>0</v>
      </c>
      <c r="H1599" s="67" cm="1">
        <f ca="1" t="array" ref="H1599">MIN(30-SUM(I1599:L1599),_xlfn.XLOOKUP($D1599&amp;"_"&amp;H$61,$B$23:$B$45&amp;"_"&amp;$C$23:$C$45,$D$23:$D$45)*$E1599,18)</f>
        <v>9.67856670511341</v>
      </c>
      <c r="I1599" s="67" cm="1">
        <f ca="1" t="array" ref="I1599">MIN(30-SUM(J1599:L1599),6-L1599,_xlfn.XLOOKUP($D1599&amp;"_"&amp;I$61,$B$23:$B$45&amp;"_"&amp;$C$23:$C$45,$D$23:$D$45)*$E1599)</f>
        <v>0</v>
      </c>
      <c r="J1599" s="67" cm="1">
        <f ca="1" t="array" ref="J1599">MIN(8,_xlfn.XLOOKUP($D1599&amp;"_"&amp;J$61,$B$23:$B$45&amp;"_"&amp;$C$23:$C$45,$D$23:$D$45)*$E1599)</f>
        <v>8</v>
      </c>
      <c r="K1599" s="67" cm="1">
        <f ca="1" t="array" ref="K1599">MIN(18,_xlfn.XLOOKUP($D1599&amp;"_"&amp;K$61,$B$23:$B$45&amp;"_"&amp;$C$23:$C$45,$D$23:$D$45)*$E1599)</f>
        <v>6.32143329488659</v>
      </c>
      <c r="L1599" s="67" cm="1">
        <f ca="1" t="array" ref="L1599">MIN(6,_xlfn.XLOOKUP($D1599&amp;"_"&amp;L$61,$B$23:$B$45&amp;"_"&amp;$C$23:$C$45,$D$23:$D$45)*$E1599)</f>
        <v>6</v>
      </c>
      <c r="M1599" s="67" cm="1">
        <f ca="1" t="array" ref="M1599">(1+SUMPRODUCT(G1599:H1599,OFFSET($H$49:$I$49,D1599,0)))*(1+OFFSET($J$49,D1599,0))^I1599*(1+OFFSET($K$49,D1599,0))^J1599*(1+OFFSET($L$49,D1599,0))^K1599*(1+OFFSET($M$49,D1599,0))^L1599</f>
        <v>453.197649171154</v>
      </c>
      <c r="N1599" s="67">
        <f ca="1">MAX(MAX($N$62:N1598),OFFSET($C$61,MATCH(M1599*1.07,$M$62:$M$2061,1),0)-C1599)</f>
        <v>53280</v>
      </c>
    </row>
    <row r="1600" spans="2:14">
      <c r="B1600" s="67">
        <v>1539</v>
      </c>
      <c r="C1600" s="67">
        <f t="shared" si="149"/>
        <v>554040</v>
      </c>
      <c r="D1600" s="67">
        <f t="shared" si="152"/>
        <v>5</v>
      </c>
      <c r="E1600" s="67">
        <f ca="1" t="shared" si="153"/>
        <v>1569</v>
      </c>
      <c r="F1600" s="67">
        <f ca="1" t="shared" si="150"/>
        <v>0</v>
      </c>
      <c r="G1600" s="67">
        <f ca="1" t="shared" si="151"/>
        <v>0</v>
      </c>
      <c r="H1600" s="67" cm="1">
        <f ca="1" t="array" ref="H1600">MIN(30-SUM(I1600:L1600),_xlfn.XLOOKUP($D1600&amp;"_"&amp;H$61,$B$23:$B$45&amp;"_"&amp;$C$23:$C$45,$D$23:$D$45)*$E1600,18)</f>
        <v>9.67453517877739</v>
      </c>
      <c r="I1600" s="67" cm="1">
        <f ca="1" t="array" ref="I1600">MIN(30-SUM(J1600:L1600),6-L1600,_xlfn.XLOOKUP($D1600&amp;"_"&amp;I$61,$B$23:$B$45&amp;"_"&amp;$C$23:$C$45,$D$23:$D$45)*$E1600)</f>
        <v>0</v>
      </c>
      <c r="J1600" s="67" cm="1">
        <f ca="1" t="array" ref="J1600">MIN(8,_xlfn.XLOOKUP($D1600&amp;"_"&amp;J$61,$B$23:$B$45&amp;"_"&amp;$C$23:$C$45,$D$23:$D$45)*$E1600)</f>
        <v>8</v>
      </c>
      <c r="K1600" s="67" cm="1">
        <f ca="1" t="array" ref="K1600">MIN(18,_xlfn.XLOOKUP($D1600&amp;"_"&amp;K$61,$B$23:$B$45&amp;"_"&amp;$C$23:$C$45,$D$23:$D$45)*$E1600)</f>
        <v>6.32546482122261</v>
      </c>
      <c r="L1600" s="67" cm="1">
        <f ca="1" t="array" ref="L1600">MIN(6,_xlfn.XLOOKUP($D1600&amp;"_"&amp;L$61,$B$23:$B$45&amp;"_"&amp;$C$23:$C$45,$D$23:$D$45)*$E1600)</f>
        <v>6</v>
      </c>
      <c r="M1600" s="67" cm="1">
        <f ca="1" t="array" ref="M1600">(1+SUMPRODUCT(G1600:H1600,OFFSET($H$49:$I$49,D1600,0)))*(1+OFFSET($J$49,D1600,0))^I1600*(1+OFFSET($K$49,D1600,0))^J1600*(1+OFFSET($L$49,D1600,0))^K1600*(1+OFFSET($M$49,D1600,0))^L1600</f>
        <v>453.406323329299</v>
      </c>
      <c r="N1600" s="67">
        <f ca="1">MAX(MAX($N$62:N1599),OFFSET($C$61,MATCH(M1600*1.07,$M$62:$M$2061,1),0)-C1600)</f>
        <v>53280</v>
      </c>
    </row>
    <row r="1601" spans="2:14">
      <c r="B1601" s="67">
        <v>1540</v>
      </c>
      <c r="C1601" s="67">
        <f t="shared" si="149"/>
        <v>554400</v>
      </c>
      <c r="D1601" s="67">
        <f t="shared" si="152"/>
        <v>5</v>
      </c>
      <c r="E1601" s="67">
        <f ca="1" t="shared" si="153"/>
        <v>1570</v>
      </c>
      <c r="F1601" s="67">
        <f ca="1" t="shared" si="150"/>
        <v>0</v>
      </c>
      <c r="G1601" s="67">
        <f ca="1" t="shared" si="151"/>
        <v>0</v>
      </c>
      <c r="H1601" s="67" cm="1">
        <f ca="1" t="array" ref="H1601">MIN(30-SUM(I1601:L1601),_xlfn.XLOOKUP($D1601&amp;"_"&amp;H$61,$B$23:$B$45&amp;"_"&amp;$C$23:$C$45,$D$23:$D$45)*$E1601,18)</f>
        <v>9.67050365244136</v>
      </c>
      <c r="I1601" s="67" cm="1">
        <f ca="1" t="array" ref="I1601">MIN(30-SUM(J1601:L1601),6-L1601,_xlfn.XLOOKUP($D1601&amp;"_"&amp;I$61,$B$23:$B$45&amp;"_"&amp;$C$23:$C$45,$D$23:$D$45)*$E1601)</f>
        <v>0</v>
      </c>
      <c r="J1601" s="67" cm="1">
        <f ca="1" t="array" ref="J1601">MIN(8,_xlfn.XLOOKUP($D1601&amp;"_"&amp;J$61,$B$23:$B$45&amp;"_"&amp;$C$23:$C$45,$D$23:$D$45)*$E1601)</f>
        <v>8</v>
      </c>
      <c r="K1601" s="67" cm="1">
        <f ca="1" t="array" ref="K1601">MIN(18,_xlfn.XLOOKUP($D1601&amp;"_"&amp;K$61,$B$23:$B$45&amp;"_"&amp;$C$23:$C$45,$D$23:$D$45)*$E1601)</f>
        <v>6.32949634755864</v>
      </c>
      <c r="L1601" s="67" cm="1">
        <f ca="1" t="array" ref="L1601">MIN(6,_xlfn.XLOOKUP($D1601&amp;"_"&amp;L$61,$B$23:$B$45&amp;"_"&amp;$C$23:$C$45,$D$23:$D$45)*$E1601)</f>
        <v>6</v>
      </c>
      <c r="M1601" s="67" cm="1">
        <f ca="1" t="array" ref="M1601">(1+SUMPRODUCT(G1601:H1601,OFFSET($H$49:$I$49,D1601,0)))*(1+OFFSET($J$49,D1601,0))^I1601*(1+OFFSET($K$49,D1601,0))^J1601*(1+OFFSET($L$49,D1601,0))^K1601*(1+OFFSET($M$49,D1601,0))^L1601</f>
        <v>453.615059333973</v>
      </c>
      <c r="N1601" s="67">
        <f ca="1">MAX(MAX($N$62:N1600),OFFSET($C$61,MATCH(M1601*1.07,$M$62:$M$2061,1),0)-C1601)</f>
        <v>53280</v>
      </c>
    </row>
    <row r="1602" spans="2:14">
      <c r="B1602" s="67">
        <v>1541</v>
      </c>
      <c r="C1602" s="67">
        <f t="shared" si="149"/>
        <v>554760</v>
      </c>
      <c r="D1602" s="67">
        <f t="shared" si="152"/>
        <v>5</v>
      </c>
      <c r="E1602" s="67">
        <f ca="1" t="shared" si="153"/>
        <v>1571</v>
      </c>
      <c r="F1602" s="67">
        <f ca="1" t="shared" si="150"/>
        <v>0</v>
      </c>
      <c r="G1602" s="67">
        <f ca="1" t="shared" si="151"/>
        <v>0</v>
      </c>
      <c r="H1602" s="67" cm="1">
        <f ca="1" t="array" ref="H1602">MIN(30-SUM(I1602:L1602),_xlfn.XLOOKUP($D1602&amp;"_"&amp;H$61,$B$23:$B$45&amp;"_"&amp;$C$23:$C$45,$D$23:$D$45)*$E1602,18)</f>
        <v>9.66647212610534</v>
      </c>
      <c r="I1602" s="67" cm="1">
        <f ca="1" t="array" ref="I1602">MIN(30-SUM(J1602:L1602),6-L1602,_xlfn.XLOOKUP($D1602&amp;"_"&amp;I$61,$B$23:$B$45&amp;"_"&amp;$C$23:$C$45,$D$23:$D$45)*$E1602)</f>
        <v>0</v>
      </c>
      <c r="J1602" s="67" cm="1">
        <f ca="1" t="array" ref="J1602">MIN(8,_xlfn.XLOOKUP($D1602&amp;"_"&amp;J$61,$B$23:$B$45&amp;"_"&amp;$C$23:$C$45,$D$23:$D$45)*$E1602)</f>
        <v>8</v>
      </c>
      <c r="K1602" s="67" cm="1">
        <f ca="1" t="array" ref="K1602">MIN(18,_xlfn.XLOOKUP($D1602&amp;"_"&amp;K$61,$B$23:$B$45&amp;"_"&amp;$C$23:$C$45,$D$23:$D$45)*$E1602)</f>
        <v>6.33352787389466</v>
      </c>
      <c r="L1602" s="67" cm="1">
        <f ca="1" t="array" ref="L1602">MIN(6,_xlfn.XLOOKUP($D1602&amp;"_"&amp;L$61,$B$23:$B$45&amp;"_"&amp;$C$23:$C$45,$D$23:$D$45)*$E1602)</f>
        <v>6</v>
      </c>
      <c r="M1602" s="67" cm="1">
        <f ca="1" t="array" ref="M1602">(1+SUMPRODUCT(G1602:H1602,OFFSET($H$49:$I$49,D1602,0)))*(1+OFFSET($J$49,D1602,0))^I1602*(1+OFFSET($K$49,D1602,0))^J1602*(1+OFFSET($L$49,D1602,0))^K1602*(1+OFFSET($M$49,D1602,0))^L1602</f>
        <v>453.823857163304</v>
      </c>
      <c r="N1602" s="67">
        <f ca="1">MAX(MAX($N$62:N1601),OFFSET($C$61,MATCH(M1602*1.07,$M$62:$M$2061,1),0)-C1602)</f>
        <v>53280</v>
      </c>
    </row>
    <row r="1603" spans="2:14">
      <c r="B1603" s="67">
        <v>1542</v>
      </c>
      <c r="C1603" s="67">
        <f t="shared" si="149"/>
        <v>555120</v>
      </c>
      <c r="D1603" s="67">
        <f t="shared" si="152"/>
        <v>5</v>
      </c>
      <c r="E1603" s="67">
        <f ca="1" t="shared" si="153"/>
        <v>1572</v>
      </c>
      <c r="F1603" s="67">
        <f ca="1" t="shared" si="150"/>
        <v>0</v>
      </c>
      <c r="G1603" s="67">
        <f ca="1" t="shared" si="151"/>
        <v>0</v>
      </c>
      <c r="H1603" s="67" cm="1">
        <f ca="1" t="array" ref="H1603">MIN(30-SUM(I1603:L1603),_xlfn.XLOOKUP($D1603&amp;"_"&amp;H$61,$B$23:$B$45&amp;"_"&amp;$C$23:$C$45,$D$23:$D$45)*$E1603,18)</f>
        <v>9.66244059976931</v>
      </c>
      <c r="I1603" s="67" cm="1">
        <f ca="1" t="array" ref="I1603">MIN(30-SUM(J1603:L1603),6-L1603,_xlfn.XLOOKUP($D1603&amp;"_"&amp;I$61,$B$23:$B$45&amp;"_"&amp;$C$23:$C$45,$D$23:$D$45)*$E1603)</f>
        <v>0</v>
      </c>
      <c r="J1603" s="67" cm="1">
        <f ca="1" t="array" ref="J1603">MIN(8,_xlfn.XLOOKUP($D1603&amp;"_"&amp;J$61,$B$23:$B$45&amp;"_"&amp;$C$23:$C$45,$D$23:$D$45)*$E1603)</f>
        <v>8</v>
      </c>
      <c r="K1603" s="67" cm="1">
        <f ca="1" t="array" ref="K1603">MIN(18,_xlfn.XLOOKUP($D1603&amp;"_"&amp;K$61,$B$23:$B$45&amp;"_"&amp;$C$23:$C$45,$D$23:$D$45)*$E1603)</f>
        <v>6.33755940023069</v>
      </c>
      <c r="L1603" s="67" cm="1">
        <f ca="1" t="array" ref="L1603">MIN(6,_xlfn.XLOOKUP($D1603&amp;"_"&amp;L$61,$B$23:$B$45&amp;"_"&amp;$C$23:$C$45,$D$23:$D$45)*$E1603)</f>
        <v>6</v>
      </c>
      <c r="M1603" s="67" cm="1">
        <f ca="1" t="array" ref="M1603">(1+SUMPRODUCT(G1603:H1603,OFFSET($H$49:$I$49,D1603,0)))*(1+OFFSET($J$49,D1603,0))^I1603*(1+OFFSET($K$49,D1603,0))^J1603*(1+OFFSET($L$49,D1603,0))^K1603*(1+OFFSET($M$49,D1603,0))^L1603</f>
        <v>454.032716795353</v>
      </c>
      <c r="N1603" s="67">
        <f ca="1">MAX(MAX($N$62:N1602),OFFSET($C$61,MATCH(M1603*1.07,$M$62:$M$2061,1),0)-C1603)</f>
        <v>53280</v>
      </c>
    </row>
    <row r="1604" spans="2:14">
      <c r="B1604" s="67">
        <v>1543</v>
      </c>
      <c r="C1604" s="67">
        <f t="shared" si="149"/>
        <v>555480</v>
      </c>
      <c r="D1604" s="67">
        <f t="shared" si="152"/>
        <v>5</v>
      </c>
      <c r="E1604" s="67">
        <f ca="1" t="shared" si="153"/>
        <v>1573</v>
      </c>
      <c r="F1604" s="67">
        <f ca="1" t="shared" si="150"/>
        <v>0</v>
      </c>
      <c r="G1604" s="67">
        <f ca="1" t="shared" si="151"/>
        <v>0</v>
      </c>
      <c r="H1604" s="67" cm="1">
        <f ca="1" t="array" ref="H1604">MIN(30-SUM(I1604:L1604),_xlfn.XLOOKUP($D1604&amp;"_"&amp;H$61,$B$23:$B$45&amp;"_"&amp;$C$23:$C$45,$D$23:$D$45)*$E1604,18)</f>
        <v>9.65840907343329</v>
      </c>
      <c r="I1604" s="67" cm="1">
        <f ca="1" t="array" ref="I1604">MIN(30-SUM(J1604:L1604),6-L1604,_xlfn.XLOOKUP($D1604&amp;"_"&amp;I$61,$B$23:$B$45&amp;"_"&amp;$C$23:$C$45,$D$23:$D$45)*$E1604)</f>
        <v>0</v>
      </c>
      <c r="J1604" s="67" cm="1">
        <f ca="1" t="array" ref="J1604">MIN(8,_xlfn.XLOOKUP($D1604&amp;"_"&amp;J$61,$B$23:$B$45&amp;"_"&amp;$C$23:$C$45,$D$23:$D$45)*$E1604)</f>
        <v>8</v>
      </c>
      <c r="K1604" s="67" cm="1">
        <f ca="1" t="array" ref="K1604">MIN(18,_xlfn.XLOOKUP($D1604&amp;"_"&amp;K$61,$B$23:$B$45&amp;"_"&amp;$C$23:$C$45,$D$23:$D$45)*$E1604)</f>
        <v>6.34159092656671</v>
      </c>
      <c r="L1604" s="67" cm="1">
        <f ca="1" t="array" ref="L1604">MIN(6,_xlfn.XLOOKUP($D1604&amp;"_"&amp;L$61,$B$23:$B$45&amp;"_"&amp;$C$23:$C$45,$D$23:$D$45)*$E1604)</f>
        <v>6</v>
      </c>
      <c r="M1604" s="67" cm="1">
        <f ca="1" t="array" ref="M1604">(1+SUMPRODUCT(G1604:H1604,OFFSET($H$49:$I$49,D1604,0)))*(1+OFFSET($J$49,D1604,0))^I1604*(1+OFFSET($K$49,D1604,0))^J1604*(1+OFFSET($L$49,D1604,0))^K1604*(1+OFFSET($M$49,D1604,0))^L1604</f>
        <v>454.241638208119</v>
      </c>
      <c r="N1604" s="67">
        <f ca="1">MAX(MAX($N$62:N1603),OFFSET($C$61,MATCH(M1604*1.07,$M$62:$M$2061,1),0)-C1604)</f>
        <v>53280</v>
      </c>
    </row>
    <row r="1605" spans="2:14">
      <c r="B1605" s="67">
        <v>1544</v>
      </c>
      <c r="C1605" s="67">
        <f t="shared" si="149"/>
        <v>555840</v>
      </c>
      <c r="D1605" s="67">
        <f t="shared" si="152"/>
        <v>5</v>
      </c>
      <c r="E1605" s="67">
        <f ca="1" t="shared" si="153"/>
        <v>1574</v>
      </c>
      <c r="F1605" s="67">
        <f ca="1" t="shared" si="150"/>
        <v>0</v>
      </c>
      <c r="G1605" s="67">
        <f ca="1" t="shared" si="151"/>
        <v>0</v>
      </c>
      <c r="H1605" s="67" cm="1">
        <f ca="1" t="array" ref="H1605">MIN(30-SUM(I1605:L1605),_xlfn.XLOOKUP($D1605&amp;"_"&amp;H$61,$B$23:$B$45&amp;"_"&amp;$C$23:$C$45,$D$23:$D$45)*$E1605,18)</f>
        <v>9.65437754709727</v>
      </c>
      <c r="I1605" s="67" cm="1">
        <f ca="1" t="array" ref="I1605">MIN(30-SUM(J1605:L1605),6-L1605,_xlfn.XLOOKUP($D1605&amp;"_"&amp;I$61,$B$23:$B$45&amp;"_"&amp;$C$23:$C$45,$D$23:$D$45)*$E1605)</f>
        <v>0</v>
      </c>
      <c r="J1605" s="67" cm="1">
        <f ca="1" t="array" ref="J1605">MIN(8,_xlfn.XLOOKUP($D1605&amp;"_"&amp;J$61,$B$23:$B$45&amp;"_"&amp;$C$23:$C$45,$D$23:$D$45)*$E1605)</f>
        <v>8</v>
      </c>
      <c r="K1605" s="67" cm="1">
        <f ca="1" t="array" ref="K1605">MIN(18,_xlfn.XLOOKUP($D1605&amp;"_"&amp;K$61,$B$23:$B$45&amp;"_"&amp;$C$23:$C$45,$D$23:$D$45)*$E1605)</f>
        <v>6.34562245290274</v>
      </c>
      <c r="L1605" s="67" cm="1">
        <f ca="1" t="array" ref="L1605">MIN(6,_xlfn.XLOOKUP($D1605&amp;"_"&amp;L$61,$B$23:$B$45&amp;"_"&amp;$C$23:$C$45,$D$23:$D$45)*$E1605)</f>
        <v>6</v>
      </c>
      <c r="M1605" s="67" cm="1">
        <f ca="1" t="array" ref="M1605">(1+SUMPRODUCT(G1605:H1605,OFFSET($H$49:$I$49,D1605,0)))*(1+OFFSET($J$49,D1605,0))^I1605*(1+OFFSET($K$49,D1605,0))^J1605*(1+OFFSET($L$49,D1605,0))^K1605*(1+OFFSET($M$49,D1605,0))^L1605</f>
        <v>454.45062137953</v>
      </c>
      <c r="N1605" s="67">
        <f ca="1">MAX(MAX($N$62:N1604),OFFSET($C$61,MATCH(M1605*1.07,$M$62:$M$2061,1),0)-C1605)</f>
        <v>53280</v>
      </c>
    </row>
    <row r="1606" spans="2:14">
      <c r="B1606" s="67">
        <v>1545</v>
      </c>
      <c r="C1606" s="67">
        <f t="shared" si="149"/>
        <v>556200</v>
      </c>
      <c r="D1606" s="67">
        <f t="shared" si="152"/>
        <v>5</v>
      </c>
      <c r="E1606" s="67">
        <f ca="1" t="shared" si="153"/>
        <v>1575</v>
      </c>
      <c r="F1606" s="67">
        <f ca="1" t="shared" si="150"/>
        <v>0</v>
      </c>
      <c r="G1606" s="67">
        <f ca="1" t="shared" si="151"/>
        <v>0</v>
      </c>
      <c r="H1606" s="67" cm="1">
        <f ca="1" t="array" ref="H1606">MIN(30-SUM(I1606:L1606),_xlfn.XLOOKUP($D1606&amp;"_"&amp;H$61,$B$23:$B$45&amp;"_"&amp;$C$23:$C$45,$D$23:$D$45)*$E1606,18)</f>
        <v>9.65034602076124</v>
      </c>
      <c r="I1606" s="67" cm="1">
        <f ca="1" t="array" ref="I1606">MIN(30-SUM(J1606:L1606),6-L1606,_xlfn.XLOOKUP($D1606&amp;"_"&amp;I$61,$B$23:$B$45&amp;"_"&amp;$C$23:$C$45,$D$23:$D$45)*$E1606)</f>
        <v>0</v>
      </c>
      <c r="J1606" s="67" cm="1">
        <f ca="1" t="array" ref="J1606">MIN(8,_xlfn.XLOOKUP($D1606&amp;"_"&amp;J$61,$B$23:$B$45&amp;"_"&amp;$C$23:$C$45,$D$23:$D$45)*$E1606)</f>
        <v>8</v>
      </c>
      <c r="K1606" s="67" cm="1">
        <f ca="1" t="array" ref="K1606">MIN(18,_xlfn.XLOOKUP($D1606&amp;"_"&amp;K$61,$B$23:$B$45&amp;"_"&amp;$C$23:$C$45,$D$23:$D$45)*$E1606)</f>
        <v>6.34965397923876</v>
      </c>
      <c r="L1606" s="67" cm="1">
        <f ca="1" t="array" ref="L1606">MIN(6,_xlfn.XLOOKUP($D1606&amp;"_"&amp;L$61,$B$23:$B$45&amp;"_"&amp;$C$23:$C$45,$D$23:$D$45)*$E1606)</f>
        <v>6</v>
      </c>
      <c r="M1606" s="67" cm="1">
        <f ca="1" t="array" ref="M1606">(1+SUMPRODUCT(G1606:H1606,OFFSET($H$49:$I$49,D1606,0)))*(1+OFFSET($J$49,D1606,0))^I1606*(1+OFFSET($K$49,D1606,0))^J1606*(1+OFFSET($L$49,D1606,0))^K1606*(1+OFFSET($M$49,D1606,0))^L1606</f>
        <v>454.659666287453</v>
      </c>
      <c r="N1606" s="67">
        <f ca="1">MAX(MAX($N$62:N1605),OFFSET($C$61,MATCH(M1606*1.07,$M$62:$M$2061,1),0)-C1606)</f>
        <v>53640</v>
      </c>
    </row>
    <row r="1607" spans="2:14">
      <c r="B1607" s="67">
        <v>1546</v>
      </c>
      <c r="C1607" s="67">
        <f t="shared" si="149"/>
        <v>556560</v>
      </c>
      <c r="D1607" s="67">
        <f t="shared" si="152"/>
        <v>5</v>
      </c>
      <c r="E1607" s="67">
        <f ca="1" t="shared" si="153"/>
        <v>1576</v>
      </c>
      <c r="F1607" s="67">
        <f ca="1" t="shared" si="150"/>
        <v>0</v>
      </c>
      <c r="G1607" s="67">
        <f ca="1" t="shared" si="151"/>
        <v>0</v>
      </c>
      <c r="H1607" s="67" cm="1">
        <f ca="1" t="array" ref="H1607">MIN(30-SUM(I1607:L1607),_xlfn.XLOOKUP($D1607&amp;"_"&amp;H$61,$B$23:$B$45&amp;"_"&amp;$C$23:$C$45,$D$23:$D$45)*$E1607,18)</f>
        <v>9.64631449442522</v>
      </c>
      <c r="I1607" s="67" cm="1">
        <f ca="1" t="array" ref="I1607">MIN(30-SUM(J1607:L1607),6-L1607,_xlfn.XLOOKUP($D1607&amp;"_"&amp;I$61,$B$23:$B$45&amp;"_"&amp;$C$23:$C$45,$D$23:$D$45)*$E1607)</f>
        <v>0</v>
      </c>
      <c r="J1607" s="67" cm="1">
        <f ca="1" t="array" ref="J1607">MIN(8,_xlfn.XLOOKUP($D1607&amp;"_"&amp;J$61,$B$23:$B$45&amp;"_"&amp;$C$23:$C$45,$D$23:$D$45)*$E1607)</f>
        <v>8</v>
      </c>
      <c r="K1607" s="67" cm="1">
        <f ca="1" t="array" ref="K1607">MIN(18,_xlfn.XLOOKUP($D1607&amp;"_"&amp;K$61,$B$23:$B$45&amp;"_"&amp;$C$23:$C$45,$D$23:$D$45)*$E1607)</f>
        <v>6.35368550557479</v>
      </c>
      <c r="L1607" s="67" cm="1">
        <f ca="1" t="array" ref="L1607">MIN(6,_xlfn.XLOOKUP($D1607&amp;"_"&amp;L$61,$B$23:$B$45&amp;"_"&amp;$C$23:$C$45,$D$23:$D$45)*$E1607)</f>
        <v>6</v>
      </c>
      <c r="M1607" s="67" cm="1">
        <f ca="1" t="array" ref="M1607">(1+SUMPRODUCT(G1607:H1607,OFFSET($H$49:$I$49,D1607,0)))*(1+OFFSET($J$49,D1607,0))^I1607*(1+OFFSET($K$49,D1607,0))^J1607*(1+OFFSET($L$49,D1607,0))^K1607*(1+OFFSET($M$49,D1607,0))^L1607</f>
        <v>454.868772909685</v>
      </c>
      <c r="N1607" s="67">
        <f ca="1">MAX(MAX($N$62:N1606),OFFSET($C$61,MATCH(M1607*1.07,$M$62:$M$2061,1),0)-C1607)</f>
        <v>53640</v>
      </c>
    </row>
    <row r="1608" spans="2:14">
      <c r="B1608" s="67">
        <v>1547</v>
      </c>
      <c r="C1608" s="67">
        <f t="shared" si="149"/>
        <v>556920</v>
      </c>
      <c r="D1608" s="67">
        <f t="shared" si="152"/>
        <v>5</v>
      </c>
      <c r="E1608" s="67">
        <f ca="1" t="shared" si="153"/>
        <v>1577</v>
      </c>
      <c r="F1608" s="67">
        <f ca="1" t="shared" si="150"/>
        <v>0</v>
      </c>
      <c r="G1608" s="67">
        <f ca="1" t="shared" si="151"/>
        <v>0</v>
      </c>
      <c r="H1608" s="67" cm="1">
        <f ca="1" t="array" ref="H1608">MIN(30-SUM(I1608:L1608),_xlfn.XLOOKUP($D1608&amp;"_"&amp;H$61,$B$23:$B$45&amp;"_"&amp;$C$23:$C$45,$D$23:$D$45)*$E1608,18)</f>
        <v>9.64228296808919</v>
      </c>
      <c r="I1608" s="67" cm="1">
        <f ca="1" t="array" ref="I1608">MIN(30-SUM(J1608:L1608),6-L1608,_xlfn.XLOOKUP($D1608&amp;"_"&amp;I$61,$B$23:$B$45&amp;"_"&amp;$C$23:$C$45,$D$23:$D$45)*$E1608)</f>
        <v>0</v>
      </c>
      <c r="J1608" s="67" cm="1">
        <f ca="1" t="array" ref="J1608">MIN(8,_xlfn.XLOOKUP($D1608&amp;"_"&amp;J$61,$B$23:$B$45&amp;"_"&amp;$C$23:$C$45,$D$23:$D$45)*$E1608)</f>
        <v>8</v>
      </c>
      <c r="K1608" s="67" cm="1">
        <f ca="1" t="array" ref="K1608">MIN(18,_xlfn.XLOOKUP($D1608&amp;"_"&amp;K$61,$B$23:$B$45&amp;"_"&amp;$C$23:$C$45,$D$23:$D$45)*$E1608)</f>
        <v>6.35771703191081</v>
      </c>
      <c r="L1608" s="67" cm="1">
        <f ca="1" t="array" ref="L1608">MIN(6,_xlfn.XLOOKUP($D1608&amp;"_"&amp;L$61,$B$23:$B$45&amp;"_"&amp;$C$23:$C$45,$D$23:$D$45)*$E1608)</f>
        <v>6</v>
      </c>
      <c r="M1608" s="67" cm="1">
        <f ca="1" t="array" ref="M1608">(1+SUMPRODUCT(G1608:H1608,OFFSET($H$49:$I$49,D1608,0)))*(1+OFFSET($J$49,D1608,0))^I1608*(1+OFFSET($K$49,D1608,0))^J1608*(1+OFFSET($L$49,D1608,0))^K1608*(1+OFFSET($M$49,D1608,0))^L1608</f>
        <v>455.077941223959</v>
      </c>
      <c r="N1608" s="67">
        <f ca="1">MAX(MAX($N$62:N1607),OFFSET($C$61,MATCH(M1608*1.07,$M$62:$M$2061,1),0)-C1608)</f>
        <v>53640</v>
      </c>
    </row>
    <row r="1609" spans="2:14">
      <c r="B1609" s="67">
        <v>1548</v>
      </c>
      <c r="C1609" s="67">
        <f t="shared" si="149"/>
        <v>557280</v>
      </c>
      <c r="D1609" s="67">
        <f t="shared" si="152"/>
        <v>5</v>
      </c>
      <c r="E1609" s="67">
        <f ca="1" t="shared" si="153"/>
        <v>1578</v>
      </c>
      <c r="F1609" s="67">
        <f ca="1" t="shared" si="150"/>
        <v>0</v>
      </c>
      <c r="G1609" s="67">
        <f ca="1" t="shared" si="151"/>
        <v>0</v>
      </c>
      <c r="H1609" s="67" cm="1">
        <f ca="1" t="array" ref="H1609">MIN(30-SUM(I1609:L1609),_xlfn.XLOOKUP($D1609&amp;"_"&amp;H$61,$B$23:$B$45&amp;"_"&amp;$C$23:$C$45,$D$23:$D$45)*$E1609,18)</f>
        <v>9.63825144175317</v>
      </c>
      <c r="I1609" s="67" cm="1">
        <f ca="1" t="array" ref="I1609">MIN(30-SUM(J1609:L1609),6-L1609,_xlfn.XLOOKUP($D1609&amp;"_"&amp;I$61,$B$23:$B$45&amp;"_"&amp;$C$23:$C$45,$D$23:$D$45)*$E1609)</f>
        <v>0</v>
      </c>
      <c r="J1609" s="67" cm="1">
        <f ca="1" t="array" ref="J1609">MIN(8,_xlfn.XLOOKUP($D1609&amp;"_"&amp;J$61,$B$23:$B$45&amp;"_"&amp;$C$23:$C$45,$D$23:$D$45)*$E1609)</f>
        <v>8</v>
      </c>
      <c r="K1609" s="67" cm="1">
        <f ca="1" t="array" ref="K1609">MIN(18,_xlfn.XLOOKUP($D1609&amp;"_"&amp;K$61,$B$23:$B$45&amp;"_"&amp;$C$23:$C$45,$D$23:$D$45)*$E1609)</f>
        <v>6.36174855824683</v>
      </c>
      <c r="L1609" s="67" cm="1">
        <f ca="1" t="array" ref="L1609">MIN(6,_xlfn.XLOOKUP($D1609&amp;"_"&amp;L$61,$B$23:$B$45&amp;"_"&amp;$C$23:$C$45,$D$23:$D$45)*$E1609)</f>
        <v>6</v>
      </c>
      <c r="M1609" s="67" cm="1">
        <f ca="1" t="array" ref="M1609">(1+SUMPRODUCT(G1609:H1609,OFFSET($H$49:$I$49,D1609,0)))*(1+OFFSET($J$49,D1609,0))^I1609*(1+OFFSET($K$49,D1609,0))^J1609*(1+OFFSET($L$49,D1609,0))^K1609*(1+OFFSET($M$49,D1609,0))^L1609</f>
        <v>455.287171207942</v>
      </c>
      <c r="N1609" s="67">
        <f ca="1">MAX(MAX($N$62:N1608),OFFSET($C$61,MATCH(M1609*1.07,$M$62:$M$2061,1),0)-C1609)</f>
        <v>53640</v>
      </c>
    </row>
    <row r="1610" spans="2:14">
      <c r="B1610" s="67">
        <v>1549</v>
      </c>
      <c r="C1610" s="67">
        <f t="shared" si="149"/>
        <v>557640</v>
      </c>
      <c r="D1610" s="67">
        <f t="shared" si="152"/>
        <v>5</v>
      </c>
      <c r="E1610" s="67">
        <f ca="1" t="shared" si="153"/>
        <v>1579</v>
      </c>
      <c r="F1610" s="67">
        <f ca="1" t="shared" si="150"/>
        <v>0</v>
      </c>
      <c r="G1610" s="67">
        <f ca="1" t="shared" si="151"/>
        <v>0</v>
      </c>
      <c r="H1610" s="67" cm="1">
        <f ca="1" t="array" ref="H1610">MIN(30-SUM(I1610:L1610),_xlfn.XLOOKUP($D1610&amp;"_"&amp;H$61,$B$23:$B$45&amp;"_"&amp;$C$23:$C$45,$D$23:$D$45)*$E1610,18)</f>
        <v>9.63421991541714</v>
      </c>
      <c r="I1610" s="67" cm="1">
        <f ca="1" t="array" ref="I1610">MIN(30-SUM(J1610:L1610),6-L1610,_xlfn.XLOOKUP($D1610&amp;"_"&amp;I$61,$B$23:$B$45&amp;"_"&amp;$C$23:$C$45,$D$23:$D$45)*$E1610)</f>
        <v>0</v>
      </c>
      <c r="J1610" s="67" cm="1">
        <f ca="1" t="array" ref="J1610">MIN(8,_xlfn.XLOOKUP($D1610&amp;"_"&amp;J$61,$B$23:$B$45&amp;"_"&amp;$C$23:$C$45,$D$23:$D$45)*$E1610)</f>
        <v>8</v>
      </c>
      <c r="K1610" s="67" cm="1">
        <f ca="1" t="array" ref="K1610">MIN(18,_xlfn.XLOOKUP($D1610&amp;"_"&amp;K$61,$B$23:$B$45&amp;"_"&amp;$C$23:$C$45,$D$23:$D$45)*$E1610)</f>
        <v>6.36578008458286</v>
      </c>
      <c r="L1610" s="67" cm="1">
        <f ca="1" t="array" ref="L1610">MIN(6,_xlfn.XLOOKUP($D1610&amp;"_"&amp;L$61,$B$23:$B$45&amp;"_"&amp;$C$23:$C$45,$D$23:$D$45)*$E1610)</f>
        <v>6</v>
      </c>
      <c r="M1610" s="67" cm="1">
        <f ca="1" t="array" ref="M1610">(1+SUMPRODUCT(G1610:H1610,OFFSET($H$49:$I$49,D1610,0)))*(1+OFFSET($J$49,D1610,0))^I1610*(1+OFFSET($K$49,D1610,0))^J1610*(1+OFFSET($L$49,D1610,0))^K1610*(1+OFFSET($M$49,D1610,0))^L1610</f>
        <v>455.496462839236</v>
      </c>
      <c r="N1610" s="67">
        <f ca="1">MAX(MAX($N$62:N1609),OFFSET($C$61,MATCH(M1610*1.07,$M$62:$M$2061,1),0)-C1610)</f>
        <v>53640</v>
      </c>
    </row>
    <row r="1611" spans="2:14">
      <c r="B1611" s="67">
        <v>1550</v>
      </c>
      <c r="C1611" s="67">
        <f t="shared" si="149"/>
        <v>558000</v>
      </c>
      <c r="D1611" s="67">
        <f t="shared" si="152"/>
        <v>5</v>
      </c>
      <c r="E1611" s="67">
        <f ca="1" t="shared" si="153"/>
        <v>1580</v>
      </c>
      <c r="F1611" s="67">
        <f ca="1" t="shared" si="150"/>
        <v>0</v>
      </c>
      <c r="G1611" s="67">
        <f ca="1" t="shared" si="151"/>
        <v>0</v>
      </c>
      <c r="H1611" s="67" cm="1">
        <f ca="1" t="array" ref="H1611">MIN(30-SUM(I1611:L1611),_xlfn.XLOOKUP($D1611&amp;"_"&amp;H$61,$B$23:$B$45&amp;"_"&amp;$C$23:$C$45,$D$23:$D$45)*$E1611,18)</f>
        <v>9.63018838908112</v>
      </c>
      <c r="I1611" s="67" cm="1">
        <f ca="1" t="array" ref="I1611">MIN(30-SUM(J1611:L1611),6-L1611,_xlfn.XLOOKUP($D1611&amp;"_"&amp;I$61,$B$23:$B$45&amp;"_"&amp;$C$23:$C$45,$D$23:$D$45)*$E1611)</f>
        <v>0</v>
      </c>
      <c r="J1611" s="67" cm="1">
        <f ca="1" t="array" ref="J1611">MIN(8,_xlfn.XLOOKUP($D1611&amp;"_"&amp;J$61,$B$23:$B$45&amp;"_"&amp;$C$23:$C$45,$D$23:$D$45)*$E1611)</f>
        <v>8</v>
      </c>
      <c r="K1611" s="67" cm="1">
        <f ca="1" t="array" ref="K1611">MIN(18,_xlfn.XLOOKUP($D1611&amp;"_"&amp;K$61,$B$23:$B$45&amp;"_"&amp;$C$23:$C$45,$D$23:$D$45)*$E1611)</f>
        <v>6.36981161091888</v>
      </c>
      <c r="L1611" s="67" cm="1">
        <f ca="1" t="array" ref="L1611">MIN(6,_xlfn.XLOOKUP($D1611&amp;"_"&amp;L$61,$B$23:$B$45&amp;"_"&amp;$C$23:$C$45,$D$23:$D$45)*$E1611)</f>
        <v>6</v>
      </c>
      <c r="M1611" s="67" cm="1">
        <f ca="1" t="array" ref="M1611">(1+SUMPRODUCT(G1611:H1611,OFFSET($H$49:$I$49,D1611,0)))*(1+OFFSET($J$49,D1611,0))^I1611*(1+OFFSET($K$49,D1611,0))^J1611*(1+OFFSET($L$49,D1611,0))^K1611*(1+OFFSET($M$49,D1611,0))^L1611</f>
        <v>455.705816095372</v>
      </c>
      <c r="N1611" s="67">
        <f ca="1">MAX(MAX($N$62:N1610),OFFSET($C$61,MATCH(M1611*1.07,$M$62:$M$2061,1),0)-C1611)</f>
        <v>53640</v>
      </c>
    </row>
    <row r="1612" spans="2:14">
      <c r="B1612" s="67">
        <v>1551</v>
      </c>
      <c r="C1612" s="67">
        <f t="shared" si="149"/>
        <v>558360</v>
      </c>
      <c r="D1612" s="67">
        <f t="shared" si="152"/>
        <v>5</v>
      </c>
      <c r="E1612" s="67">
        <f ca="1" t="shared" si="153"/>
        <v>1581</v>
      </c>
      <c r="F1612" s="67">
        <f ca="1" t="shared" si="150"/>
        <v>0</v>
      </c>
      <c r="G1612" s="67">
        <f ca="1" t="shared" si="151"/>
        <v>0</v>
      </c>
      <c r="H1612" s="67" cm="1">
        <f ca="1" t="array" ref="H1612">MIN(30-SUM(I1612:L1612),_xlfn.XLOOKUP($D1612&amp;"_"&amp;H$61,$B$23:$B$45&amp;"_"&amp;$C$23:$C$45,$D$23:$D$45)*$E1612,18)</f>
        <v>9.62615686274509</v>
      </c>
      <c r="I1612" s="67" cm="1">
        <f ca="1" t="array" ref="I1612">MIN(30-SUM(J1612:L1612),6-L1612,_xlfn.XLOOKUP($D1612&amp;"_"&amp;I$61,$B$23:$B$45&amp;"_"&amp;$C$23:$C$45,$D$23:$D$45)*$E1612)</f>
        <v>0</v>
      </c>
      <c r="J1612" s="67" cm="1">
        <f ca="1" t="array" ref="J1612">MIN(8,_xlfn.XLOOKUP($D1612&amp;"_"&amp;J$61,$B$23:$B$45&amp;"_"&amp;$C$23:$C$45,$D$23:$D$45)*$E1612)</f>
        <v>8</v>
      </c>
      <c r="K1612" s="67" cm="1">
        <f ca="1" t="array" ref="K1612">MIN(18,_xlfn.XLOOKUP($D1612&amp;"_"&amp;K$61,$B$23:$B$45&amp;"_"&amp;$C$23:$C$45,$D$23:$D$45)*$E1612)</f>
        <v>6.37384313725491</v>
      </c>
      <c r="L1612" s="67" cm="1">
        <f ca="1" t="array" ref="L1612">MIN(6,_xlfn.XLOOKUP($D1612&amp;"_"&amp;L$61,$B$23:$B$45&amp;"_"&amp;$C$23:$C$45,$D$23:$D$45)*$E1612)</f>
        <v>6</v>
      </c>
      <c r="M1612" s="67" cm="1">
        <f ca="1" t="array" ref="M1612">(1+SUMPRODUCT(G1612:H1612,OFFSET($H$49:$I$49,D1612,0)))*(1+OFFSET($J$49,D1612,0))^I1612*(1+OFFSET($K$49,D1612,0))^J1612*(1+OFFSET($L$49,D1612,0))^K1612*(1+OFFSET($M$49,D1612,0))^L1612</f>
        <v>455.91523095382</v>
      </c>
      <c r="N1612" s="67">
        <f ca="1">MAX(MAX($N$62:N1611),OFFSET($C$61,MATCH(M1612*1.07,$M$62:$M$2061,1),0)-C1612)</f>
        <v>53640</v>
      </c>
    </row>
    <row r="1613" spans="2:14">
      <c r="B1613" s="67">
        <v>1552</v>
      </c>
      <c r="C1613" s="67">
        <f t="shared" si="149"/>
        <v>558720</v>
      </c>
      <c r="D1613" s="67">
        <f t="shared" si="152"/>
        <v>5</v>
      </c>
      <c r="E1613" s="67">
        <f ca="1" t="shared" si="153"/>
        <v>1582</v>
      </c>
      <c r="F1613" s="67">
        <f ca="1" t="shared" si="150"/>
        <v>0</v>
      </c>
      <c r="G1613" s="67">
        <f ca="1" t="shared" si="151"/>
        <v>0</v>
      </c>
      <c r="H1613" s="67" cm="1">
        <f ca="1" t="array" ref="H1613">MIN(30-SUM(I1613:L1613),_xlfn.XLOOKUP($D1613&amp;"_"&amp;H$61,$B$23:$B$45&amp;"_"&amp;$C$23:$C$45,$D$23:$D$45)*$E1613,18)</f>
        <v>9.62212533640907</v>
      </c>
      <c r="I1613" s="67" cm="1">
        <f ca="1" t="array" ref="I1613">MIN(30-SUM(J1613:L1613),6-L1613,_xlfn.XLOOKUP($D1613&amp;"_"&amp;I$61,$B$23:$B$45&amp;"_"&amp;$C$23:$C$45,$D$23:$D$45)*$E1613)</f>
        <v>0</v>
      </c>
      <c r="J1613" s="67" cm="1">
        <f ca="1" t="array" ref="J1613">MIN(8,_xlfn.XLOOKUP($D1613&amp;"_"&amp;J$61,$B$23:$B$45&amp;"_"&amp;$C$23:$C$45,$D$23:$D$45)*$E1613)</f>
        <v>8</v>
      </c>
      <c r="K1613" s="67" cm="1">
        <f ca="1" t="array" ref="K1613">MIN(18,_xlfn.XLOOKUP($D1613&amp;"_"&amp;K$61,$B$23:$B$45&amp;"_"&amp;$C$23:$C$45,$D$23:$D$45)*$E1613)</f>
        <v>6.37787466359093</v>
      </c>
      <c r="L1613" s="67" cm="1">
        <f ca="1" t="array" ref="L1613">MIN(6,_xlfn.XLOOKUP($D1613&amp;"_"&amp;L$61,$B$23:$B$45&amp;"_"&amp;$C$23:$C$45,$D$23:$D$45)*$E1613)</f>
        <v>6</v>
      </c>
      <c r="M1613" s="67" cm="1">
        <f ca="1" t="array" ref="M1613">(1+SUMPRODUCT(G1613:H1613,OFFSET($H$49:$I$49,D1613,0)))*(1+OFFSET($J$49,D1613,0))^I1613*(1+OFFSET($K$49,D1613,0))^J1613*(1+OFFSET($L$49,D1613,0))^K1613*(1+OFFSET($M$49,D1613,0))^L1613</f>
        <v>456.124707391981</v>
      </c>
      <c r="N1613" s="67">
        <f ca="1">MAX(MAX($N$62:N1612),OFFSET($C$61,MATCH(M1613*1.07,$M$62:$M$2061,1),0)-C1613)</f>
        <v>53640</v>
      </c>
    </row>
    <row r="1614" spans="2:14">
      <c r="B1614" s="67">
        <v>1553</v>
      </c>
      <c r="C1614" s="67">
        <f t="shared" si="149"/>
        <v>559080</v>
      </c>
      <c r="D1614" s="67">
        <f t="shared" si="152"/>
        <v>5</v>
      </c>
      <c r="E1614" s="67">
        <f ca="1" t="shared" si="153"/>
        <v>1583</v>
      </c>
      <c r="F1614" s="67">
        <f ca="1" t="shared" si="150"/>
        <v>0</v>
      </c>
      <c r="G1614" s="67">
        <f ca="1" t="shared" si="151"/>
        <v>0</v>
      </c>
      <c r="H1614" s="67" cm="1">
        <f ca="1" t="array" ref="H1614">MIN(30-SUM(I1614:L1614),_xlfn.XLOOKUP($D1614&amp;"_"&amp;H$61,$B$23:$B$45&amp;"_"&amp;$C$23:$C$45,$D$23:$D$45)*$E1614,18)</f>
        <v>9.61809381007304</v>
      </c>
      <c r="I1614" s="67" cm="1">
        <f ca="1" t="array" ref="I1614">MIN(30-SUM(J1614:L1614),6-L1614,_xlfn.XLOOKUP($D1614&amp;"_"&amp;I$61,$B$23:$B$45&amp;"_"&amp;$C$23:$C$45,$D$23:$D$45)*$E1614)</f>
        <v>0</v>
      </c>
      <c r="J1614" s="67" cm="1">
        <f ca="1" t="array" ref="J1614">MIN(8,_xlfn.XLOOKUP($D1614&amp;"_"&amp;J$61,$B$23:$B$45&amp;"_"&amp;$C$23:$C$45,$D$23:$D$45)*$E1614)</f>
        <v>8</v>
      </c>
      <c r="K1614" s="67" cm="1">
        <f ca="1" t="array" ref="K1614">MIN(18,_xlfn.XLOOKUP($D1614&amp;"_"&amp;K$61,$B$23:$B$45&amp;"_"&amp;$C$23:$C$45,$D$23:$D$45)*$E1614)</f>
        <v>6.38190618992696</v>
      </c>
      <c r="L1614" s="67" cm="1">
        <f ca="1" t="array" ref="L1614">MIN(6,_xlfn.XLOOKUP($D1614&amp;"_"&amp;L$61,$B$23:$B$45&amp;"_"&amp;$C$23:$C$45,$D$23:$D$45)*$E1614)</f>
        <v>6</v>
      </c>
      <c r="M1614" s="67" cm="1">
        <f ca="1" t="array" ref="M1614">(1+SUMPRODUCT(G1614:H1614,OFFSET($H$49:$I$49,D1614,0)))*(1+OFFSET($J$49,D1614,0))^I1614*(1+OFFSET($K$49,D1614,0))^J1614*(1+OFFSET($L$49,D1614,0))^K1614*(1+OFFSET($M$49,D1614,0))^L1614</f>
        <v>456.33424538719</v>
      </c>
      <c r="N1614" s="67">
        <f ca="1">MAX(MAX($N$62:N1613),OFFSET($C$61,MATCH(M1614*1.07,$M$62:$M$2061,1),0)-C1614)</f>
        <v>53640</v>
      </c>
    </row>
    <row r="1615" spans="2:14">
      <c r="B1615" s="67">
        <v>1554</v>
      </c>
      <c r="C1615" s="67">
        <f t="shared" si="149"/>
        <v>559440</v>
      </c>
      <c r="D1615" s="67">
        <f t="shared" si="152"/>
        <v>5</v>
      </c>
      <c r="E1615" s="67">
        <f ca="1" t="shared" si="153"/>
        <v>1584</v>
      </c>
      <c r="F1615" s="67">
        <f ca="1" t="shared" si="150"/>
        <v>0</v>
      </c>
      <c r="G1615" s="67">
        <f ca="1" t="shared" si="151"/>
        <v>0</v>
      </c>
      <c r="H1615" s="67" cm="1">
        <f ca="1" t="array" ref="H1615">MIN(30-SUM(I1615:L1615),_xlfn.XLOOKUP($D1615&amp;"_"&amp;H$61,$B$23:$B$45&amp;"_"&amp;$C$23:$C$45,$D$23:$D$45)*$E1615,18)</f>
        <v>9.61406228373702</v>
      </c>
      <c r="I1615" s="67" cm="1">
        <f ca="1" t="array" ref="I1615">MIN(30-SUM(J1615:L1615),6-L1615,_xlfn.XLOOKUP($D1615&amp;"_"&amp;I$61,$B$23:$B$45&amp;"_"&amp;$C$23:$C$45,$D$23:$D$45)*$E1615)</f>
        <v>0</v>
      </c>
      <c r="J1615" s="67" cm="1">
        <f ca="1" t="array" ref="J1615">MIN(8,_xlfn.XLOOKUP($D1615&amp;"_"&amp;J$61,$B$23:$B$45&amp;"_"&amp;$C$23:$C$45,$D$23:$D$45)*$E1615)</f>
        <v>8</v>
      </c>
      <c r="K1615" s="67" cm="1">
        <f ca="1" t="array" ref="K1615">MIN(18,_xlfn.XLOOKUP($D1615&amp;"_"&amp;K$61,$B$23:$B$45&amp;"_"&amp;$C$23:$C$45,$D$23:$D$45)*$E1615)</f>
        <v>6.38593771626298</v>
      </c>
      <c r="L1615" s="67" cm="1">
        <f ca="1" t="array" ref="L1615">MIN(6,_xlfn.XLOOKUP($D1615&amp;"_"&amp;L$61,$B$23:$B$45&amp;"_"&amp;$C$23:$C$45,$D$23:$D$45)*$E1615)</f>
        <v>6</v>
      </c>
      <c r="M1615" s="67" cm="1">
        <f ca="1" t="array" ref="M1615">(1+SUMPRODUCT(G1615:H1615,OFFSET($H$49:$I$49,D1615,0)))*(1+OFFSET($J$49,D1615,0))^I1615*(1+OFFSET($K$49,D1615,0))^J1615*(1+OFFSET($L$49,D1615,0))^K1615*(1+OFFSET($M$49,D1615,0))^L1615</f>
        <v>456.543844916714</v>
      </c>
      <c r="N1615" s="67">
        <f ca="1">MAX(MAX($N$62:N1614),OFFSET($C$61,MATCH(M1615*1.07,$M$62:$M$2061,1),0)-C1615)</f>
        <v>53640</v>
      </c>
    </row>
    <row r="1616" spans="2:14">
      <c r="B1616" s="67">
        <v>1555</v>
      </c>
      <c r="C1616" s="67">
        <f t="shared" si="149"/>
        <v>559800</v>
      </c>
      <c r="D1616" s="67">
        <f t="shared" si="152"/>
        <v>5</v>
      </c>
      <c r="E1616" s="67">
        <f ca="1" t="shared" si="153"/>
        <v>1585</v>
      </c>
      <c r="F1616" s="67">
        <f ca="1" t="shared" si="150"/>
        <v>0</v>
      </c>
      <c r="G1616" s="67">
        <f ca="1" t="shared" si="151"/>
        <v>0</v>
      </c>
      <c r="H1616" s="67" cm="1">
        <f ca="1" t="array" ref="H1616">MIN(30-SUM(I1616:L1616),_xlfn.XLOOKUP($D1616&amp;"_"&amp;H$61,$B$23:$B$45&amp;"_"&amp;$C$23:$C$45,$D$23:$D$45)*$E1616,18)</f>
        <v>9.61003075740099</v>
      </c>
      <c r="I1616" s="67" cm="1">
        <f ca="1" t="array" ref="I1616">MIN(30-SUM(J1616:L1616),6-L1616,_xlfn.XLOOKUP($D1616&amp;"_"&amp;I$61,$B$23:$B$45&amp;"_"&amp;$C$23:$C$45,$D$23:$D$45)*$E1616)</f>
        <v>0</v>
      </c>
      <c r="J1616" s="67" cm="1">
        <f ca="1" t="array" ref="J1616">MIN(8,_xlfn.XLOOKUP($D1616&amp;"_"&amp;J$61,$B$23:$B$45&amp;"_"&amp;$C$23:$C$45,$D$23:$D$45)*$E1616)</f>
        <v>8</v>
      </c>
      <c r="K1616" s="67" cm="1">
        <f ca="1" t="array" ref="K1616">MIN(18,_xlfn.XLOOKUP($D1616&amp;"_"&amp;K$61,$B$23:$B$45&amp;"_"&amp;$C$23:$C$45,$D$23:$D$45)*$E1616)</f>
        <v>6.38996924259901</v>
      </c>
      <c r="L1616" s="67" cm="1">
        <f ca="1" t="array" ref="L1616">MIN(6,_xlfn.XLOOKUP($D1616&amp;"_"&amp;L$61,$B$23:$B$45&amp;"_"&amp;$C$23:$C$45,$D$23:$D$45)*$E1616)</f>
        <v>6</v>
      </c>
      <c r="M1616" s="67" cm="1">
        <f ca="1" t="array" ref="M1616">(1+SUMPRODUCT(G1616:H1616,OFFSET($H$49:$I$49,D1616,0)))*(1+OFFSET($J$49,D1616,0))^I1616*(1+OFFSET($K$49,D1616,0))^J1616*(1+OFFSET($L$49,D1616,0))^K1616*(1+OFFSET($M$49,D1616,0))^L1616</f>
        <v>456.753505957756</v>
      </c>
      <c r="N1616" s="67">
        <f ca="1">MAX(MAX($N$62:N1615),OFFSET($C$61,MATCH(M1616*1.07,$M$62:$M$2061,1),0)-C1616)</f>
        <v>53640</v>
      </c>
    </row>
    <row r="1617" spans="2:14">
      <c r="B1617" s="67">
        <v>1556</v>
      </c>
      <c r="C1617" s="67">
        <f t="shared" si="149"/>
        <v>560160</v>
      </c>
      <c r="D1617" s="67">
        <f t="shared" si="152"/>
        <v>5</v>
      </c>
      <c r="E1617" s="67">
        <f ca="1" t="shared" si="153"/>
        <v>1586</v>
      </c>
      <c r="F1617" s="67">
        <f ca="1" t="shared" si="150"/>
        <v>0</v>
      </c>
      <c r="G1617" s="67">
        <f ca="1" t="shared" si="151"/>
        <v>0</v>
      </c>
      <c r="H1617" s="67" cm="1">
        <f ca="1" t="array" ref="H1617">MIN(30-SUM(I1617:L1617),_xlfn.XLOOKUP($D1617&amp;"_"&amp;H$61,$B$23:$B$45&amp;"_"&amp;$C$23:$C$45,$D$23:$D$45)*$E1617,18)</f>
        <v>9.60599923106497</v>
      </c>
      <c r="I1617" s="67" cm="1">
        <f ca="1" t="array" ref="I1617">MIN(30-SUM(J1617:L1617),6-L1617,_xlfn.XLOOKUP($D1617&amp;"_"&amp;I$61,$B$23:$B$45&amp;"_"&amp;$C$23:$C$45,$D$23:$D$45)*$E1617)</f>
        <v>0</v>
      </c>
      <c r="J1617" s="67" cm="1">
        <f ca="1" t="array" ref="J1617">MIN(8,_xlfn.XLOOKUP($D1617&amp;"_"&amp;J$61,$B$23:$B$45&amp;"_"&amp;$C$23:$C$45,$D$23:$D$45)*$E1617)</f>
        <v>8</v>
      </c>
      <c r="K1617" s="67" cm="1">
        <f ca="1" t="array" ref="K1617">MIN(18,_xlfn.XLOOKUP($D1617&amp;"_"&amp;K$61,$B$23:$B$45&amp;"_"&amp;$C$23:$C$45,$D$23:$D$45)*$E1617)</f>
        <v>6.39400076893503</v>
      </c>
      <c r="L1617" s="67" cm="1">
        <f ca="1" t="array" ref="L1617">MIN(6,_xlfn.XLOOKUP($D1617&amp;"_"&amp;L$61,$B$23:$B$45&amp;"_"&amp;$C$23:$C$45,$D$23:$D$45)*$E1617)</f>
        <v>6</v>
      </c>
      <c r="M1617" s="67" cm="1">
        <f ca="1" t="array" ref="M1617">(1+SUMPRODUCT(G1617:H1617,OFFSET($H$49:$I$49,D1617,0)))*(1+OFFSET($J$49,D1617,0))^I1617*(1+OFFSET($K$49,D1617,0))^J1617*(1+OFFSET($L$49,D1617,0))^K1617*(1+OFFSET($M$49,D1617,0))^L1617</f>
        <v>456.963228487449</v>
      </c>
      <c r="N1617" s="67">
        <f ca="1">MAX(MAX($N$62:N1616),OFFSET($C$61,MATCH(M1617*1.07,$M$62:$M$2061,1),0)-C1617)</f>
        <v>53640</v>
      </c>
    </row>
    <row r="1618" spans="2:14">
      <c r="B1618" s="67">
        <v>1557</v>
      </c>
      <c r="C1618" s="67">
        <f t="shared" si="149"/>
        <v>560520</v>
      </c>
      <c r="D1618" s="67">
        <f t="shared" si="152"/>
        <v>5</v>
      </c>
      <c r="E1618" s="67">
        <f ca="1" t="shared" si="153"/>
        <v>1587</v>
      </c>
      <c r="F1618" s="67">
        <f ca="1" t="shared" si="150"/>
        <v>0</v>
      </c>
      <c r="G1618" s="67">
        <f ca="1" t="shared" si="151"/>
        <v>0</v>
      </c>
      <c r="H1618" s="67" cm="1">
        <f ca="1" t="array" ref="H1618">MIN(30-SUM(I1618:L1618),_xlfn.XLOOKUP($D1618&amp;"_"&amp;H$61,$B$23:$B$45&amp;"_"&amp;$C$23:$C$45,$D$23:$D$45)*$E1618,18)</f>
        <v>9.60196770472895</v>
      </c>
      <c r="I1618" s="67" cm="1">
        <f ca="1" t="array" ref="I1618">MIN(30-SUM(J1618:L1618),6-L1618,_xlfn.XLOOKUP($D1618&amp;"_"&amp;I$61,$B$23:$B$45&amp;"_"&amp;$C$23:$C$45,$D$23:$D$45)*$E1618)</f>
        <v>0</v>
      </c>
      <c r="J1618" s="67" cm="1">
        <f ca="1" t="array" ref="J1618">MIN(8,_xlfn.XLOOKUP($D1618&amp;"_"&amp;J$61,$B$23:$B$45&amp;"_"&amp;$C$23:$C$45,$D$23:$D$45)*$E1618)</f>
        <v>8</v>
      </c>
      <c r="K1618" s="67" cm="1">
        <f ca="1" t="array" ref="K1618">MIN(18,_xlfn.XLOOKUP($D1618&amp;"_"&amp;K$61,$B$23:$B$45&amp;"_"&amp;$C$23:$C$45,$D$23:$D$45)*$E1618)</f>
        <v>6.39803229527106</v>
      </c>
      <c r="L1618" s="67" cm="1">
        <f ca="1" t="array" ref="L1618">MIN(6,_xlfn.XLOOKUP($D1618&amp;"_"&amp;L$61,$B$23:$B$45&amp;"_"&amp;$C$23:$C$45,$D$23:$D$45)*$E1618)</f>
        <v>6</v>
      </c>
      <c r="M1618" s="67" cm="1">
        <f ca="1" t="array" ref="M1618">(1+SUMPRODUCT(G1618:H1618,OFFSET($H$49:$I$49,D1618,0)))*(1+OFFSET($J$49,D1618,0))^I1618*(1+OFFSET($K$49,D1618,0))^J1618*(1+OFFSET($L$49,D1618,0))^K1618*(1+OFFSET($M$49,D1618,0))^L1618</f>
        <v>457.173012482863</v>
      </c>
      <c r="N1618" s="67">
        <f ca="1">MAX(MAX($N$62:N1617),OFFSET($C$61,MATCH(M1618*1.07,$M$62:$M$2061,1),0)-C1618)</f>
        <v>53640</v>
      </c>
    </row>
    <row r="1619" spans="2:14">
      <c r="B1619" s="67">
        <v>1558</v>
      </c>
      <c r="C1619" s="67">
        <f t="shared" si="149"/>
        <v>560880</v>
      </c>
      <c r="D1619" s="67">
        <f t="shared" si="152"/>
        <v>5</v>
      </c>
      <c r="E1619" s="67">
        <f ca="1" t="shared" si="153"/>
        <v>1588</v>
      </c>
      <c r="F1619" s="67">
        <f ca="1" t="shared" si="150"/>
        <v>0</v>
      </c>
      <c r="G1619" s="67">
        <f ca="1" t="shared" si="151"/>
        <v>0</v>
      </c>
      <c r="H1619" s="67" cm="1">
        <f ca="1" t="array" ref="H1619">MIN(30-SUM(I1619:L1619),_xlfn.XLOOKUP($D1619&amp;"_"&amp;H$61,$B$23:$B$45&amp;"_"&amp;$C$23:$C$45,$D$23:$D$45)*$E1619,18)</f>
        <v>9.59793617839292</v>
      </c>
      <c r="I1619" s="67" cm="1">
        <f ca="1" t="array" ref="I1619">MIN(30-SUM(J1619:L1619),6-L1619,_xlfn.XLOOKUP($D1619&amp;"_"&amp;I$61,$B$23:$B$45&amp;"_"&amp;$C$23:$C$45,$D$23:$D$45)*$E1619)</f>
        <v>0</v>
      </c>
      <c r="J1619" s="67" cm="1">
        <f ca="1" t="array" ref="J1619">MIN(8,_xlfn.XLOOKUP($D1619&amp;"_"&amp;J$61,$B$23:$B$45&amp;"_"&amp;$C$23:$C$45,$D$23:$D$45)*$E1619)</f>
        <v>8</v>
      </c>
      <c r="K1619" s="67" cm="1">
        <f ca="1" t="array" ref="K1619">MIN(18,_xlfn.XLOOKUP($D1619&amp;"_"&amp;K$61,$B$23:$B$45&amp;"_"&amp;$C$23:$C$45,$D$23:$D$45)*$E1619)</f>
        <v>6.40206382160708</v>
      </c>
      <c r="L1619" s="67" cm="1">
        <f ca="1" t="array" ref="L1619">MIN(6,_xlfn.XLOOKUP($D1619&amp;"_"&amp;L$61,$B$23:$B$45&amp;"_"&amp;$C$23:$C$45,$D$23:$D$45)*$E1619)</f>
        <v>6</v>
      </c>
      <c r="M1619" s="67" cm="1">
        <f ca="1" t="array" ref="M1619">(1+SUMPRODUCT(G1619:H1619,OFFSET($H$49:$I$49,D1619,0)))*(1+OFFSET($J$49,D1619,0))^I1619*(1+OFFSET($K$49,D1619,0))^J1619*(1+OFFSET($L$49,D1619,0))^K1619*(1+OFFSET($M$49,D1619,0))^L1619</f>
        <v>457.382857920997</v>
      </c>
      <c r="N1619" s="67">
        <f ca="1">MAX(MAX($N$62:N1618),OFFSET($C$61,MATCH(M1619*1.07,$M$62:$M$2061,1),0)-C1619)</f>
        <v>53640</v>
      </c>
    </row>
    <row r="1620" spans="2:14">
      <c r="B1620" s="67">
        <v>1559</v>
      </c>
      <c r="C1620" s="67">
        <f t="shared" si="149"/>
        <v>561240</v>
      </c>
      <c r="D1620" s="67">
        <f t="shared" si="152"/>
        <v>5</v>
      </c>
      <c r="E1620" s="67">
        <f ca="1" t="shared" si="153"/>
        <v>1589</v>
      </c>
      <c r="F1620" s="67">
        <f ca="1" t="shared" si="150"/>
        <v>0</v>
      </c>
      <c r="G1620" s="67">
        <f ca="1" t="shared" si="151"/>
        <v>0</v>
      </c>
      <c r="H1620" s="67" cm="1">
        <f ca="1" t="array" ref="H1620">MIN(30-SUM(I1620:L1620),_xlfn.XLOOKUP($D1620&amp;"_"&amp;H$61,$B$23:$B$45&amp;"_"&amp;$C$23:$C$45,$D$23:$D$45)*$E1620,18)</f>
        <v>9.5939046520569</v>
      </c>
      <c r="I1620" s="67" cm="1">
        <f ca="1" t="array" ref="I1620">MIN(30-SUM(J1620:L1620),6-L1620,_xlfn.XLOOKUP($D1620&amp;"_"&amp;I$61,$B$23:$B$45&amp;"_"&amp;$C$23:$C$45,$D$23:$D$45)*$E1620)</f>
        <v>0</v>
      </c>
      <c r="J1620" s="67" cm="1">
        <f ca="1" t="array" ref="J1620">MIN(8,_xlfn.XLOOKUP($D1620&amp;"_"&amp;J$61,$B$23:$B$45&amp;"_"&amp;$C$23:$C$45,$D$23:$D$45)*$E1620)</f>
        <v>8</v>
      </c>
      <c r="K1620" s="67" cm="1">
        <f ca="1" t="array" ref="K1620">MIN(18,_xlfn.XLOOKUP($D1620&amp;"_"&amp;K$61,$B$23:$B$45&amp;"_"&amp;$C$23:$C$45,$D$23:$D$45)*$E1620)</f>
        <v>6.40609534794311</v>
      </c>
      <c r="L1620" s="67" cm="1">
        <f ca="1" t="array" ref="L1620">MIN(6,_xlfn.XLOOKUP($D1620&amp;"_"&amp;L$61,$B$23:$B$45&amp;"_"&amp;$C$23:$C$45,$D$23:$D$45)*$E1620)</f>
        <v>6</v>
      </c>
      <c r="M1620" s="67" cm="1">
        <f ca="1" t="array" ref="M1620">(1+SUMPRODUCT(G1620:H1620,OFFSET($H$49:$I$49,D1620,0)))*(1+OFFSET($J$49,D1620,0))^I1620*(1+OFFSET($K$49,D1620,0))^J1620*(1+OFFSET($L$49,D1620,0))^K1620*(1+OFFSET($M$49,D1620,0))^L1620</f>
        <v>457.592764778785</v>
      </c>
      <c r="N1620" s="67">
        <f ca="1">MAX(MAX($N$62:N1619),OFFSET($C$61,MATCH(M1620*1.07,$M$62:$M$2061,1),0)-C1620)</f>
        <v>53640</v>
      </c>
    </row>
    <row r="1621" spans="2:14">
      <c r="B1621" s="67">
        <v>1560</v>
      </c>
      <c r="C1621" s="67">
        <f t="shared" si="149"/>
        <v>561600</v>
      </c>
      <c r="D1621" s="67">
        <f t="shared" si="152"/>
        <v>5</v>
      </c>
      <c r="E1621" s="67">
        <f ca="1" t="shared" si="153"/>
        <v>1590</v>
      </c>
      <c r="F1621" s="67">
        <f ca="1" t="shared" si="150"/>
        <v>0</v>
      </c>
      <c r="G1621" s="67">
        <f ca="1" t="shared" si="151"/>
        <v>0</v>
      </c>
      <c r="H1621" s="67" cm="1">
        <f ca="1" t="array" ref="H1621">MIN(30-SUM(I1621:L1621),_xlfn.XLOOKUP($D1621&amp;"_"&amp;H$61,$B$23:$B$45&amp;"_"&amp;$C$23:$C$45,$D$23:$D$45)*$E1621,18)</f>
        <v>9.58987312572087</v>
      </c>
      <c r="I1621" s="67" cm="1">
        <f ca="1" t="array" ref="I1621">MIN(30-SUM(J1621:L1621),6-L1621,_xlfn.XLOOKUP($D1621&amp;"_"&amp;I$61,$B$23:$B$45&amp;"_"&amp;$C$23:$C$45,$D$23:$D$45)*$E1621)</f>
        <v>0</v>
      </c>
      <c r="J1621" s="67" cm="1">
        <f ca="1" t="array" ref="J1621">MIN(8,_xlfn.XLOOKUP($D1621&amp;"_"&amp;J$61,$B$23:$B$45&amp;"_"&amp;$C$23:$C$45,$D$23:$D$45)*$E1621)</f>
        <v>8</v>
      </c>
      <c r="K1621" s="67" cm="1">
        <f ca="1" t="array" ref="K1621">MIN(18,_xlfn.XLOOKUP($D1621&amp;"_"&amp;K$61,$B$23:$B$45&amp;"_"&amp;$C$23:$C$45,$D$23:$D$45)*$E1621)</f>
        <v>6.41012687427913</v>
      </c>
      <c r="L1621" s="67" cm="1">
        <f ca="1" t="array" ref="L1621">MIN(6,_xlfn.XLOOKUP($D1621&amp;"_"&amp;L$61,$B$23:$B$45&amp;"_"&amp;$C$23:$C$45,$D$23:$D$45)*$E1621)</f>
        <v>6</v>
      </c>
      <c r="M1621" s="67" cm="1">
        <f ca="1" t="array" ref="M1621">(1+SUMPRODUCT(G1621:H1621,OFFSET($H$49:$I$49,D1621,0)))*(1+OFFSET($J$49,D1621,0))^I1621*(1+OFFSET($K$49,D1621,0))^J1621*(1+OFFSET($L$49,D1621,0))^K1621*(1+OFFSET($M$49,D1621,0))^L1621</f>
        <v>457.802733033094</v>
      </c>
      <c r="N1621" s="67">
        <f ca="1">MAX(MAX($N$62:N1620),OFFSET($C$61,MATCH(M1621*1.07,$M$62:$M$2061,1),0)-C1621)</f>
        <v>53640</v>
      </c>
    </row>
    <row r="1622" spans="2:14">
      <c r="B1622" s="67">
        <v>1561</v>
      </c>
      <c r="C1622" s="67">
        <f t="shared" si="149"/>
        <v>561960</v>
      </c>
      <c r="D1622" s="67">
        <f t="shared" si="152"/>
        <v>5</v>
      </c>
      <c r="E1622" s="67">
        <f ca="1" t="shared" si="153"/>
        <v>1591</v>
      </c>
      <c r="F1622" s="67">
        <f ca="1" t="shared" si="150"/>
        <v>0</v>
      </c>
      <c r="G1622" s="67">
        <f ca="1" t="shared" si="151"/>
        <v>0</v>
      </c>
      <c r="H1622" s="67" cm="1">
        <f ca="1" t="array" ref="H1622">MIN(30-SUM(I1622:L1622),_xlfn.XLOOKUP($D1622&amp;"_"&amp;H$61,$B$23:$B$45&amp;"_"&amp;$C$23:$C$45,$D$23:$D$45)*$E1622,18)</f>
        <v>9.58584159938485</v>
      </c>
      <c r="I1622" s="67" cm="1">
        <f ca="1" t="array" ref="I1622">MIN(30-SUM(J1622:L1622),6-L1622,_xlfn.XLOOKUP($D1622&amp;"_"&amp;I$61,$B$23:$B$45&amp;"_"&amp;$C$23:$C$45,$D$23:$D$45)*$E1622)</f>
        <v>0</v>
      </c>
      <c r="J1622" s="67" cm="1">
        <f ca="1" t="array" ref="J1622">MIN(8,_xlfn.XLOOKUP($D1622&amp;"_"&amp;J$61,$B$23:$B$45&amp;"_"&amp;$C$23:$C$45,$D$23:$D$45)*$E1622)</f>
        <v>8</v>
      </c>
      <c r="K1622" s="67" cm="1">
        <f ca="1" t="array" ref="K1622">MIN(18,_xlfn.XLOOKUP($D1622&amp;"_"&amp;K$61,$B$23:$B$45&amp;"_"&amp;$C$23:$C$45,$D$23:$D$45)*$E1622)</f>
        <v>6.41415840061515</v>
      </c>
      <c r="L1622" s="67" cm="1">
        <f ca="1" t="array" ref="L1622">MIN(6,_xlfn.XLOOKUP($D1622&amp;"_"&amp;L$61,$B$23:$B$45&amp;"_"&amp;$C$23:$C$45,$D$23:$D$45)*$E1622)</f>
        <v>6</v>
      </c>
      <c r="M1622" s="67" cm="1">
        <f ca="1" t="array" ref="M1622">(1+SUMPRODUCT(G1622:H1622,OFFSET($H$49:$I$49,D1622,0)))*(1+OFFSET($J$49,D1622,0))^I1622*(1+OFFSET($K$49,D1622,0))^J1622*(1+OFFSET($L$49,D1622,0))^K1622*(1+OFFSET($M$49,D1622,0))^L1622</f>
        <v>458.012762660724</v>
      </c>
      <c r="N1622" s="67">
        <f ca="1">MAX(MAX($N$62:N1621),OFFSET($C$61,MATCH(M1622*1.07,$M$62:$M$2061,1),0)-C1622)</f>
        <v>53640</v>
      </c>
    </row>
    <row r="1623" spans="2:14">
      <c r="B1623" s="67">
        <v>1562</v>
      </c>
      <c r="C1623" s="67">
        <f t="shared" si="149"/>
        <v>562320</v>
      </c>
      <c r="D1623" s="67">
        <f t="shared" si="152"/>
        <v>5</v>
      </c>
      <c r="E1623" s="67">
        <f ca="1" t="shared" si="153"/>
        <v>1592</v>
      </c>
      <c r="F1623" s="67">
        <f ca="1" t="shared" si="150"/>
        <v>0</v>
      </c>
      <c r="G1623" s="67">
        <f ca="1" t="shared" si="151"/>
        <v>0</v>
      </c>
      <c r="H1623" s="67" cm="1">
        <f ca="1" t="array" ref="H1623">MIN(30-SUM(I1623:L1623),_xlfn.XLOOKUP($D1623&amp;"_"&amp;H$61,$B$23:$B$45&amp;"_"&amp;$C$23:$C$45,$D$23:$D$45)*$E1623,18)</f>
        <v>9.58181007304882</v>
      </c>
      <c r="I1623" s="67" cm="1">
        <f ca="1" t="array" ref="I1623">MIN(30-SUM(J1623:L1623),6-L1623,_xlfn.XLOOKUP($D1623&amp;"_"&amp;I$61,$B$23:$B$45&amp;"_"&amp;$C$23:$C$45,$D$23:$D$45)*$E1623)</f>
        <v>0</v>
      </c>
      <c r="J1623" s="67" cm="1">
        <f ca="1" t="array" ref="J1623">MIN(8,_xlfn.XLOOKUP($D1623&amp;"_"&amp;J$61,$B$23:$B$45&amp;"_"&amp;$C$23:$C$45,$D$23:$D$45)*$E1623)</f>
        <v>8</v>
      </c>
      <c r="K1623" s="67" cm="1">
        <f ca="1" t="array" ref="K1623">MIN(18,_xlfn.XLOOKUP($D1623&amp;"_"&amp;K$61,$B$23:$B$45&amp;"_"&amp;$C$23:$C$45,$D$23:$D$45)*$E1623)</f>
        <v>6.41818992695118</v>
      </c>
      <c r="L1623" s="67" cm="1">
        <f ca="1" t="array" ref="L1623">MIN(6,_xlfn.XLOOKUP($D1623&amp;"_"&amp;L$61,$B$23:$B$45&amp;"_"&amp;$C$23:$C$45,$D$23:$D$45)*$E1623)</f>
        <v>6</v>
      </c>
      <c r="M1623" s="67" cm="1">
        <f ca="1" t="array" ref="M1623">(1+SUMPRODUCT(G1623:H1623,OFFSET($H$49:$I$49,D1623,0)))*(1+OFFSET($J$49,D1623,0))^I1623*(1+OFFSET($K$49,D1623,0))^J1623*(1+OFFSET($L$49,D1623,0))^K1623*(1+OFFSET($M$49,D1623,0))^L1623</f>
        <v>458.222853638406</v>
      </c>
      <c r="N1623" s="67">
        <f ca="1">MAX(MAX($N$62:N1622),OFFSET($C$61,MATCH(M1623*1.07,$M$62:$M$2061,1),0)-C1623)</f>
        <v>53640</v>
      </c>
    </row>
    <row r="1624" spans="2:14">
      <c r="B1624" s="67">
        <v>1563</v>
      </c>
      <c r="C1624" s="67">
        <f t="shared" si="149"/>
        <v>562680</v>
      </c>
      <c r="D1624" s="67">
        <f t="shared" si="152"/>
        <v>5</v>
      </c>
      <c r="E1624" s="67">
        <f ca="1" t="shared" si="153"/>
        <v>1593</v>
      </c>
      <c r="F1624" s="67">
        <f ca="1" t="shared" si="150"/>
        <v>0</v>
      </c>
      <c r="G1624" s="67">
        <f ca="1" t="shared" si="151"/>
        <v>0</v>
      </c>
      <c r="H1624" s="67" cm="1">
        <f ca="1" t="array" ref="H1624">MIN(30-SUM(I1624:L1624),_xlfn.XLOOKUP($D1624&amp;"_"&amp;H$61,$B$23:$B$45&amp;"_"&amp;$C$23:$C$45,$D$23:$D$45)*$E1624,18)</f>
        <v>9.5777785467128</v>
      </c>
      <c r="I1624" s="67" cm="1">
        <f ca="1" t="array" ref="I1624">MIN(30-SUM(J1624:L1624),6-L1624,_xlfn.XLOOKUP($D1624&amp;"_"&amp;I$61,$B$23:$B$45&amp;"_"&amp;$C$23:$C$45,$D$23:$D$45)*$E1624)</f>
        <v>0</v>
      </c>
      <c r="J1624" s="67" cm="1">
        <f ca="1" t="array" ref="J1624">MIN(8,_xlfn.XLOOKUP($D1624&amp;"_"&amp;J$61,$B$23:$B$45&amp;"_"&amp;$C$23:$C$45,$D$23:$D$45)*$E1624)</f>
        <v>8</v>
      </c>
      <c r="K1624" s="67" cm="1">
        <f ca="1" t="array" ref="K1624">MIN(18,_xlfn.XLOOKUP($D1624&amp;"_"&amp;K$61,$B$23:$B$45&amp;"_"&amp;$C$23:$C$45,$D$23:$D$45)*$E1624)</f>
        <v>6.4222214532872</v>
      </c>
      <c r="L1624" s="67" cm="1">
        <f ca="1" t="array" ref="L1624">MIN(6,_xlfn.XLOOKUP($D1624&amp;"_"&amp;L$61,$B$23:$B$45&amp;"_"&amp;$C$23:$C$45,$D$23:$D$45)*$E1624)</f>
        <v>6</v>
      </c>
      <c r="M1624" s="67" cm="1">
        <f ca="1" t="array" ref="M1624">(1+SUMPRODUCT(G1624:H1624,OFFSET($H$49:$I$49,D1624,0)))*(1+OFFSET($J$49,D1624,0))^I1624*(1+OFFSET($K$49,D1624,0))^J1624*(1+OFFSET($L$49,D1624,0))^K1624*(1+OFFSET($M$49,D1624,0))^L1624</f>
        <v>458.433005942805</v>
      </c>
      <c r="N1624" s="67">
        <f ca="1">MAX(MAX($N$62:N1623),OFFSET($C$61,MATCH(M1624*1.07,$M$62:$M$2061,1),0)-C1624)</f>
        <v>53640</v>
      </c>
    </row>
    <row r="1625" spans="2:14">
      <c r="B1625" s="67">
        <v>1564</v>
      </c>
      <c r="C1625" s="67">
        <f t="shared" si="149"/>
        <v>563040</v>
      </c>
      <c r="D1625" s="67">
        <f t="shared" si="152"/>
        <v>5</v>
      </c>
      <c r="E1625" s="67">
        <f ca="1" t="shared" si="153"/>
        <v>1594</v>
      </c>
      <c r="F1625" s="67">
        <f ca="1" t="shared" si="150"/>
        <v>0</v>
      </c>
      <c r="G1625" s="67">
        <f ca="1" t="shared" si="151"/>
        <v>0</v>
      </c>
      <c r="H1625" s="67" cm="1">
        <f ca="1" t="array" ref="H1625">MIN(30-SUM(I1625:L1625),_xlfn.XLOOKUP($D1625&amp;"_"&amp;H$61,$B$23:$B$45&amp;"_"&amp;$C$23:$C$45,$D$23:$D$45)*$E1625,18)</f>
        <v>9.57374702037677</v>
      </c>
      <c r="I1625" s="67" cm="1">
        <f ca="1" t="array" ref="I1625">MIN(30-SUM(J1625:L1625),6-L1625,_xlfn.XLOOKUP($D1625&amp;"_"&amp;I$61,$B$23:$B$45&amp;"_"&amp;$C$23:$C$45,$D$23:$D$45)*$E1625)</f>
        <v>0</v>
      </c>
      <c r="J1625" s="67" cm="1">
        <f ca="1" t="array" ref="J1625">MIN(8,_xlfn.XLOOKUP($D1625&amp;"_"&amp;J$61,$B$23:$B$45&amp;"_"&amp;$C$23:$C$45,$D$23:$D$45)*$E1625)</f>
        <v>8</v>
      </c>
      <c r="K1625" s="67" cm="1">
        <f ca="1" t="array" ref="K1625">MIN(18,_xlfn.XLOOKUP($D1625&amp;"_"&amp;K$61,$B$23:$B$45&amp;"_"&amp;$C$23:$C$45,$D$23:$D$45)*$E1625)</f>
        <v>6.42625297962323</v>
      </c>
      <c r="L1625" s="67" cm="1">
        <f ca="1" t="array" ref="L1625">MIN(6,_xlfn.XLOOKUP($D1625&amp;"_"&amp;L$61,$B$23:$B$45&amp;"_"&amp;$C$23:$C$45,$D$23:$D$45)*$E1625)</f>
        <v>6</v>
      </c>
      <c r="M1625" s="67" cm="1">
        <f ca="1" t="array" ref="M1625">(1+SUMPRODUCT(G1625:H1625,OFFSET($H$49:$I$49,D1625,0)))*(1+OFFSET($J$49,D1625,0))^I1625*(1+OFFSET($K$49,D1625,0))^J1625*(1+OFFSET($L$49,D1625,0))^K1625*(1+OFFSET($M$49,D1625,0))^L1625</f>
        <v>458.643219550518</v>
      </c>
      <c r="N1625" s="67">
        <f ca="1">MAX(MAX($N$62:N1624),OFFSET($C$61,MATCH(M1625*1.07,$M$62:$M$2061,1),0)-C1625)</f>
        <v>53640</v>
      </c>
    </row>
    <row r="1626" spans="2:14">
      <c r="B1626" s="67">
        <v>1565</v>
      </c>
      <c r="C1626" s="67">
        <f t="shared" si="149"/>
        <v>563400</v>
      </c>
      <c r="D1626" s="67">
        <f t="shared" si="152"/>
        <v>5</v>
      </c>
      <c r="E1626" s="67">
        <f ca="1" t="shared" si="153"/>
        <v>1595</v>
      </c>
      <c r="F1626" s="67">
        <f ca="1" t="shared" si="150"/>
        <v>0</v>
      </c>
      <c r="G1626" s="67">
        <f ca="1" t="shared" si="151"/>
        <v>0</v>
      </c>
      <c r="H1626" s="67" cm="1">
        <f ca="1" t="array" ref="H1626">MIN(30-SUM(I1626:L1626),_xlfn.XLOOKUP($D1626&amp;"_"&amp;H$61,$B$23:$B$45&amp;"_"&amp;$C$23:$C$45,$D$23:$D$45)*$E1626,18)</f>
        <v>9.56971549404075</v>
      </c>
      <c r="I1626" s="67" cm="1">
        <f ca="1" t="array" ref="I1626">MIN(30-SUM(J1626:L1626),6-L1626,_xlfn.XLOOKUP($D1626&amp;"_"&amp;I$61,$B$23:$B$45&amp;"_"&amp;$C$23:$C$45,$D$23:$D$45)*$E1626)</f>
        <v>0</v>
      </c>
      <c r="J1626" s="67" cm="1">
        <f ca="1" t="array" ref="J1626">MIN(8,_xlfn.XLOOKUP($D1626&amp;"_"&amp;J$61,$B$23:$B$45&amp;"_"&amp;$C$23:$C$45,$D$23:$D$45)*$E1626)</f>
        <v>8</v>
      </c>
      <c r="K1626" s="67" cm="1">
        <f ca="1" t="array" ref="K1626">MIN(18,_xlfn.XLOOKUP($D1626&amp;"_"&amp;K$61,$B$23:$B$45&amp;"_"&amp;$C$23:$C$45,$D$23:$D$45)*$E1626)</f>
        <v>6.43028450595925</v>
      </c>
      <c r="L1626" s="67" cm="1">
        <f ca="1" t="array" ref="L1626">MIN(6,_xlfn.XLOOKUP($D1626&amp;"_"&amp;L$61,$B$23:$B$45&amp;"_"&amp;$C$23:$C$45,$D$23:$D$45)*$E1626)</f>
        <v>6</v>
      </c>
      <c r="M1626" s="67" cm="1">
        <f ca="1" t="array" ref="M1626">(1+SUMPRODUCT(G1626:H1626,OFFSET($H$49:$I$49,D1626,0)))*(1+OFFSET($J$49,D1626,0))^I1626*(1+OFFSET($K$49,D1626,0))^J1626*(1+OFFSET($L$49,D1626,0))^K1626*(1+OFFSET($M$49,D1626,0))^L1626</f>
        <v>458.853494438075</v>
      </c>
      <c r="N1626" s="67">
        <f ca="1">MAX(MAX($N$62:N1625),OFFSET($C$61,MATCH(M1626*1.07,$M$62:$M$2061,1),0)-C1626)</f>
        <v>53640</v>
      </c>
    </row>
    <row r="1627" spans="2:14">
      <c r="B1627" s="67">
        <v>1566</v>
      </c>
      <c r="C1627" s="67">
        <f t="shared" si="149"/>
        <v>563760</v>
      </c>
      <c r="D1627" s="67">
        <f t="shared" si="152"/>
        <v>5</v>
      </c>
      <c r="E1627" s="67">
        <f ca="1" t="shared" si="153"/>
        <v>1596</v>
      </c>
      <c r="F1627" s="67">
        <f ca="1" t="shared" si="150"/>
        <v>0</v>
      </c>
      <c r="G1627" s="67">
        <f ca="1" t="shared" si="151"/>
        <v>0</v>
      </c>
      <c r="H1627" s="67" cm="1">
        <f ca="1" t="array" ref="H1627">MIN(30-SUM(I1627:L1627),_xlfn.XLOOKUP($D1627&amp;"_"&amp;H$61,$B$23:$B$45&amp;"_"&amp;$C$23:$C$45,$D$23:$D$45)*$E1627,18)</f>
        <v>9.56568396770472</v>
      </c>
      <c r="I1627" s="67" cm="1">
        <f ca="1" t="array" ref="I1627">MIN(30-SUM(J1627:L1627),6-L1627,_xlfn.XLOOKUP($D1627&amp;"_"&amp;I$61,$B$23:$B$45&amp;"_"&amp;$C$23:$C$45,$D$23:$D$45)*$E1627)</f>
        <v>0</v>
      </c>
      <c r="J1627" s="67" cm="1">
        <f ca="1" t="array" ref="J1627">MIN(8,_xlfn.XLOOKUP($D1627&amp;"_"&amp;J$61,$B$23:$B$45&amp;"_"&amp;$C$23:$C$45,$D$23:$D$45)*$E1627)</f>
        <v>8</v>
      </c>
      <c r="K1627" s="67" cm="1">
        <f ca="1" t="array" ref="K1627">MIN(18,_xlfn.XLOOKUP($D1627&amp;"_"&amp;K$61,$B$23:$B$45&amp;"_"&amp;$C$23:$C$45,$D$23:$D$45)*$E1627)</f>
        <v>6.43431603229528</v>
      </c>
      <c r="L1627" s="67" cm="1">
        <f ca="1" t="array" ref="L1627">MIN(6,_xlfn.XLOOKUP($D1627&amp;"_"&amp;L$61,$B$23:$B$45&amp;"_"&amp;$C$23:$C$45,$D$23:$D$45)*$E1627)</f>
        <v>6</v>
      </c>
      <c r="M1627" s="67" cm="1">
        <f ca="1" t="array" ref="M1627">(1+SUMPRODUCT(G1627:H1627,OFFSET($H$49:$I$49,D1627,0)))*(1+OFFSET($J$49,D1627,0))^I1627*(1+OFFSET($K$49,D1627,0))^J1627*(1+OFFSET($L$49,D1627,0))^K1627*(1+OFFSET($M$49,D1627,0))^L1627</f>
        <v>459.063830581938</v>
      </c>
      <c r="N1627" s="67">
        <f ca="1">MAX(MAX($N$62:N1626),OFFSET($C$61,MATCH(M1627*1.07,$M$62:$M$2061,1),0)-C1627)</f>
        <v>53640</v>
      </c>
    </row>
    <row r="1628" spans="2:14">
      <c r="B1628" s="67">
        <v>1567</v>
      </c>
      <c r="C1628" s="67">
        <f t="shared" si="149"/>
        <v>564120</v>
      </c>
      <c r="D1628" s="67">
        <f t="shared" si="152"/>
        <v>5</v>
      </c>
      <c r="E1628" s="67">
        <f ca="1" t="shared" si="153"/>
        <v>1597</v>
      </c>
      <c r="F1628" s="67">
        <f ca="1" t="shared" si="150"/>
        <v>0</v>
      </c>
      <c r="G1628" s="67">
        <f ca="1" t="shared" si="151"/>
        <v>0</v>
      </c>
      <c r="H1628" s="67" cm="1">
        <f ca="1" t="array" ref="H1628">MIN(30-SUM(I1628:L1628),_xlfn.XLOOKUP($D1628&amp;"_"&amp;H$61,$B$23:$B$45&amp;"_"&amp;$C$23:$C$45,$D$23:$D$45)*$E1628,18)</f>
        <v>9.5616524413687</v>
      </c>
      <c r="I1628" s="67" cm="1">
        <f ca="1" t="array" ref="I1628">MIN(30-SUM(J1628:L1628),6-L1628,_xlfn.XLOOKUP($D1628&amp;"_"&amp;I$61,$B$23:$B$45&amp;"_"&amp;$C$23:$C$45,$D$23:$D$45)*$E1628)</f>
        <v>0</v>
      </c>
      <c r="J1628" s="67" cm="1">
        <f ca="1" t="array" ref="J1628">MIN(8,_xlfn.XLOOKUP($D1628&amp;"_"&amp;J$61,$B$23:$B$45&amp;"_"&amp;$C$23:$C$45,$D$23:$D$45)*$E1628)</f>
        <v>8</v>
      </c>
      <c r="K1628" s="67" cm="1">
        <f ca="1" t="array" ref="K1628">MIN(18,_xlfn.XLOOKUP($D1628&amp;"_"&amp;K$61,$B$23:$B$45&amp;"_"&amp;$C$23:$C$45,$D$23:$D$45)*$E1628)</f>
        <v>6.4383475586313</v>
      </c>
      <c r="L1628" s="67" cm="1">
        <f ca="1" t="array" ref="L1628">MIN(6,_xlfn.XLOOKUP($D1628&amp;"_"&amp;L$61,$B$23:$B$45&amp;"_"&amp;$C$23:$C$45,$D$23:$D$45)*$E1628)</f>
        <v>6</v>
      </c>
      <c r="M1628" s="67" cm="1">
        <f ca="1" t="array" ref="M1628">(1+SUMPRODUCT(G1628:H1628,OFFSET($H$49:$I$49,D1628,0)))*(1+OFFSET($J$49,D1628,0))^I1628*(1+OFFSET($K$49,D1628,0))^J1628*(1+OFFSET($L$49,D1628,0))^K1628*(1+OFFSET($M$49,D1628,0))^L1628</f>
        <v>459.274227958502</v>
      </c>
      <c r="N1628" s="67">
        <f ca="1">MAX(MAX($N$62:N1627),OFFSET($C$61,MATCH(M1628*1.07,$M$62:$M$2061,1),0)-C1628)</f>
        <v>53640</v>
      </c>
    </row>
    <row r="1629" spans="2:14">
      <c r="B1629" s="67">
        <v>1568</v>
      </c>
      <c r="C1629" s="67">
        <f t="shared" si="149"/>
        <v>564480</v>
      </c>
      <c r="D1629" s="67">
        <f t="shared" si="152"/>
        <v>5</v>
      </c>
      <c r="E1629" s="67">
        <f ca="1" t="shared" si="153"/>
        <v>1598</v>
      </c>
      <c r="F1629" s="67">
        <f ca="1" t="shared" si="150"/>
        <v>0</v>
      </c>
      <c r="G1629" s="67">
        <f ca="1" t="shared" si="151"/>
        <v>0</v>
      </c>
      <c r="H1629" s="67" cm="1">
        <f ca="1" t="array" ref="H1629">MIN(30-SUM(I1629:L1629),_xlfn.XLOOKUP($D1629&amp;"_"&amp;H$61,$B$23:$B$45&amp;"_"&amp;$C$23:$C$45,$D$23:$D$45)*$E1629,18)</f>
        <v>9.55762091503267</v>
      </c>
      <c r="I1629" s="67" cm="1">
        <f ca="1" t="array" ref="I1629">MIN(30-SUM(J1629:L1629),6-L1629,_xlfn.XLOOKUP($D1629&amp;"_"&amp;I$61,$B$23:$B$45&amp;"_"&amp;$C$23:$C$45,$D$23:$D$45)*$E1629)</f>
        <v>0</v>
      </c>
      <c r="J1629" s="67" cm="1">
        <f ca="1" t="array" ref="J1629">MIN(8,_xlfn.XLOOKUP($D1629&amp;"_"&amp;J$61,$B$23:$B$45&amp;"_"&amp;$C$23:$C$45,$D$23:$D$45)*$E1629)</f>
        <v>8</v>
      </c>
      <c r="K1629" s="67" cm="1">
        <f ca="1" t="array" ref="K1629">MIN(18,_xlfn.XLOOKUP($D1629&amp;"_"&amp;K$61,$B$23:$B$45&amp;"_"&amp;$C$23:$C$45,$D$23:$D$45)*$E1629)</f>
        <v>6.44237908496733</v>
      </c>
      <c r="L1629" s="67" cm="1">
        <f ca="1" t="array" ref="L1629">MIN(6,_xlfn.XLOOKUP($D1629&amp;"_"&amp;L$61,$B$23:$B$45&amp;"_"&amp;$C$23:$C$45,$D$23:$D$45)*$E1629)</f>
        <v>6</v>
      </c>
      <c r="M1629" s="67" cm="1">
        <f ca="1" t="array" ref="M1629">(1+SUMPRODUCT(G1629:H1629,OFFSET($H$49:$I$49,D1629,0)))*(1+OFFSET($J$49,D1629,0))^I1629*(1+OFFSET($K$49,D1629,0))^J1629*(1+OFFSET($L$49,D1629,0))^K1629*(1+OFFSET($M$49,D1629,0))^L1629</f>
        <v>459.484686544091</v>
      </c>
      <c r="N1629" s="67">
        <f ca="1">MAX(MAX($N$62:N1628),OFFSET($C$61,MATCH(M1629*1.07,$M$62:$M$2061,1),0)-C1629)</f>
        <v>53640</v>
      </c>
    </row>
    <row r="1630" spans="2:14">
      <c r="B1630" s="67">
        <v>1569</v>
      </c>
      <c r="C1630" s="67">
        <f t="shared" si="149"/>
        <v>564840</v>
      </c>
      <c r="D1630" s="67">
        <f t="shared" si="152"/>
        <v>5</v>
      </c>
      <c r="E1630" s="67">
        <f ca="1" t="shared" si="153"/>
        <v>1599</v>
      </c>
      <c r="F1630" s="67">
        <f ca="1" t="shared" si="150"/>
        <v>0</v>
      </c>
      <c r="G1630" s="67">
        <f ca="1" t="shared" si="151"/>
        <v>0</v>
      </c>
      <c r="H1630" s="67" cm="1">
        <f ca="1" t="array" ref="H1630">MIN(30-SUM(I1630:L1630),_xlfn.XLOOKUP($D1630&amp;"_"&amp;H$61,$B$23:$B$45&amp;"_"&amp;$C$23:$C$45,$D$23:$D$45)*$E1630,18)</f>
        <v>9.55358938869665</v>
      </c>
      <c r="I1630" s="67" cm="1">
        <f ca="1" t="array" ref="I1630">MIN(30-SUM(J1630:L1630),6-L1630,_xlfn.XLOOKUP($D1630&amp;"_"&amp;I$61,$B$23:$B$45&amp;"_"&amp;$C$23:$C$45,$D$23:$D$45)*$E1630)</f>
        <v>0</v>
      </c>
      <c r="J1630" s="67" cm="1">
        <f ca="1" t="array" ref="J1630">MIN(8,_xlfn.XLOOKUP($D1630&amp;"_"&amp;J$61,$B$23:$B$45&amp;"_"&amp;$C$23:$C$45,$D$23:$D$45)*$E1630)</f>
        <v>8</v>
      </c>
      <c r="K1630" s="67" cm="1">
        <f ca="1" t="array" ref="K1630">MIN(18,_xlfn.XLOOKUP($D1630&amp;"_"&amp;K$61,$B$23:$B$45&amp;"_"&amp;$C$23:$C$45,$D$23:$D$45)*$E1630)</f>
        <v>6.44641061130335</v>
      </c>
      <c r="L1630" s="67" cm="1">
        <f ca="1" t="array" ref="L1630">MIN(6,_xlfn.XLOOKUP($D1630&amp;"_"&amp;L$61,$B$23:$B$45&amp;"_"&amp;$C$23:$C$45,$D$23:$D$45)*$E1630)</f>
        <v>6</v>
      </c>
      <c r="M1630" s="67" cm="1">
        <f ca="1" t="array" ref="M1630">(1+SUMPRODUCT(G1630:H1630,OFFSET($H$49:$I$49,D1630,0)))*(1+OFFSET($J$49,D1630,0))^I1630*(1+OFFSET($K$49,D1630,0))^J1630*(1+OFFSET($L$49,D1630,0))^K1630*(1+OFFSET($M$49,D1630,0))^L1630</f>
        <v>459.695206314966</v>
      </c>
      <c r="N1630" s="67">
        <f ca="1">MAX(MAX($N$62:N1629),OFFSET($C$61,MATCH(M1630*1.07,$M$62:$M$2061,1),0)-C1630)</f>
        <v>53640</v>
      </c>
    </row>
    <row r="1631" spans="2:14">
      <c r="B1631" s="67">
        <v>1570</v>
      </c>
      <c r="C1631" s="67">
        <f t="shared" si="149"/>
        <v>565200</v>
      </c>
      <c r="D1631" s="67">
        <f t="shared" si="152"/>
        <v>5</v>
      </c>
      <c r="E1631" s="67">
        <f ca="1" t="shared" si="153"/>
        <v>1600</v>
      </c>
      <c r="F1631" s="67">
        <f ca="1" t="shared" si="150"/>
        <v>0</v>
      </c>
      <c r="G1631" s="67">
        <f ca="1" t="shared" si="151"/>
        <v>0</v>
      </c>
      <c r="H1631" s="67" cm="1">
        <f ca="1" t="array" ref="H1631">MIN(30-SUM(I1631:L1631),_xlfn.XLOOKUP($D1631&amp;"_"&amp;H$61,$B$23:$B$45&amp;"_"&amp;$C$23:$C$45,$D$23:$D$45)*$E1631,18)</f>
        <v>9.54955786236063</v>
      </c>
      <c r="I1631" s="67" cm="1">
        <f ca="1" t="array" ref="I1631">MIN(30-SUM(J1631:L1631),6-L1631,_xlfn.XLOOKUP($D1631&amp;"_"&amp;I$61,$B$23:$B$45&amp;"_"&amp;$C$23:$C$45,$D$23:$D$45)*$E1631)</f>
        <v>0</v>
      </c>
      <c r="J1631" s="67" cm="1">
        <f ca="1" t="array" ref="J1631">MIN(8,_xlfn.XLOOKUP($D1631&amp;"_"&amp;J$61,$B$23:$B$45&amp;"_"&amp;$C$23:$C$45,$D$23:$D$45)*$E1631)</f>
        <v>8</v>
      </c>
      <c r="K1631" s="67" cm="1">
        <f ca="1" t="array" ref="K1631">MIN(18,_xlfn.XLOOKUP($D1631&amp;"_"&amp;K$61,$B$23:$B$45&amp;"_"&amp;$C$23:$C$45,$D$23:$D$45)*$E1631)</f>
        <v>6.45044213763938</v>
      </c>
      <c r="L1631" s="67" cm="1">
        <f ca="1" t="array" ref="L1631">MIN(6,_xlfn.XLOOKUP($D1631&amp;"_"&amp;L$61,$B$23:$B$45&amp;"_"&amp;$C$23:$C$45,$D$23:$D$45)*$E1631)</f>
        <v>6</v>
      </c>
      <c r="M1631" s="67" cm="1">
        <f ca="1" t="array" ref="M1631">(1+SUMPRODUCT(G1631:H1631,OFFSET($H$49:$I$49,D1631,0)))*(1+OFFSET($J$49,D1631,0))^I1631*(1+OFFSET($K$49,D1631,0))^J1631*(1+OFFSET($L$49,D1631,0))^K1631*(1+OFFSET($M$49,D1631,0))^L1631</f>
        <v>459.905787247316</v>
      </c>
      <c r="N1631" s="67">
        <f ca="1">MAX(MAX($N$62:N1630),OFFSET($C$61,MATCH(M1631*1.07,$M$62:$M$2061,1),0)-C1631)</f>
        <v>53640</v>
      </c>
    </row>
    <row r="1632" spans="2:14">
      <c r="B1632" s="67">
        <v>1571</v>
      </c>
      <c r="C1632" s="67">
        <f t="shared" si="149"/>
        <v>565560</v>
      </c>
      <c r="D1632" s="67">
        <f t="shared" si="152"/>
        <v>5</v>
      </c>
      <c r="E1632" s="67">
        <f ca="1" t="shared" si="153"/>
        <v>1601</v>
      </c>
      <c r="F1632" s="67">
        <f ca="1" t="shared" si="150"/>
        <v>0</v>
      </c>
      <c r="G1632" s="67">
        <f ca="1" t="shared" si="151"/>
        <v>0</v>
      </c>
      <c r="H1632" s="67" cm="1">
        <f ca="1" t="array" ref="H1632">MIN(30-SUM(I1632:L1632),_xlfn.XLOOKUP($D1632&amp;"_"&amp;H$61,$B$23:$B$45&amp;"_"&amp;$C$23:$C$45,$D$23:$D$45)*$E1632,18)</f>
        <v>9.5455263360246</v>
      </c>
      <c r="I1632" s="67" cm="1">
        <f ca="1" t="array" ref="I1632">MIN(30-SUM(J1632:L1632),6-L1632,_xlfn.XLOOKUP($D1632&amp;"_"&amp;I$61,$B$23:$B$45&amp;"_"&amp;$C$23:$C$45,$D$23:$D$45)*$E1632)</f>
        <v>0</v>
      </c>
      <c r="J1632" s="67" cm="1">
        <f ca="1" t="array" ref="J1632">MIN(8,_xlfn.XLOOKUP($D1632&amp;"_"&amp;J$61,$B$23:$B$45&amp;"_"&amp;$C$23:$C$45,$D$23:$D$45)*$E1632)</f>
        <v>8</v>
      </c>
      <c r="K1632" s="67" cm="1">
        <f ca="1" t="array" ref="K1632">MIN(18,_xlfn.XLOOKUP($D1632&amp;"_"&amp;K$61,$B$23:$B$45&amp;"_"&amp;$C$23:$C$45,$D$23:$D$45)*$E1632)</f>
        <v>6.4544736639754</v>
      </c>
      <c r="L1632" s="67" cm="1">
        <f ca="1" t="array" ref="L1632">MIN(6,_xlfn.XLOOKUP($D1632&amp;"_"&amp;L$61,$B$23:$B$45&amp;"_"&amp;$C$23:$C$45,$D$23:$D$45)*$E1632)</f>
        <v>6</v>
      </c>
      <c r="M1632" s="67" cm="1">
        <f ca="1" t="array" ref="M1632">(1+SUMPRODUCT(G1632:H1632,OFFSET($H$49:$I$49,D1632,0)))*(1+OFFSET($J$49,D1632,0))^I1632*(1+OFFSET($K$49,D1632,0))^J1632*(1+OFFSET($L$49,D1632,0))^K1632*(1+OFFSET($M$49,D1632,0))^L1632</f>
        <v>460.116429317263</v>
      </c>
      <c r="N1632" s="67">
        <f ca="1">MAX(MAX($N$62:N1631),OFFSET($C$61,MATCH(M1632*1.07,$M$62:$M$2061,1),0)-C1632)</f>
        <v>53640</v>
      </c>
    </row>
    <row r="1633" spans="2:14">
      <c r="B1633" s="67">
        <v>1572</v>
      </c>
      <c r="C1633" s="67">
        <f t="shared" si="149"/>
        <v>565920</v>
      </c>
      <c r="D1633" s="67">
        <f t="shared" si="152"/>
        <v>5</v>
      </c>
      <c r="E1633" s="67">
        <f ca="1" t="shared" si="153"/>
        <v>1602</v>
      </c>
      <c r="F1633" s="67">
        <f ca="1" t="shared" si="150"/>
        <v>0</v>
      </c>
      <c r="G1633" s="67">
        <f ca="1" t="shared" si="151"/>
        <v>0</v>
      </c>
      <c r="H1633" s="67" cm="1">
        <f ca="1" t="array" ref="H1633">MIN(30-SUM(I1633:L1633),_xlfn.XLOOKUP($D1633&amp;"_"&amp;H$61,$B$23:$B$45&amp;"_"&amp;$C$23:$C$45,$D$23:$D$45)*$E1633,18)</f>
        <v>9.54149480968858</v>
      </c>
      <c r="I1633" s="67" cm="1">
        <f ca="1" t="array" ref="I1633">MIN(30-SUM(J1633:L1633),6-L1633,_xlfn.XLOOKUP($D1633&amp;"_"&amp;I$61,$B$23:$B$45&amp;"_"&amp;$C$23:$C$45,$D$23:$D$45)*$E1633)</f>
        <v>0</v>
      </c>
      <c r="J1633" s="67" cm="1">
        <f ca="1" t="array" ref="J1633">MIN(8,_xlfn.XLOOKUP($D1633&amp;"_"&amp;J$61,$B$23:$B$45&amp;"_"&amp;$C$23:$C$45,$D$23:$D$45)*$E1633)</f>
        <v>8</v>
      </c>
      <c r="K1633" s="67" cm="1">
        <f ca="1" t="array" ref="K1633">MIN(18,_xlfn.XLOOKUP($D1633&amp;"_"&amp;K$61,$B$23:$B$45&amp;"_"&amp;$C$23:$C$45,$D$23:$D$45)*$E1633)</f>
        <v>6.45850519031143</v>
      </c>
      <c r="L1633" s="67" cm="1">
        <f ca="1" t="array" ref="L1633">MIN(6,_xlfn.XLOOKUP($D1633&amp;"_"&amp;L$61,$B$23:$B$45&amp;"_"&amp;$C$23:$C$45,$D$23:$D$45)*$E1633)</f>
        <v>6</v>
      </c>
      <c r="M1633" s="67" cm="1">
        <f ca="1" t="array" ref="M1633">(1+SUMPRODUCT(G1633:H1633,OFFSET($H$49:$I$49,D1633,0)))*(1+OFFSET($J$49,D1633,0))^I1633*(1+OFFSET($K$49,D1633,0))^J1633*(1+OFFSET($L$49,D1633,0))^K1633*(1+OFFSET($M$49,D1633,0))^L1633</f>
        <v>460.327132500862</v>
      </c>
      <c r="N1633" s="67">
        <f ca="1">MAX(MAX($N$62:N1632),OFFSET($C$61,MATCH(M1633*1.07,$M$62:$M$2061,1),0)-C1633)</f>
        <v>53640</v>
      </c>
    </row>
    <row r="1634" spans="2:14">
      <c r="B1634" s="67">
        <v>1573</v>
      </c>
      <c r="C1634" s="67">
        <f t="shared" si="149"/>
        <v>566280</v>
      </c>
      <c r="D1634" s="67">
        <f t="shared" si="152"/>
        <v>5</v>
      </c>
      <c r="E1634" s="67">
        <f ca="1" t="shared" si="153"/>
        <v>1603</v>
      </c>
      <c r="F1634" s="67">
        <f ca="1" t="shared" si="150"/>
        <v>0</v>
      </c>
      <c r="G1634" s="67">
        <f ca="1" t="shared" si="151"/>
        <v>0</v>
      </c>
      <c r="H1634" s="67" cm="1">
        <f ca="1" t="array" ref="H1634">MIN(30-SUM(I1634:L1634),_xlfn.XLOOKUP($D1634&amp;"_"&amp;H$61,$B$23:$B$45&amp;"_"&amp;$C$23:$C$45,$D$23:$D$45)*$E1634,18)</f>
        <v>9.53746328335255</v>
      </c>
      <c r="I1634" s="67" cm="1">
        <f ca="1" t="array" ref="I1634">MIN(30-SUM(J1634:L1634),6-L1634,_xlfn.XLOOKUP($D1634&amp;"_"&amp;I$61,$B$23:$B$45&amp;"_"&amp;$C$23:$C$45,$D$23:$D$45)*$E1634)</f>
        <v>0</v>
      </c>
      <c r="J1634" s="67" cm="1">
        <f ca="1" t="array" ref="J1634">MIN(8,_xlfn.XLOOKUP($D1634&amp;"_"&amp;J$61,$B$23:$B$45&amp;"_"&amp;$C$23:$C$45,$D$23:$D$45)*$E1634)</f>
        <v>8</v>
      </c>
      <c r="K1634" s="67" cm="1">
        <f ca="1" t="array" ref="K1634">MIN(18,_xlfn.XLOOKUP($D1634&amp;"_"&amp;K$61,$B$23:$B$45&amp;"_"&amp;$C$23:$C$45,$D$23:$D$45)*$E1634)</f>
        <v>6.46253671664745</v>
      </c>
      <c r="L1634" s="67" cm="1">
        <f ca="1" t="array" ref="L1634">MIN(6,_xlfn.XLOOKUP($D1634&amp;"_"&amp;L$61,$B$23:$B$45&amp;"_"&amp;$C$23:$C$45,$D$23:$D$45)*$E1634)</f>
        <v>6</v>
      </c>
      <c r="M1634" s="67" cm="1">
        <f ca="1" t="array" ref="M1634">(1+SUMPRODUCT(G1634:H1634,OFFSET($H$49:$I$49,D1634,0)))*(1+OFFSET($J$49,D1634,0))^I1634*(1+OFFSET($K$49,D1634,0))^J1634*(1+OFFSET($L$49,D1634,0))^K1634*(1+OFFSET($M$49,D1634,0))^L1634</f>
        <v>460.537896774099</v>
      </c>
      <c r="N1634" s="67">
        <f ca="1">MAX(MAX($N$62:N1633),OFFSET($C$61,MATCH(M1634*1.07,$M$62:$M$2061,1),0)-C1634)</f>
        <v>53640</v>
      </c>
    </row>
    <row r="1635" spans="2:14">
      <c r="B1635" s="67">
        <v>1574</v>
      </c>
      <c r="C1635" s="67">
        <f t="shared" si="149"/>
        <v>566640</v>
      </c>
      <c r="D1635" s="67">
        <f t="shared" si="152"/>
        <v>5</v>
      </c>
      <c r="E1635" s="67">
        <f ca="1" t="shared" si="153"/>
        <v>1604</v>
      </c>
      <c r="F1635" s="67">
        <f ca="1" t="shared" si="150"/>
        <v>0</v>
      </c>
      <c r="G1635" s="67">
        <f ca="1" t="shared" si="151"/>
        <v>0</v>
      </c>
      <c r="H1635" s="67" cm="1">
        <f ca="1" t="array" ref="H1635">MIN(30-SUM(I1635:L1635),_xlfn.XLOOKUP($D1635&amp;"_"&amp;H$61,$B$23:$B$45&amp;"_"&amp;$C$23:$C$45,$D$23:$D$45)*$E1635,18)</f>
        <v>9.53343175701653</v>
      </c>
      <c r="I1635" s="67" cm="1">
        <f ca="1" t="array" ref="I1635">MIN(30-SUM(J1635:L1635),6-L1635,_xlfn.XLOOKUP($D1635&amp;"_"&amp;I$61,$B$23:$B$45&amp;"_"&amp;$C$23:$C$45,$D$23:$D$45)*$E1635)</f>
        <v>0</v>
      </c>
      <c r="J1635" s="67" cm="1">
        <f ca="1" t="array" ref="J1635">MIN(8,_xlfn.XLOOKUP($D1635&amp;"_"&amp;J$61,$B$23:$B$45&amp;"_"&amp;$C$23:$C$45,$D$23:$D$45)*$E1635)</f>
        <v>8</v>
      </c>
      <c r="K1635" s="67" cm="1">
        <f ca="1" t="array" ref="K1635">MIN(18,_xlfn.XLOOKUP($D1635&amp;"_"&amp;K$61,$B$23:$B$45&amp;"_"&amp;$C$23:$C$45,$D$23:$D$45)*$E1635)</f>
        <v>6.46656824298347</v>
      </c>
      <c r="L1635" s="67" cm="1">
        <f ca="1" t="array" ref="L1635">MIN(6,_xlfn.XLOOKUP($D1635&amp;"_"&amp;L$61,$B$23:$B$45&amp;"_"&amp;$C$23:$C$45,$D$23:$D$45)*$E1635)</f>
        <v>6</v>
      </c>
      <c r="M1635" s="67" cm="1">
        <f ca="1" t="array" ref="M1635">(1+SUMPRODUCT(G1635:H1635,OFFSET($H$49:$I$49,D1635,0)))*(1+OFFSET($J$49,D1635,0))^I1635*(1+OFFSET($K$49,D1635,0))^J1635*(1+OFFSET($L$49,D1635,0))^K1635*(1+OFFSET($M$49,D1635,0))^L1635</f>
        <v>460.748722112892</v>
      </c>
      <c r="N1635" s="67">
        <f ca="1">MAX(MAX($N$62:N1634),OFFSET($C$61,MATCH(M1635*1.07,$M$62:$M$2061,1),0)-C1635)</f>
        <v>53640</v>
      </c>
    </row>
    <row r="1636" spans="2:14">
      <c r="B1636" s="67">
        <v>1575</v>
      </c>
      <c r="C1636" s="67">
        <f t="shared" si="149"/>
        <v>567000</v>
      </c>
      <c r="D1636" s="67">
        <f t="shared" si="152"/>
        <v>5</v>
      </c>
      <c r="E1636" s="67">
        <f ca="1" t="shared" si="153"/>
        <v>1605</v>
      </c>
      <c r="F1636" s="67">
        <f ca="1" t="shared" si="150"/>
        <v>0</v>
      </c>
      <c r="G1636" s="67">
        <f ca="1" t="shared" si="151"/>
        <v>0</v>
      </c>
      <c r="H1636" s="67" cm="1">
        <f ca="1" t="array" ref="H1636">MIN(30-SUM(I1636:L1636),_xlfn.XLOOKUP($D1636&amp;"_"&amp;H$61,$B$23:$B$45&amp;"_"&amp;$C$23:$C$45,$D$23:$D$45)*$E1636,18)</f>
        <v>9.5294002306805</v>
      </c>
      <c r="I1636" s="67" cm="1">
        <f ca="1" t="array" ref="I1636">MIN(30-SUM(J1636:L1636),6-L1636,_xlfn.XLOOKUP($D1636&amp;"_"&amp;I$61,$B$23:$B$45&amp;"_"&amp;$C$23:$C$45,$D$23:$D$45)*$E1636)</f>
        <v>0</v>
      </c>
      <c r="J1636" s="67" cm="1">
        <f ca="1" t="array" ref="J1636">MIN(8,_xlfn.XLOOKUP($D1636&amp;"_"&amp;J$61,$B$23:$B$45&amp;"_"&amp;$C$23:$C$45,$D$23:$D$45)*$E1636)</f>
        <v>8</v>
      </c>
      <c r="K1636" s="67" cm="1">
        <f ca="1" t="array" ref="K1636">MIN(18,_xlfn.XLOOKUP($D1636&amp;"_"&amp;K$61,$B$23:$B$45&amp;"_"&amp;$C$23:$C$45,$D$23:$D$45)*$E1636)</f>
        <v>6.4705997693195</v>
      </c>
      <c r="L1636" s="67" cm="1">
        <f ca="1" t="array" ref="L1636">MIN(6,_xlfn.XLOOKUP($D1636&amp;"_"&amp;L$61,$B$23:$B$45&amp;"_"&amp;$C$23:$C$45,$D$23:$D$45)*$E1636)</f>
        <v>6</v>
      </c>
      <c r="M1636" s="67" cm="1">
        <f ca="1" t="array" ref="M1636">(1+SUMPRODUCT(G1636:H1636,OFFSET($H$49:$I$49,D1636,0)))*(1+OFFSET($J$49,D1636,0))^I1636*(1+OFFSET($K$49,D1636,0))^J1636*(1+OFFSET($L$49,D1636,0))^K1636*(1+OFFSET($M$49,D1636,0))^L1636</f>
        <v>460.959608493089</v>
      </c>
      <c r="N1636" s="67">
        <f ca="1">MAX(MAX($N$62:N1635),OFFSET($C$61,MATCH(M1636*1.07,$M$62:$M$2061,1),0)-C1636)</f>
        <v>53640</v>
      </c>
    </row>
    <row r="1637" spans="2:14">
      <c r="B1637" s="67">
        <v>1576</v>
      </c>
      <c r="C1637" s="67">
        <f t="shared" si="149"/>
        <v>567360</v>
      </c>
      <c r="D1637" s="67">
        <f t="shared" si="152"/>
        <v>5</v>
      </c>
      <c r="E1637" s="67">
        <f ca="1" t="shared" si="153"/>
        <v>1606</v>
      </c>
      <c r="F1637" s="67">
        <f ca="1" t="shared" si="150"/>
        <v>0</v>
      </c>
      <c r="G1637" s="67">
        <f ca="1" t="shared" si="151"/>
        <v>0</v>
      </c>
      <c r="H1637" s="67" cm="1">
        <f ca="1" t="array" ref="H1637">MIN(30-SUM(I1637:L1637),_xlfn.XLOOKUP($D1637&amp;"_"&amp;H$61,$B$23:$B$45&amp;"_"&amp;$C$23:$C$45,$D$23:$D$45)*$E1637,18)</f>
        <v>9.52536870434448</v>
      </c>
      <c r="I1637" s="67" cm="1">
        <f ca="1" t="array" ref="I1637">MIN(30-SUM(J1637:L1637),6-L1637,_xlfn.XLOOKUP($D1637&amp;"_"&amp;I$61,$B$23:$B$45&amp;"_"&amp;$C$23:$C$45,$D$23:$D$45)*$E1637)</f>
        <v>0</v>
      </c>
      <c r="J1637" s="67" cm="1">
        <f ca="1" t="array" ref="J1637">MIN(8,_xlfn.XLOOKUP($D1637&amp;"_"&amp;J$61,$B$23:$B$45&amp;"_"&amp;$C$23:$C$45,$D$23:$D$45)*$E1637)</f>
        <v>8</v>
      </c>
      <c r="K1637" s="67" cm="1">
        <f ca="1" t="array" ref="K1637">MIN(18,_xlfn.XLOOKUP($D1637&amp;"_"&amp;K$61,$B$23:$B$45&amp;"_"&amp;$C$23:$C$45,$D$23:$D$45)*$E1637)</f>
        <v>6.47463129565552</v>
      </c>
      <c r="L1637" s="67" cm="1">
        <f ca="1" t="array" ref="L1637">MIN(6,_xlfn.XLOOKUP($D1637&amp;"_"&amp;L$61,$B$23:$B$45&amp;"_"&amp;$C$23:$C$45,$D$23:$D$45)*$E1637)</f>
        <v>6</v>
      </c>
      <c r="M1637" s="67" cm="1">
        <f ca="1" t="array" ref="M1637">(1+SUMPRODUCT(G1637:H1637,OFFSET($H$49:$I$49,D1637,0)))*(1+OFFSET($J$49,D1637,0))^I1637*(1+OFFSET($K$49,D1637,0))^J1637*(1+OFFSET($L$49,D1637,0))^K1637*(1+OFFSET($M$49,D1637,0))^L1637</f>
        <v>461.17055589047</v>
      </c>
      <c r="N1637" s="67">
        <f ca="1">MAX(MAX($N$62:N1636),OFFSET($C$61,MATCH(M1637*1.07,$M$62:$M$2061,1),0)-C1637)</f>
        <v>53640</v>
      </c>
    </row>
    <row r="1638" spans="2:14">
      <c r="B1638" s="67">
        <v>1577</v>
      </c>
      <c r="C1638" s="67">
        <f t="shared" si="149"/>
        <v>567720</v>
      </c>
      <c r="D1638" s="67">
        <f t="shared" si="152"/>
        <v>5</v>
      </c>
      <c r="E1638" s="67">
        <f ca="1" t="shared" si="153"/>
        <v>1607</v>
      </c>
      <c r="F1638" s="67">
        <f ca="1" t="shared" si="150"/>
        <v>0</v>
      </c>
      <c r="G1638" s="67">
        <f ca="1" t="shared" si="151"/>
        <v>0</v>
      </c>
      <c r="H1638" s="67" cm="1">
        <f ca="1" t="array" ref="H1638">MIN(30-SUM(I1638:L1638),_xlfn.XLOOKUP($D1638&amp;"_"&amp;H$61,$B$23:$B$45&amp;"_"&amp;$C$23:$C$45,$D$23:$D$45)*$E1638,18)</f>
        <v>9.52133717800845</v>
      </c>
      <c r="I1638" s="67" cm="1">
        <f ca="1" t="array" ref="I1638">MIN(30-SUM(J1638:L1638),6-L1638,_xlfn.XLOOKUP($D1638&amp;"_"&amp;I$61,$B$23:$B$45&amp;"_"&amp;$C$23:$C$45,$D$23:$D$45)*$E1638)</f>
        <v>0</v>
      </c>
      <c r="J1638" s="67" cm="1">
        <f ca="1" t="array" ref="J1638">MIN(8,_xlfn.XLOOKUP($D1638&amp;"_"&amp;J$61,$B$23:$B$45&amp;"_"&amp;$C$23:$C$45,$D$23:$D$45)*$E1638)</f>
        <v>8</v>
      </c>
      <c r="K1638" s="67" cm="1">
        <f ca="1" t="array" ref="K1638">MIN(18,_xlfn.XLOOKUP($D1638&amp;"_"&amp;K$61,$B$23:$B$45&amp;"_"&amp;$C$23:$C$45,$D$23:$D$45)*$E1638)</f>
        <v>6.47866282199155</v>
      </c>
      <c r="L1638" s="67" cm="1">
        <f ca="1" t="array" ref="L1638">MIN(6,_xlfn.XLOOKUP($D1638&amp;"_"&amp;L$61,$B$23:$B$45&amp;"_"&amp;$C$23:$C$45,$D$23:$D$45)*$E1638)</f>
        <v>6</v>
      </c>
      <c r="M1638" s="67" cm="1">
        <f ca="1" t="array" ref="M1638">(1+SUMPRODUCT(G1638:H1638,OFFSET($H$49:$I$49,D1638,0)))*(1+OFFSET($J$49,D1638,0))^I1638*(1+OFFSET($K$49,D1638,0))^J1638*(1+OFFSET($L$49,D1638,0))^K1638*(1+OFFSET($M$49,D1638,0))^L1638</f>
        <v>461.381564280749</v>
      </c>
      <c r="N1638" s="67">
        <f ca="1">MAX(MAX($N$62:N1637),OFFSET($C$61,MATCH(M1638*1.07,$M$62:$M$2061,1),0)-C1638)</f>
        <v>53640</v>
      </c>
    </row>
    <row r="1639" spans="2:14">
      <c r="B1639" s="67">
        <v>1578</v>
      </c>
      <c r="C1639" s="67">
        <f t="shared" si="149"/>
        <v>568080</v>
      </c>
      <c r="D1639" s="67">
        <f t="shared" si="152"/>
        <v>5</v>
      </c>
      <c r="E1639" s="67">
        <f ca="1" t="shared" si="153"/>
        <v>1608</v>
      </c>
      <c r="F1639" s="67">
        <f ca="1" t="shared" si="150"/>
        <v>0</v>
      </c>
      <c r="G1639" s="67">
        <f ca="1" t="shared" si="151"/>
        <v>0</v>
      </c>
      <c r="H1639" s="67" cm="1">
        <f ca="1" t="array" ref="H1639">MIN(30-SUM(I1639:L1639),_xlfn.XLOOKUP($D1639&amp;"_"&amp;H$61,$B$23:$B$45&amp;"_"&amp;$C$23:$C$45,$D$23:$D$45)*$E1639,18)</f>
        <v>9.51730565167243</v>
      </c>
      <c r="I1639" s="67" cm="1">
        <f ca="1" t="array" ref="I1639">MIN(30-SUM(J1639:L1639),6-L1639,_xlfn.XLOOKUP($D1639&amp;"_"&amp;I$61,$B$23:$B$45&amp;"_"&amp;$C$23:$C$45,$D$23:$D$45)*$E1639)</f>
        <v>0</v>
      </c>
      <c r="J1639" s="67" cm="1">
        <f ca="1" t="array" ref="J1639">MIN(8,_xlfn.XLOOKUP($D1639&amp;"_"&amp;J$61,$B$23:$B$45&amp;"_"&amp;$C$23:$C$45,$D$23:$D$45)*$E1639)</f>
        <v>8</v>
      </c>
      <c r="K1639" s="67" cm="1">
        <f ca="1" t="array" ref="K1639">MIN(18,_xlfn.XLOOKUP($D1639&amp;"_"&amp;K$61,$B$23:$B$45&amp;"_"&amp;$C$23:$C$45,$D$23:$D$45)*$E1639)</f>
        <v>6.48269434832757</v>
      </c>
      <c r="L1639" s="67" cm="1">
        <f ca="1" t="array" ref="L1639">MIN(6,_xlfn.XLOOKUP($D1639&amp;"_"&amp;L$61,$B$23:$B$45&amp;"_"&amp;$C$23:$C$45,$D$23:$D$45)*$E1639)</f>
        <v>6</v>
      </c>
      <c r="M1639" s="67" cm="1">
        <f ca="1" t="array" ref="M1639">(1+SUMPRODUCT(G1639:H1639,OFFSET($H$49:$I$49,D1639,0)))*(1+OFFSET($J$49,D1639,0))^I1639*(1+OFFSET($K$49,D1639,0))^J1639*(1+OFFSET($L$49,D1639,0))^K1639*(1+OFFSET($M$49,D1639,0))^L1639</f>
        <v>461.592633639567</v>
      </c>
      <c r="N1639" s="67">
        <f ca="1">MAX(MAX($N$62:N1638),OFFSET($C$61,MATCH(M1639*1.07,$M$62:$M$2061,1),0)-C1639)</f>
        <v>53640</v>
      </c>
    </row>
    <row r="1640" spans="2:14">
      <c r="B1640" s="67">
        <v>1579</v>
      </c>
      <c r="C1640" s="67">
        <f t="shared" si="149"/>
        <v>568440</v>
      </c>
      <c r="D1640" s="67">
        <f t="shared" si="152"/>
        <v>5</v>
      </c>
      <c r="E1640" s="67">
        <f ca="1" t="shared" si="153"/>
        <v>1609</v>
      </c>
      <c r="F1640" s="67">
        <f ca="1" t="shared" si="150"/>
        <v>0</v>
      </c>
      <c r="G1640" s="67">
        <f ca="1" t="shared" si="151"/>
        <v>0</v>
      </c>
      <c r="H1640" s="67" cm="1">
        <f ca="1" t="array" ref="H1640">MIN(30-SUM(I1640:L1640),_xlfn.XLOOKUP($D1640&amp;"_"&amp;H$61,$B$23:$B$45&amp;"_"&amp;$C$23:$C$45,$D$23:$D$45)*$E1640,18)</f>
        <v>9.5132741253364</v>
      </c>
      <c r="I1640" s="67" cm="1">
        <f ca="1" t="array" ref="I1640">MIN(30-SUM(J1640:L1640),6-L1640,_xlfn.XLOOKUP($D1640&amp;"_"&amp;I$61,$B$23:$B$45&amp;"_"&amp;$C$23:$C$45,$D$23:$D$45)*$E1640)</f>
        <v>0</v>
      </c>
      <c r="J1640" s="67" cm="1">
        <f ca="1" t="array" ref="J1640">MIN(8,_xlfn.XLOOKUP($D1640&amp;"_"&amp;J$61,$B$23:$B$45&amp;"_"&amp;$C$23:$C$45,$D$23:$D$45)*$E1640)</f>
        <v>8</v>
      </c>
      <c r="K1640" s="67" cm="1">
        <f ca="1" t="array" ref="K1640">MIN(18,_xlfn.XLOOKUP($D1640&amp;"_"&amp;K$61,$B$23:$B$45&amp;"_"&amp;$C$23:$C$45,$D$23:$D$45)*$E1640)</f>
        <v>6.4867258746636</v>
      </c>
      <c r="L1640" s="67" cm="1">
        <f ca="1" t="array" ref="L1640">MIN(6,_xlfn.XLOOKUP($D1640&amp;"_"&amp;L$61,$B$23:$B$45&amp;"_"&amp;$C$23:$C$45,$D$23:$D$45)*$E1640)</f>
        <v>6</v>
      </c>
      <c r="M1640" s="67" cm="1">
        <f ca="1" t="array" ref="M1640">(1+SUMPRODUCT(G1640:H1640,OFFSET($H$49:$I$49,D1640,0)))*(1+OFFSET($J$49,D1640,0))^I1640*(1+OFFSET($K$49,D1640,0))^J1640*(1+OFFSET($L$49,D1640,0))^K1640*(1+OFFSET($M$49,D1640,0))^L1640</f>
        <v>461.8037639425</v>
      </c>
      <c r="N1640" s="67">
        <f ca="1">MAX(MAX($N$62:N1639),OFFSET($C$61,MATCH(M1640*1.07,$M$62:$M$2061,1),0)-C1640)</f>
        <v>53640</v>
      </c>
    </row>
    <row r="1641" spans="2:14">
      <c r="B1641" s="67">
        <v>1580</v>
      </c>
      <c r="C1641" s="67">
        <f t="shared" si="149"/>
        <v>568800</v>
      </c>
      <c r="D1641" s="67">
        <f t="shared" si="152"/>
        <v>5</v>
      </c>
      <c r="E1641" s="67">
        <f ca="1" t="shared" si="153"/>
        <v>1610</v>
      </c>
      <c r="F1641" s="67">
        <f ca="1" t="shared" si="150"/>
        <v>0</v>
      </c>
      <c r="G1641" s="67">
        <f ca="1" t="shared" si="151"/>
        <v>0</v>
      </c>
      <c r="H1641" s="67" cm="1">
        <f ca="1" t="array" ref="H1641">MIN(30-SUM(I1641:L1641),_xlfn.XLOOKUP($D1641&amp;"_"&amp;H$61,$B$23:$B$45&amp;"_"&amp;$C$23:$C$45,$D$23:$D$45)*$E1641,18)</f>
        <v>9.50924259900038</v>
      </c>
      <c r="I1641" s="67" cm="1">
        <f ca="1" t="array" ref="I1641">MIN(30-SUM(J1641:L1641),6-L1641,_xlfn.XLOOKUP($D1641&amp;"_"&amp;I$61,$B$23:$B$45&amp;"_"&amp;$C$23:$C$45,$D$23:$D$45)*$E1641)</f>
        <v>0</v>
      </c>
      <c r="J1641" s="67" cm="1">
        <f ca="1" t="array" ref="J1641">MIN(8,_xlfn.XLOOKUP($D1641&amp;"_"&amp;J$61,$B$23:$B$45&amp;"_"&amp;$C$23:$C$45,$D$23:$D$45)*$E1641)</f>
        <v>8</v>
      </c>
      <c r="K1641" s="67" cm="1">
        <f ca="1" t="array" ref="K1641">MIN(18,_xlfn.XLOOKUP($D1641&amp;"_"&amp;K$61,$B$23:$B$45&amp;"_"&amp;$C$23:$C$45,$D$23:$D$45)*$E1641)</f>
        <v>6.49075740099962</v>
      </c>
      <c r="L1641" s="67" cm="1">
        <f ca="1" t="array" ref="L1641">MIN(6,_xlfn.XLOOKUP($D1641&amp;"_"&amp;L$61,$B$23:$B$45&amp;"_"&amp;$C$23:$C$45,$D$23:$D$45)*$E1641)</f>
        <v>6</v>
      </c>
      <c r="M1641" s="67" cm="1">
        <f ca="1" t="array" ref="M1641">(1+SUMPRODUCT(G1641:H1641,OFFSET($H$49:$I$49,D1641,0)))*(1+OFFSET($J$49,D1641,0))^I1641*(1+OFFSET($K$49,D1641,0))^J1641*(1+OFFSET($L$49,D1641,0))^K1641*(1+OFFSET($M$49,D1641,0))^L1641</f>
        <v>462.014955165054</v>
      </c>
      <c r="N1641" s="67">
        <f ca="1">MAX(MAX($N$62:N1640),OFFSET($C$61,MATCH(M1641*1.07,$M$62:$M$2061,1),0)-C1641)</f>
        <v>53640</v>
      </c>
    </row>
    <row r="1642" spans="2:14">
      <c r="B1642" s="67">
        <v>1581</v>
      </c>
      <c r="C1642" s="67">
        <f t="shared" si="149"/>
        <v>569160</v>
      </c>
      <c r="D1642" s="67">
        <f t="shared" si="152"/>
        <v>5</v>
      </c>
      <c r="E1642" s="67">
        <f ca="1" t="shared" si="153"/>
        <v>1611</v>
      </c>
      <c r="F1642" s="67">
        <f ca="1" t="shared" si="150"/>
        <v>0</v>
      </c>
      <c r="G1642" s="67">
        <f ca="1" t="shared" si="151"/>
        <v>0</v>
      </c>
      <c r="H1642" s="67" cm="1">
        <f ca="1" t="array" ref="H1642">MIN(30-SUM(I1642:L1642),_xlfn.XLOOKUP($D1642&amp;"_"&amp;H$61,$B$23:$B$45&amp;"_"&amp;$C$23:$C$45,$D$23:$D$45)*$E1642,18)</f>
        <v>9.50521107266435</v>
      </c>
      <c r="I1642" s="67" cm="1">
        <f ca="1" t="array" ref="I1642">MIN(30-SUM(J1642:L1642),6-L1642,_xlfn.XLOOKUP($D1642&amp;"_"&amp;I$61,$B$23:$B$45&amp;"_"&amp;$C$23:$C$45,$D$23:$D$45)*$E1642)</f>
        <v>0</v>
      </c>
      <c r="J1642" s="67" cm="1">
        <f ca="1" t="array" ref="J1642">MIN(8,_xlfn.XLOOKUP($D1642&amp;"_"&amp;J$61,$B$23:$B$45&amp;"_"&amp;$C$23:$C$45,$D$23:$D$45)*$E1642)</f>
        <v>8</v>
      </c>
      <c r="K1642" s="67" cm="1">
        <f ca="1" t="array" ref="K1642">MIN(18,_xlfn.XLOOKUP($D1642&amp;"_"&amp;K$61,$B$23:$B$45&amp;"_"&amp;$C$23:$C$45,$D$23:$D$45)*$E1642)</f>
        <v>6.49478892733565</v>
      </c>
      <c r="L1642" s="67" cm="1">
        <f ca="1" t="array" ref="L1642">MIN(6,_xlfn.XLOOKUP($D1642&amp;"_"&amp;L$61,$B$23:$B$45&amp;"_"&amp;$C$23:$C$45,$D$23:$D$45)*$E1642)</f>
        <v>6</v>
      </c>
      <c r="M1642" s="67" cm="1">
        <f ca="1" t="array" ref="M1642">(1+SUMPRODUCT(G1642:H1642,OFFSET($H$49:$I$49,D1642,0)))*(1+OFFSET($J$49,D1642,0))^I1642*(1+OFFSET($K$49,D1642,0))^J1642*(1+OFFSET($L$49,D1642,0))^K1642*(1+OFFSET($M$49,D1642,0))^L1642</f>
        <v>462.226207282663</v>
      </c>
      <c r="N1642" s="67">
        <f ca="1">MAX(MAX($N$62:N1641),OFFSET($C$61,MATCH(M1642*1.07,$M$62:$M$2061,1),0)-C1642)</f>
        <v>53640</v>
      </c>
    </row>
    <row r="1643" spans="2:14">
      <c r="B1643" s="67">
        <v>1582</v>
      </c>
      <c r="C1643" s="67">
        <f t="shared" si="149"/>
        <v>569520</v>
      </c>
      <c r="D1643" s="67">
        <f t="shared" si="152"/>
        <v>5</v>
      </c>
      <c r="E1643" s="67">
        <f ca="1" t="shared" si="153"/>
        <v>1612</v>
      </c>
      <c r="F1643" s="67">
        <f ca="1" t="shared" si="150"/>
        <v>0</v>
      </c>
      <c r="G1643" s="67">
        <f ca="1" t="shared" si="151"/>
        <v>0</v>
      </c>
      <c r="H1643" s="67" cm="1">
        <f ca="1" t="array" ref="H1643">MIN(30-SUM(I1643:L1643),_xlfn.XLOOKUP($D1643&amp;"_"&amp;H$61,$B$23:$B$45&amp;"_"&amp;$C$23:$C$45,$D$23:$D$45)*$E1643,18)</f>
        <v>9.50117954632833</v>
      </c>
      <c r="I1643" s="67" cm="1">
        <f ca="1" t="array" ref="I1643">MIN(30-SUM(J1643:L1643),6-L1643,_xlfn.XLOOKUP($D1643&amp;"_"&amp;I$61,$B$23:$B$45&amp;"_"&amp;$C$23:$C$45,$D$23:$D$45)*$E1643)</f>
        <v>0</v>
      </c>
      <c r="J1643" s="67" cm="1">
        <f ca="1" t="array" ref="J1643">MIN(8,_xlfn.XLOOKUP($D1643&amp;"_"&amp;J$61,$B$23:$B$45&amp;"_"&amp;$C$23:$C$45,$D$23:$D$45)*$E1643)</f>
        <v>8</v>
      </c>
      <c r="K1643" s="67" cm="1">
        <f ca="1" t="array" ref="K1643">MIN(18,_xlfn.XLOOKUP($D1643&amp;"_"&amp;K$61,$B$23:$B$45&amp;"_"&amp;$C$23:$C$45,$D$23:$D$45)*$E1643)</f>
        <v>6.49882045367167</v>
      </c>
      <c r="L1643" s="67" cm="1">
        <f ca="1" t="array" ref="L1643">MIN(6,_xlfn.XLOOKUP($D1643&amp;"_"&amp;L$61,$B$23:$B$45&amp;"_"&amp;$C$23:$C$45,$D$23:$D$45)*$E1643)</f>
        <v>6</v>
      </c>
      <c r="M1643" s="67" cm="1">
        <f ca="1" t="array" ref="M1643">(1+SUMPRODUCT(G1643:H1643,OFFSET($H$49:$I$49,D1643,0)))*(1+OFFSET($J$49,D1643,0))^I1643*(1+OFFSET($K$49,D1643,0))^J1643*(1+OFFSET($L$49,D1643,0))^K1643*(1+OFFSET($M$49,D1643,0))^L1643</f>
        <v>462.437520270698</v>
      </c>
      <c r="N1643" s="67">
        <f ca="1">MAX(MAX($N$62:N1642),OFFSET($C$61,MATCH(M1643*1.07,$M$62:$M$2061,1),0)-C1643)</f>
        <v>54000</v>
      </c>
    </row>
    <row r="1644" spans="2:14">
      <c r="B1644" s="67">
        <v>1583</v>
      </c>
      <c r="C1644" s="67">
        <f t="shared" si="149"/>
        <v>569880</v>
      </c>
      <c r="D1644" s="67">
        <f t="shared" si="152"/>
        <v>5</v>
      </c>
      <c r="E1644" s="67">
        <f ca="1" t="shared" si="153"/>
        <v>1613</v>
      </c>
      <c r="F1644" s="67">
        <f ca="1" t="shared" si="150"/>
        <v>0</v>
      </c>
      <c r="G1644" s="67">
        <f ca="1" t="shared" si="151"/>
        <v>0</v>
      </c>
      <c r="H1644" s="67" cm="1">
        <f ca="1" t="array" ref="H1644">MIN(30-SUM(I1644:L1644),_xlfn.XLOOKUP($D1644&amp;"_"&amp;H$61,$B$23:$B$45&amp;"_"&amp;$C$23:$C$45,$D$23:$D$45)*$E1644,18)</f>
        <v>9.49714801999231</v>
      </c>
      <c r="I1644" s="67" cm="1">
        <f ca="1" t="array" ref="I1644">MIN(30-SUM(J1644:L1644),6-L1644,_xlfn.XLOOKUP($D1644&amp;"_"&amp;I$61,$B$23:$B$45&amp;"_"&amp;$C$23:$C$45,$D$23:$D$45)*$E1644)</f>
        <v>0</v>
      </c>
      <c r="J1644" s="67" cm="1">
        <f ca="1" t="array" ref="J1644">MIN(8,_xlfn.XLOOKUP($D1644&amp;"_"&amp;J$61,$B$23:$B$45&amp;"_"&amp;$C$23:$C$45,$D$23:$D$45)*$E1644)</f>
        <v>8</v>
      </c>
      <c r="K1644" s="67" cm="1">
        <f ca="1" t="array" ref="K1644">MIN(18,_xlfn.XLOOKUP($D1644&amp;"_"&amp;K$61,$B$23:$B$45&amp;"_"&amp;$C$23:$C$45,$D$23:$D$45)*$E1644)</f>
        <v>6.5028519800077</v>
      </c>
      <c r="L1644" s="67" cm="1">
        <f ca="1" t="array" ref="L1644">MIN(6,_xlfn.XLOOKUP($D1644&amp;"_"&amp;L$61,$B$23:$B$45&amp;"_"&amp;$C$23:$C$45,$D$23:$D$45)*$E1644)</f>
        <v>6</v>
      </c>
      <c r="M1644" s="67" cm="1">
        <f ca="1" t="array" ref="M1644">(1+SUMPRODUCT(G1644:H1644,OFFSET($H$49:$I$49,D1644,0)))*(1+OFFSET($J$49,D1644,0))^I1644*(1+OFFSET($K$49,D1644,0))^J1644*(1+OFFSET($L$49,D1644,0))^K1644*(1+OFFSET($M$49,D1644,0))^L1644</f>
        <v>462.648894104454</v>
      </c>
      <c r="N1644" s="67">
        <f ca="1">MAX(MAX($N$62:N1643),OFFSET($C$61,MATCH(M1644*1.07,$M$62:$M$2061,1),0)-C1644)</f>
        <v>54000</v>
      </c>
    </row>
    <row r="1645" spans="2:14">
      <c r="B1645" s="67">
        <v>1584</v>
      </c>
      <c r="C1645" s="67">
        <f t="shared" si="149"/>
        <v>570240</v>
      </c>
      <c r="D1645" s="67">
        <f t="shared" si="152"/>
        <v>5</v>
      </c>
      <c r="E1645" s="67">
        <f ca="1" t="shared" si="153"/>
        <v>1614</v>
      </c>
      <c r="F1645" s="67">
        <f ca="1" t="shared" si="150"/>
        <v>0</v>
      </c>
      <c r="G1645" s="67">
        <f ca="1" t="shared" si="151"/>
        <v>0</v>
      </c>
      <c r="H1645" s="67" cm="1">
        <f ca="1" t="array" ref="H1645">MIN(30-SUM(I1645:L1645),_xlfn.XLOOKUP($D1645&amp;"_"&amp;H$61,$B$23:$B$45&amp;"_"&amp;$C$23:$C$45,$D$23:$D$45)*$E1645,18)</f>
        <v>9.49311649365628</v>
      </c>
      <c r="I1645" s="67" cm="1">
        <f ca="1" t="array" ref="I1645">MIN(30-SUM(J1645:L1645),6-L1645,_xlfn.XLOOKUP($D1645&amp;"_"&amp;I$61,$B$23:$B$45&amp;"_"&amp;$C$23:$C$45,$D$23:$D$45)*$E1645)</f>
        <v>0</v>
      </c>
      <c r="J1645" s="67" cm="1">
        <f ca="1" t="array" ref="J1645">MIN(8,_xlfn.XLOOKUP($D1645&amp;"_"&amp;J$61,$B$23:$B$45&amp;"_"&amp;$C$23:$C$45,$D$23:$D$45)*$E1645)</f>
        <v>8</v>
      </c>
      <c r="K1645" s="67" cm="1">
        <f ca="1" t="array" ref="K1645">MIN(18,_xlfn.XLOOKUP($D1645&amp;"_"&amp;K$61,$B$23:$B$45&amp;"_"&amp;$C$23:$C$45,$D$23:$D$45)*$E1645)</f>
        <v>6.50688350634372</v>
      </c>
      <c r="L1645" s="67" cm="1">
        <f ca="1" t="array" ref="L1645">MIN(6,_xlfn.XLOOKUP($D1645&amp;"_"&amp;L$61,$B$23:$B$45&amp;"_"&amp;$C$23:$C$45,$D$23:$D$45)*$E1645)</f>
        <v>6</v>
      </c>
      <c r="M1645" s="67" cm="1">
        <f ca="1" t="array" ref="M1645">(1+SUMPRODUCT(G1645:H1645,OFFSET($H$49:$I$49,D1645,0)))*(1+OFFSET($J$49,D1645,0))^I1645*(1+OFFSET($K$49,D1645,0))^J1645*(1+OFFSET($L$49,D1645,0))^K1645*(1+OFFSET($M$49,D1645,0))^L1645</f>
        <v>462.860328759162</v>
      </c>
      <c r="N1645" s="67">
        <f ca="1">MAX(MAX($N$62:N1644),OFFSET($C$61,MATCH(M1645*1.07,$M$62:$M$2061,1),0)-C1645)</f>
        <v>54000</v>
      </c>
    </row>
    <row r="1646" spans="2:14">
      <c r="B1646" s="67">
        <v>1585</v>
      </c>
      <c r="C1646" s="67">
        <f t="shared" ref="C1646:C1709" si="154">C1645+360</f>
        <v>570600</v>
      </c>
      <c r="D1646" s="67">
        <f t="shared" si="152"/>
        <v>5</v>
      </c>
      <c r="E1646" s="67">
        <f ca="1" t="shared" si="153"/>
        <v>1615</v>
      </c>
      <c r="F1646" s="67">
        <f ca="1" t="shared" ref="F1646:F1709" si="155">30-SUM(G1646:L1646)</f>
        <v>0</v>
      </c>
      <c r="G1646" s="67">
        <f ca="1" t="shared" ref="G1646:G1709" si="156">30-SUM(H1646:L1646)</f>
        <v>0</v>
      </c>
      <c r="H1646" s="67" cm="1">
        <f ca="1" t="array" ref="H1646">MIN(30-SUM(I1646:L1646),_xlfn.XLOOKUP($D1646&amp;"_"&amp;H$61,$B$23:$B$45&amp;"_"&amp;$C$23:$C$45,$D$23:$D$45)*$E1646,18)</f>
        <v>9.48908496732026</v>
      </c>
      <c r="I1646" s="67" cm="1">
        <f ca="1" t="array" ref="I1646">MIN(30-SUM(J1646:L1646),6-L1646,_xlfn.XLOOKUP($D1646&amp;"_"&amp;I$61,$B$23:$B$45&amp;"_"&amp;$C$23:$C$45,$D$23:$D$45)*$E1646)</f>
        <v>0</v>
      </c>
      <c r="J1646" s="67" cm="1">
        <f ca="1" t="array" ref="J1646">MIN(8,_xlfn.XLOOKUP($D1646&amp;"_"&amp;J$61,$B$23:$B$45&amp;"_"&amp;$C$23:$C$45,$D$23:$D$45)*$E1646)</f>
        <v>8</v>
      </c>
      <c r="K1646" s="67" cm="1">
        <f ca="1" t="array" ref="K1646">MIN(18,_xlfn.XLOOKUP($D1646&amp;"_"&amp;K$61,$B$23:$B$45&amp;"_"&amp;$C$23:$C$45,$D$23:$D$45)*$E1646)</f>
        <v>6.51091503267974</v>
      </c>
      <c r="L1646" s="67" cm="1">
        <f ca="1" t="array" ref="L1646">MIN(6,_xlfn.XLOOKUP($D1646&amp;"_"&amp;L$61,$B$23:$B$45&amp;"_"&amp;$C$23:$C$45,$D$23:$D$45)*$E1646)</f>
        <v>6</v>
      </c>
      <c r="M1646" s="67" cm="1">
        <f ca="1" t="array" ref="M1646">(1+SUMPRODUCT(G1646:H1646,OFFSET($H$49:$I$49,D1646,0)))*(1+OFFSET($J$49,D1646,0))^I1646*(1+OFFSET($K$49,D1646,0))^J1646*(1+OFFSET($L$49,D1646,0))^K1646*(1+OFFSET($M$49,D1646,0))^L1646</f>
        <v>463.071824209982</v>
      </c>
      <c r="N1646" s="67">
        <f ca="1">MAX(MAX($N$62:N1645),OFFSET($C$61,MATCH(M1646*1.07,$M$62:$M$2061,1),0)-C1646)</f>
        <v>54000</v>
      </c>
    </row>
    <row r="1647" spans="2:14">
      <c r="B1647" s="67">
        <v>1586</v>
      </c>
      <c r="C1647" s="67">
        <f t="shared" si="154"/>
        <v>570960</v>
      </c>
      <c r="D1647" s="67">
        <f t="shared" si="152"/>
        <v>5</v>
      </c>
      <c r="E1647" s="67">
        <f ca="1" t="shared" si="153"/>
        <v>1616</v>
      </c>
      <c r="F1647" s="67">
        <f ca="1" t="shared" si="155"/>
        <v>0</v>
      </c>
      <c r="G1647" s="67">
        <f ca="1" t="shared" si="156"/>
        <v>0</v>
      </c>
      <c r="H1647" s="67" cm="1">
        <f ca="1" t="array" ref="H1647">MIN(30-SUM(I1647:L1647),_xlfn.XLOOKUP($D1647&amp;"_"&amp;H$61,$B$23:$B$45&amp;"_"&amp;$C$23:$C$45,$D$23:$D$45)*$E1647,18)</f>
        <v>9.48505344098423</v>
      </c>
      <c r="I1647" s="67" cm="1">
        <f ca="1" t="array" ref="I1647">MIN(30-SUM(J1647:L1647),6-L1647,_xlfn.XLOOKUP($D1647&amp;"_"&amp;I$61,$B$23:$B$45&amp;"_"&amp;$C$23:$C$45,$D$23:$D$45)*$E1647)</f>
        <v>0</v>
      </c>
      <c r="J1647" s="67" cm="1">
        <f ca="1" t="array" ref="J1647">MIN(8,_xlfn.XLOOKUP($D1647&amp;"_"&amp;J$61,$B$23:$B$45&amp;"_"&amp;$C$23:$C$45,$D$23:$D$45)*$E1647)</f>
        <v>8</v>
      </c>
      <c r="K1647" s="67" cm="1">
        <f ca="1" t="array" ref="K1647">MIN(18,_xlfn.XLOOKUP($D1647&amp;"_"&amp;K$61,$B$23:$B$45&amp;"_"&amp;$C$23:$C$45,$D$23:$D$45)*$E1647)</f>
        <v>6.51494655901577</v>
      </c>
      <c r="L1647" s="67" cm="1">
        <f ca="1" t="array" ref="L1647">MIN(6,_xlfn.XLOOKUP($D1647&amp;"_"&amp;L$61,$B$23:$B$45&amp;"_"&amp;$C$23:$C$45,$D$23:$D$45)*$E1647)</f>
        <v>6</v>
      </c>
      <c r="M1647" s="67" cm="1">
        <f ca="1" t="array" ref="M1647">(1+SUMPRODUCT(G1647:H1647,OFFSET($H$49:$I$49,D1647,0)))*(1+OFFSET($J$49,D1647,0))^I1647*(1+OFFSET($K$49,D1647,0))^J1647*(1+OFFSET($L$49,D1647,0))^K1647*(1+OFFSET($M$49,D1647,0))^L1647</f>
        <v>463.283380432003</v>
      </c>
      <c r="N1647" s="67">
        <f ca="1">MAX(MAX($N$62:N1646),OFFSET($C$61,MATCH(M1647*1.07,$M$62:$M$2061,1),0)-C1647)</f>
        <v>54000</v>
      </c>
    </row>
    <row r="1648" spans="2:14">
      <c r="B1648" s="67">
        <v>1587</v>
      </c>
      <c r="C1648" s="67">
        <f t="shared" si="154"/>
        <v>571320</v>
      </c>
      <c r="D1648" s="67">
        <f t="shared" si="152"/>
        <v>5</v>
      </c>
      <c r="E1648" s="67">
        <f ca="1" t="shared" si="153"/>
        <v>1617</v>
      </c>
      <c r="F1648" s="67">
        <f ca="1" t="shared" si="155"/>
        <v>0</v>
      </c>
      <c r="G1648" s="67">
        <f ca="1" t="shared" si="156"/>
        <v>0</v>
      </c>
      <c r="H1648" s="67" cm="1">
        <f ca="1" t="array" ref="H1648">MIN(30-SUM(I1648:L1648),_xlfn.XLOOKUP($D1648&amp;"_"&amp;H$61,$B$23:$B$45&amp;"_"&amp;$C$23:$C$45,$D$23:$D$45)*$E1648,18)</f>
        <v>9.48102191464821</v>
      </c>
      <c r="I1648" s="67" cm="1">
        <f ca="1" t="array" ref="I1648">MIN(30-SUM(J1648:L1648),6-L1648,_xlfn.XLOOKUP($D1648&amp;"_"&amp;I$61,$B$23:$B$45&amp;"_"&amp;$C$23:$C$45,$D$23:$D$45)*$E1648)</f>
        <v>0</v>
      </c>
      <c r="J1648" s="67" cm="1">
        <f ca="1" t="array" ref="J1648">MIN(8,_xlfn.XLOOKUP($D1648&amp;"_"&amp;J$61,$B$23:$B$45&amp;"_"&amp;$C$23:$C$45,$D$23:$D$45)*$E1648)</f>
        <v>8</v>
      </c>
      <c r="K1648" s="67" cm="1">
        <f ca="1" t="array" ref="K1648">MIN(18,_xlfn.XLOOKUP($D1648&amp;"_"&amp;K$61,$B$23:$B$45&amp;"_"&amp;$C$23:$C$45,$D$23:$D$45)*$E1648)</f>
        <v>6.51897808535179</v>
      </c>
      <c r="L1648" s="67" cm="1">
        <f ca="1" t="array" ref="L1648">MIN(6,_xlfn.XLOOKUP($D1648&amp;"_"&amp;L$61,$B$23:$B$45&amp;"_"&amp;$C$23:$C$45,$D$23:$D$45)*$E1648)</f>
        <v>6</v>
      </c>
      <c r="M1648" s="67" cm="1">
        <f ca="1" t="array" ref="M1648">(1+SUMPRODUCT(G1648:H1648,OFFSET($H$49:$I$49,D1648,0)))*(1+OFFSET($J$49,D1648,0))^I1648*(1+OFFSET($K$49,D1648,0))^J1648*(1+OFFSET($L$49,D1648,0))^K1648*(1+OFFSET($M$49,D1648,0))^L1648</f>
        <v>463.494997400247</v>
      </c>
      <c r="N1648" s="67">
        <f ca="1">MAX(MAX($N$62:N1647),OFFSET($C$61,MATCH(M1648*1.07,$M$62:$M$2061,1),0)-C1648)</f>
        <v>54000</v>
      </c>
    </row>
    <row r="1649" spans="2:14">
      <c r="B1649" s="67">
        <v>1588</v>
      </c>
      <c r="C1649" s="67">
        <f t="shared" si="154"/>
        <v>571680</v>
      </c>
      <c r="D1649" s="67">
        <f t="shared" si="152"/>
        <v>5</v>
      </c>
      <c r="E1649" s="67">
        <f ca="1" t="shared" si="153"/>
        <v>1618</v>
      </c>
      <c r="F1649" s="67">
        <f ca="1" t="shared" si="155"/>
        <v>0</v>
      </c>
      <c r="G1649" s="67">
        <f ca="1" t="shared" si="156"/>
        <v>0</v>
      </c>
      <c r="H1649" s="67" cm="1">
        <f ca="1" t="array" ref="H1649">MIN(30-SUM(I1649:L1649),_xlfn.XLOOKUP($D1649&amp;"_"&amp;H$61,$B$23:$B$45&amp;"_"&amp;$C$23:$C$45,$D$23:$D$45)*$E1649,18)</f>
        <v>9.47699038831218</v>
      </c>
      <c r="I1649" s="67" cm="1">
        <f ca="1" t="array" ref="I1649">MIN(30-SUM(J1649:L1649),6-L1649,_xlfn.XLOOKUP($D1649&amp;"_"&amp;I$61,$B$23:$B$45&amp;"_"&amp;$C$23:$C$45,$D$23:$D$45)*$E1649)</f>
        <v>0</v>
      </c>
      <c r="J1649" s="67" cm="1">
        <f ca="1" t="array" ref="J1649">MIN(8,_xlfn.XLOOKUP($D1649&amp;"_"&amp;J$61,$B$23:$B$45&amp;"_"&amp;$C$23:$C$45,$D$23:$D$45)*$E1649)</f>
        <v>8</v>
      </c>
      <c r="K1649" s="67" cm="1">
        <f ca="1" t="array" ref="K1649">MIN(18,_xlfn.XLOOKUP($D1649&amp;"_"&amp;K$61,$B$23:$B$45&amp;"_"&amp;$C$23:$C$45,$D$23:$D$45)*$E1649)</f>
        <v>6.52300961168782</v>
      </c>
      <c r="L1649" s="67" cm="1">
        <f ca="1" t="array" ref="L1649">MIN(6,_xlfn.XLOOKUP($D1649&amp;"_"&amp;L$61,$B$23:$B$45&amp;"_"&amp;$C$23:$C$45,$D$23:$D$45)*$E1649)</f>
        <v>6</v>
      </c>
      <c r="M1649" s="67" cm="1">
        <f ca="1" t="array" ref="M1649">(1+SUMPRODUCT(G1649:H1649,OFFSET($H$49:$I$49,D1649,0)))*(1+OFFSET($J$49,D1649,0))^I1649*(1+OFFSET($K$49,D1649,0))^J1649*(1+OFFSET($L$49,D1649,0))^K1649*(1+OFFSET($M$49,D1649,0))^L1649</f>
        <v>463.706675089666</v>
      </c>
      <c r="N1649" s="67">
        <f ca="1">MAX(MAX($N$62:N1648),OFFSET($C$61,MATCH(M1649*1.07,$M$62:$M$2061,1),0)-C1649)</f>
        <v>54000</v>
      </c>
    </row>
    <row r="1650" spans="2:14">
      <c r="B1650" s="67">
        <v>1589</v>
      </c>
      <c r="C1650" s="67">
        <f t="shared" si="154"/>
        <v>572040</v>
      </c>
      <c r="D1650" s="67">
        <f t="shared" si="152"/>
        <v>5</v>
      </c>
      <c r="E1650" s="67">
        <f ca="1" t="shared" si="153"/>
        <v>1619</v>
      </c>
      <c r="F1650" s="67">
        <f ca="1" t="shared" si="155"/>
        <v>0</v>
      </c>
      <c r="G1650" s="67">
        <f ca="1" t="shared" si="156"/>
        <v>0</v>
      </c>
      <c r="H1650" s="67" cm="1">
        <f ca="1" t="array" ref="H1650">MIN(30-SUM(I1650:L1650),_xlfn.XLOOKUP($D1650&amp;"_"&amp;H$61,$B$23:$B$45&amp;"_"&amp;$C$23:$C$45,$D$23:$D$45)*$E1650,18)</f>
        <v>9.47295886197616</v>
      </c>
      <c r="I1650" s="67" cm="1">
        <f ca="1" t="array" ref="I1650">MIN(30-SUM(J1650:L1650),6-L1650,_xlfn.XLOOKUP($D1650&amp;"_"&amp;I$61,$B$23:$B$45&amp;"_"&amp;$C$23:$C$45,$D$23:$D$45)*$E1650)</f>
        <v>0</v>
      </c>
      <c r="J1650" s="67" cm="1">
        <f ca="1" t="array" ref="J1650">MIN(8,_xlfn.XLOOKUP($D1650&amp;"_"&amp;J$61,$B$23:$B$45&amp;"_"&amp;$C$23:$C$45,$D$23:$D$45)*$E1650)</f>
        <v>8</v>
      </c>
      <c r="K1650" s="67" cm="1">
        <f ca="1" t="array" ref="K1650">MIN(18,_xlfn.XLOOKUP($D1650&amp;"_"&amp;K$61,$B$23:$B$45&amp;"_"&amp;$C$23:$C$45,$D$23:$D$45)*$E1650)</f>
        <v>6.52704113802384</v>
      </c>
      <c r="L1650" s="67" cm="1">
        <f ca="1" t="array" ref="L1650">MIN(6,_xlfn.XLOOKUP($D1650&amp;"_"&amp;L$61,$B$23:$B$45&amp;"_"&amp;$C$23:$C$45,$D$23:$D$45)*$E1650)</f>
        <v>6</v>
      </c>
      <c r="M1650" s="67" cm="1">
        <f ca="1" t="array" ref="M1650">(1+SUMPRODUCT(G1650:H1650,OFFSET($H$49:$I$49,D1650,0)))*(1+OFFSET($J$49,D1650,0))^I1650*(1+OFFSET($K$49,D1650,0))^J1650*(1+OFFSET($L$49,D1650,0))^K1650*(1+OFFSET($M$49,D1650,0))^L1650</f>
        <v>463.91841347514</v>
      </c>
      <c r="N1650" s="67">
        <f ca="1">MAX(MAX($N$62:N1649),OFFSET($C$61,MATCH(M1650*1.07,$M$62:$M$2061,1),0)-C1650)</f>
        <v>54000</v>
      </c>
    </row>
    <row r="1651" spans="2:14">
      <c r="B1651" s="67">
        <v>1590</v>
      </c>
      <c r="C1651" s="67">
        <f t="shared" si="154"/>
        <v>572400</v>
      </c>
      <c r="D1651" s="67">
        <f t="shared" si="152"/>
        <v>5</v>
      </c>
      <c r="E1651" s="67">
        <f ca="1" t="shared" si="153"/>
        <v>1620</v>
      </c>
      <c r="F1651" s="67">
        <f ca="1" t="shared" si="155"/>
        <v>0</v>
      </c>
      <c r="G1651" s="67">
        <f ca="1" t="shared" si="156"/>
        <v>0</v>
      </c>
      <c r="H1651" s="67" cm="1">
        <f ca="1" t="array" ref="H1651">MIN(30-SUM(I1651:L1651),_xlfn.XLOOKUP($D1651&amp;"_"&amp;H$61,$B$23:$B$45&amp;"_"&amp;$C$23:$C$45,$D$23:$D$45)*$E1651,18)</f>
        <v>9.46892733564013</v>
      </c>
      <c r="I1651" s="67" cm="1">
        <f ca="1" t="array" ref="I1651">MIN(30-SUM(J1651:L1651),6-L1651,_xlfn.XLOOKUP($D1651&amp;"_"&amp;I$61,$B$23:$B$45&amp;"_"&amp;$C$23:$C$45,$D$23:$D$45)*$E1651)</f>
        <v>0</v>
      </c>
      <c r="J1651" s="67" cm="1">
        <f ca="1" t="array" ref="J1651">MIN(8,_xlfn.XLOOKUP($D1651&amp;"_"&amp;J$61,$B$23:$B$45&amp;"_"&amp;$C$23:$C$45,$D$23:$D$45)*$E1651)</f>
        <v>8</v>
      </c>
      <c r="K1651" s="67" cm="1">
        <f ca="1" t="array" ref="K1651">MIN(18,_xlfn.XLOOKUP($D1651&amp;"_"&amp;K$61,$B$23:$B$45&amp;"_"&amp;$C$23:$C$45,$D$23:$D$45)*$E1651)</f>
        <v>6.53107266435987</v>
      </c>
      <c r="L1651" s="67" cm="1">
        <f ca="1" t="array" ref="L1651">MIN(6,_xlfn.XLOOKUP($D1651&amp;"_"&amp;L$61,$B$23:$B$45&amp;"_"&amp;$C$23:$C$45,$D$23:$D$45)*$E1651)</f>
        <v>6</v>
      </c>
      <c r="M1651" s="67" cm="1">
        <f ca="1" t="array" ref="M1651">(1+SUMPRODUCT(G1651:H1651,OFFSET($H$49:$I$49,D1651,0)))*(1+OFFSET($J$49,D1651,0))^I1651*(1+OFFSET($K$49,D1651,0))^J1651*(1+OFFSET($L$49,D1651,0))^K1651*(1+OFFSET($M$49,D1651,0))^L1651</f>
        <v>464.130212531481</v>
      </c>
      <c r="N1651" s="67">
        <f ca="1">MAX(MAX($N$62:N1650),OFFSET($C$61,MATCH(M1651*1.07,$M$62:$M$2061,1),0)-C1651)</f>
        <v>54000</v>
      </c>
    </row>
    <row r="1652" spans="2:14">
      <c r="B1652" s="67">
        <v>1591</v>
      </c>
      <c r="C1652" s="67">
        <f t="shared" si="154"/>
        <v>572760</v>
      </c>
      <c r="D1652" s="67">
        <f t="shared" si="152"/>
        <v>5</v>
      </c>
      <c r="E1652" s="67">
        <f ca="1" t="shared" si="153"/>
        <v>1621</v>
      </c>
      <c r="F1652" s="67">
        <f ca="1" t="shared" si="155"/>
        <v>0</v>
      </c>
      <c r="G1652" s="67">
        <f ca="1" t="shared" si="156"/>
        <v>0</v>
      </c>
      <c r="H1652" s="67" cm="1">
        <f ca="1" t="array" ref="H1652">MIN(30-SUM(I1652:L1652),_xlfn.XLOOKUP($D1652&amp;"_"&amp;H$61,$B$23:$B$45&amp;"_"&amp;$C$23:$C$45,$D$23:$D$45)*$E1652,18)</f>
        <v>9.46489580930411</v>
      </c>
      <c r="I1652" s="67" cm="1">
        <f ca="1" t="array" ref="I1652">MIN(30-SUM(J1652:L1652),6-L1652,_xlfn.XLOOKUP($D1652&amp;"_"&amp;I$61,$B$23:$B$45&amp;"_"&amp;$C$23:$C$45,$D$23:$D$45)*$E1652)</f>
        <v>0</v>
      </c>
      <c r="J1652" s="67" cm="1">
        <f ca="1" t="array" ref="J1652">MIN(8,_xlfn.XLOOKUP($D1652&amp;"_"&amp;J$61,$B$23:$B$45&amp;"_"&amp;$C$23:$C$45,$D$23:$D$45)*$E1652)</f>
        <v>8</v>
      </c>
      <c r="K1652" s="67" cm="1">
        <f ca="1" t="array" ref="K1652">MIN(18,_xlfn.XLOOKUP($D1652&amp;"_"&amp;K$61,$B$23:$B$45&amp;"_"&amp;$C$23:$C$45,$D$23:$D$45)*$E1652)</f>
        <v>6.53510419069589</v>
      </c>
      <c r="L1652" s="67" cm="1">
        <f ca="1" t="array" ref="L1652">MIN(6,_xlfn.XLOOKUP($D1652&amp;"_"&amp;L$61,$B$23:$B$45&amp;"_"&amp;$C$23:$C$45,$D$23:$D$45)*$E1652)</f>
        <v>6</v>
      </c>
      <c r="M1652" s="67" cm="1">
        <f ca="1" t="array" ref="M1652">(1+SUMPRODUCT(G1652:H1652,OFFSET($H$49:$I$49,D1652,0)))*(1+OFFSET($J$49,D1652,0))^I1652*(1+OFFSET($K$49,D1652,0))^J1652*(1+OFFSET($L$49,D1652,0))^K1652*(1+OFFSET($M$49,D1652,0))^L1652</f>
        <v>464.342072233432</v>
      </c>
      <c r="N1652" s="67">
        <f ca="1">MAX(MAX($N$62:N1651),OFFSET($C$61,MATCH(M1652*1.07,$M$62:$M$2061,1),0)-C1652)</f>
        <v>54000</v>
      </c>
    </row>
    <row r="1653" spans="2:14">
      <c r="B1653" s="67">
        <v>1592</v>
      </c>
      <c r="C1653" s="67">
        <f t="shared" si="154"/>
        <v>573120</v>
      </c>
      <c r="D1653" s="67">
        <f t="shared" si="152"/>
        <v>5</v>
      </c>
      <c r="E1653" s="67">
        <f ca="1" t="shared" si="153"/>
        <v>1622</v>
      </c>
      <c r="F1653" s="67">
        <f ca="1" t="shared" si="155"/>
        <v>0</v>
      </c>
      <c r="G1653" s="67">
        <f ca="1" t="shared" si="156"/>
        <v>0</v>
      </c>
      <c r="H1653" s="67" cm="1">
        <f ca="1" t="array" ref="H1653">MIN(30-SUM(I1653:L1653),_xlfn.XLOOKUP($D1653&amp;"_"&amp;H$61,$B$23:$B$45&amp;"_"&amp;$C$23:$C$45,$D$23:$D$45)*$E1653,18)</f>
        <v>9.46086428296808</v>
      </c>
      <c r="I1653" s="67" cm="1">
        <f ca="1" t="array" ref="I1653">MIN(30-SUM(J1653:L1653),6-L1653,_xlfn.XLOOKUP($D1653&amp;"_"&amp;I$61,$B$23:$B$45&amp;"_"&amp;$C$23:$C$45,$D$23:$D$45)*$E1653)</f>
        <v>0</v>
      </c>
      <c r="J1653" s="67" cm="1">
        <f ca="1" t="array" ref="J1653">MIN(8,_xlfn.XLOOKUP($D1653&amp;"_"&amp;J$61,$B$23:$B$45&amp;"_"&amp;$C$23:$C$45,$D$23:$D$45)*$E1653)</f>
        <v>8</v>
      </c>
      <c r="K1653" s="67" cm="1">
        <f ca="1" t="array" ref="K1653">MIN(18,_xlfn.XLOOKUP($D1653&amp;"_"&amp;K$61,$B$23:$B$45&amp;"_"&amp;$C$23:$C$45,$D$23:$D$45)*$E1653)</f>
        <v>6.53913571703192</v>
      </c>
      <c r="L1653" s="67" cm="1">
        <f ca="1" t="array" ref="L1653">MIN(6,_xlfn.XLOOKUP($D1653&amp;"_"&amp;L$61,$B$23:$B$45&amp;"_"&amp;$C$23:$C$45,$D$23:$D$45)*$E1653)</f>
        <v>6</v>
      </c>
      <c r="M1653" s="67" cm="1">
        <f ca="1" t="array" ref="M1653">(1+SUMPRODUCT(G1653:H1653,OFFSET($H$49:$I$49,D1653,0)))*(1+OFFSET($J$49,D1653,0))^I1653*(1+OFFSET($K$49,D1653,0))^J1653*(1+OFFSET($L$49,D1653,0))^K1653*(1+OFFSET($M$49,D1653,0))^L1653</f>
        <v>464.553992555664</v>
      </c>
      <c r="N1653" s="67">
        <f ca="1">MAX(MAX($N$62:N1652),OFFSET($C$61,MATCH(M1653*1.07,$M$62:$M$2061,1),0)-C1653)</f>
        <v>54000</v>
      </c>
    </row>
    <row r="1654" spans="2:14">
      <c r="B1654" s="67">
        <v>1593</v>
      </c>
      <c r="C1654" s="67">
        <f t="shared" si="154"/>
        <v>573480</v>
      </c>
      <c r="D1654" s="67">
        <f t="shared" si="152"/>
        <v>5</v>
      </c>
      <c r="E1654" s="67">
        <f ca="1" t="shared" si="153"/>
        <v>1623</v>
      </c>
      <c r="F1654" s="67">
        <f ca="1" t="shared" si="155"/>
        <v>0</v>
      </c>
      <c r="G1654" s="67">
        <f ca="1" t="shared" si="156"/>
        <v>0</v>
      </c>
      <c r="H1654" s="67" cm="1">
        <f ca="1" t="array" ref="H1654">MIN(30-SUM(I1654:L1654),_xlfn.XLOOKUP($D1654&amp;"_"&amp;H$61,$B$23:$B$45&amp;"_"&amp;$C$23:$C$45,$D$23:$D$45)*$E1654,18)</f>
        <v>9.45683275663206</v>
      </c>
      <c r="I1654" s="67" cm="1">
        <f ca="1" t="array" ref="I1654">MIN(30-SUM(J1654:L1654),6-L1654,_xlfn.XLOOKUP($D1654&amp;"_"&amp;I$61,$B$23:$B$45&amp;"_"&amp;$C$23:$C$45,$D$23:$D$45)*$E1654)</f>
        <v>0</v>
      </c>
      <c r="J1654" s="67" cm="1">
        <f ca="1" t="array" ref="J1654">MIN(8,_xlfn.XLOOKUP($D1654&amp;"_"&amp;J$61,$B$23:$B$45&amp;"_"&amp;$C$23:$C$45,$D$23:$D$45)*$E1654)</f>
        <v>8</v>
      </c>
      <c r="K1654" s="67" cm="1">
        <f ca="1" t="array" ref="K1654">MIN(18,_xlfn.XLOOKUP($D1654&amp;"_"&amp;K$61,$B$23:$B$45&amp;"_"&amp;$C$23:$C$45,$D$23:$D$45)*$E1654)</f>
        <v>6.54316724336794</v>
      </c>
      <c r="L1654" s="67" cm="1">
        <f ca="1" t="array" ref="L1654">MIN(6,_xlfn.XLOOKUP($D1654&amp;"_"&amp;L$61,$B$23:$B$45&amp;"_"&amp;$C$23:$C$45,$D$23:$D$45)*$E1654)</f>
        <v>6</v>
      </c>
      <c r="M1654" s="67" cm="1">
        <f ca="1" t="array" ref="M1654">(1+SUMPRODUCT(G1654:H1654,OFFSET($H$49:$I$49,D1654,0)))*(1+OFFSET($J$49,D1654,0))^I1654*(1+OFFSET($K$49,D1654,0))^J1654*(1+OFFSET($L$49,D1654,0))^K1654*(1+OFFSET($M$49,D1654,0))^L1654</f>
        <v>464.76597347278</v>
      </c>
      <c r="N1654" s="67">
        <f ca="1">MAX(MAX($N$62:N1653),OFFSET($C$61,MATCH(M1654*1.07,$M$62:$M$2061,1),0)-C1654)</f>
        <v>54000</v>
      </c>
    </row>
    <row r="1655" spans="2:14">
      <c r="B1655" s="67">
        <v>1594</v>
      </c>
      <c r="C1655" s="67">
        <f t="shared" si="154"/>
        <v>573840</v>
      </c>
      <c r="D1655" s="67">
        <f t="shared" si="152"/>
        <v>5</v>
      </c>
      <c r="E1655" s="67">
        <f ca="1" t="shared" si="153"/>
        <v>1624</v>
      </c>
      <c r="F1655" s="67">
        <f ca="1" t="shared" si="155"/>
        <v>0</v>
      </c>
      <c r="G1655" s="67">
        <f ca="1" t="shared" si="156"/>
        <v>0</v>
      </c>
      <c r="H1655" s="67" cm="1">
        <f ca="1" t="array" ref="H1655">MIN(30-SUM(I1655:L1655),_xlfn.XLOOKUP($D1655&amp;"_"&amp;H$61,$B$23:$B$45&amp;"_"&amp;$C$23:$C$45,$D$23:$D$45)*$E1655,18)</f>
        <v>9.45280123029603</v>
      </c>
      <c r="I1655" s="67" cm="1">
        <f ca="1" t="array" ref="I1655">MIN(30-SUM(J1655:L1655),6-L1655,_xlfn.XLOOKUP($D1655&amp;"_"&amp;I$61,$B$23:$B$45&amp;"_"&amp;$C$23:$C$45,$D$23:$D$45)*$E1655)</f>
        <v>0</v>
      </c>
      <c r="J1655" s="67" cm="1">
        <f ca="1" t="array" ref="J1655">MIN(8,_xlfn.XLOOKUP($D1655&amp;"_"&amp;J$61,$B$23:$B$45&amp;"_"&amp;$C$23:$C$45,$D$23:$D$45)*$E1655)</f>
        <v>8</v>
      </c>
      <c r="K1655" s="67" cm="1">
        <f ca="1" t="array" ref="K1655">MIN(18,_xlfn.XLOOKUP($D1655&amp;"_"&amp;K$61,$B$23:$B$45&amp;"_"&amp;$C$23:$C$45,$D$23:$D$45)*$E1655)</f>
        <v>6.54719876970397</v>
      </c>
      <c r="L1655" s="67" cm="1">
        <f ca="1" t="array" ref="L1655">MIN(6,_xlfn.XLOOKUP($D1655&amp;"_"&amp;L$61,$B$23:$B$45&amp;"_"&amp;$C$23:$C$45,$D$23:$D$45)*$E1655)</f>
        <v>6</v>
      </c>
      <c r="M1655" s="67" cm="1">
        <f ca="1" t="array" ref="M1655">(1+SUMPRODUCT(G1655:H1655,OFFSET($H$49:$I$49,D1655,0)))*(1+OFFSET($J$49,D1655,0))^I1655*(1+OFFSET($K$49,D1655,0))^J1655*(1+OFFSET($L$49,D1655,0))^K1655*(1+OFFSET($M$49,D1655,0))^L1655</f>
        <v>464.978014959311</v>
      </c>
      <c r="N1655" s="67">
        <f ca="1">MAX(MAX($N$62:N1654),OFFSET($C$61,MATCH(M1655*1.07,$M$62:$M$2061,1),0)-C1655)</f>
        <v>54000</v>
      </c>
    </row>
    <row r="1656" spans="2:14">
      <c r="B1656" s="67">
        <v>1595</v>
      </c>
      <c r="C1656" s="67">
        <f t="shared" si="154"/>
        <v>574200</v>
      </c>
      <c r="D1656" s="67">
        <f t="shared" si="152"/>
        <v>5</v>
      </c>
      <c r="E1656" s="67">
        <f ca="1" t="shared" si="153"/>
        <v>1625</v>
      </c>
      <c r="F1656" s="67">
        <f ca="1" t="shared" si="155"/>
        <v>0</v>
      </c>
      <c r="G1656" s="67">
        <f ca="1" t="shared" si="156"/>
        <v>0</v>
      </c>
      <c r="H1656" s="67" cm="1">
        <f ca="1" t="array" ref="H1656">MIN(30-SUM(I1656:L1656),_xlfn.XLOOKUP($D1656&amp;"_"&amp;H$61,$B$23:$B$45&amp;"_"&amp;$C$23:$C$45,$D$23:$D$45)*$E1656,18)</f>
        <v>9.44876970396001</v>
      </c>
      <c r="I1656" s="67" cm="1">
        <f ca="1" t="array" ref="I1656">MIN(30-SUM(J1656:L1656),6-L1656,_xlfn.XLOOKUP($D1656&amp;"_"&amp;I$61,$B$23:$B$45&amp;"_"&amp;$C$23:$C$45,$D$23:$D$45)*$E1656)</f>
        <v>0</v>
      </c>
      <c r="J1656" s="67" cm="1">
        <f ca="1" t="array" ref="J1656">MIN(8,_xlfn.XLOOKUP($D1656&amp;"_"&amp;J$61,$B$23:$B$45&amp;"_"&amp;$C$23:$C$45,$D$23:$D$45)*$E1656)</f>
        <v>8</v>
      </c>
      <c r="K1656" s="67" cm="1">
        <f ca="1" t="array" ref="K1656">MIN(18,_xlfn.XLOOKUP($D1656&amp;"_"&amp;K$61,$B$23:$B$45&amp;"_"&amp;$C$23:$C$45,$D$23:$D$45)*$E1656)</f>
        <v>6.55123029603999</v>
      </c>
      <c r="L1656" s="67" cm="1">
        <f ca="1" t="array" ref="L1656">MIN(6,_xlfn.XLOOKUP($D1656&amp;"_"&amp;L$61,$B$23:$B$45&amp;"_"&amp;$C$23:$C$45,$D$23:$D$45)*$E1656)</f>
        <v>6</v>
      </c>
      <c r="M1656" s="67" cm="1">
        <f ca="1" t="array" ref="M1656">(1+SUMPRODUCT(G1656:H1656,OFFSET($H$49:$I$49,D1656,0)))*(1+OFFSET($J$49,D1656,0))^I1656*(1+OFFSET($K$49,D1656,0))^J1656*(1+OFFSET($L$49,D1656,0))^K1656*(1+OFFSET($M$49,D1656,0))^L1656</f>
        <v>465.190116989719</v>
      </c>
      <c r="N1656" s="67">
        <f ca="1">MAX(MAX($N$62:N1655),OFFSET($C$61,MATCH(M1656*1.07,$M$62:$M$2061,1),0)-C1656)</f>
        <v>54000</v>
      </c>
    </row>
    <row r="1657" spans="2:14">
      <c r="B1657" s="67">
        <v>1596</v>
      </c>
      <c r="C1657" s="67">
        <f t="shared" si="154"/>
        <v>574560</v>
      </c>
      <c r="D1657" s="67">
        <f t="shared" si="152"/>
        <v>5</v>
      </c>
      <c r="E1657" s="67">
        <f ca="1" t="shared" si="153"/>
        <v>1626</v>
      </c>
      <c r="F1657" s="67">
        <f ca="1" t="shared" si="155"/>
        <v>0</v>
      </c>
      <c r="G1657" s="67">
        <f ca="1" t="shared" si="156"/>
        <v>0</v>
      </c>
      <c r="H1657" s="67" cm="1">
        <f ca="1" t="array" ref="H1657">MIN(30-SUM(I1657:L1657),_xlfn.XLOOKUP($D1657&amp;"_"&amp;H$61,$B$23:$B$45&amp;"_"&amp;$C$23:$C$45,$D$23:$D$45)*$E1657,18)</f>
        <v>9.44473817762399</v>
      </c>
      <c r="I1657" s="67" cm="1">
        <f ca="1" t="array" ref="I1657">MIN(30-SUM(J1657:L1657),6-L1657,_xlfn.XLOOKUP($D1657&amp;"_"&amp;I$61,$B$23:$B$45&amp;"_"&amp;$C$23:$C$45,$D$23:$D$45)*$E1657)</f>
        <v>0</v>
      </c>
      <c r="J1657" s="67" cm="1">
        <f ca="1" t="array" ref="J1657">MIN(8,_xlfn.XLOOKUP($D1657&amp;"_"&amp;J$61,$B$23:$B$45&amp;"_"&amp;$C$23:$C$45,$D$23:$D$45)*$E1657)</f>
        <v>8</v>
      </c>
      <c r="K1657" s="67" cm="1">
        <f ca="1" t="array" ref="K1657">MIN(18,_xlfn.XLOOKUP($D1657&amp;"_"&amp;K$61,$B$23:$B$45&amp;"_"&amp;$C$23:$C$45,$D$23:$D$45)*$E1657)</f>
        <v>6.55526182237602</v>
      </c>
      <c r="L1657" s="67" cm="1">
        <f ca="1" t="array" ref="L1657">MIN(6,_xlfn.XLOOKUP($D1657&amp;"_"&amp;L$61,$B$23:$B$45&amp;"_"&amp;$C$23:$C$45,$D$23:$D$45)*$E1657)</f>
        <v>6</v>
      </c>
      <c r="M1657" s="67" cm="1">
        <f ca="1" t="array" ref="M1657">(1+SUMPRODUCT(G1657:H1657,OFFSET($H$49:$I$49,D1657,0)))*(1+OFFSET($J$49,D1657,0))^I1657*(1+OFFSET($K$49,D1657,0))^J1657*(1+OFFSET($L$49,D1657,0))^K1657*(1+OFFSET($M$49,D1657,0))^L1657</f>
        <v>465.402279538395</v>
      </c>
      <c r="N1657" s="67">
        <f ca="1">MAX(MAX($N$62:N1656),OFFSET($C$61,MATCH(M1657*1.07,$M$62:$M$2061,1),0)-C1657)</f>
        <v>54000</v>
      </c>
    </row>
    <row r="1658" spans="2:14">
      <c r="B1658" s="67">
        <v>1597</v>
      </c>
      <c r="C1658" s="67">
        <f t="shared" si="154"/>
        <v>574920</v>
      </c>
      <c r="D1658" s="67">
        <f t="shared" si="152"/>
        <v>5</v>
      </c>
      <c r="E1658" s="67">
        <f ca="1" t="shared" si="153"/>
        <v>1627</v>
      </c>
      <c r="F1658" s="67">
        <f ca="1" t="shared" si="155"/>
        <v>0</v>
      </c>
      <c r="G1658" s="67">
        <f ca="1" t="shared" si="156"/>
        <v>0</v>
      </c>
      <c r="H1658" s="67" cm="1">
        <f ca="1" t="array" ref="H1658">MIN(30-SUM(I1658:L1658),_xlfn.XLOOKUP($D1658&amp;"_"&amp;H$61,$B$23:$B$45&amp;"_"&amp;$C$23:$C$45,$D$23:$D$45)*$E1658,18)</f>
        <v>9.44070665128796</v>
      </c>
      <c r="I1658" s="67" cm="1">
        <f ca="1" t="array" ref="I1658">MIN(30-SUM(J1658:L1658),6-L1658,_xlfn.XLOOKUP($D1658&amp;"_"&amp;I$61,$B$23:$B$45&amp;"_"&amp;$C$23:$C$45,$D$23:$D$45)*$E1658)</f>
        <v>0</v>
      </c>
      <c r="J1658" s="67" cm="1">
        <f ca="1" t="array" ref="J1658">MIN(8,_xlfn.XLOOKUP($D1658&amp;"_"&amp;J$61,$B$23:$B$45&amp;"_"&amp;$C$23:$C$45,$D$23:$D$45)*$E1658)</f>
        <v>8</v>
      </c>
      <c r="K1658" s="67" cm="1">
        <f ca="1" t="array" ref="K1658">MIN(18,_xlfn.XLOOKUP($D1658&amp;"_"&amp;K$61,$B$23:$B$45&amp;"_"&amp;$C$23:$C$45,$D$23:$D$45)*$E1658)</f>
        <v>6.55929334871204</v>
      </c>
      <c r="L1658" s="67" cm="1">
        <f ca="1" t="array" ref="L1658">MIN(6,_xlfn.XLOOKUP($D1658&amp;"_"&amp;L$61,$B$23:$B$45&amp;"_"&amp;$C$23:$C$45,$D$23:$D$45)*$E1658)</f>
        <v>6</v>
      </c>
      <c r="M1658" s="67" cm="1">
        <f ca="1" t="array" ref="M1658">(1+SUMPRODUCT(G1658:H1658,OFFSET($H$49:$I$49,D1658,0)))*(1+OFFSET($J$49,D1658,0))^I1658*(1+OFFSET($K$49,D1658,0))^J1658*(1+OFFSET($L$49,D1658,0))^K1658*(1+OFFSET($M$49,D1658,0))^L1658</f>
        <v>465.614502579661</v>
      </c>
      <c r="N1658" s="67">
        <f ca="1">MAX(MAX($N$62:N1657),OFFSET($C$61,MATCH(M1658*1.07,$M$62:$M$2061,1),0)-C1658)</f>
        <v>54000</v>
      </c>
    </row>
    <row r="1659" spans="2:14">
      <c r="B1659" s="67">
        <v>1598</v>
      </c>
      <c r="C1659" s="67">
        <f t="shared" si="154"/>
        <v>575280</v>
      </c>
      <c r="D1659" s="67">
        <f t="shared" si="152"/>
        <v>5</v>
      </c>
      <c r="E1659" s="67">
        <f ca="1" t="shared" si="153"/>
        <v>1628</v>
      </c>
      <c r="F1659" s="67">
        <f ca="1" t="shared" si="155"/>
        <v>0</v>
      </c>
      <c r="G1659" s="67">
        <f ca="1" t="shared" si="156"/>
        <v>0</v>
      </c>
      <c r="H1659" s="67" cm="1">
        <f ca="1" t="array" ref="H1659">MIN(30-SUM(I1659:L1659),_xlfn.XLOOKUP($D1659&amp;"_"&amp;H$61,$B$23:$B$45&amp;"_"&amp;$C$23:$C$45,$D$23:$D$45)*$E1659,18)</f>
        <v>9.43667512495194</v>
      </c>
      <c r="I1659" s="67" cm="1">
        <f ca="1" t="array" ref="I1659">MIN(30-SUM(J1659:L1659),6-L1659,_xlfn.XLOOKUP($D1659&amp;"_"&amp;I$61,$B$23:$B$45&amp;"_"&amp;$C$23:$C$45,$D$23:$D$45)*$E1659)</f>
        <v>0</v>
      </c>
      <c r="J1659" s="67" cm="1">
        <f ca="1" t="array" ref="J1659">MIN(8,_xlfn.XLOOKUP($D1659&amp;"_"&amp;J$61,$B$23:$B$45&amp;"_"&amp;$C$23:$C$45,$D$23:$D$45)*$E1659)</f>
        <v>8</v>
      </c>
      <c r="K1659" s="67" cm="1">
        <f ca="1" t="array" ref="K1659">MIN(18,_xlfn.XLOOKUP($D1659&amp;"_"&amp;K$61,$B$23:$B$45&amp;"_"&amp;$C$23:$C$45,$D$23:$D$45)*$E1659)</f>
        <v>6.56332487504806</v>
      </c>
      <c r="L1659" s="67" cm="1">
        <f ca="1" t="array" ref="L1659">MIN(6,_xlfn.XLOOKUP($D1659&amp;"_"&amp;L$61,$B$23:$B$45&amp;"_"&amp;$C$23:$C$45,$D$23:$D$45)*$E1659)</f>
        <v>6</v>
      </c>
      <c r="M1659" s="67" cm="1">
        <f ca="1" t="array" ref="M1659">(1+SUMPRODUCT(G1659:H1659,OFFSET($H$49:$I$49,D1659,0)))*(1+OFFSET($J$49,D1659,0))^I1659*(1+OFFSET($K$49,D1659,0))^J1659*(1+OFFSET($L$49,D1659,0))^K1659*(1+OFFSET($M$49,D1659,0))^L1659</f>
        <v>465.826786087767</v>
      </c>
      <c r="N1659" s="67">
        <f ca="1">MAX(MAX($N$62:N1658),OFFSET($C$61,MATCH(M1659*1.07,$M$62:$M$2061,1),0)-C1659)</f>
        <v>54000</v>
      </c>
    </row>
    <row r="1660" spans="2:14">
      <c r="B1660" s="67">
        <v>1599</v>
      </c>
      <c r="C1660" s="67">
        <f t="shared" si="154"/>
        <v>575640</v>
      </c>
      <c r="D1660" s="67">
        <f t="shared" si="152"/>
        <v>5</v>
      </c>
      <c r="E1660" s="67">
        <f ca="1" t="shared" si="153"/>
        <v>1629</v>
      </c>
      <c r="F1660" s="67">
        <f ca="1" t="shared" si="155"/>
        <v>0</v>
      </c>
      <c r="G1660" s="67">
        <f ca="1" t="shared" si="156"/>
        <v>0</v>
      </c>
      <c r="H1660" s="67" cm="1">
        <f ca="1" t="array" ref="H1660">MIN(30-SUM(I1660:L1660),_xlfn.XLOOKUP($D1660&amp;"_"&amp;H$61,$B$23:$B$45&amp;"_"&amp;$C$23:$C$45,$D$23:$D$45)*$E1660,18)</f>
        <v>9.43264359861591</v>
      </c>
      <c r="I1660" s="67" cm="1">
        <f ca="1" t="array" ref="I1660">MIN(30-SUM(J1660:L1660),6-L1660,_xlfn.XLOOKUP($D1660&amp;"_"&amp;I$61,$B$23:$B$45&amp;"_"&amp;$C$23:$C$45,$D$23:$D$45)*$E1660)</f>
        <v>0</v>
      </c>
      <c r="J1660" s="67" cm="1">
        <f ca="1" t="array" ref="J1660">MIN(8,_xlfn.XLOOKUP($D1660&amp;"_"&amp;J$61,$B$23:$B$45&amp;"_"&amp;$C$23:$C$45,$D$23:$D$45)*$E1660)</f>
        <v>8</v>
      </c>
      <c r="K1660" s="67" cm="1">
        <f ca="1" t="array" ref="K1660">MIN(18,_xlfn.XLOOKUP($D1660&amp;"_"&amp;K$61,$B$23:$B$45&amp;"_"&amp;$C$23:$C$45,$D$23:$D$45)*$E1660)</f>
        <v>6.56735640138409</v>
      </c>
      <c r="L1660" s="67" cm="1">
        <f ca="1" t="array" ref="L1660">MIN(6,_xlfn.XLOOKUP($D1660&amp;"_"&amp;L$61,$B$23:$B$45&amp;"_"&amp;$C$23:$C$45,$D$23:$D$45)*$E1660)</f>
        <v>6</v>
      </c>
      <c r="M1660" s="67" cm="1">
        <f ca="1" t="array" ref="M1660">(1+SUMPRODUCT(G1660:H1660,OFFSET($H$49:$I$49,D1660,0)))*(1+OFFSET($J$49,D1660,0))^I1660*(1+OFFSET($K$49,D1660,0))^J1660*(1+OFFSET($L$49,D1660,0))^K1660*(1+OFFSET($M$49,D1660,0))^L1660</f>
        <v>466.039130036892</v>
      </c>
      <c r="N1660" s="67">
        <f ca="1">MAX(MAX($N$62:N1659),OFFSET($C$61,MATCH(M1660*1.07,$M$62:$M$2061,1),0)-C1660)</f>
        <v>54000</v>
      </c>
    </row>
    <row r="1661" spans="2:14">
      <c r="B1661" s="67">
        <v>1600</v>
      </c>
      <c r="C1661" s="67">
        <f t="shared" si="154"/>
        <v>576000</v>
      </c>
      <c r="D1661" s="67">
        <f t="shared" si="152"/>
        <v>5</v>
      </c>
      <c r="E1661" s="67">
        <f ca="1" t="shared" si="153"/>
        <v>1630</v>
      </c>
      <c r="F1661" s="67">
        <f ca="1" t="shared" si="155"/>
        <v>0</v>
      </c>
      <c r="G1661" s="67">
        <f ca="1" t="shared" si="156"/>
        <v>0</v>
      </c>
      <c r="H1661" s="67" cm="1">
        <f ca="1" t="array" ref="H1661">MIN(30-SUM(I1661:L1661),_xlfn.XLOOKUP($D1661&amp;"_"&amp;H$61,$B$23:$B$45&amp;"_"&amp;$C$23:$C$45,$D$23:$D$45)*$E1661,18)</f>
        <v>9.42861207227989</v>
      </c>
      <c r="I1661" s="67" cm="1">
        <f ca="1" t="array" ref="I1661">MIN(30-SUM(J1661:L1661),6-L1661,_xlfn.XLOOKUP($D1661&amp;"_"&amp;I$61,$B$23:$B$45&amp;"_"&amp;$C$23:$C$45,$D$23:$D$45)*$E1661)</f>
        <v>0</v>
      </c>
      <c r="J1661" s="67" cm="1">
        <f ca="1" t="array" ref="J1661">MIN(8,_xlfn.XLOOKUP($D1661&amp;"_"&amp;J$61,$B$23:$B$45&amp;"_"&amp;$C$23:$C$45,$D$23:$D$45)*$E1661)</f>
        <v>8</v>
      </c>
      <c r="K1661" s="67" cm="1">
        <f ca="1" t="array" ref="K1661">MIN(18,_xlfn.XLOOKUP($D1661&amp;"_"&amp;K$61,$B$23:$B$45&amp;"_"&amp;$C$23:$C$45,$D$23:$D$45)*$E1661)</f>
        <v>6.57138792772011</v>
      </c>
      <c r="L1661" s="67" cm="1">
        <f ca="1" t="array" ref="L1661">MIN(6,_xlfn.XLOOKUP($D1661&amp;"_"&amp;L$61,$B$23:$B$45&amp;"_"&amp;$C$23:$C$45,$D$23:$D$45)*$E1661)</f>
        <v>6</v>
      </c>
      <c r="M1661" s="67" cm="1">
        <f ca="1" t="array" ref="M1661">(1+SUMPRODUCT(G1661:H1661,OFFSET($H$49:$I$49,D1661,0)))*(1+OFFSET($J$49,D1661,0))^I1661*(1+OFFSET($K$49,D1661,0))^J1661*(1+OFFSET($L$49,D1661,0))^K1661*(1+OFFSET($M$49,D1661,0))^L1661</f>
        <v>466.251534401147</v>
      </c>
      <c r="N1661" s="67">
        <f ca="1">MAX(MAX($N$62:N1660),OFFSET($C$61,MATCH(M1661*1.07,$M$62:$M$2061,1),0)-C1661)</f>
        <v>54000</v>
      </c>
    </row>
    <row r="1662" spans="2:14">
      <c r="B1662" s="67">
        <v>1601</v>
      </c>
      <c r="C1662" s="67">
        <f t="shared" si="154"/>
        <v>576360</v>
      </c>
      <c r="D1662" s="67">
        <f t="shared" si="152"/>
        <v>5</v>
      </c>
      <c r="E1662" s="67">
        <f ca="1" t="shared" si="153"/>
        <v>1631</v>
      </c>
      <c r="F1662" s="67">
        <f ca="1" t="shared" si="155"/>
        <v>0</v>
      </c>
      <c r="G1662" s="67">
        <f ca="1" t="shared" si="156"/>
        <v>0</v>
      </c>
      <c r="H1662" s="67" cm="1">
        <f ca="1" t="array" ref="H1662">MIN(30-SUM(I1662:L1662),_xlfn.XLOOKUP($D1662&amp;"_"&amp;H$61,$B$23:$B$45&amp;"_"&amp;$C$23:$C$45,$D$23:$D$45)*$E1662,18)</f>
        <v>9.42458054594386</v>
      </c>
      <c r="I1662" s="67" cm="1">
        <f ca="1" t="array" ref="I1662">MIN(30-SUM(J1662:L1662),6-L1662,_xlfn.XLOOKUP($D1662&amp;"_"&amp;I$61,$B$23:$B$45&amp;"_"&amp;$C$23:$C$45,$D$23:$D$45)*$E1662)</f>
        <v>0</v>
      </c>
      <c r="J1662" s="67" cm="1">
        <f ca="1" t="array" ref="J1662">MIN(8,_xlfn.XLOOKUP($D1662&amp;"_"&amp;J$61,$B$23:$B$45&amp;"_"&amp;$C$23:$C$45,$D$23:$D$45)*$E1662)</f>
        <v>8</v>
      </c>
      <c r="K1662" s="67" cm="1">
        <f ca="1" t="array" ref="K1662">MIN(18,_xlfn.XLOOKUP($D1662&amp;"_"&amp;K$61,$B$23:$B$45&amp;"_"&amp;$C$23:$C$45,$D$23:$D$45)*$E1662)</f>
        <v>6.57541945405614</v>
      </c>
      <c r="L1662" s="67" cm="1">
        <f ca="1" t="array" ref="L1662">MIN(6,_xlfn.XLOOKUP($D1662&amp;"_"&amp;L$61,$B$23:$B$45&amp;"_"&amp;$C$23:$C$45,$D$23:$D$45)*$E1662)</f>
        <v>6</v>
      </c>
      <c r="M1662" s="67" cm="1">
        <f ca="1" t="array" ref="M1662">(1+SUMPRODUCT(G1662:H1662,OFFSET($H$49:$I$49,D1662,0)))*(1+OFFSET($J$49,D1662,0))^I1662*(1+OFFSET($K$49,D1662,0))^J1662*(1+OFFSET($L$49,D1662,0))^K1662*(1+OFFSET($M$49,D1662,0))^L1662</f>
        <v>466.463999154568</v>
      </c>
      <c r="N1662" s="67">
        <f ca="1">MAX(MAX($N$62:N1661),OFFSET($C$61,MATCH(M1662*1.07,$M$62:$M$2061,1),0)-C1662)</f>
        <v>54000</v>
      </c>
    </row>
    <row r="1663" spans="2:14">
      <c r="B1663" s="67">
        <v>1602</v>
      </c>
      <c r="C1663" s="67">
        <f t="shared" si="154"/>
        <v>576720</v>
      </c>
      <c r="D1663" s="67">
        <f t="shared" ref="D1663:D1726" si="157">_xlfn.XLOOKUP("非R",$B$49:$B$54,$C$49:$C$54)</f>
        <v>5</v>
      </c>
      <c r="E1663" s="67">
        <f ca="1" t="shared" ref="E1663:E1726" si="158">INT(C1663/_xlfn.XLOOKUP(D1663,$R$14:$R$21,$S$14:$S$21))+OFFSET($R$49,D1663,0)</f>
        <v>1632</v>
      </c>
      <c r="F1663" s="67">
        <f ca="1" t="shared" si="155"/>
        <v>0</v>
      </c>
      <c r="G1663" s="67">
        <f ca="1" t="shared" si="156"/>
        <v>0</v>
      </c>
      <c r="H1663" s="67" cm="1">
        <f ca="1" t="array" ref="H1663">MIN(30-SUM(I1663:L1663),_xlfn.XLOOKUP($D1663&amp;"_"&amp;H$61,$B$23:$B$45&amp;"_"&amp;$C$23:$C$45,$D$23:$D$45)*$E1663,18)</f>
        <v>9.42054901960784</v>
      </c>
      <c r="I1663" s="67" cm="1">
        <f ca="1" t="array" ref="I1663">MIN(30-SUM(J1663:L1663),6-L1663,_xlfn.XLOOKUP($D1663&amp;"_"&amp;I$61,$B$23:$B$45&amp;"_"&amp;$C$23:$C$45,$D$23:$D$45)*$E1663)</f>
        <v>0</v>
      </c>
      <c r="J1663" s="67" cm="1">
        <f ca="1" t="array" ref="J1663">MIN(8,_xlfn.XLOOKUP($D1663&amp;"_"&amp;J$61,$B$23:$B$45&amp;"_"&amp;$C$23:$C$45,$D$23:$D$45)*$E1663)</f>
        <v>8</v>
      </c>
      <c r="K1663" s="67" cm="1">
        <f ca="1" t="array" ref="K1663">MIN(18,_xlfn.XLOOKUP($D1663&amp;"_"&amp;K$61,$B$23:$B$45&amp;"_"&amp;$C$23:$C$45,$D$23:$D$45)*$E1663)</f>
        <v>6.57945098039216</v>
      </c>
      <c r="L1663" s="67" cm="1">
        <f ca="1" t="array" ref="L1663">MIN(6,_xlfn.XLOOKUP($D1663&amp;"_"&amp;L$61,$B$23:$B$45&amp;"_"&amp;$C$23:$C$45,$D$23:$D$45)*$E1663)</f>
        <v>6</v>
      </c>
      <c r="M1663" s="67" cm="1">
        <f ca="1" t="array" ref="M1663">(1+SUMPRODUCT(G1663:H1663,OFFSET($H$49:$I$49,D1663,0)))*(1+OFFSET($J$49,D1663,0))^I1663*(1+OFFSET($K$49,D1663,0))^J1663*(1+OFFSET($L$49,D1663,0))^K1663*(1+OFFSET($M$49,D1663,0))^L1663</f>
        <v>466.676524271125</v>
      </c>
      <c r="N1663" s="67">
        <f ca="1">MAX(MAX($N$62:N1662),OFFSET($C$61,MATCH(M1663*1.07,$M$62:$M$2061,1),0)-C1663)</f>
        <v>54000</v>
      </c>
    </row>
    <row r="1664" spans="2:14">
      <c r="B1664" s="67">
        <v>1603</v>
      </c>
      <c r="C1664" s="67">
        <f t="shared" si="154"/>
        <v>577080</v>
      </c>
      <c r="D1664" s="67">
        <f t="shared" si="157"/>
        <v>5</v>
      </c>
      <c r="E1664" s="67">
        <f ca="1" t="shared" si="158"/>
        <v>1633</v>
      </c>
      <c r="F1664" s="67">
        <f ca="1" t="shared" si="155"/>
        <v>0</v>
      </c>
      <c r="G1664" s="67">
        <f ca="1" t="shared" si="156"/>
        <v>0</v>
      </c>
      <c r="H1664" s="67" cm="1">
        <f ca="1" t="array" ref="H1664">MIN(30-SUM(I1664:L1664),_xlfn.XLOOKUP($D1664&amp;"_"&amp;H$61,$B$23:$B$45&amp;"_"&amp;$C$23:$C$45,$D$23:$D$45)*$E1664,18)</f>
        <v>9.41651749327181</v>
      </c>
      <c r="I1664" s="67" cm="1">
        <f ca="1" t="array" ref="I1664">MIN(30-SUM(J1664:L1664),6-L1664,_xlfn.XLOOKUP($D1664&amp;"_"&amp;I$61,$B$23:$B$45&amp;"_"&amp;$C$23:$C$45,$D$23:$D$45)*$E1664)</f>
        <v>0</v>
      </c>
      <c r="J1664" s="67" cm="1">
        <f ca="1" t="array" ref="J1664">MIN(8,_xlfn.XLOOKUP($D1664&amp;"_"&amp;J$61,$B$23:$B$45&amp;"_"&amp;$C$23:$C$45,$D$23:$D$45)*$E1664)</f>
        <v>8</v>
      </c>
      <c r="K1664" s="67" cm="1">
        <f ca="1" t="array" ref="K1664">MIN(18,_xlfn.XLOOKUP($D1664&amp;"_"&amp;K$61,$B$23:$B$45&amp;"_"&amp;$C$23:$C$45,$D$23:$D$45)*$E1664)</f>
        <v>6.58348250672819</v>
      </c>
      <c r="L1664" s="67" cm="1">
        <f ca="1" t="array" ref="L1664">MIN(6,_xlfn.XLOOKUP($D1664&amp;"_"&amp;L$61,$B$23:$B$45&amp;"_"&amp;$C$23:$C$45,$D$23:$D$45)*$E1664)</f>
        <v>6</v>
      </c>
      <c r="M1664" s="67" cm="1">
        <f ca="1" t="array" ref="M1664">(1+SUMPRODUCT(G1664:H1664,OFFSET($H$49:$I$49,D1664,0)))*(1+OFFSET($J$49,D1664,0))^I1664*(1+OFFSET($K$49,D1664,0))^J1664*(1+OFFSET($L$49,D1664,0))^K1664*(1+OFFSET($M$49,D1664,0))^L1664</f>
        <v>466.889109724714</v>
      </c>
      <c r="N1664" s="67">
        <f ca="1">MAX(MAX($N$62:N1663),OFFSET($C$61,MATCH(M1664*1.07,$M$62:$M$2061,1),0)-C1664)</f>
        <v>54000</v>
      </c>
    </row>
    <row r="1665" spans="2:14">
      <c r="B1665" s="67">
        <v>1604</v>
      </c>
      <c r="C1665" s="67">
        <f t="shared" si="154"/>
        <v>577440</v>
      </c>
      <c r="D1665" s="67">
        <f t="shared" si="157"/>
        <v>5</v>
      </c>
      <c r="E1665" s="67">
        <f ca="1" t="shared" si="158"/>
        <v>1634</v>
      </c>
      <c r="F1665" s="67">
        <f ca="1" t="shared" si="155"/>
        <v>0</v>
      </c>
      <c r="G1665" s="67">
        <f ca="1" t="shared" si="156"/>
        <v>0</v>
      </c>
      <c r="H1665" s="67" cm="1">
        <f ca="1" t="array" ref="H1665">MIN(30-SUM(I1665:L1665),_xlfn.XLOOKUP($D1665&amp;"_"&amp;H$61,$B$23:$B$45&amp;"_"&amp;$C$23:$C$45,$D$23:$D$45)*$E1665,18)</f>
        <v>9.41248596693579</v>
      </c>
      <c r="I1665" s="67" cm="1">
        <f ca="1" t="array" ref="I1665">MIN(30-SUM(J1665:L1665),6-L1665,_xlfn.XLOOKUP($D1665&amp;"_"&amp;I$61,$B$23:$B$45&amp;"_"&amp;$C$23:$C$45,$D$23:$D$45)*$E1665)</f>
        <v>0</v>
      </c>
      <c r="J1665" s="67" cm="1">
        <f ca="1" t="array" ref="J1665">MIN(8,_xlfn.XLOOKUP($D1665&amp;"_"&amp;J$61,$B$23:$B$45&amp;"_"&amp;$C$23:$C$45,$D$23:$D$45)*$E1665)</f>
        <v>8</v>
      </c>
      <c r="K1665" s="67" cm="1">
        <f ca="1" t="array" ref="K1665">MIN(18,_xlfn.XLOOKUP($D1665&amp;"_"&amp;K$61,$B$23:$B$45&amp;"_"&amp;$C$23:$C$45,$D$23:$D$45)*$E1665)</f>
        <v>6.58751403306421</v>
      </c>
      <c r="L1665" s="67" cm="1">
        <f ca="1" t="array" ref="L1665">MIN(6,_xlfn.XLOOKUP($D1665&amp;"_"&amp;L$61,$B$23:$B$45&amp;"_"&amp;$C$23:$C$45,$D$23:$D$45)*$E1665)</f>
        <v>6</v>
      </c>
      <c r="M1665" s="67" cm="1">
        <f ca="1" t="array" ref="M1665">(1+SUMPRODUCT(G1665:H1665,OFFSET($H$49:$I$49,D1665,0)))*(1+OFFSET($J$49,D1665,0))^I1665*(1+OFFSET($K$49,D1665,0))^J1665*(1+OFFSET($L$49,D1665,0))^K1665*(1+OFFSET($M$49,D1665,0))^L1665</f>
        <v>467.10175548916</v>
      </c>
      <c r="N1665" s="67">
        <f ca="1">MAX(MAX($N$62:N1664),OFFSET($C$61,MATCH(M1665*1.07,$M$62:$M$2061,1),0)-C1665)</f>
        <v>54000</v>
      </c>
    </row>
    <row r="1666" spans="2:14">
      <c r="B1666" s="67">
        <v>1605</v>
      </c>
      <c r="C1666" s="67">
        <f t="shared" si="154"/>
        <v>577800</v>
      </c>
      <c r="D1666" s="67">
        <f t="shared" si="157"/>
        <v>5</v>
      </c>
      <c r="E1666" s="67">
        <f ca="1" t="shared" si="158"/>
        <v>1635</v>
      </c>
      <c r="F1666" s="67">
        <f ca="1" t="shared" si="155"/>
        <v>0</v>
      </c>
      <c r="G1666" s="67">
        <f ca="1" t="shared" si="156"/>
        <v>0</v>
      </c>
      <c r="H1666" s="67" cm="1">
        <f ca="1" t="array" ref="H1666">MIN(30-SUM(I1666:L1666),_xlfn.XLOOKUP($D1666&amp;"_"&amp;H$61,$B$23:$B$45&amp;"_"&amp;$C$23:$C$45,$D$23:$D$45)*$E1666,18)</f>
        <v>9.40845444059976</v>
      </c>
      <c r="I1666" s="67" cm="1">
        <f ca="1" t="array" ref="I1666">MIN(30-SUM(J1666:L1666),6-L1666,_xlfn.XLOOKUP($D1666&amp;"_"&amp;I$61,$B$23:$B$45&amp;"_"&amp;$C$23:$C$45,$D$23:$D$45)*$E1666)</f>
        <v>0</v>
      </c>
      <c r="J1666" s="67" cm="1">
        <f ca="1" t="array" ref="J1666">MIN(8,_xlfn.XLOOKUP($D1666&amp;"_"&amp;J$61,$B$23:$B$45&amp;"_"&amp;$C$23:$C$45,$D$23:$D$45)*$E1666)</f>
        <v>8</v>
      </c>
      <c r="K1666" s="67" cm="1">
        <f ca="1" t="array" ref="K1666">MIN(18,_xlfn.XLOOKUP($D1666&amp;"_"&amp;K$61,$B$23:$B$45&amp;"_"&amp;$C$23:$C$45,$D$23:$D$45)*$E1666)</f>
        <v>6.59154555940024</v>
      </c>
      <c r="L1666" s="67" cm="1">
        <f ca="1" t="array" ref="L1666">MIN(6,_xlfn.XLOOKUP($D1666&amp;"_"&amp;L$61,$B$23:$B$45&amp;"_"&amp;$C$23:$C$45,$D$23:$D$45)*$E1666)</f>
        <v>6</v>
      </c>
      <c r="M1666" s="67" cm="1">
        <f ca="1" t="array" ref="M1666">(1+SUMPRODUCT(G1666:H1666,OFFSET($H$49:$I$49,D1666,0)))*(1+OFFSET($J$49,D1666,0))^I1666*(1+OFFSET($K$49,D1666,0))^J1666*(1+OFFSET($L$49,D1666,0))^K1666*(1+OFFSET($M$49,D1666,0))^L1666</f>
        <v>467.314461538218</v>
      </c>
      <c r="N1666" s="67">
        <f ca="1">MAX(MAX($N$62:N1665),OFFSET($C$61,MATCH(M1666*1.07,$M$62:$M$2061,1),0)-C1666)</f>
        <v>54000</v>
      </c>
    </row>
    <row r="1667" spans="2:14">
      <c r="B1667" s="67">
        <v>1606</v>
      </c>
      <c r="C1667" s="67">
        <f t="shared" si="154"/>
        <v>578160</v>
      </c>
      <c r="D1667" s="67">
        <f t="shared" si="157"/>
        <v>5</v>
      </c>
      <c r="E1667" s="67">
        <f ca="1" t="shared" si="158"/>
        <v>1636</v>
      </c>
      <c r="F1667" s="67">
        <f ca="1" t="shared" si="155"/>
        <v>0</v>
      </c>
      <c r="G1667" s="67">
        <f ca="1" t="shared" si="156"/>
        <v>0</v>
      </c>
      <c r="H1667" s="67" cm="1">
        <f ca="1" t="array" ref="H1667">MIN(30-SUM(I1667:L1667),_xlfn.XLOOKUP($D1667&amp;"_"&amp;H$61,$B$23:$B$45&amp;"_"&amp;$C$23:$C$45,$D$23:$D$45)*$E1667,18)</f>
        <v>9.40442291426374</v>
      </c>
      <c r="I1667" s="67" cm="1">
        <f ca="1" t="array" ref="I1667">MIN(30-SUM(J1667:L1667),6-L1667,_xlfn.XLOOKUP($D1667&amp;"_"&amp;I$61,$B$23:$B$45&amp;"_"&amp;$C$23:$C$45,$D$23:$D$45)*$E1667)</f>
        <v>0</v>
      </c>
      <c r="J1667" s="67" cm="1">
        <f ca="1" t="array" ref="J1667">MIN(8,_xlfn.XLOOKUP($D1667&amp;"_"&amp;J$61,$B$23:$B$45&amp;"_"&amp;$C$23:$C$45,$D$23:$D$45)*$E1667)</f>
        <v>8</v>
      </c>
      <c r="K1667" s="67" cm="1">
        <f ca="1" t="array" ref="K1667">MIN(18,_xlfn.XLOOKUP($D1667&amp;"_"&amp;K$61,$B$23:$B$45&amp;"_"&amp;$C$23:$C$45,$D$23:$D$45)*$E1667)</f>
        <v>6.59557708573626</v>
      </c>
      <c r="L1667" s="67" cm="1">
        <f ca="1" t="array" ref="L1667">MIN(6,_xlfn.XLOOKUP($D1667&amp;"_"&amp;L$61,$B$23:$B$45&amp;"_"&amp;$C$23:$C$45,$D$23:$D$45)*$E1667)</f>
        <v>6</v>
      </c>
      <c r="M1667" s="67" cm="1">
        <f ca="1" t="array" ref="M1667">(1+SUMPRODUCT(G1667:H1667,OFFSET($H$49:$I$49,D1667,0)))*(1+OFFSET($J$49,D1667,0))^I1667*(1+OFFSET($K$49,D1667,0))^J1667*(1+OFFSET($L$49,D1667,0))^K1667*(1+OFFSET($M$49,D1667,0))^L1667</f>
        <v>467.527227845571</v>
      </c>
      <c r="N1667" s="67">
        <f ca="1">MAX(MAX($N$62:N1666),OFFSET($C$61,MATCH(M1667*1.07,$M$62:$M$2061,1),0)-C1667)</f>
        <v>54000</v>
      </c>
    </row>
    <row r="1668" spans="2:14">
      <c r="B1668" s="67">
        <v>1607</v>
      </c>
      <c r="C1668" s="67">
        <f t="shared" si="154"/>
        <v>578520</v>
      </c>
      <c r="D1668" s="67">
        <f t="shared" si="157"/>
        <v>5</v>
      </c>
      <c r="E1668" s="67">
        <f ca="1" t="shared" si="158"/>
        <v>1637</v>
      </c>
      <c r="F1668" s="67">
        <f ca="1" t="shared" si="155"/>
        <v>0</v>
      </c>
      <c r="G1668" s="67">
        <f ca="1" t="shared" si="156"/>
        <v>0</v>
      </c>
      <c r="H1668" s="67" cm="1">
        <f ca="1" t="array" ref="H1668">MIN(30-SUM(I1668:L1668),_xlfn.XLOOKUP($D1668&amp;"_"&amp;H$61,$B$23:$B$45&amp;"_"&amp;$C$23:$C$45,$D$23:$D$45)*$E1668,18)</f>
        <v>9.40039138792771</v>
      </c>
      <c r="I1668" s="67" cm="1">
        <f ca="1" t="array" ref="I1668">MIN(30-SUM(J1668:L1668),6-L1668,_xlfn.XLOOKUP($D1668&amp;"_"&amp;I$61,$B$23:$B$45&amp;"_"&amp;$C$23:$C$45,$D$23:$D$45)*$E1668)</f>
        <v>0</v>
      </c>
      <c r="J1668" s="67" cm="1">
        <f ca="1" t="array" ref="J1668">MIN(8,_xlfn.XLOOKUP($D1668&amp;"_"&amp;J$61,$B$23:$B$45&amp;"_"&amp;$C$23:$C$45,$D$23:$D$45)*$E1668)</f>
        <v>8</v>
      </c>
      <c r="K1668" s="67" cm="1">
        <f ca="1" t="array" ref="K1668">MIN(18,_xlfn.XLOOKUP($D1668&amp;"_"&amp;K$61,$B$23:$B$45&amp;"_"&amp;$C$23:$C$45,$D$23:$D$45)*$E1668)</f>
        <v>6.59960861207229</v>
      </c>
      <c r="L1668" s="67" cm="1">
        <f ca="1" t="array" ref="L1668">MIN(6,_xlfn.XLOOKUP($D1668&amp;"_"&amp;L$61,$B$23:$B$45&amp;"_"&amp;$C$23:$C$45,$D$23:$D$45)*$E1668)</f>
        <v>6</v>
      </c>
      <c r="M1668" s="67" cm="1">
        <f ca="1" t="array" ref="M1668">(1+SUMPRODUCT(G1668:H1668,OFFSET($H$49:$I$49,D1668,0)))*(1+OFFSET($J$49,D1668,0))^I1668*(1+OFFSET($K$49,D1668,0))^J1668*(1+OFFSET($L$49,D1668,0))^K1668*(1+OFFSET($M$49,D1668,0))^L1668</f>
        <v>467.740054384832</v>
      </c>
      <c r="N1668" s="67">
        <f ca="1">MAX(MAX($N$62:N1667),OFFSET($C$61,MATCH(M1668*1.07,$M$62:$M$2061,1),0)-C1668)</f>
        <v>54000</v>
      </c>
    </row>
    <row r="1669" spans="2:14">
      <c r="B1669" s="67">
        <v>1608</v>
      </c>
      <c r="C1669" s="67">
        <f t="shared" si="154"/>
        <v>578880</v>
      </c>
      <c r="D1669" s="67">
        <f t="shared" si="157"/>
        <v>5</v>
      </c>
      <c r="E1669" s="67">
        <f ca="1" t="shared" si="158"/>
        <v>1638</v>
      </c>
      <c r="F1669" s="67">
        <f ca="1" t="shared" si="155"/>
        <v>0</v>
      </c>
      <c r="G1669" s="67">
        <f ca="1" t="shared" si="156"/>
        <v>0</v>
      </c>
      <c r="H1669" s="67" cm="1">
        <f ca="1" t="array" ref="H1669">MIN(30-SUM(I1669:L1669),_xlfn.XLOOKUP($D1669&amp;"_"&amp;H$61,$B$23:$B$45&amp;"_"&amp;$C$23:$C$45,$D$23:$D$45)*$E1669,18)</f>
        <v>9.39635986159169</v>
      </c>
      <c r="I1669" s="67" cm="1">
        <f ca="1" t="array" ref="I1669">MIN(30-SUM(J1669:L1669),6-L1669,_xlfn.XLOOKUP($D1669&amp;"_"&amp;I$61,$B$23:$B$45&amp;"_"&amp;$C$23:$C$45,$D$23:$D$45)*$E1669)</f>
        <v>0</v>
      </c>
      <c r="J1669" s="67" cm="1">
        <f ca="1" t="array" ref="J1669">MIN(8,_xlfn.XLOOKUP($D1669&amp;"_"&amp;J$61,$B$23:$B$45&amp;"_"&amp;$C$23:$C$45,$D$23:$D$45)*$E1669)</f>
        <v>8</v>
      </c>
      <c r="K1669" s="67" cm="1">
        <f ca="1" t="array" ref="K1669">MIN(18,_xlfn.XLOOKUP($D1669&amp;"_"&amp;K$61,$B$23:$B$45&amp;"_"&amp;$C$23:$C$45,$D$23:$D$45)*$E1669)</f>
        <v>6.60364013840831</v>
      </c>
      <c r="L1669" s="67" cm="1">
        <f ca="1" t="array" ref="L1669">MIN(6,_xlfn.XLOOKUP($D1669&amp;"_"&amp;L$61,$B$23:$B$45&amp;"_"&amp;$C$23:$C$45,$D$23:$D$45)*$E1669)</f>
        <v>6</v>
      </c>
      <c r="M1669" s="67" cm="1">
        <f ca="1" t="array" ref="M1669">(1+SUMPRODUCT(G1669:H1669,OFFSET($H$49:$I$49,D1669,0)))*(1+OFFSET($J$49,D1669,0))^I1669*(1+OFFSET($K$49,D1669,0))^J1669*(1+OFFSET($L$49,D1669,0))^K1669*(1+OFFSET($M$49,D1669,0))^L1669</f>
        <v>467.952941129541</v>
      </c>
      <c r="N1669" s="67">
        <f ca="1">MAX(MAX($N$62:N1668),OFFSET($C$61,MATCH(M1669*1.07,$M$62:$M$2061,1),0)-C1669)</f>
        <v>54000</v>
      </c>
    </row>
    <row r="1670" spans="2:14">
      <c r="B1670" s="67">
        <v>1609</v>
      </c>
      <c r="C1670" s="67">
        <f t="shared" si="154"/>
        <v>579240</v>
      </c>
      <c r="D1670" s="67">
        <f t="shared" si="157"/>
        <v>5</v>
      </c>
      <c r="E1670" s="67">
        <f ca="1" t="shared" si="158"/>
        <v>1639</v>
      </c>
      <c r="F1670" s="67">
        <f ca="1" t="shared" si="155"/>
        <v>0</v>
      </c>
      <c r="G1670" s="67">
        <f ca="1" t="shared" si="156"/>
        <v>0</v>
      </c>
      <c r="H1670" s="67" cm="1">
        <f ca="1" t="array" ref="H1670">MIN(30-SUM(I1670:L1670),_xlfn.XLOOKUP($D1670&amp;"_"&amp;H$61,$B$23:$B$45&amp;"_"&amp;$C$23:$C$45,$D$23:$D$45)*$E1670,18)</f>
        <v>9.39232833525567</v>
      </c>
      <c r="I1670" s="67" cm="1">
        <f ca="1" t="array" ref="I1670">MIN(30-SUM(J1670:L1670),6-L1670,_xlfn.XLOOKUP($D1670&amp;"_"&amp;I$61,$B$23:$B$45&amp;"_"&amp;$C$23:$C$45,$D$23:$D$45)*$E1670)</f>
        <v>0</v>
      </c>
      <c r="J1670" s="67" cm="1">
        <f ca="1" t="array" ref="J1670">MIN(8,_xlfn.XLOOKUP($D1670&amp;"_"&amp;J$61,$B$23:$B$45&amp;"_"&amp;$C$23:$C$45,$D$23:$D$45)*$E1670)</f>
        <v>8</v>
      </c>
      <c r="K1670" s="67" cm="1">
        <f ca="1" t="array" ref="K1670">MIN(18,_xlfn.XLOOKUP($D1670&amp;"_"&amp;K$61,$B$23:$B$45&amp;"_"&amp;$C$23:$C$45,$D$23:$D$45)*$E1670)</f>
        <v>6.60767166474433</v>
      </c>
      <c r="L1670" s="67" cm="1">
        <f ca="1" t="array" ref="L1670">MIN(6,_xlfn.XLOOKUP($D1670&amp;"_"&amp;L$61,$B$23:$B$45&amp;"_"&amp;$C$23:$C$45,$D$23:$D$45)*$E1670)</f>
        <v>6</v>
      </c>
      <c r="M1670" s="67" cm="1">
        <f ca="1" t="array" ref="M1670">(1+SUMPRODUCT(G1670:H1670,OFFSET($H$49:$I$49,D1670,0)))*(1+OFFSET($J$49,D1670,0))^I1670*(1+OFFSET($K$49,D1670,0))^J1670*(1+OFFSET($L$49,D1670,0))^K1670*(1+OFFSET($M$49,D1670,0))^L1670</f>
        <v>468.165888053167</v>
      </c>
      <c r="N1670" s="67">
        <f ca="1">MAX(MAX($N$62:N1669),OFFSET($C$61,MATCH(M1670*1.07,$M$62:$M$2061,1),0)-C1670)</f>
        <v>54000</v>
      </c>
    </row>
    <row r="1671" spans="2:14">
      <c r="B1671" s="67">
        <v>1610</v>
      </c>
      <c r="C1671" s="67">
        <f t="shared" si="154"/>
        <v>579600</v>
      </c>
      <c r="D1671" s="67">
        <f t="shared" si="157"/>
        <v>5</v>
      </c>
      <c r="E1671" s="67">
        <f ca="1" t="shared" si="158"/>
        <v>1640</v>
      </c>
      <c r="F1671" s="67">
        <f ca="1" t="shared" si="155"/>
        <v>0</v>
      </c>
      <c r="G1671" s="67">
        <f ca="1" t="shared" si="156"/>
        <v>0</v>
      </c>
      <c r="H1671" s="67" cm="1">
        <f ca="1" t="array" ref="H1671">MIN(30-SUM(I1671:L1671),_xlfn.XLOOKUP($D1671&amp;"_"&amp;H$61,$B$23:$B$45&amp;"_"&amp;$C$23:$C$45,$D$23:$D$45)*$E1671,18)</f>
        <v>9.38829680891964</v>
      </c>
      <c r="I1671" s="67" cm="1">
        <f ca="1" t="array" ref="I1671">MIN(30-SUM(J1671:L1671),6-L1671,_xlfn.XLOOKUP($D1671&amp;"_"&amp;I$61,$B$23:$B$45&amp;"_"&amp;$C$23:$C$45,$D$23:$D$45)*$E1671)</f>
        <v>0</v>
      </c>
      <c r="J1671" s="67" cm="1">
        <f ca="1" t="array" ref="J1671">MIN(8,_xlfn.XLOOKUP($D1671&amp;"_"&amp;J$61,$B$23:$B$45&amp;"_"&amp;$C$23:$C$45,$D$23:$D$45)*$E1671)</f>
        <v>8</v>
      </c>
      <c r="K1671" s="67" cm="1">
        <f ca="1" t="array" ref="K1671">MIN(18,_xlfn.XLOOKUP($D1671&amp;"_"&amp;K$61,$B$23:$B$45&amp;"_"&amp;$C$23:$C$45,$D$23:$D$45)*$E1671)</f>
        <v>6.61170319108036</v>
      </c>
      <c r="L1671" s="67" cm="1">
        <f ca="1" t="array" ref="L1671">MIN(6,_xlfn.XLOOKUP($D1671&amp;"_"&amp;L$61,$B$23:$B$45&amp;"_"&amp;$C$23:$C$45,$D$23:$D$45)*$E1671)</f>
        <v>6</v>
      </c>
      <c r="M1671" s="67" cm="1">
        <f ca="1" t="array" ref="M1671">(1+SUMPRODUCT(G1671:H1671,OFFSET($H$49:$I$49,D1671,0)))*(1+OFFSET($J$49,D1671,0))^I1671*(1+OFFSET($K$49,D1671,0))^J1671*(1+OFFSET($L$49,D1671,0))^K1671*(1+OFFSET($M$49,D1671,0))^L1671</f>
        <v>468.378895129108</v>
      </c>
      <c r="N1671" s="67">
        <f ca="1">MAX(MAX($N$62:N1670),OFFSET($C$61,MATCH(M1671*1.07,$M$62:$M$2061,1),0)-C1671)</f>
        <v>54000</v>
      </c>
    </row>
    <row r="1672" spans="2:14">
      <c r="B1672" s="67">
        <v>1611</v>
      </c>
      <c r="C1672" s="67">
        <f t="shared" si="154"/>
        <v>579960</v>
      </c>
      <c r="D1672" s="67">
        <f t="shared" si="157"/>
        <v>5</v>
      </c>
      <c r="E1672" s="67">
        <f ca="1" t="shared" si="158"/>
        <v>1641</v>
      </c>
      <c r="F1672" s="67">
        <f ca="1" t="shared" si="155"/>
        <v>0</v>
      </c>
      <c r="G1672" s="67">
        <f ca="1" t="shared" si="156"/>
        <v>0</v>
      </c>
      <c r="H1672" s="67" cm="1">
        <f ca="1" t="array" ref="H1672">MIN(30-SUM(I1672:L1672),_xlfn.XLOOKUP($D1672&amp;"_"&amp;H$61,$B$23:$B$45&amp;"_"&amp;$C$23:$C$45,$D$23:$D$45)*$E1672,18)</f>
        <v>9.38426528258362</v>
      </c>
      <c r="I1672" s="67" cm="1">
        <f ca="1" t="array" ref="I1672">MIN(30-SUM(J1672:L1672),6-L1672,_xlfn.XLOOKUP($D1672&amp;"_"&amp;I$61,$B$23:$B$45&amp;"_"&amp;$C$23:$C$45,$D$23:$D$45)*$E1672)</f>
        <v>0</v>
      </c>
      <c r="J1672" s="67" cm="1">
        <f ca="1" t="array" ref="J1672">MIN(8,_xlfn.XLOOKUP($D1672&amp;"_"&amp;J$61,$B$23:$B$45&amp;"_"&amp;$C$23:$C$45,$D$23:$D$45)*$E1672)</f>
        <v>8</v>
      </c>
      <c r="K1672" s="67" cm="1">
        <f ca="1" t="array" ref="K1672">MIN(18,_xlfn.XLOOKUP($D1672&amp;"_"&amp;K$61,$B$23:$B$45&amp;"_"&amp;$C$23:$C$45,$D$23:$D$45)*$E1672)</f>
        <v>6.61573471741638</v>
      </c>
      <c r="L1672" s="67" cm="1">
        <f ca="1" t="array" ref="L1672">MIN(6,_xlfn.XLOOKUP($D1672&amp;"_"&amp;L$61,$B$23:$B$45&amp;"_"&amp;$C$23:$C$45,$D$23:$D$45)*$E1672)</f>
        <v>6</v>
      </c>
      <c r="M1672" s="67" cm="1">
        <f ca="1" t="array" ref="M1672">(1+SUMPRODUCT(G1672:H1672,OFFSET($H$49:$I$49,D1672,0)))*(1+OFFSET($J$49,D1672,0))^I1672*(1+OFFSET($K$49,D1672,0))^J1672*(1+OFFSET($L$49,D1672,0))^K1672*(1+OFFSET($M$49,D1672,0))^L1672</f>
        <v>468.59196233069</v>
      </c>
      <c r="N1672" s="67">
        <f ca="1">MAX(MAX($N$62:N1671),OFFSET($C$61,MATCH(M1672*1.07,$M$62:$M$2061,1),0)-C1672)</f>
        <v>54000</v>
      </c>
    </row>
    <row r="1673" spans="2:14">
      <c r="B1673" s="67">
        <v>1612</v>
      </c>
      <c r="C1673" s="67">
        <f t="shared" si="154"/>
        <v>580320</v>
      </c>
      <c r="D1673" s="67">
        <f t="shared" si="157"/>
        <v>5</v>
      </c>
      <c r="E1673" s="67">
        <f ca="1" t="shared" si="158"/>
        <v>1642</v>
      </c>
      <c r="F1673" s="67">
        <f ca="1" t="shared" si="155"/>
        <v>0</v>
      </c>
      <c r="G1673" s="67">
        <f ca="1" t="shared" si="156"/>
        <v>0</v>
      </c>
      <c r="H1673" s="67" cm="1">
        <f ca="1" t="array" ref="H1673">MIN(30-SUM(I1673:L1673),_xlfn.XLOOKUP($D1673&amp;"_"&amp;H$61,$B$23:$B$45&amp;"_"&amp;$C$23:$C$45,$D$23:$D$45)*$E1673,18)</f>
        <v>9.38023375624759</v>
      </c>
      <c r="I1673" s="67" cm="1">
        <f ca="1" t="array" ref="I1673">MIN(30-SUM(J1673:L1673),6-L1673,_xlfn.XLOOKUP($D1673&amp;"_"&amp;I$61,$B$23:$B$45&amp;"_"&amp;$C$23:$C$45,$D$23:$D$45)*$E1673)</f>
        <v>0</v>
      </c>
      <c r="J1673" s="67" cm="1">
        <f ca="1" t="array" ref="J1673">MIN(8,_xlfn.XLOOKUP($D1673&amp;"_"&amp;J$61,$B$23:$B$45&amp;"_"&amp;$C$23:$C$45,$D$23:$D$45)*$E1673)</f>
        <v>8</v>
      </c>
      <c r="K1673" s="67" cm="1">
        <f ca="1" t="array" ref="K1673">MIN(18,_xlfn.XLOOKUP($D1673&amp;"_"&amp;K$61,$B$23:$B$45&amp;"_"&amp;$C$23:$C$45,$D$23:$D$45)*$E1673)</f>
        <v>6.61976624375241</v>
      </c>
      <c r="L1673" s="67" cm="1">
        <f ca="1" t="array" ref="L1673">MIN(6,_xlfn.XLOOKUP($D1673&amp;"_"&amp;L$61,$B$23:$B$45&amp;"_"&amp;$C$23:$C$45,$D$23:$D$45)*$E1673)</f>
        <v>6</v>
      </c>
      <c r="M1673" s="67" cm="1">
        <f ca="1" t="array" ref="M1673">(1+SUMPRODUCT(G1673:H1673,OFFSET($H$49:$I$49,D1673,0)))*(1+OFFSET($J$49,D1673,0))^I1673*(1+OFFSET($K$49,D1673,0))^J1673*(1+OFFSET($L$49,D1673,0))^K1673*(1+OFFSET($M$49,D1673,0))^L1673</f>
        <v>468.805089631167</v>
      </c>
      <c r="N1673" s="67">
        <f ca="1">MAX(MAX($N$62:N1672),OFFSET($C$61,MATCH(M1673*1.07,$M$62:$M$2061,1),0)-C1673)</f>
        <v>54000</v>
      </c>
    </row>
    <row r="1674" spans="2:14">
      <c r="B1674" s="67">
        <v>1613</v>
      </c>
      <c r="C1674" s="67">
        <f t="shared" si="154"/>
        <v>580680</v>
      </c>
      <c r="D1674" s="67">
        <f t="shared" si="157"/>
        <v>5</v>
      </c>
      <c r="E1674" s="67">
        <f ca="1" t="shared" si="158"/>
        <v>1643</v>
      </c>
      <c r="F1674" s="67">
        <f ca="1" t="shared" si="155"/>
        <v>0</v>
      </c>
      <c r="G1674" s="67">
        <f ca="1" t="shared" si="156"/>
        <v>0</v>
      </c>
      <c r="H1674" s="67" cm="1">
        <f ca="1" t="array" ref="H1674">MIN(30-SUM(I1674:L1674),_xlfn.XLOOKUP($D1674&amp;"_"&amp;H$61,$B$23:$B$45&amp;"_"&amp;$C$23:$C$45,$D$23:$D$45)*$E1674,18)</f>
        <v>9.37620222991157</v>
      </c>
      <c r="I1674" s="67" cm="1">
        <f ca="1" t="array" ref="I1674">MIN(30-SUM(J1674:L1674),6-L1674,_xlfn.XLOOKUP($D1674&amp;"_"&amp;I$61,$B$23:$B$45&amp;"_"&amp;$C$23:$C$45,$D$23:$D$45)*$E1674)</f>
        <v>0</v>
      </c>
      <c r="J1674" s="67" cm="1">
        <f ca="1" t="array" ref="J1674">MIN(8,_xlfn.XLOOKUP($D1674&amp;"_"&amp;J$61,$B$23:$B$45&amp;"_"&amp;$C$23:$C$45,$D$23:$D$45)*$E1674)</f>
        <v>8</v>
      </c>
      <c r="K1674" s="67" cm="1">
        <f ca="1" t="array" ref="K1674">MIN(18,_xlfn.XLOOKUP($D1674&amp;"_"&amp;K$61,$B$23:$B$45&amp;"_"&amp;$C$23:$C$45,$D$23:$D$45)*$E1674)</f>
        <v>6.62379777008843</v>
      </c>
      <c r="L1674" s="67" cm="1">
        <f ca="1" t="array" ref="L1674">MIN(6,_xlfn.XLOOKUP($D1674&amp;"_"&amp;L$61,$B$23:$B$45&amp;"_"&amp;$C$23:$C$45,$D$23:$D$45)*$E1674)</f>
        <v>6</v>
      </c>
      <c r="M1674" s="67" cm="1">
        <f ca="1" t="array" ref="M1674">(1+SUMPRODUCT(G1674:H1674,OFFSET($H$49:$I$49,D1674,0)))*(1+OFFSET($J$49,D1674,0))^I1674*(1+OFFSET($K$49,D1674,0))^J1674*(1+OFFSET($L$49,D1674,0))^K1674*(1+OFFSET($M$49,D1674,0))^L1674</f>
        <v>469.018277003721</v>
      </c>
      <c r="N1674" s="67">
        <f ca="1">MAX(MAX($N$62:N1673),OFFSET($C$61,MATCH(M1674*1.07,$M$62:$M$2061,1),0)-C1674)</f>
        <v>54000</v>
      </c>
    </row>
    <row r="1675" spans="2:14">
      <c r="B1675" s="67">
        <v>1614</v>
      </c>
      <c r="C1675" s="67">
        <f t="shared" si="154"/>
        <v>581040</v>
      </c>
      <c r="D1675" s="67">
        <f t="shared" si="157"/>
        <v>5</v>
      </c>
      <c r="E1675" s="67">
        <f ca="1" t="shared" si="158"/>
        <v>1644</v>
      </c>
      <c r="F1675" s="67">
        <f ca="1" t="shared" si="155"/>
        <v>0</v>
      </c>
      <c r="G1675" s="67">
        <f ca="1" t="shared" si="156"/>
        <v>0</v>
      </c>
      <c r="H1675" s="67" cm="1">
        <f ca="1" t="array" ref="H1675">MIN(30-SUM(I1675:L1675),_xlfn.XLOOKUP($D1675&amp;"_"&amp;H$61,$B$23:$B$45&amp;"_"&amp;$C$23:$C$45,$D$23:$D$45)*$E1675,18)</f>
        <v>9.37217070357554</v>
      </c>
      <c r="I1675" s="67" cm="1">
        <f ca="1" t="array" ref="I1675">MIN(30-SUM(J1675:L1675),6-L1675,_xlfn.XLOOKUP($D1675&amp;"_"&amp;I$61,$B$23:$B$45&amp;"_"&amp;$C$23:$C$45,$D$23:$D$45)*$E1675)</f>
        <v>0</v>
      </c>
      <c r="J1675" s="67" cm="1">
        <f ca="1" t="array" ref="J1675">MIN(8,_xlfn.XLOOKUP($D1675&amp;"_"&amp;J$61,$B$23:$B$45&amp;"_"&amp;$C$23:$C$45,$D$23:$D$45)*$E1675)</f>
        <v>8</v>
      </c>
      <c r="K1675" s="67" cm="1">
        <f ca="1" t="array" ref="K1675">MIN(18,_xlfn.XLOOKUP($D1675&amp;"_"&amp;K$61,$B$23:$B$45&amp;"_"&amp;$C$23:$C$45,$D$23:$D$45)*$E1675)</f>
        <v>6.62782929642446</v>
      </c>
      <c r="L1675" s="67" cm="1">
        <f ca="1" t="array" ref="L1675">MIN(6,_xlfn.XLOOKUP($D1675&amp;"_"&amp;L$61,$B$23:$B$45&amp;"_"&amp;$C$23:$C$45,$D$23:$D$45)*$E1675)</f>
        <v>6</v>
      </c>
      <c r="M1675" s="67" cm="1">
        <f ca="1" t="array" ref="M1675">(1+SUMPRODUCT(G1675:H1675,OFFSET($H$49:$I$49,D1675,0)))*(1+OFFSET($J$49,D1675,0))^I1675*(1+OFFSET($K$49,D1675,0))^J1675*(1+OFFSET($L$49,D1675,0))^K1675*(1+OFFSET($M$49,D1675,0))^L1675</f>
        <v>469.231524421464</v>
      </c>
      <c r="N1675" s="67">
        <f ca="1">MAX(MAX($N$62:N1674),OFFSET($C$61,MATCH(M1675*1.07,$M$62:$M$2061,1),0)-C1675)</f>
        <v>54000</v>
      </c>
    </row>
    <row r="1676" spans="2:14">
      <c r="B1676" s="67">
        <v>1615</v>
      </c>
      <c r="C1676" s="67">
        <f t="shared" si="154"/>
        <v>581400</v>
      </c>
      <c r="D1676" s="67">
        <f t="shared" si="157"/>
        <v>5</v>
      </c>
      <c r="E1676" s="67">
        <f ca="1" t="shared" si="158"/>
        <v>1645</v>
      </c>
      <c r="F1676" s="67">
        <f ca="1" t="shared" si="155"/>
        <v>0</v>
      </c>
      <c r="G1676" s="67">
        <f ca="1" t="shared" si="156"/>
        <v>0</v>
      </c>
      <c r="H1676" s="67" cm="1">
        <f ca="1" t="array" ref="H1676">MIN(30-SUM(I1676:L1676),_xlfn.XLOOKUP($D1676&amp;"_"&amp;H$61,$B$23:$B$45&amp;"_"&amp;$C$23:$C$45,$D$23:$D$45)*$E1676,18)</f>
        <v>9.36813917723952</v>
      </c>
      <c r="I1676" s="67" cm="1">
        <f ca="1" t="array" ref="I1676">MIN(30-SUM(J1676:L1676),6-L1676,_xlfn.XLOOKUP($D1676&amp;"_"&amp;I$61,$B$23:$B$45&amp;"_"&amp;$C$23:$C$45,$D$23:$D$45)*$E1676)</f>
        <v>0</v>
      </c>
      <c r="J1676" s="67" cm="1">
        <f ca="1" t="array" ref="J1676">MIN(8,_xlfn.XLOOKUP($D1676&amp;"_"&amp;J$61,$B$23:$B$45&amp;"_"&amp;$C$23:$C$45,$D$23:$D$45)*$E1676)</f>
        <v>8</v>
      </c>
      <c r="K1676" s="67" cm="1">
        <f ca="1" t="array" ref="K1676">MIN(18,_xlfn.XLOOKUP($D1676&amp;"_"&amp;K$61,$B$23:$B$45&amp;"_"&amp;$C$23:$C$45,$D$23:$D$45)*$E1676)</f>
        <v>6.63186082276048</v>
      </c>
      <c r="L1676" s="67" cm="1">
        <f ca="1" t="array" ref="L1676">MIN(6,_xlfn.XLOOKUP($D1676&amp;"_"&amp;L$61,$B$23:$B$45&amp;"_"&amp;$C$23:$C$45,$D$23:$D$45)*$E1676)</f>
        <v>6</v>
      </c>
      <c r="M1676" s="67" cm="1">
        <f ca="1" t="array" ref="M1676">(1+SUMPRODUCT(G1676:H1676,OFFSET($H$49:$I$49,D1676,0)))*(1+OFFSET($J$49,D1676,0))^I1676*(1+OFFSET($K$49,D1676,0))^J1676*(1+OFFSET($L$49,D1676,0))^K1676*(1+OFFSET($M$49,D1676,0))^L1676</f>
        <v>469.444831857433</v>
      </c>
      <c r="N1676" s="67">
        <f ca="1">MAX(MAX($N$62:N1675),OFFSET($C$61,MATCH(M1676*1.07,$M$62:$M$2061,1),0)-C1676)</f>
        <v>54000</v>
      </c>
    </row>
    <row r="1677" spans="2:14">
      <c r="B1677" s="67">
        <v>1616</v>
      </c>
      <c r="C1677" s="67">
        <f t="shared" si="154"/>
        <v>581760</v>
      </c>
      <c r="D1677" s="67">
        <f t="shared" si="157"/>
        <v>5</v>
      </c>
      <c r="E1677" s="67">
        <f ca="1" t="shared" si="158"/>
        <v>1646</v>
      </c>
      <c r="F1677" s="67">
        <f ca="1" t="shared" si="155"/>
        <v>0</v>
      </c>
      <c r="G1677" s="67">
        <f ca="1" t="shared" si="156"/>
        <v>0</v>
      </c>
      <c r="H1677" s="67" cm="1">
        <f ca="1" t="array" ref="H1677">MIN(30-SUM(I1677:L1677),_xlfn.XLOOKUP($D1677&amp;"_"&amp;H$61,$B$23:$B$45&amp;"_"&amp;$C$23:$C$45,$D$23:$D$45)*$E1677,18)</f>
        <v>9.36410765090349</v>
      </c>
      <c r="I1677" s="67" cm="1">
        <f ca="1" t="array" ref="I1677">MIN(30-SUM(J1677:L1677),6-L1677,_xlfn.XLOOKUP($D1677&amp;"_"&amp;I$61,$B$23:$B$45&amp;"_"&amp;$C$23:$C$45,$D$23:$D$45)*$E1677)</f>
        <v>0</v>
      </c>
      <c r="J1677" s="67" cm="1">
        <f ca="1" t="array" ref="J1677">MIN(8,_xlfn.XLOOKUP($D1677&amp;"_"&amp;J$61,$B$23:$B$45&amp;"_"&amp;$C$23:$C$45,$D$23:$D$45)*$E1677)</f>
        <v>8</v>
      </c>
      <c r="K1677" s="67" cm="1">
        <f ca="1" t="array" ref="K1677">MIN(18,_xlfn.XLOOKUP($D1677&amp;"_"&amp;K$61,$B$23:$B$45&amp;"_"&amp;$C$23:$C$45,$D$23:$D$45)*$E1677)</f>
        <v>6.63589234909651</v>
      </c>
      <c r="L1677" s="67" cm="1">
        <f ca="1" t="array" ref="L1677">MIN(6,_xlfn.XLOOKUP($D1677&amp;"_"&amp;L$61,$B$23:$B$45&amp;"_"&amp;$C$23:$C$45,$D$23:$D$45)*$E1677)</f>
        <v>6</v>
      </c>
      <c r="M1677" s="67" cm="1">
        <f ca="1" t="array" ref="M1677">(1+SUMPRODUCT(G1677:H1677,OFFSET($H$49:$I$49,D1677,0)))*(1+OFFSET($J$49,D1677,0))^I1677*(1+OFFSET($K$49,D1677,0))^J1677*(1+OFFSET($L$49,D1677,0))^K1677*(1+OFFSET($M$49,D1677,0))^L1677</f>
        <v>469.658199284595</v>
      </c>
      <c r="N1677" s="67">
        <f ca="1">MAX(MAX($N$62:N1676),OFFSET($C$61,MATCH(M1677*1.07,$M$62:$M$2061,1),0)-C1677)</f>
        <v>54000</v>
      </c>
    </row>
    <row r="1678" spans="2:14">
      <c r="B1678" s="67">
        <v>1617</v>
      </c>
      <c r="C1678" s="67">
        <f t="shared" si="154"/>
        <v>582120</v>
      </c>
      <c r="D1678" s="67">
        <f t="shared" si="157"/>
        <v>5</v>
      </c>
      <c r="E1678" s="67">
        <f ca="1" t="shared" si="158"/>
        <v>1647</v>
      </c>
      <c r="F1678" s="67">
        <f ca="1" t="shared" si="155"/>
        <v>0</v>
      </c>
      <c r="G1678" s="67">
        <f ca="1" t="shared" si="156"/>
        <v>0</v>
      </c>
      <c r="H1678" s="67" cm="1">
        <f ca="1" t="array" ref="H1678">MIN(30-SUM(I1678:L1678),_xlfn.XLOOKUP($D1678&amp;"_"&amp;H$61,$B$23:$B$45&amp;"_"&amp;$C$23:$C$45,$D$23:$D$45)*$E1678,18)</f>
        <v>9.36007612456747</v>
      </c>
      <c r="I1678" s="67" cm="1">
        <f ca="1" t="array" ref="I1678">MIN(30-SUM(J1678:L1678),6-L1678,_xlfn.XLOOKUP($D1678&amp;"_"&amp;I$61,$B$23:$B$45&amp;"_"&amp;$C$23:$C$45,$D$23:$D$45)*$E1678)</f>
        <v>0</v>
      </c>
      <c r="J1678" s="67" cm="1">
        <f ca="1" t="array" ref="J1678">MIN(8,_xlfn.XLOOKUP($D1678&amp;"_"&amp;J$61,$B$23:$B$45&amp;"_"&amp;$C$23:$C$45,$D$23:$D$45)*$E1678)</f>
        <v>8</v>
      </c>
      <c r="K1678" s="67" cm="1">
        <f ca="1" t="array" ref="K1678">MIN(18,_xlfn.XLOOKUP($D1678&amp;"_"&amp;K$61,$B$23:$B$45&amp;"_"&amp;$C$23:$C$45,$D$23:$D$45)*$E1678)</f>
        <v>6.63992387543253</v>
      </c>
      <c r="L1678" s="67" cm="1">
        <f ca="1" t="array" ref="L1678">MIN(6,_xlfn.XLOOKUP($D1678&amp;"_"&amp;L$61,$B$23:$B$45&amp;"_"&amp;$C$23:$C$45,$D$23:$D$45)*$E1678)</f>
        <v>6</v>
      </c>
      <c r="M1678" s="67" cm="1">
        <f ca="1" t="array" ref="M1678">(1+SUMPRODUCT(G1678:H1678,OFFSET($H$49:$I$49,D1678,0)))*(1+OFFSET($J$49,D1678,0))^I1678*(1+OFFSET($K$49,D1678,0))^J1678*(1+OFFSET($L$49,D1678,0))^K1678*(1+OFFSET($M$49,D1678,0))^L1678</f>
        <v>469.871626675843</v>
      </c>
      <c r="N1678" s="67">
        <f ca="1">MAX(MAX($N$62:N1677),OFFSET($C$61,MATCH(M1678*1.07,$M$62:$M$2061,1),0)-C1678)</f>
        <v>54000</v>
      </c>
    </row>
    <row r="1679" spans="2:14">
      <c r="B1679" s="67">
        <v>1618</v>
      </c>
      <c r="C1679" s="67">
        <f t="shared" si="154"/>
        <v>582480</v>
      </c>
      <c r="D1679" s="67">
        <f t="shared" si="157"/>
        <v>5</v>
      </c>
      <c r="E1679" s="67">
        <f ca="1" t="shared" si="158"/>
        <v>1648</v>
      </c>
      <c r="F1679" s="67">
        <f ca="1" t="shared" si="155"/>
        <v>0</v>
      </c>
      <c r="G1679" s="67">
        <f ca="1" t="shared" si="156"/>
        <v>0</v>
      </c>
      <c r="H1679" s="67" cm="1">
        <f ca="1" t="array" ref="H1679">MIN(30-SUM(I1679:L1679),_xlfn.XLOOKUP($D1679&amp;"_"&amp;H$61,$B$23:$B$45&amp;"_"&amp;$C$23:$C$45,$D$23:$D$45)*$E1679,18)</f>
        <v>9.35604459823144</v>
      </c>
      <c r="I1679" s="67" cm="1">
        <f ca="1" t="array" ref="I1679">MIN(30-SUM(J1679:L1679),6-L1679,_xlfn.XLOOKUP($D1679&amp;"_"&amp;I$61,$B$23:$B$45&amp;"_"&amp;$C$23:$C$45,$D$23:$D$45)*$E1679)</f>
        <v>0</v>
      </c>
      <c r="J1679" s="67" cm="1">
        <f ca="1" t="array" ref="J1679">MIN(8,_xlfn.XLOOKUP($D1679&amp;"_"&amp;J$61,$B$23:$B$45&amp;"_"&amp;$C$23:$C$45,$D$23:$D$45)*$E1679)</f>
        <v>8</v>
      </c>
      <c r="K1679" s="67" cm="1">
        <f ca="1" t="array" ref="K1679">MIN(18,_xlfn.XLOOKUP($D1679&amp;"_"&amp;K$61,$B$23:$B$45&amp;"_"&amp;$C$23:$C$45,$D$23:$D$45)*$E1679)</f>
        <v>6.64395540176856</v>
      </c>
      <c r="L1679" s="67" cm="1">
        <f ca="1" t="array" ref="L1679">MIN(6,_xlfn.XLOOKUP($D1679&amp;"_"&amp;L$61,$B$23:$B$45&amp;"_"&amp;$C$23:$C$45,$D$23:$D$45)*$E1679)</f>
        <v>6</v>
      </c>
      <c r="M1679" s="67" cm="1">
        <f ca="1" t="array" ref="M1679">(1+SUMPRODUCT(G1679:H1679,OFFSET($H$49:$I$49,D1679,0)))*(1+OFFSET($J$49,D1679,0))^I1679*(1+OFFSET($K$49,D1679,0))^J1679*(1+OFFSET($L$49,D1679,0))^K1679*(1+OFFSET($M$49,D1679,0))^L1679</f>
        <v>470.085114004</v>
      </c>
      <c r="N1679" s="67">
        <f ca="1">MAX(MAX($N$62:N1678),OFFSET($C$61,MATCH(M1679*1.07,$M$62:$M$2061,1),0)-C1679)</f>
        <v>54000</v>
      </c>
    </row>
    <row r="1680" spans="2:14">
      <c r="B1680" s="67">
        <v>1619</v>
      </c>
      <c r="C1680" s="67">
        <f t="shared" si="154"/>
        <v>582840</v>
      </c>
      <c r="D1680" s="67">
        <f t="shared" si="157"/>
        <v>5</v>
      </c>
      <c r="E1680" s="67">
        <f ca="1" t="shared" si="158"/>
        <v>1649</v>
      </c>
      <c r="F1680" s="67">
        <f ca="1" t="shared" si="155"/>
        <v>0</v>
      </c>
      <c r="G1680" s="67">
        <f ca="1" t="shared" si="156"/>
        <v>0</v>
      </c>
      <c r="H1680" s="67" cm="1">
        <f ca="1" t="array" ref="H1680">MIN(30-SUM(I1680:L1680),_xlfn.XLOOKUP($D1680&amp;"_"&amp;H$61,$B$23:$B$45&amp;"_"&amp;$C$23:$C$45,$D$23:$D$45)*$E1680,18)</f>
        <v>9.35201307189542</v>
      </c>
      <c r="I1680" s="67" cm="1">
        <f ca="1" t="array" ref="I1680">MIN(30-SUM(J1680:L1680),6-L1680,_xlfn.XLOOKUP($D1680&amp;"_"&amp;I$61,$B$23:$B$45&amp;"_"&amp;$C$23:$C$45,$D$23:$D$45)*$E1680)</f>
        <v>0</v>
      </c>
      <c r="J1680" s="67" cm="1">
        <f ca="1" t="array" ref="J1680">MIN(8,_xlfn.XLOOKUP($D1680&amp;"_"&amp;J$61,$B$23:$B$45&amp;"_"&amp;$C$23:$C$45,$D$23:$D$45)*$E1680)</f>
        <v>8</v>
      </c>
      <c r="K1680" s="67" cm="1">
        <f ca="1" t="array" ref="K1680">MIN(18,_xlfn.XLOOKUP($D1680&amp;"_"&amp;K$61,$B$23:$B$45&amp;"_"&amp;$C$23:$C$45,$D$23:$D$45)*$E1680)</f>
        <v>6.64798692810458</v>
      </c>
      <c r="L1680" s="67" cm="1">
        <f ca="1" t="array" ref="L1680">MIN(6,_xlfn.XLOOKUP($D1680&amp;"_"&amp;L$61,$B$23:$B$45&amp;"_"&amp;$C$23:$C$45,$D$23:$D$45)*$E1680)</f>
        <v>6</v>
      </c>
      <c r="M1680" s="67" cm="1">
        <f ca="1" t="array" ref="M1680">(1+SUMPRODUCT(G1680:H1680,OFFSET($H$49:$I$49,D1680,0)))*(1+OFFSET($J$49,D1680,0))^I1680*(1+OFFSET($K$49,D1680,0))^J1680*(1+OFFSET($L$49,D1680,0))^K1680*(1+OFFSET($M$49,D1680,0))^L1680</f>
        <v>470.298661241815</v>
      </c>
      <c r="N1680" s="67">
        <f ca="1">MAX(MAX($N$62:N1679),OFFSET($C$61,MATCH(M1680*1.07,$M$62:$M$2061,1),0)-C1680)</f>
        <v>54360</v>
      </c>
    </row>
    <row r="1681" spans="2:14">
      <c r="B1681" s="67">
        <v>1620</v>
      </c>
      <c r="C1681" s="67">
        <f t="shared" si="154"/>
        <v>583200</v>
      </c>
      <c r="D1681" s="67">
        <f t="shared" si="157"/>
        <v>5</v>
      </c>
      <c r="E1681" s="67">
        <f ca="1" t="shared" si="158"/>
        <v>1650</v>
      </c>
      <c r="F1681" s="67">
        <f ca="1" t="shared" si="155"/>
        <v>0</v>
      </c>
      <c r="G1681" s="67">
        <f ca="1" t="shared" si="156"/>
        <v>0</v>
      </c>
      <c r="H1681" s="67" cm="1">
        <f ca="1" t="array" ref="H1681">MIN(30-SUM(I1681:L1681),_xlfn.XLOOKUP($D1681&amp;"_"&amp;H$61,$B$23:$B$45&amp;"_"&amp;$C$23:$C$45,$D$23:$D$45)*$E1681,18)</f>
        <v>9.34798154555939</v>
      </c>
      <c r="I1681" s="67" cm="1">
        <f ca="1" t="array" ref="I1681">MIN(30-SUM(J1681:L1681),6-L1681,_xlfn.XLOOKUP($D1681&amp;"_"&amp;I$61,$B$23:$B$45&amp;"_"&amp;$C$23:$C$45,$D$23:$D$45)*$E1681)</f>
        <v>0</v>
      </c>
      <c r="J1681" s="67" cm="1">
        <f ca="1" t="array" ref="J1681">MIN(8,_xlfn.XLOOKUP($D1681&amp;"_"&amp;J$61,$B$23:$B$45&amp;"_"&amp;$C$23:$C$45,$D$23:$D$45)*$E1681)</f>
        <v>8</v>
      </c>
      <c r="K1681" s="67" cm="1">
        <f ca="1" t="array" ref="K1681">MIN(18,_xlfn.XLOOKUP($D1681&amp;"_"&amp;K$61,$B$23:$B$45&amp;"_"&amp;$C$23:$C$45,$D$23:$D$45)*$E1681)</f>
        <v>6.65201845444061</v>
      </c>
      <c r="L1681" s="67" cm="1">
        <f ca="1" t="array" ref="L1681">MIN(6,_xlfn.XLOOKUP($D1681&amp;"_"&amp;L$61,$B$23:$B$45&amp;"_"&amp;$C$23:$C$45,$D$23:$D$45)*$E1681)</f>
        <v>6</v>
      </c>
      <c r="M1681" s="67" cm="1">
        <f ca="1" t="array" ref="M1681">(1+SUMPRODUCT(G1681:H1681,OFFSET($H$49:$I$49,D1681,0)))*(1+OFFSET($J$49,D1681,0))^I1681*(1+OFFSET($K$49,D1681,0))^J1681*(1+OFFSET($L$49,D1681,0))^K1681*(1+OFFSET($M$49,D1681,0))^L1681</f>
        <v>470.512268361965</v>
      </c>
      <c r="N1681" s="67">
        <f ca="1">MAX(MAX($N$62:N1680),OFFSET($C$61,MATCH(M1681*1.07,$M$62:$M$2061,1),0)-C1681)</f>
        <v>54360</v>
      </c>
    </row>
    <row r="1682" spans="2:14">
      <c r="B1682" s="67">
        <v>1621</v>
      </c>
      <c r="C1682" s="67">
        <f t="shared" si="154"/>
        <v>583560</v>
      </c>
      <c r="D1682" s="67">
        <f t="shared" si="157"/>
        <v>5</v>
      </c>
      <c r="E1682" s="67">
        <f ca="1" t="shared" si="158"/>
        <v>1651</v>
      </c>
      <c r="F1682" s="67">
        <f ca="1" t="shared" si="155"/>
        <v>0</v>
      </c>
      <c r="G1682" s="67">
        <f ca="1" t="shared" si="156"/>
        <v>0</v>
      </c>
      <c r="H1682" s="67" cm="1">
        <f ca="1" t="array" ref="H1682">MIN(30-SUM(I1682:L1682),_xlfn.XLOOKUP($D1682&amp;"_"&amp;H$61,$B$23:$B$45&amp;"_"&amp;$C$23:$C$45,$D$23:$D$45)*$E1682,18)</f>
        <v>9.34395001922337</v>
      </c>
      <c r="I1682" s="67" cm="1">
        <f ca="1" t="array" ref="I1682">MIN(30-SUM(J1682:L1682),6-L1682,_xlfn.XLOOKUP($D1682&amp;"_"&amp;I$61,$B$23:$B$45&amp;"_"&amp;$C$23:$C$45,$D$23:$D$45)*$E1682)</f>
        <v>0</v>
      </c>
      <c r="J1682" s="67" cm="1">
        <f ca="1" t="array" ref="J1682">MIN(8,_xlfn.XLOOKUP($D1682&amp;"_"&amp;J$61,$B$23:$B$45&amp;"_"&amp;$C$23:$C$45,$D$23:$D$45)*$E1682)</f>
        <v>8</v>
      </c>
      <c r="K1682" s="67" cm="1">
        <f ca="1" t="array" ref="K1682">MIN(18,_xlfn.XLOOKUP($D1682&amp;"_"&amp;K$61,$B$23:$B$45&amp;"_"&amp;$C$23:$C$45,$D$23:$D$45)*$E1682)</f>
        <v>6.65604998077663</v>
      </c>
      <c r="L1682" s="67" cm="1">
        <f ca="1" t="array" ref="L1682">MIN(6,_xlfn.XLOOKUP($D1682&amp;"_"&amp;L$61,$B$23:$B$45&amp;"_"&amp;$C$23:$C$45,$D$23:$D$45)*$E1682)</f>
        <v>6</v>
      </c>
      <c r="M1682" s="67" cm="1">
        <f ca="1" t="array" ref="M1682">(1+SUMPRODUCT(G1682:H1682,OFFSET($H$49:$I$49,D1682,0)))*(1+OFFSET($J$49,D1682,0))^I1682*(1+OFFSET($K$49,D1682,0))^J1682*(1+OFFSET($L$49,D1682,0))^K1682*(1+OFFSET($M$49,D1682,0))^L1682</f>
        <v>470.725935337055</v>
      </c>
      <c r="N1682" s="67">
        <f ca="1">MAX(MAX($N$62:N1681),OFFSET($C$61,MATCH(M1682*1.07,$M$62:$M$2061,1),0)-C1682)</f>
        <v>54360</v>
      </c>
    </row>
    <row r="1683" spans="2:14">
      <c r="B1683" s="67">
        <v>1622</v>
      </c>
      <c r="C1683" s="67">
        <f t="shared" si="154"/>
        <v>583920</v>
      </c>
      <c r="D1683" s="67">
        <f t="shared" si="157"/>
        <v>5</v>
      </c>
      <c r="E1683" s="67">
        <f ca="1" t="shared" si="158"/>
        <v>1652</v>
      </c>
      <c r="F1683" s="67">
        <f ca="1" t="shared" si="155"/>
        <v>0</v>
      </c>
      <c r="G1683" s="67">
        <f ca="1" t="shared" si="156"/>
        <v>0</v>
      </c>
      <c r="H1683" s="67" cm="1">
        <f ca="1" t="array" ref="H1683">MIN(30-SUM(I1683:L1683),_xlfn.XLOOKUP($D1683&amp;"_"&amp;H$61,$B$23:$B$45&amp;"_"&amp;$C$23:$C$45,$D$23:$D$45)*$E1683,18)</f>
        <v>9.33991849288735</v>
      </c>
      <c r="I1683" s="67" cm="1">
        <f ca="1" t="array" ref="I1683">MIN(30-SUM(J1683:L1683),6-L1683,_xlfn.XLOOKUP($D1683&amp;"_"&amp;I$61,$B$23:$B$45&amp;"_"&amp;$C$23:$C$45,$D$23:$D$45)*$E1683)</f>
        <v>0</v>
      </c>
      <c r="J1683" s="67" cm="1">
        <f ca="1" t="array" ref="J1683">MIN(8,_xlfn.XLOOKUP($D1683&amp;"_"&amp;J$61,$B$23:$B$45&amp;"_"&amp;$C$23:$C$45,$D$23:$D$45)*$E1683)</f>
        <v>8</v>
      </c>
      <c r="K1683" s="67" cm="1">
        <f ca="1" t="array" ref="K1683">MIN(18,_xlfn.XLOOKUP($D1683&amp;"_"&amp;K$61,$B$23:$B$45&amp;"_"&amp;$C$23:$C$45,$D$23:$D$45)*$E1683)</f>
        <v>6.66008150711265</v>
      </c>
      <c r="L1683" s="67" cm="1">
        <f ca="1" t="array" ref="L1683">MIN(6,_xlfn.XLOOKUP($D1683&amp;"_"&amp;L$61,$B$23:$B$45&amp;"_"&amp;$C$23:$C$45,$D$23:$D$45)*$E1683)</f>
        <v>6</v>
      </c>
      <c r="M1683" s="67" cm="1">
        <f ca="1" t="array" ref="M1683">(1+SUMPRODUCT(G1683:H1683,OFFSET($H$49:$I$49,D1683,0)))*(1+OFFSET($J$49,D1683,0))^I1683*(1+OFFSET($K$49,D1683,0))^J1683*(1+OFFSET($L$49,D1683,0))^K1683*(1+OFFSET($M$49,D1683,0))^L1683</f>
        <v>470.939662139615</v>
      </c>
      <c r="N1683" s="67">
        <f ca="1">MAX(MAX($N$62:N1682),OFFSET($C$61,MATCH(M1683*1.07,$M$62:$M$2061,1),0)-C1683)</f>
        <v>54360</v>
      </c>
    </row>
    <row r="1684" spans="2:14">
      <c r="B1684" s="67">
        <v>1623</v>
      </c>
      <c r="C1684" s="67">
        <f t="shared" si="154"/>
        <v>584280</v>
      </c>
      <c r="D1684" s="67">
        <f t="shared" si="157"/>
        <v>5</v>
      </c>
      <c r="E1684" s="67">
        <f ca="1" t="shared" si="158"/>
        <v>1653</v>
      </c>
      <c r="F1684" s="67">
        <f ca="1" t="shared" si="155"/>
        <v>0</v>
      </c>
      <c r="G1684" s="67">
        <f ca="1" t="shared" si="156"/>
        <v>0</v>
      </c>
      <c r="H1684" s="67" cm="1">
        <f ca="1" t="array" ref="H1684">MIN(30-SUM(I1684:L1684),_xlfn.XLOOKUP($D1684&amp;"_"&amp;H$61,$B$23:$B$45&amp;"_"&amp;$C$23:$C$45,$D$23:$D$45)*$E1684,18)</f>
        <v>9.33588696655132</v>
      </c>
      <c r="I1684" s="67" cm="1">
        <f ca="1" t="array" ref="I1684">MIN(30-SUM(J1684:L1684),6-L1684,_xlfn.XLOOKUP($D1684&amp;"_"&amp;I$61,$B$23:$B$45&amp;"_"&amp;$C$23:$C$45,$D$23:$D$45)*$E1684)</f>
        <v>0</v>
      </c>
      <c r="J1684" s="67" cm="1">
        <f ca="1" t="array" ref="J1684">MIN(8,_xlfn.XLOOKUP($D1684&amp;"_"&amp;J$61,$B$23:$B$45&amp;"_"&amp;$C$23:$C$45,$D$23:$D$45)*$E1684)</f>
        <v>8</v>
      </c>
      <c r="K1684" s="67" cm="1">
        <f ca="1" t="array" ref="K1684">MIN(18,_xlfn.XLOOKUP($D1684&amp;"_"&amp;K$61,$B$23:$B$45&amp;"_"&amp;$C$23:$C$45,$D$23:$D$45)*$E1684)</f>
        <v>6.66411303344868</v>
      </c>
      <c r="L1684" s="67" cm="1">
        <f ca="1" t="array" ref="L1684">MIN(6,_xlfn.XLOOKUP($D1684&amp;"_"&amp;L$61,$B$23:$B$45&amp;"_"&amp;$C$23:$C$45,$D$23:$D$45)*$E1684)</f>
        <v>6</v>
      </c>
      <c r="M1684" s="67" cm="1">
        <f ca="1" t="array" ref="M1684">(1+SUMPRODUCT(G1684:H1684,OFFSET($H$49:$I$49,D1684,0)))*(1+OFFSET($J$49,D1684,0))^I1684*(1+OFFSET($K$49,D1684,0))^J1684*(1+OFFSET($L$49,D1684,0))^K1684*(1+OFFSET($M$49,D1684,0))^L1684</f>
        <v>471.153448742105</v>
      </c>
      <c r="N1684" s="67">
        <f ca="1">MAX(MAX($N$62:N1683),OFFSET($C$61,MATCH(M1684*1.07,$M$62:$M$2061,1),0)-C1684)</f>
        <v>54360</v>
      </c>
    </row>
    <row r="1685" spans="2:14">
      <c r="B1685" s="67">
        <v>1624</v>
      </c>
      <c r="C1685" s="67">
        <f t="shared" si="154"/>
        <v>584640</v>
      </c>
      <c r="D1685" s="67">
        <f t="shared" si="157"/>
        <v>5</v>
      </c>
      <c r="E1685" s="67">
        <f ca="1" t="shared" si="158"/>
        <v>1654</v>
      </c>
      <c r="F1685" s="67">
        <f ca="1" t="shared" si="155"/>
        <v>0</v>
      </c>
      <c r="G1685" s="67">
        <f ca="1" t="shared" si="156"/>
        <v>0</v>
      </c>
      <c r="H1685" s="67" cm="1">
        <f ca="1" t="array" ref="H1685">MIN(30-SUM(I1685:L1685),_xlfn.XLOOKUP($D1685&amp;"_"&amp;H$61,$B$23:$B$45&amp;"_"&amp;$C$23:$C$45,$D$23:$D$45)*$E1685,18)</f>
        <v>9.3318554402153</v>
      </c>
      <c r="I1685" s="67" cm="1">
        <f ca="1" t="array" ref="I1685">MIN(30-SUM(J1685:L1685),6-L1685,_xlfn.XLOOKUP($D1685&amp;"_"&amp;I$61,$B$23:$B$45&amp;"_"&amp;$C$23:$C$45,$D$23:$D$45)*$E1685)</f>
        <v>0</v>
      </c>
      <c r="J1685" s="67" cm="1">
        <f ca="1" t="array" ref="J1685">MIN(8,_xlfn.XLOOKUP($D1685&amp;"_"&amp;J$61,$B$23:$B$45&amp;"_"&amp;$C$23:$C$45,$D$23:$D$45)*$E1685)</f>
        <v>8</v>
      </c>
      <c r="K1685" s="67" cm="1">
        <f ca="1" t="array" ref="K1685">MIN(18,_xlfn.XLOOKUP($D1685&amp;"_"&amp;K$61,$B$23:$B$45&amp;"_"&amp;$C$23:$C$45,$D$23:$D$45)*$E1685)</f>
        <v>6.6681445597847</v>
      </c>
      <c r="L1685" s="67" cm="1">
        <f ca="1" t="array" ref="L1685">MIN(6,_xlfn.XLOOKUP($D1685&amp;"_"&amp;L$61,$B$23:$B$45&amp;"_"&amp;$C$23:$C$45,$D$23:$D$45)*$E1685)</f>
        <v>6</v>
      </c>
      <c r="M1685" s="67" cm="1">
        <f ca="1" t="array" ref="M1685">(1+SUMPRODUCT(G1685:H1685,OFFSET($H$49:$I$49,D1685,0)))*(1+OFFSET($J$49,D1685,0))^I1685*(1+OFFSET($K$49,D1685,0))^J1685*(1+OFFSET($L$49,D1685,0))^K1685*(1+OFFSET($M$49,D1685,0))^L1685</f>
        <v>471.367295116912</v>
      </c>
      <c r="N1685" s="67">
        <f ca="1">MAX(MAX($N$62:N1684),OFFSET($C$61,MATCH(M1685*1.07,$M$62:$M$2061,1),0)-C1685)</f>
        <v>54360</v>
      </c>
    </row>
    <row r="1686" spans="2:14">
      <c r="B1686" s="67">
        <v>1625</v>
      </c>
      <c r="C1686" s="67">
        <f t="shared" si="154"/>
        <v>585000</v>
      </c>
      <c r="D1686" s="67">
        <f t="shared" si="157"/>
        <v>5</v>
      </c>
      <c r="E1686" s="67">
        <f ca="1" t="shared" si="158"/>
        <v>1655</v>
      </c>
      <c r="F1686" s="67">
        <f ca="1" t="shared" si="155"/>
        <v>0</v>
      </c>
      <c r="G1686" s="67">
        <f ca="1" t="shared" si="156"/>
        <v>0</v>
      </c>
      <c r="H1686" s="67" cm="1">
        <f ca="1" t="array" ref="H1686">MIN(30-SUM(I1686:L1686),_xlfn.XLOOKUP($D1686&amp;"_"&amp;H$61,$B$23:$B$45&amp;"_"&amp;$C$23:$C$45,$D$23:$D$45)*$E1686,18)</f>
        <v>9.32782391387927</v>
      </c>
      <c r="I1686" s="67" cm="1">
        <f ca="1" t="array" ref="I1686">MIN(30-SUM(J1686:L1686),6-L1686,_xlfn.XLOOKUP($D1686&amp;"_"&amp;I$61,$B$23:$B$45&amp;"_"&amp;$C$23:$C$45,$D$23:$D$45)*$E1686)</f>
        <v>0</v>
      </c>
      <c r="J1686" s="67" cm="1">
        <f ca="1" t="array" ref="J1686">MIN(8,_xlfn.XLOOKUP($D1686&amp;"_"&amp;J$61,$B$23:$B$45&amp;"_"&amp;$C$23:$C$45,$D$23:$D$45)*$E1686)</f>
        <v>8</v>
      </c>
      <c r="K1686" s="67" cm="1">
        <f ca="1" t="array" ref="K1686">MIN(18,_xlfn.XLOOKUP($D1686&amp;"_"&amp;K$61,$B$23:$B$45&amp;"_"&amp;$C$23:$C$45,$D$23:$D$45)*$E1686)</f>
        <v>6.67217608612073</v>
      </c>
      <c r="L1686" s="67" cm="1">
        <f ca="1" t="array" ref="L1686">MIN(6,_xlfn.XLOOKUP($D1686&amp;"_"&amp;L$61,$B$23:$B$45&amp;"_"&amp;$C$23:$C$45,$D$23:$D$45)*$E1686)</f>
        <v>6</v>
      </c>
      <c r="M1686" s="67" cm="1">
        <f ca="1" t="array" ref="M1686">(1+SUMPRODUCT(G1686:H1686,OFFSET($H$49:$I$49,D1686,0)))*(1+OFFSET($J$49,D1686,0))^I1686*(1+OFFSET($K$49,D1686,0))^J1686*(1+OFFSET($L$49,D1686,0))^K1686*(1+OFFSET($M$49,D1686,0))^L1686</f>
        <v>471.581201236348</v>
      </c>
      <c r="N1686" s="67">
        <f ca="1">MAX(MAX($N$62:N1685),OFFSET($C$61,MATCH(M1686*1.07,$M$62:$M$2061,1),0)-C1686)</f>
        <v>54360</v>
      </c>
    </row>
    <row r="1687" spans="2:14">
      <c r="B1687" s="67">
        <v>1626</v>
      </c>
      <c r="C1687" s="67">
        <f t="shared" si="154"/>
        <v>585360</v>
      </c>
      <c r="D1687" s="67">
        <f t="shared" si="157"/>
        <v>5</v>
      </c>
      <c r="E1687" s="67">
        <f ca="1" t="shared" si="158"/>
        <v>1656</v>
      </c>
      <c r="F1687" s="67">
        <f ca="1" t="shared" si="155"/>
        <v>0</v>
      </c>
      <c r="G1687" s="67">
        <f ca="1" t="shared" si="156"/>
        <v>0</v>
      </c>
      <c r="H1687" s="67" cm="1">
        <f ca="1" t="array" ref="H1687">MIN(30-SUM(I1687:L1687),_xlfn.XLOOKUP($D1687&amp;"_"&amp;H$61,$B$23:$B$45&amp;"_"&amp;$C$23:$C$45,$D$23:$D$45)*$E1687,18)</f>
        <v>9.32379238754325</v>
      </c>
      <c r="I1687" s="67" cm="1">
        <f ca="1" t="array" ref="I1687">MIN(30-SUM(J1687:L1687),6-L1687,_xlfn.XLOOKUP($D1687&amp;"_"&amp;I$61,$B$23:$B$45&amp;"_"&amp;$C$23:$C$45,$D$23:$D$45)*$E1687)</f>
        <v>0</v>
      </c>
      <c r="J1687" s="67" cm="1">
        <f ca="1" t="array" ref="J1687">MIN(8,_xlfn.XLOOKUP($D1687&amp;"_"&amp;J$61,$B$23:$B$45&amp;"_"&amp;$C$23:$C$45,$D$23:$D$45)*$E1687)</f>
        <v>8</v>
      </c>
      <c r="K1687" s="67" cm="1">
        <f ca="1" t="array" ref="K1687">MIN(18,_xlfn.XLOOKUP($D1687&amp;"_"&amp;K$61,$B$23:$B$45&amp;"_"&amp;$C$23:$C$45,$D$23:$D$45)*$E1687)</f>
        <v>6.67620761245675</v>
      </c>
      <c r="L1687" s="67" cm="1">
        <f ca="1" t="array" ref="L1687">MIN(6,_xlfn.XLOOKUP($D1687&amp;"_"&amp;L$61,$B$23:$B$45&amp;"_"&amp;$C$23:$C$45,$D$23:$D$45)*$E1687)</f>
        <v>6</v>
      </c>
      <c r="M1687" s="67" cm="1">
        <f ca="1" t="array" ref="M1687">(1+SUMPRODUCT(G1687:H1687,OFFSET($H$49:$I$49,D1687,0)))*(1+OFFSET($J$49,D1687,0))^I1687*(1+OFFSET($K$49,D1687,0))^J1687*(1+OFFSET($L$49,D1687,0))^K1687*(1+OFFSET($M$49,D1687,0))^L1687</f>
        <v>471.795167072653</v>
      </c>
      <c r="N1687" s="67">
        <f ca="1">MAX(MAX($N$62:N1686),OFFSET($C$61,MATCH(M1687*1.07,$M$62:$M$2061,1),0)-C1687)</f>
        <v>54360</v>
      </c>
    </row>
    <row r="1688" spans="2:14">
      <c r="B1688" s="67">
        <v>1627</v>
      </c>
      <c r="C1688" s="67">
        <f t="shared" si="154"/>
        <v>585720</v>
      </c>
      <c r="D1688" s="67">
        <f t="shared" si="157"/>
        <v>5</v>
      </c>
      <c r="E1688" s="67">
        <f ca="1" t="shared" si="158"/>
        <v>1657</v>
      </c>
      <c r="F1688" s="67">
        <f ca="1" t="shared" si="155"/>
        <v>0</v>
      </c>
      <c r="G1688" s="67">
        <f ca="1" t="shared" si="156"/>
        <v>0</v>
      </c>
      <c r="H1688" s="67" cm="1">
        <f ca="1" t="array" ref="H1688">MIN(30-SUM(I1688:L1688),_xlfn.XLOOKUP($D1688&amp;"_"&amp;H$61,$B$23:$B$45&amp;"_"&amp;$C$23:$C$45,$D$23:$D$45)*$E1688,18)</f>
        <v>9.31976086120722</v>
      </c>
      <c r="I1688" s="67" cm="1">
        <f ca="1" t="array" ref="I1688">MIN(30-SUM(J1688:L1688),6-L1688,_xlfn.XLOOKUP($D1688&amp;"_"&amp;I$61,$B$23:$B$45&amp;"_"&amp;$C$23:$C$45,$D$23:$D$45)*$E1688)</f>
        <v>0</v>
      </c>
      <c r="J1688" s="67" cm="1">
        <f ca="1" t="array" ref="J1688">MIN(8,_xlfn.XLOOKUP($D1688&amp;"_"&amp;J$61,$B$23:$B$45&amp;"_"&amp;$C$23:$C$45,$D$23:$D$45)*$E1688)</f>
        <v>8</v>
      </c>
      <c r="K1688" s="67" cm="1">
        <f ca="1" t="array" ref="K1688">MIN(18,_xlfn.XLOOKUP($D1688&amp;"_"&amp;K$61,$B$23:$B$45&amp;"_"&amp;$C$23:$C$45,$D$23:$D$45)*$E1688)</f>
        <v>6.68023913879278</v>
      </c>
      <c r="L1688" s="67" cm="1">
        <f ca="1" t="array" ref="L1688">MIN(6,_xlfn.XLOOKUP($D1688&amp;"_"&amp;L$61,$B$23:$B$45&amp;"_"&amp;$C$23:$C$45,$D$23:$D$45)*$E1688)</f>
        <v>6</v>
      </c>
      <c r="M1688" s="67" cm="1">
        <f ca="1" t="array" ref="M1688">(1+SUMPRODUCT(G1688:H1688,OFFSET($H$49:$I$49,D1688,0)))*(1+OFFSET($J$49,D1688,0))^I1688*(1+OFFSET($K$49,D1688,0))^J1688*(1+OFFSET($L$49,D1688,0))^K1688*(1+OFFSET($M$49,D1688,0))^L1688</f>
        <v>472.009192597994</v>
      </c>
      <c r="N1688" s="67">
        <f ca="1">MAX(MAX($N$62:N1687),OFFSET($C$61,MATCH(M1688*1.07,$M$62:$M$2061,1),0)-C1688)</f>
        <v>54360</v>
      </c>
    </row>
    <row r="1689" spans="2:14">
      <c r="B1689" s="67">
        <v>1628</v>
      </c>
      <c r="C1689" s="67">
        <f t="shared" si="154"/>
        <v>586080</v>
      </c>
      <c r="D1689" s="67">
        <f t="shared" si="157"/>
        <v>5</v>
      </c>
      <c r="E1689" s="67">
        <f ca="1" t="shared" si="158"/>
        <v>1658</v>
      </c>
      <c r="F1689" s="67">
        <f ca="1" t="shared" si="155"/>
        <v>0</v>
      </c>
      <c r="G1689" s="67">
        <f ca="1" t="shared" si="156"/>
        <v>0</v>
      </c>
      <c r="H1689" s="67" cm="1">
        <f ca="1" t="array" ref="H1689">MIN(30-SUM(I1689:L1689),_xlfn.XLOOKUP($D1689&amp;"_"&amp;H$61,$B$23:$B$45&amp;"_"&amp;$C$23:$C$45,$D$23:$D$45)*$E1689,18)</f>
        <v>9.3157293348712</v>
      </c>
      <c r="I1689" s="67" cm="1">
        <f ca="1" t="array" ref="I1689">MIN(30-SUM(J1689:L1689),6-L1689,_xlfn.XLOOKUP($D1689&amp;"_"&amp;I$61,$B$23:$B$45&amp;"_"&amp;$C$23:$C$45,$D$23:$D$45)*$E1689)</f>
        <v>0</v>
      </c>
      <c r="J1689" s="67" cm="1">
        <f ca="1" t="array" ref="J1689">MIN(8,_xlfn.XLOOKUP($D1689&amp;"_"&amp;J$61,$B$23:$B$45&amp;"_"&amp;$C$23:$C$45,$D$23:$D$45)*$E1689)</f>
        <v>8</v>
      </c>
      <c r="K1689" s="67" cm="1">
        <f ca="1" t="array" ref="K1689">MIN(18,_xlfn.XLOOKUP($D1689&amp;"_"&amp;K$61,$B$23:$B$45&amp;"_"&amp;$C$23:$C$45,$D$23:$D$45)*$E1689)</f>
        <v>6.6842706651288</v>
      </c>
      <c r="L1689" s="67" cm="1">
        <f ca="1" t="array" ref="L1689">MIN(6,_xlfn.XLOOKUP($D1689&amp;"_"&amp;L$61,$B$23:$B$45&amp;"_"&amp;$C$23:$C$45,$D$23:$D$45)*$E1689)</f>
        <v>6</v>
      </c>
      <c r="M1689" s="67" cm="1">
        <f ca="1" t="array" ref="M1689">(1+SUMPRODUCT(G1689:H1689,OFFSET($H$49:$I$49,D1689,0)))*(1+OFFSET($J$49,D1689,0))^I1689*(1+OFFSET($K$49,D1689,0))^J1689*(1+OFFSET($L$49,D1689,0))^K1689*(1+OFFSET($M$49,D1689,0))^L1689</f>
        <v>472.223277784465</v>
      </c>
      <c r="N1689" s="67">
        <f ca="1">MAX(MAX($N$62:N1688),OFFSET($C$61,MATCH(M1689*1.07,$M$62:$M$2061,1),0)-C1689)</f>
        <v>54360</v>
      </c>
    </row>
    <row r="1690" spans="2:14">
      <c r="B1690" s="67">
        <v>1629</v>
      </c>
      <c r="C1690" s="67">
        <f t="shared" si="154"/>
        <v>586440</v>
      </c>
      <c r="D1690" s="67">
        <f t="shared" si="157"/>
        <v>5</v>
      </c>
      <c r="E1690" s="67">
        <f ca="1" t="shared" si="158"/>
        <v>1659</v>
      </c>
      <c r="F1690" s="67">
        <f ca="1" t="shared" si="155"/>
        <v>0</v>
      </c>
      <c r="G1690" s="67">
        <f ca="1" t="shared" si="156"/>
        <v>0</v>
      </c>
      <c r="H1690" s="67" cm="1">
        <f ca="1" t="array" ref="H1690">MIN(30-SUM(I1690:L1690),_xlfn.XLOOKUP($D1690&amp;"_"&amp;H$61,$B$23:$B$45&amp;"_"&amp;$C$23:$C$45,$D$23:$D$45)*$E1690,18)</f>
        <v>9.31169780853517</v>
      </c>
      <c r="I1690" s="67" cm="1">
        <f ca="1" t="array" ref="I1690">MIN(30-SUM(J1690:L1690),6-L1690,_xlfn.XLOOKUP($D1690&amp;"_"&amp;I$61,$B$23:$B$45&amp;"_"&amp;$C$23:$C$45,$D$23:$D$45)*$E1690)</f>
        <v>0</v>
      </c>
      <c r="J1690" s="67" cm="1">
        <f ca="1" t="array" ref="J1690">MIN(8,_xlfn.XLOOKUP($D1690&amp;"_"&amp;J$61,$B$23:$B$45&amp;"_"&amp;$C$23:$C$45,$D$23:$D$45)*$E1690)</f>
        <v>8</v>
      </c>
      <c r="K1690" s="67" cm="1">
        <f ca="1" t="array" ref="K1690">MIN(18,_xlfn.XLOOKUP($D1690&amp;"_"&amp;K$61,$B$23:$B$45&amp;"_"&amp;$C$23:$C$45,$D$23:$D$45)*$E1690)</f>
        <v>6.68830219146483</v>
      </c>
      <c r="L1690" s="67" cm="1">
        <f ca="1" t="array" ref="L1690">MIN(6,_xlfn.XLOOKUP($D1690&amp;"_"&amp;L$61,$B$23:$B$45&amp;"_"&amp;$C$23:$C$45,$D$23:$D$45)*$E1690)</f>
        <v>6</v>
      </c>
      <c r="M1690" s="67" cm="1">
        <f ca="1" t="array" ref="M1690">(1+SUMPRODUCT(G1690:H1690,OFFSET($H$49:$I$49,D1690,0)))*(1+OFFSET($J$49,D1690,0))^I1690*(1+OFFSET($K$49,D1690,0))^J1690*(1+OFFSET($L$49,D1690,0))^K1690*(1+OFFSET($M$49,D1690,0))^L1690</f>
        <v>472.437422604087</v>
      </c>
      <c r="N1690" s="67">
        <f ca="1">MAX(MAX($N$62:N1689),OFFSET($C$61,MATCH(M1690*1.07,$M$62:$M$2061,1),0)-C1690)</f>
        <v>54360</v>
      </c>
    </row>
    <row r="1691" spans="2:14">
      <c r="B1691" s="67">
        <v>1630</v>
      </c>
      <c r="C1691" s="67">
        <f t="shared" si="154"/>
        <v>586800</v>
      </c>
      <c r="D1691" s="67">
        <f t="shared" si="157"/>
        <v>5</v>
      </c>
      <c r="E1691" s="67">
        <f ca="1" t="shared" si="158"/>
        <v>1660</v>
      </c>
      <c r="F1691" s="67">
        <f ca="1" t="shared" si="155"/>
        <v>0</v>
      </c>
      <c r="G1691" s="67">
        <f ca="1" t="shared" si="156"/>
        <v>0</v>
      </c>
      <c r="H1691" s="67" cm="1">
        <f ca="1" t="array" ref="H1691">MIN(30-SUM(I1691:L1691),_xlfn.XLOOKUP($D1691&amp;"_"&amp;H$61,$B$23:$B$45&amp;"_"&amp;$C$23:$C$45,$D$23:$D$45)*$E1691,18)</f>
        <v>9.30766628219915</v>
      </c>
      <c r="I1691" s="67" cm="1">
        <f ca="1" t="array" ref="I1691">MIN(30-SUM(J1691:L1691),6-L1691,_xlfn.XLOOKUP($D1691&amp;"_"&amp;I$61,$B$23:$B$45&amp;"_"&amp;$C$23:$C$45,$D$23:$D$45)*$E1691)</f>
        <v>0</v>
      </c>
      <c r="J1691" s="67" cm="1">
        <f ca="1" t="array" ref="J1691">MIN(8,_xlfn.XLOOKUP($D1691&amp;"_"&amp;J$61,$B$23:$B$45&amp;"_"&amp;$C$23:$C$45,$D$23:$D$45)*$E1691)</f>
        <v>8</v>
      </c>
      <c r="K1691" s="67" cm="1">
        <f ca="1" t="array" ref="K1691">MIN(18,_xlfn.XLOOKUP($D1691&amp;"_"&amp;K$61,$B$23:$B$45&amp;"_"&amp;$C$23:$C$45,$D$23:$D$45)*$E1691)</f>
        <v>6.69233371780085</v>
      </c>
      <c r="L1691" s="67" cm="1">
        <f ca="1" t="array" ref="L1691">MIN(6,_xlfn.XLOOKUP($D1691&amp;"_"&amp;L$61,$B$23:$B$45&amp;"_"&amp;$C$23:$C$45,$D$23:$D$45)*$E1691)</f>
        <v>6</v>
      </c>
      <c r="M1691" s="67" cm="1">
        <f ca="1" t="array" ref="M1691">(1+SUMPRODUCT(G1691:H1691,OFFSET($H$49:$I$49,D1691,0)))*(1+OFFSET($J$49,D1691,0))^I1691*(1+OFFSET($K$49,D1691,0))^J1691*(1+OFFSET($L$49,D1691,0))^K1691*(1+OFFSET($M$49,D1691,0))^L1691</f>
        <v>472.651627028807</v>
      </c>
      <c r="N1691" s="67">
        <f ca="1">MAX(MAX($N$62:N1690),OFFSET($C$61,MATCH(M1691*1.07,$M$62:$M$2061,1),0)-C1691)</f>
        <v>54360</v>
      </c>
    </row>
    <row r="1692" spans="2:14">
      <c r="B1692" s="67">
        <v>1631</v>
      </c>
      <c r="C1692" s="67">
        <f t="shared" si="154"/>
        <v>587160</v>
      </c>
      <c r="D1692" s="67">
        <f t="shared" si="157"/>
        <v>5</v>
      </c>
      <c r="E1692" s="67">
        <f ca="1" t="shared" si="158"/>
        <v>1661</v>
      </c>
      <c r="F1692" s="67">
        <f ca="1" t="shared" si="155"/>
        <v>0</v>
      </c>
      <c r="G1692" s="67">
        <f ca="1" t="shared" si="156"/>
        <v>0</v>
      </c>
      <c r="H1692" s="67" cm="1">
        <f ca="1" t="array" ref="H1692">MIN(30-SUM(I1692:L1692),_xlfn.XLOOKUP($D1692&amp;"_"&amp;H$61,$B$23:$B$45&amp;"_"&amp;$C$23:$C$45,$D$23:$D$45)*$E1692,18)</f>
        <v>9.30363475586312</v>
      </c>
      <c r="I1692" s="67" cm="1">
        <f ca="1" t="array" ref="I1692">MIN(30-SUM(J1692:L1692),6-L1692,_xlfn.XLOOKUP($D1692&amp;"_"&amp;I$61,$B$23:$B$45&amp;"_"&amp;$C$23:$C$45,$D$23:$D$45)*$E1692)</f>
        <v>0</v>
      </c>
      <c r="J1692" s="67" cm="1">
        <f ca="1" t="array" ref="J1692">MIN(8,_xlfn.XLOOKUP($D1692&amp;"_"&amp;J$61,$B$23:$B$45&amp;"_"&amp;$C$23:$C$45,$D$23:$D$45)*$E1692)</f>
        <v>8</v>
      </c>
      <c r="K1692" s="67" cm="1">
        <f ca="1" t="array" ref="K1692">MIN(18,_xlfn.XLOOKUP($D1692&amp;"_"&amp;K$61,$B$23:$B$45&amp;"_"&amp;$C$23:$C$45,$D$23:$D$45)*$E1692)</f>
        <v>6.69636524413688</v>
      </c>
      <c r="L1692" s="67" cm="1">
        <f ca="1" t="array" ref="L1692">MIN(6,_xlfn.XLOOKUP($D1692&amp;"_"&amp;L$61,$B$23:$B$45&amp;"_"&amp;$C$23:$C$45,$D$23:$D$45)*$E1692)</f>
        <v>6</v>
      </c>
      <c r="M1692" s="67" cm="1">
        <f ca="1" t="array" ref="M1692">(1+SUMPRODUCT(G1692:H1692,OFFSET($H$49:$I$49,D1692,0)))*(1+OFFSET($J$49,D1692,0))^I1692*(1+OFFSET($K$49,D1692,0))^J1692*(1+OFFSET($L$49,D1692,0))^K1692*(1+OFFSET($M$49,D1692,0))^L1692</f>
        <v>472.865891030498</v>
      </c>
      <c r="N1692" s="67">
        <f ca="1">MAX(MAX($N$62:N1691),OFFSET($C$61,MATCH(M1692*1.07,$M$62:$M$2061,1),0)-C1692)</f>
        <v>54360</v>
      </c>
    </row>
    <row r="1693" spans="2:14">
      <c r="B1693" s="67">
        <v>1632</v>
      </c>
      <c r="C1693" s="67">
        <f t="shared" si="154"/>
        <v>587520</v>
      </c>
      <c r="D1693" s="67">
        <f t="shared" si="157"/>
        <v>5</v>
      </c>
      <c r="E1693" s="67">
        <f ca="1" t="shared" si="158"/>
        <v>1662</v>
      </c>
      <c r="F1693" s="67">
        <f ca="1" t="shared" si="155"/>
        <v>0</v>
      </c>
      <c r="G1693" s="67">
        <f ca="1" t="shared" si="156"/>
        <v>0</v>
      </c>
      <c r="H1693" s="67" cm="1">
        <f ca="1" t="array" ref="H1693">MIN(30-SUM(I1693:L1693),_xlfn.XLOOKUP($D1693&amp;"_"&amp;H$61,$B$23:$B$45&amp;"_"&amp;$C$23:$C$45,$D$23:$D$45)*$E1693,18)</f>
        <v>9.2996032295271</v>
      </c>
      <c r="I1693" s="67" cm="1">
        <f ca="1" t="array" ref="I1693">MIN(30-SUM(J1693:L1693),6-L1693,_xlfn.XLOOKUP($D1693&amp;"_"&amp;I$61,$B$23:$B$45&amp;"_"&amp;$C$23:$C$45,$D$23:$D$45)*$E1693)</f>
        <v>0</v>
      </c>
      <c r="J1693" s="67" cm="1">
        <f ca="1" t="array" ref="J1693">MIN(8,_xlfn.XLOOKUP($D1693&amp;"_"&amp;J$61,$B$23:$B$45&amp;"_"&amp;$C$23:$C$45,$D$23:$D$45)*$E1693)</f>
        <v>8</v>
      </c>
      <c r="K1693" s="67" cm="1">
        <f ca="1" t="array" ref="K1693">MIN(18,_xlfn.XLOOKUP($D1693&amp;"_"&amp;K$61,$B$23:$B$45&amp;"_"&amp;$C$23:$C$45,$D$23:$D$45)*$E1693)</f>
        <v>6.7003967704729</v>
      </c>
      <c r="L1693" s="67" cm="1">
        <f ca="1" t="array" ref="L1693">MIN(6,_xlfn.XLOOKUP($D1693&amp;"_"&amp;L$61,$B$23:$B$45&amp;"_"&amp;$C$23:$C$45,$D$23:$D$45)*$E1693)</f>
        <v>6</v>
      </c>
      <c r="M1693" s="67" cm="1">
        <f ca="1" t="array" ref="M1693">(1+SUMPRODUCT(G1693:H1693,OFFSET($H$49:$I$49,D1693,0)))*(1+OFFSET($J$49,D1693,0))^I1693*(1+OFFSET($K$49,D1693,0))^J1693*(1+OFFSET($L$49,D1693,0))^K1693*(1+OFFSET($M$49,D1693,0))^L1693</f>
        <v>473.08021458096</v>
      </c>
      <c r="N1693" s="67">
        <f ca="1">MAX(MAX($N$62:N1692),OFFSET($C$61,MATCH(M1693*1.07,$M$62:$M$2061,1),0)-C1693)</f>
        <v>54360</v>
      </c>
    </row>
    <row r="1694" spans="2:14">
      <c r="B1694" s="67">
        <v>1633</v>
      </c>
      <c r="C1694" s="67">
        <f t="shared" si="154"/>
        <v>587880</v>
      </c>
      <c r="D1694" s="67">
        <f t="shared" si="157"/>
        <v>5</v>
      </c>
      <c r="E1694" s="67">
        <f ca="1" t="shared" si="158"/>
        <v>1663</v>
      </c>
      <c r="F1694" s="67">
        <f ca="1" t="shared" si="155"/>
        <v>0</v>
      </c>
      <c r="G1694" s="67">
        <f ca="1" t="shared" si="156"/>
        <v>0</v>
      </c>
      <c r="H1694" s="67" cm="1">
        <f ca="1" t="array" ref="H1694">MIN(30-SUM(I1694:L1694),_xlfn.XLOOKUP($D1694&amp;"_"&amp;H$61,$B$23:$B$45&amp;"_"&amp;$C$23:$C$45,$D$23:$D$45)*$E1694,18)</f>
        <v>9.29557170319107</v>
      </c>
      <c r="I1694" s="67" cm="1">
        <f ca="1" t="array" ref="I1694">MIN(30-SUM(J1694:L1694),6-L1694,_xlfn.XLOOKUP($D1694&amp;"_"&amp;I$61,$B$23:$B$45&amp;"_"&amp;$C$23:$C$45,$D$23:$D$45)*$E1694)</f>
        <v>0</v>
      </c>
      <c r="J1694" s="67" cm="1">
        <f ca="1" t="array" ref="J1694">MIN(8,_xlfn.XLOOKUP($D1694&amp;"_"&amp;J$61,$B$23:$B$45&amp;"_"&amp;$C$23:$C$45,$D$23:$D$45)*$E1694)</f>
        <v>8</v>
      </c>
      <c r="K1694" s="67" cm="1">
        <f ca="1" t="array" ref="K1694">MIN(18,_xlfn.XLOOKUP($D1694&amp;"_"&amp;K$61,$B$23:$B$45&amp;"_"&amp;$C$23:$C$45,$D$23:$D$45)*$E1694)</f>
        <v>6.70442829680893</v>
      </c>
      <c r="L1694" s="67" cm="1">
        <f ca="1" t="array" ref="L1694">MIN(6,_xlfn.XLOOKUP($D1694&amp;"_"&amp;L$61,$B$23:$B$45&amp;"_"&amp;$C$23:$C$45,$D$23:$D$45)*$E1694)</f>
        <v>6</v>
      </c>
      <c r="M1694" s="67" cm="1">
        <f ca="1" t="array" ref="M1694">(1+SUMPRODUCT(G1694:H1694,OFFSET($H$49:$I$49,D1694,0)))*(1+OFFSET($J$49,D1694,0))^I1694*(1+OFFSET($K$49,D1694,0))^J1694*(1+OFFSET($L$49,D1694,0))^K1694*(1+OFFSET($M$49,D1694,0))^L1694</f>
        <v>473.294597651919</v>
      </c>
      <c r="N1694" s="67">
        <f ca="1">MAX(MAX($N$62:N1693),OFFSET($C$61,MATCH(M1694*1.07,$M$62:$M$2061,1),0)-C1694)</f>
        <v>54360</v>
      </c>
    </row>
    <row r="1695" spans="2:14">
      <c r="B1695" s="67">
        <v>1634</v>
      </c>
      <c r="C1695" s="67">
        <f t="shared" si="154"/>
        <v>588240</v>
      </c>
      <c r="D1695" s="67">
        <f t="shared" si="157"/>
        <v>5</v>
      </c>
      <c r="E1695" s="67">
        <f ca="1" t="shared" si="158"/>
        <v>1664</v>
      </c>
      <c r="F1695" s="67">
        <f ca="1" t="shared" si="155"/>
        <v>0</v>
      </c>
      <c r="G1695" s="67">
        <f ca="1" t="shared" si="156"/>
        <v>0</v>
      </c>
      <c r="H1695" s="67" cm="1">
        <f ca="1" t="array" ref="H1695">MIN(30-SUM(I1695:L1695),_xlfn.XLOOKUP($D1695&amp;"_"&amp;H$61,$B$23:$B$45&amp;"_"&amp;$C$23:$C$45,$D$23:$D$45)*$E1695,18)</f>
        <v>9.29154017685505</v>
      </c>
      <c r="I1695" s="67" cm="1">
        <f ca="1" t="array" ref="I1695">MIN(30-SUM(J1695:L1695),6-L1695,_xlfn.XLOOKUP($D1695&amp;"_"&amp;I$61,$B$23:$B$45&amp;"_"&amp;$C$23:$C$45,$D$23:$D$45)*$E1695)</f>
        <v>0</v>
      </c>
      <c r="J1695" s="67" cm="1">
        <f ca="1" t="array" ref="J1695">MIN(8,_xlfn.XLOOKUP($D1695&amp;"_"&amp;J$61,$B$23:$B$45&amp;"_"&amp;$C$23:$C$45,$D$23:$D$45)*$E1695)</f>
        <v>8</v>
      </c>
      <c r="K1695" s="67" cm="1">
        <f ca="1" t="array" ref="K1695">MIN(18,_xlfn.XLOOKUP($D1695&amp;"_"&amp;K$61,$B$23:$B$45&amp;"_"&amp;$C$23:$C$45,$D$23:$D$45)*$E1695)</f>
        <v>6.70845982314495</v>
      </c>
      <c r="L1695" s="67" cm="1">
        <f ca="1" t="array" ref="L1695">MIN(6,_xlfn.XLOOKUP($D1695&amp;"_"&amp;L$61,$B$23:$B$45&amp;"_"&amp;$C$23:$C$45,$D$23:$D$45)*$E1695)</f>
        <v>6</v>
      </c>
      <c r="M1695" s="67" cm="1">
        <f ca="1" t="array" ref="M1695">(1+SUMPRODUCT(G1695:H1695,OFFSET($H$49:$I$49,D1695,0)))*(1+OFFSET($J$49,D1695,0))^I1695*(1+OFFSET($K$49,D1695,0))^J1695*(1+OFFSET($L$49,D1695,0))^K1695*(1+OFFSET($M$49,D1695,0))^L1695</f>
        <v>473.509040215028</v>
      </c>
      <c r="N1695" s="67">
        <f ca="1">MAX(MAX($N$62:N1694),OFFSET($C$61,MATCH(M1695*1.07,$M$62:$M$2061,1),0)-C1695)</f>
        <v>54360</v>
      </c>
    </row>
    <row r="1696" spans="2:14">
      <c r="B1696" s="67">
        <v>1635</v>
      </c>
      <c r="C1696" s="67">
        <f t="shared" si="154"/>
        <v>588600</v>
      </c>
      <c r="D1696" s="67">
        <f t="shared" si="157"/>
        <v>5</v>
      </c>
      <c r="E1696" s="67">
        <f ca="1" t="shared" si="158"/>
        <v>1665</v>
      </c>
      <c r="F1696" s="67">
        <f ca="1" t="shared" si="155"/>
        <v>0</v>
      </c>
      <c r="G1696" s="67">
        <f ca="1" t="shared" si="156"/>
        <v>0</v>
      </c>
      <c r="H1696" s="67" cm="1">
        <f ca="1" t="array" ref="H1696">MIN(30-SUM(I1696:L1696),_xlfn.XLOOKUP($D1696&amp;"_"&amp;H$61,$B$23:$B$45&amp;"_"&amp;$C$23:$C$45,$D$23:$D$45)*$E1696,18)</f>
        <v>9.28750865051903</v>
      </c>
      <c r="I1696" s="67" cm="1">
        <f ca="1" t="array" ref="I1696">MIN(30-SUM(J1696:L1696),6-L1696,_xlfn.XLOOKUP($D1696&amp;"_"&amp;I$61,$B$23:$B$45&amp;"_"&amp;$C$23:$C$45,$D$23:$D$45)*$E1696)</f>
        <v>0</v>
      </c>
      <c r="J1696" s="67" cm="1">
        <f ca="1" t="array" ref="J1696">MIN(8,_xlfn.XLOOKUP($D1696&amp;"_"&amp;J$61,$B$23:$B$45&amp;"_"&amp;$C$23:$C$45,$D$23:$D$45)*$E1696)</f>
        <v>8</v>
      </c>
      <c r="K1696" s="67" cm="1">
        <f ca="1" t="array" ref="K1696">MIN(18,_xlfn.XLOOKUP($D1696&amp;"_"&amp;K$61,$B$23:$B$45&amp;"_"&amp;$C$23:$C$45,$D$23:$D$45)*$E1696)</f>
        <v>6.71249134948097</v>
      </c>
      <c r="L1696" s="67" cm="1">
        <f ca="1" t="array" ref="L1696">MIN(6,_xlfn.XLOOKUP($D1696&amp;"_"&amp;L$61,$B$23:$B$45&amp;"_"&amp;$C$23:$C$45,$D$23:$D$45)*$E1696)</f>
        <v>6</v>
      </c>
      <c r="M1696" s="67" cm="1">
        <f ca="1" t="array" ref="M1696">(1+SUMPRODUCT(G1696:H1696,OFFSET($H$49:$I$49,D1696,0)))*(1+OFFSET($J$49,D1696,0))^I1696*(1+OFFSET($K$49,D1696,0))^J1696*(1+OFFSET($L$49,D1696,0))^K1696*(1+OFFSET($M$49,D1696,0))^L1696</f>
        <v>473.723542241866</v>
      </c>
      <c r="N1696" s="67">
        <f ca="1">MAX(MAX($N$62:N1695),OFFSET($C$61,MATCH(M1696*1.07,$M$62:$M$2061,1),0)-C1696)</f>
        <v>54360</v>
      </c>
    </row>
    <row r="1697" spans="2:14">
      <c r="B1697" s="67">
        <v>1636</v>
      </c>
      <c r="C1697" s="67">
        <f t="shared" si="154"/>
        <v>588960</v>
      </c>
      <c r="D1697" s="67">
        <f t="shared" si="157"/>
        <v>5</v>
      </c>
      <c r="E1697" s="67">
        <f ca="1" t="shared" si="158"/>
        <v>1666</v>
      </c>
      <c r="F1697" s="67">
        <f ca="1" t="shared" si="155"/>
        <v>0</v>
      </c>
      <c r="G1697" s="67">
        <f ca="1" t="shared" si="156"/>
        <v>0</v>
      </c>
      <c r="H1697" s="67" cm="1">
        <f ca="1" t="array" ref="H1697">MIN(30-SUM(I1697:L1697),_xlfn.XLOOKUP($D1697&amp;"_"&amp;H$61,$B$23:$B$45&amp;"_"&amp;$C$23:$C$45,$D$23:$D$45)*$E1697,18)</f>
        <v>9.283477124183</v>
      </c>
      <c r="I1697" s="67" cm="1">
        <f ca="1" t="array" ref="I1697">MIN(30-SUM(J1697:L1697),6-L1697,_xlfn.XLOOKUP($D1697&amp;"_"&amp;I$61,$B$23:$B$45&amp;"_"&amp;$C$23:$C$45,$D$23:$D$45)*$E1697)</f>
        <v>0</v>
      </c>
      <c r="J1697" s="67" cm="1">
        <f ca="1" t="array" ref="J1697">MIN(8,_xlfn.XLOOKUP($D1697&amp;"_"&amp;J$61,$B$23:$B$45&amp;"_"&amp;$C$23:$C$45,$D$23:$D$45)*$E1697)</f>
        <v>8</v>
      </c>
      <c r="K1697" s="67" cm="1">
        <f ca="1" t="array" ref="K1697">MIN(18,_xlfn.XLOOKUP($D1697&amp;"_"&amp;K$61,$B$23:$B$45&amp;"_"&amp;$C$23:$C$45,$D$23:$D$45)*$E1697)</f>
        <v>6.716522875817</v>
      </c>
      <c r="L1697" s="67" cm="1">
        <f ca="1" t="array" ref="L1697">MIN(6,_xlfn.XLOOKUP($D1697&amp;"_"&amp;L$61,$B$23:$B$45&amp;"_"&amp;$C$23:$C$45,$D$23:$D$45)*$E1697)</f>
        <v>6</v>
      </c>
      <c r="M1697" s="67" cm="1">
        <f ca="1" t="array" ref="M1697">(1+SUMPRODUCT(G1697:H1697,OFFSET($H$49:$I$49,D1697,0)))*(1+OFFSET($J$49,D1697,0))^I1697*(1+OFFSET($K$49,D1697,0))^J1697*(1+OFFSET($L$49,D1697,0))^K1697*(1+OFFSET($M$49,D1697,0))^L1697</f>
        <v>473.938103703937</v>
      </c>
      <c r="N1697" s="67">
        <f ca="1">MAX(MAX($N$62:N1696),OFFSET($C$61,MATCH(M1697*1.07,$M$62:$M$2061,1),0)-C1697)</f>
        <v>54360</v>
      </c>
    </row>
    <row r="1698" spans="2:14">
      <c r="B1698" s="67">
        <v>1637</v>
      </c>
      <c r="C1698" s="67">
        <f t="shared" si="154"/>
        <v>589320</v>
      </c>
      <c r="D1698" s="67">
        <f t="shared" si="157"/>
        <v>5</v>
      </c>
      <c r="E1698" s="67">
        <f ca="1" t="shared" si="158"/>
        <v>1667</v>
      </c>
      <c r="F1698" s="67">
        <f ca="1" t="shared" si="155"/>
        <v>0</v>
      </c>
      <c r="G1698" s="67">
        <f ca="1" t="shared" si="156"/>
        <v>0</v>
      </c>
      <c r="H1698" s="67" cm="1">
        <f ca="1" t="array" ref="H1698">MIN(30-SUM(I1698:L1698),_xlfn.XLOOKUP($D1698&amp;"_"&amp;H$61,$B$23:$B$45&amp;"_"&amp;$C$23:$C$45,$D$23:$D$45)*$E1698,18)</f>
        <v>9.27944559784698</v>
      </c>
      <c r="I1698" s="67" cm="1">
        <f ca="1" t="array" ref="I1698">MIN(30-SUM(J1698:L1698),6-L1698,_xlfn.XLOOKUP($D1698&amp;"_"&amp;I$61,$B$23:$B$45&amp;"_"&amp;$C$23:$C$45,$D$23:$D$45)*$E1698)</f>
        <v>0</v>
      </c>
      <c r="J1698" s="67" cm="1">
        <f ca="1" t="array" ref="J1698">MIN(8,_xlfn.XLOOKUP($D1698&amp;"_"&amp;J$61,$B$23:$B$45&amp;"_"&amp;$C$23:$C$45,$D$23:$D$45)*$E1698)</f>
        <v>8</v>
      </c>
      <c r="K1698" s="67" cm="1">
        <f ca="1" t="array" ref="K1698">MIN(18,_xlfn.XLOOKUP($D1698&amp;"_"&amp;K$61,$B$23:$B$45&amp;"_"&amp;$C$23:$C$45,$D$23:$D$45)*$E1698)</f>
        <v>6.72055440215302</v>
      </c>
      <c r="L1698" s="67" cm="1">
        <f ca="1" t="array" ref="L1698">MIN(6,_xlfn.XLOOKUP($D1698&amp;"_"&amp;L$61,$B$23:$B$45&amp;"_"&amp;$C$23:$C$45,$D$23:$D$45)*$E1698)</f>
        <v>6</v>
      </c>
      <c r="M1698" s="67" cm="1">
        <f ca="1" t="array" ref="M1698">(1+SUMPRODUCT(G1698:H1698,OFFSET($H$49:$I$49,D1698,0)))*(1+OFFSET($J$49,D1698,0))^I1698*(1+OFFSET($K$49,D1698,0))^J1698*(1+OFFSET($L$49,D1698,0))^K1698*(1+OFFSET($M$49,D1698,0))^L1698</f>
        <v>474.152724572672</v>
      </c>
      <c r="N1698" s="67">
        <f ca="1">MAX(MAX($N$62:N1697),OFFSET($C$61,MATCH(M1698*1.07,$M$62:$M$2061,1),0)-C1698)</f>
        <v>54360</v>
      </c>
    </row>
    <row r="1699" spans="2:14">
      <c r="B1699" s="67">
        <v>1638</v>
      </c>
      <c r="C1699" s="67">
        <f t="shared" si="154"/>
        <v>589680</v>
      </c>
      <c r="D1699" s="67">
        <f t="shared" si="157"/>
        <v>5</v>
      </c>
      <c r="E1699" s="67">
        <f ca="1" t="shared" si="158"/>
        <v>1668</v>
      </c>
      <c r="F1699" s="67">
        <f ca="1" t="shared" si="155"/>
        <v>0</v>
      </c>
      <c r="G1699" s="67">
        <f ca="1" t="shared" si="156"/>
        <v>0</v>
      </c>
      <c r="H1699" s="67" cm="1">
        <f ca="1" t="array" ref="H1699">MIN(30-SUM(I1699:L1699),_xlfn.XLOOKUP($D1699&amp;"_"&amp;H$61,$B$23:$B$45&amp;"_"&amp;$C$23:$C$45,$D$23:$D$45)*$E1699,18)</f>
        <v>9.27541407151095</v>
      </c>
      <c r="I1699" s="67" cm="1">
        <f ca="1" t="array" ref="I1699">MIN(30-SUM(J1699:L1699),6-L1699,_xlfn.XLOOKUP($D1699&amp;"_"&amp;I$61,$B$23:$B$45&amp;"_"&amp;$C$23:$C$45,$D$23:$D$45)*$E1699)</f>
        <v>0</v>
      </c>
      <c r="J1699" s="67" cm="1">
        <f ca="1" t="array" ref="J1699">MIN(8,_xlfn.XLOOKUP($D1699&amp;"_"&amp;J$61,$B$23:$B$45&amp;"_"&amp;$C$23:$C$45,$D$23:$D$45)*$E1699)</f>
        <v>8</v>
      </c>
      <c r="K1699" s="67" cm="1">
        <f ca="1" t="array" ref="K1699">MIN(18,_xlfn.XLOOKUP($D1699&amp;"_"&amp;K$61,$B$23:$B$45&amp;"_"&amp;$C$23:$C$45,$D$23:$D$45)*$E1699)</f>
        <v>6.72458592848905</v>
      </c>
      <c r="L1699" s="67" cm="1">
        <f ca="1" t="array" ref="L1699">MIN(6,_xlfn.XLOOKUP($D1699&amp;"_"&amp;L$61,$B$23:$B$45&amp;"_"&amp;$C$23:$C$45,$D$23:$D$45)*$E1699)</f>
        <v>6</v>
      </c>
      <c r="M1699" s="67" cm="1">
        <f ca="1" t="array" ref="M1699">(1+SUMPRODUCT(G1699:H1699,OFFSET($H$49:$I$49,D1699,0)))*(1+OFFSET($J$49,D1699,0))^I1699*(1+OFFSET($K$49,D1699,0))^J1699*(1+OFFSET($L$49,D1699,0))^K1699*(1+OFFSET($M$49,D1699,0))^L1699</f>
        <v>474.367404819428</v>
      </c>
      <c r="N1699" s="67">
        <f ca="1">MAX(MAX($N$62:N1698),OFFSET($C$61,MATCH(M1699*1.07,$M$62:$M$2061,1),0)-C1699)</f>
        <v>54360</v>
      </c>
    </row>
    <row r="1700" spans="2:14">
      <c r="B1700" s="67">
        <v>1639</v>
      </c>
      <c r="C1700" s="67">
        <f t="shared" si="154"/>
        <v>590040</v>
      </c>
      <c r="D1700" s="67">
        <f t="shared" si="157"/>
        <v>5</v>
      </c>
      <c r="E1700" s="67">
        <f ca="1" t="shared" si="158"/>
        <v>1669</v>
      </c>
      <c r="F1700" s="67">
        <f ca="1" t="shared" si="155"/>
        <v>0</v>
      </c>
      <c r="G1700" s="67">
        <f ca="1" t="shared" si="156"/>
        <v>0</v>
      </c>
      <c r="H1700" s="67" cm="1">
        <f ca="1" t="array" ref="H1700">MIN(30-SUM(I1700:L1700),_xlfn.XLOOKUP($D1700&amp;"_"&amp;H$61,$B$23:$B$45&amp;"_"&amp;$C$23:$C$45,$D$23:$D$45)*$E1700,18)</f>
        <v>9.27138254517493</v>
      </c>
      <c r="I1700" s="67" cm="1">
        <f ca="1" t="array" ref="I1700">MIN(30-SUM(J1700:L1700),6-L1700,_xlfn.XLOOKUP($D1700&amp;"_"&amp;I$61,$B$23:$B$45&amp;"_"&amp;$C$23:$C$45,$D$23:$D$45)*$E1700)</f>
        <v>0</v>
      </c>
      <c r="J1700" s="67" cm="1">
        <f ca="1" t="array" ref="J1700">MIN(8,_xlfn.XLOOKUP($D1700&amp;"_"&amp;J$61,$B$23:$B$45&amp;"_"&amp;$C$23:$C$45,$D$23:$D$45)*$E1700)</f>
        <v>8</v>
      </c>
      <c r="K1700" s="67" cm="1">
        <f ca="1" t="array" ref="K1700">MIN(18,_xlfn.XLOOKUP($D1700&amp;"_"&amp;K$61,$B$23:$B$45&amp;"_"&amp;$C$23:$C$45,$D$23:$D$45)*$E1700)</f>
        <v>6.72861745482507</v>
      </c>
      <c r="L1700" s="67" cm="1">
        <f ca="1" t="array" ref="L1700">MIN(6,_xlfn.XLOOKUP($D1700&amp;"_"&amp;L$61,$B$23:$B$45&amp;"_"&amp;$C$23:$C$45,$D$23:$D$45)*$E1700)</f>
        <v>6</v>
      </c>
      <c r="M1700" s="67" cm="1">
        <f ca="1" t="array" ref="M1700">(1+SUMPRODUCT(G1700:H1700,OFFSET($H$49:$I$49,D1700,0)))*(1+OFFSET($J$49,D1700,0))^I1700*(1+OFFSET($K$49,D1700,0))^J1700*(1+OFFSET($L$49,D1700,0))^K1700*(1+OFFSET($M$49,D1700,0))^L1700</f>
        <v>474.582144415486</v>
      </c>
      <c r="N1700" s="67">
        <f ca="1">MAX(MAX($N$62:N1699),OFFSET($C$61,MATCH(M1700*1.07,$M$62:$M$2061,1),0)-C1700)</f>
        <v>54360</v>
      </c>
    </row>
    <row r="1701" spans="2:14">
      <c r="B1701" s="67">
        <v>1640</v>
      </c>
      <c r="C1701" s="67">
        <f t="shared" si="154"/>
        <v>590400</v>
      </c>
      <c r="D1701" s="67">
        <f t="shared" si="157"/>
        <v>5</v>
      </c>
      <c r="E1701" s="67">
        <f ca="1" t="shared" si="158"/>
        <v>1670</v>
      </c>
      <c r="F1701" s="67">
        <f ca="1" t="shared" si="155"/>
        <v>0</v>
      </c>
      <c r="G1701" s="67">
        <f ca="1" t="shared" si="156"/>
        <v>0</v>
      </c>
      <c r="H1701" s="67" cm="1">
        <f ca="1" t="array" ref="H1701">MIN(30-SUM(I1701:L1701),_xlfn.XLOOKUP($D1701&amp;"_"&amp;H$61,$B$23:$B$45&amp;"_"&amp;$C$23:$C$45,$D$23:$D$45)*$E1701,18)</f>
        <v>9.2673510188389</v>
      </c>
      <c r="I1701" s="67" cm="1">
        <f ca="1" t="array" ref="I1701">MIN(30-SUM(J1701:L1701),6-L1701,_xlfn.XLOOKUP($D1701&amp;"_"&amp;I$61,$B$23:$B$45&amp;"_"&amp;$C$23:$C$45,$D$23:$D$45)*$E1701)</f>
        <v>0</v>
      </c>
      <c r="J1701" s="67" cm="1">
        <f ca="1" t="array" ref="J1701">MIN(8,_xlfn.XLOOKUP($D1701&amp;"_"&amp;J$61,$B$23:$B$45&amp;"_"&amp;$C$23:$C$45,$D$23:$D$45)*$E1701)</f>
        <v>8</v>
      </c>
      <c r="K1701" s="67" cm="1">
        <f ca="1" t="array" ref="K1701">MIN(18,_xlfn.XLOOKUP($D1701&amp;"_"&amp;K$61,$B$23:$B$45&amp;"_"&amp;$C$23:$C$45,$D$23:$D$45)*$E1701)</f>
        <v>6.7326489811611</v>
      </c>
      <c r="L1701" s="67" cm="1">
        <f ca="1" t="array" ref="L1701">MIN(6,_xlfn.XLOOKUP($D1701&amp;"_"&amp;L$61,$B$23:$B$45&amp;"_"&amp;$C$23:$C$45,$D$23:$D$45)*$E1701)</f>
        <v>6</v>
      </c>
      <c r="M1701" s="67" cm="1">
        <f ca="1" t="array" ref="M1701">(1+SUMPRODUCT(G1701:H1701,OFFSET($H$49:$I$49,D1701,0)))*(1+OFFSET($J$49,D1701,0))^I1701*(1+OFFSET($K$49,D1701,0))^J1701*(1+OFFSET($L$49,D1701,0))^K1701*(1+OFFSET($M$49,D1701,0))^L1701</f>
        <v>474.796943332054</v>
      </c>
      <c r="N1701" s="67">
        <f ca="1">MAX(MAX($N$62:N1700),OFFSET($C$61,MATCH(M1701*1.07,$M$62:$M$2061,1),0)-C1701)</f>
        <v>54360</v>
      </c>
    </row>
    <row r="1702" spans="2:14">
      <c r="B1702" s="67">
        <v>1641</v>
      </c>
      <c r="C1702" s="67">
        <f t="shared" si="154"/>
        <v>590760</v>
      </c>
      <c r="D1702" s="67">
        <f t="shared" si="157"/>
        <v>5</v>
      </c>
      <c r="E1702" s="67">
        <f ca="1" t="shared" si="158"/>
        <v>1671</v>
      </c>
      <c r="F1702" s="67">
        <f ca="1" t="shared" si="155"/>
        <v>0</v>
      </c>
      <c r="G1702" s="67">
        <f ca="1" t="shared" si="156"/>
        <v>0</v>
      </c>
      <c r="H1702" s="67" cm="1">
        <f ca="1" t="array" ref="H1702">MIN(30-SUM(I1702:L1702),_xlfn.XLOOKUP($D1702&amp;"_"&amp;H$61,$B$23:$B$45&amp;"_"&amp;$C$23:$C$45,$D$23:$D$45)*$E1702,18)</f>
        <v>9.26331949250288</v>
      </c>
      <c r="I1702" s="67" cm="1">
        <f ca="1" t="array" ref="I1702">MIN(30-SUM(J1702:L1702),6-L1702,_xlfn.XLOOKUP($D1702&amp;"_"&amp;I$61,$B$23:$B$45&amp;"_"&amp;$C$23:$C$45,$D$23:$D$45)*$E1702)</f>
        <v>0</v>
      </c>
      <c r="J1702" s="67" cm="1">
        <f ca="1" t="array" ref="J1702">MIN(8,_xlfn.XLOOKUP($D1702&amp;"_"&amp;J$61,$B$23:$B$45&amp;"_"&amp;$C$23:$C$45,$D$23:$D$45)*$E1702)</f>
        <v>8</v>
      </c>
      <c r="K1702" s="67" cm="1">
        <f ca="1" t="array" ref="K1702">MIN(18,_xlfn.XLOOKUP($D1702&amp;"_"&amp;K$61,$B$23:$B$45&amp;"_"&amp;$C$23:$C$45,$D$23:$D$45)*$E1702)</f>
        <v>6.73668050749712</v>
      </c>
      <c r="L1702" s="67" cm="1">
        <f ca="1" t="array" ref="L1702">MIN(6,_xlfn.XLOOKUP($D1702&amp;"_"&amp;L$61,$B$23:$B$45&amp;"_"&amp;$C$23:$C$45,$D$23:$D$45)*$E1702)</f>
        <v>6</v>
      </c>
      <c r="M1702" s="67" cm="1">
        <f ca="1" t="array" ref="M1702">(1+SUMPRODUCT(G1702:H1702,OFFSET($H$49:$I$49,D1702,0)))*(1+OFFSET($J$49,D1702,0))^I1702*(1+OFFSET($K$49,D1702,0))^J1702*(1+OFFSET($L$49,D1702,0))^K1702*(1+OFFSET($M$49,D1702,0))^L1702</f>
        <v>475.011801540267</v>
      </c>
      <c r="N1702" s="67">
        <f ca="1">MAX(MAX($N$62:N1701),OFFSET($C$61,MATCH(M1702*1.07,$M$62:$M$2061,1),0)-C1702)</f>
        <v>54360</v>
      </c>
    </row>
    <row r="1703" spans="2:14">
      <c r="B1703" s="67">
        <v>1642</v>
      </c>
      <c r="C1703" s="67">
        <f t="shared" si="154"/>
        <v>591120</v>
      </c>
      <c r="D1703" s="67">
        <f t="shared" si="157"/>
        <v>5</v>
      </c>
      <c r="E1703" s="67">
        <f ca="1" t="shared" si="158"/>
        <v>1672</v>
      </c>
      <c r="F1703" s="67">
        <f ca="1" t="shared" si="155"/>
        <v>0</v>
      </c>
      <c r="G1703" s="67">
        <f ca="1" t="shared" si="156"/>
        <v>0</v>
      </c>
      <c r="H1703" s="67" cm="1">
        <f ca="1" t="array" ref="H1703">MIN(30-SUM(I1703:L1703),_xlfn.XLOOKUP($D1703&amp;"_"&amp;H$61,$B$23:$B$45&amp;"_"&amp;$C$23:$C$45,$D$23:$D$45)*$E1703,18)</f>
        <v>9.25928796616685</v>
      </c>
      <c r="I1703" s="67" cm="1">
        <f ca="1" t="array" ref="I1703">MIN(30-SUM(J1703:L1703),6-L1703,_xlfn.XLOOKUP($D1703&amp;"_"&amp;I$61,$B$23:$B$45&amp;"_"&amp;$C$23:$C$45,$D$23:$D$45)*$E1703)</f>
        <v>0</v>
      </c>
      <c r="J1703" s="67" cm="1">
        <f ca="1" t="array" ref="J1703">MIN(8,_xlfn.XLOOKUP($D1703&amp;"_"&amp;J$61,$B$23:$B$45&amp;"_"&amp;$C$23:$C$45,$D$23:$D$45)*$E1703)</f>
        <v>8</v>
      </c>
      <c r="K1703" s="67" cm="1">
        <f ca="1" t="array" ref="K1703">MIN(18,_xlfn.XLOOKUP($D1703&amp;"_"&amp;K$61,$B$23:$B$45&amp;"_"&amp;$C$23:$C$45,$D$23:$D$45)*$E1703)</f>
        <v>6.74071203383315</v>
      </c>
      <c r="L1703" s="67" cm="1">
        <f ca="1" t="array" ref="L1703">MIN(6,_xlfn.XLOOKUP($D1703&amp;"_"&amp;L$61,$B$23:$B$45&amp;"_"&amp;$C$23:$C$45,$D$23:$D$45)*$E1703)</f>
        <v>6</v>
      </c>
      <c r="M1703" s="67" cm="1">
        <f ca="1" t="array" ref="M1703">(1+SUMPRODUCT(G1703:H1703,OFFSET($H$49:$I$49,D1703,0)))*(1+OFFSET($J$49,D1703,0))^I1703*(1+OFFSET($K$49,D1703,0))^J1703*(1+OFFSET($L$49,D1703,0))^K1703*(1+OFFSET($M$49,D1703,0))^L1703</f>
        <v>475.226719011182</v>
      </c>
      <c r="N1703" s="67">
        <f ca="1">MAX(MAX($N$62:N1702),OFFSET($C$61,MATCH(M1703*1.07,$M$62:$M$2061,1),0)-C1703)</f>
        <v>54360</v>
      </c>
    </row>
    <row r="1704" spans="2:14">
      <c r="B1704" s="67">
        <v>1643</v>
      </c>
      <c r="C1704" s="67">
        <f t="shared" si="154"/>
        <v>591480</v>
      </c>
      <c r="D1704" s="67">
        <f t="shared" si="157"/>
        <v>5</v>
      </c>
      <c r="E1704" s="67">
        <f ca="1" t="shared" si="158"/>
        <v>1673</v>
      </c>
      <c r="F1704" s="67">
        <f ca="1" t="shared" si="155"/>
        <v>0</v>
      </c>
      <c r="G1704" s="67">
        <f ca="1" t="shared" si="156"/>
        <v>0</v>
      </c>
      <c r="H1704" s="67" cm="1">
        <f ca="1" t="array" ref="H1704">MIN(30-SUM(I1704:L1704),_xlfn.XLOOKUP($D1704&amp;"_"&amp;H$61,$B$23:$B$45&amp;"_"&amp;$C$23:$C$45,$D$23:$D$45)*$E1704,18)</f>
        <v>9.25525643983083</v>
      </c>
      <c r="I1704" s="67" cm="1">
        <f ca="1" t="array" ref="I1704">MIN(30-SUM(J1704:L1704),6-L1704,_xlfn.XLOOKUP($D1704&amp;"_"&amp;I$61,$B$23:$B$45&amp;"_"&amp;$C$23:$C$45,$D$23:$D$45)*$E1704)</f>
        <v>0</v>
      </c>
      <c r="J1704" s="67" cm="1">
        <f ca="1" t="array" ref="J1704">MIN(8,_xlfn.XLOOKUP($D1704&amp;"_"&amp;J$61,$B$23:$B$45&amp;"_"&amp;$C$23:$C$45,$D$23:$D$45)*$E1704)</f>
        <v>8</v>
      </c>
      <c r="K1704" s="67" cm="1">
        <f ca="1" t="array" ref="K1704">MIN(18,_xlfn.XLOOKUP($D1704&amp;"_"&amp;K$61,$B$23:$B$45&amp;"_"&amp;$C$23:$C$45,$D$23:$D$45)*$E1704)</f>
        <v>6.74474356016917</v>
      </c>
      <c r="L1704" s="67" cm="1">
        <f ca="1" t="array" ref="L1704">MIN(6,_xlfn.XLOOKUP($D1704&amp;"_"&amp;L$61,$B$23:$B$45&amp;"_"&amp;$C$23:$C$45,$D$23:$D$45)*$E1704)</f>
        <v>6</v>
      </c>
      <c r="M1704" s="67" cm="1">
        <f ca="1" t="array" ref="M1704">(1+SUMPRODUCT(G1704:H1704,OFFSET($H$49:$I$49,D1704,0)))*(1+OFFSET($J$49,D1704,0))^I1704*(1+OFFSET($K$49,D1704,0))^J1704*(1+OFFSET($L$49,D1704,0))^K1704*(1+OFFSET($M$49,D1704,0))^L1704</f>
        <v>475.441695715784</v>
      </c>
      <c r="N1704" s="67">
        <f ca="1">MAX(MAX($N$62:N1703),OFFSET($C$61,MATCH(M1704*1.07,$M$62:$M$2061,1),0)-C1704)</f>
        <v>54360</v>
      </c>
    </row>
    <row r="1705" spans="2:14">
      <c r="B1705" s="67">
        <v>1644</v>
      </c>
      <c r="C1705" s="67">
        <f t="shared" si="154"/>
        <v>591840</v>
      </c>
      <c r="D1705" s="67">
        <f t="shared" si="157"/>
        <v>5</v>
      </c>
      <c r="E1705" s="67">
        <f ca="1" t="shared" si="158"/>
        <v>1674</v>
      </c>
      <c r="F1705" s="67">
        <f ca="1" t="shared" si="155"/>
        <v>0</v>
      </c>
      <c r="G1705" s="67">
        <f ca="1" t="shared" si="156"/>
        <v>0</v>
      </c>
      <c r="H1705" s="67" cm="1">
        <f ca="1" t="array" ref="H1705">MIN(30-SUM(I1705:L1705),_xlfn.XLOOKUP($D1705&amp;"_"&amp;H$61,$B$23:$B$45&amp;"_"&amp;$C$23:$C$45,$D$23:$D$45)*$E1705,18)</f>
        <v>9.2512249134948</v>
      </c>
      <c r="I1705" s="67" cm="1">
        <f ca="1" t="array" ref="I1705">MIN(30-SUM(J1705:L1705),6-L1705,_xlfn.XLOOKUP($D1705&amp;"_"&amp;I$61,$B$23:$B$45&amp;"_"&amp;$C$23:$C$45,$D$23:$D$45)*$E1705)</f>
        <v>0</v>
      </c>
      <c r="J1705" s="67" cm="1">
        <f ca="1" t="array" ref="J1705">MIN(8,_xlfn.XLOOKUP($D1705&amp;"_"&amp;J$61,$B$23:$B$45&amp;"_"&amp;$C$23:$C$45,$D$23:$D$45)*$E1705)</f>
        <v>8</v>
      </c>
      <c r="K1705" s="67" cm="1">
        <f ca="1" t="array" ref="K1705">MIN(18,_xlfn.XLOOKUP($D1705&amp;"_"&amp;K$61,$B$23:$B$45&amp;"_"&amp;$C$23:$C$45,$D$23:$D$45)*$E1705)</f>
        <v>6.7487750865052</v>
      </c>
      <c r="L1705" s="67" cm="1">
        <f ca="1" t="array" ref="L1705">MIN(6,_xlfn.XLOOKUP($D1705&amp;"_"&amp;L$61,$B$23:$B$45&amp;"_"&amp;$C$23:$C$45,$D$23:$D$45)*$E1705)</f>
        <v>6</v>
      </c>
      <c r="M1705" s="67" cm="1">
        <f ca="1" t="array" ref="M1705">(1+SUMPRODUCT(G1705:H1705,OFFSET($H$49:$I$49,D1705,0)))*(1+OFFSET($J$49,D1705,0))^I1705*(1+OFFSET($K$49,D1705,0))^J1705*(1+OFFSET($L$49,D1705,0))^K1705*(1+OFFSET($M$49,D1705,0))^L1705</f>
        <v>475.656731624984</v>
      </c>
      <c r="N1705" s="67">
        <f ca="1">MAX(MAX($N$62:N1704),OFFSET($C$61,MATCH(M1705*1.07,$M$62:$M$2061,1),0)-C1705)</f>
        <v>54360</v>
      </c>
    </row>
    <row r="1706" spans="2:14">
      <c r="B1706" s="67">
        <v>1645</v>
      </c>
      <c r="C1706" s="67">
        <f t="shared" si="154"/>
        <v>592200</v>
      </c>
      <c r="D1706" s="67">
        <f t="shared" si="157"/>
        <v>5</v>
      </c>
      <c r="E1706" s="67">
        <f ca="1" t="shared" si="158"/>
        <v>1675</v>
      </c>
      <c r="F1706" s="67">
        <f ca="1" t="shared" si="155"/>
        <v>0</v>
      </c>
      <c r="G1706" s="67">
        <f ca="1" t="shared" si="156"/>
        <v>0</v>
      </c>
      <c r="H1706" s="67" cm="1">
        <f ca="1" t="array" ref="H1706">MIN(30-SUM(I1706:L1706),_xlfn.XLOOKUP($D1706&amp;"_"&amp;H$61,$B$23:$B$45&amp;"_"&amp;$C$23:$C$45,$D$23:$D$45)*$E1706,18)</f>
        <v>9.24719338715878</v>
      </c>
      <c r="I1706" s="67" cm="1">
        <f ca="1" t="array" ref="I1706">MIN(30-SUM(J1706:L1706),6-L1706,_xlfn.XLOOKUP($D1706&amp;"_"&amp;I$61,$B$23:$B$45&amp;"_"&amp;$C$23:$C$45,$D$23:$D$45)*$E1706)</f>
        <v>0</v>
      </c>
      <c r="J1706" s="67" cm="1">
        <f ca="1" t="array" ref="J1706">MIN(8,_xlfn.XLOOKUP($D1706&amp;"_"&amp;J$61,$B$23:$B$45&amp;"_"&amp;$C$23:$C$45,$D$23:$D$45)*$E1706)</f>
        <v>8</v>
      </c>
      <c r="K1706" s="67" cm="1">
        <f ca="1" t="array" ref="K1706">MIN(18,_xlfn.XLOOKUP($D1706&amp;"_"&amp;K$61,$B$23:$B$45&amp;"_"&amp;$C$23:$C$45,$D$23:$D$45)*$E1706)</f>
        <v>6.75280661284122</v>
      </c>
      <c r="L1706" s="67" cm="1">
        <f ca="1" t="array" ref="L1706">MIN(6,_xlfn.XLOOKUP($D1706&amp;"_"&amp;L$61,$B$23:$B$45&amp;"_"&amp;$C$23:$C$45,$D$23:$D$45)*$E1706)</f>
        <v>6</v>
      </c>
      <c r="M1706" s="67" cm="1">
        <f ca="1" t="array" ref="M1706">(1+SUMPRODUCT(G1706:H1706,OFFSET($H$49:$I$49,D1706,0)))*(1+OFFSET($J$49,D1706,0))^I1706*(1+OFFSET($K$49,D1706,0))^J1706*(1+OFFSET($L$49,D1706,0))^K1706*(1+OFFSET($M$49,D1706,0))^L1706</f>
        <v>475.871826709615</v>
      </c>
      <c r="N1706" s="67">
        <f ca="1">MAX(MAX($N$62:N1705),OFFSET($C$61,MATCH(M1706*1.07,$M$62:$M$2061,1),0)-C1706)</f>
        <v>54360</v>
      </c>
    </row>
    <row r="1707" spans="2:14">
      <c r="B1707" s="67">
        <v>1646</v>
      </c>
      <c r="C1707" s="67">
        <f t="shared" si="154"/>
        <v>592560</v>
      </c>
      <c r="D1707" s="67">
        <f t="shared" si="157"/>
        <v>5</v>
      </c>
      <c r="E1707" s="67">
        <f ca="1" t="shared" si="158"/>
        <v>1676</v>
      </c>
      <c r="F1707" s="67">
        <f ca="1" t="shared" si="155"/>
        <v>0</v>
      </c>
      <c r="G1707" s="67">
        <f ca="1" t="shared" si="156"/>
        <v>0</v>
      </c>
      <c r="H1707" s="67" cm="1">
        <f ca="1" t="array" ref="H1707">MIN(30-SUM(I1707:L1707),_xlfn.XLOOKUP($D1707&amp;"_"&amp;H$61,$B$23:$B$45&amp;"_"&amp;$C$23:$C$45,$D$23:$D$45)*$E1707,18)</f>
        <v>9.24316186082275</v>
      </c>
      <c r="I1707" s="67" cm="1">
        <f ca="1" t="array" ref="I1707">MIN(30-SUM(J1707:L1707),6-L1707,_xlfn.XLOOKUP($D1707&amp;"_"&amp;I$61,$B$23:$B$45&amp;"_"&amp;$C$23:$C$45,$D$23:$D$45)*$E1707)</f>
        <v>0</v>
      </c>
      <c r="J1707" s="67" cm="1">
        <f ca="1" t="array" ref="J1707">MIN(8,_xlfn.XLOOKUP($D1707&amp;"_"&amp;J$61,$B$23:$B$45&amp;"_"&amp;$C$23:$C$45,$D$23:$D$45)*$E1707)</f>
        <v>8</v>
      </c>
      <c r="K1707" s="67" cm="1">
        <f ca="1" t="array" ref="K1707">MIN(18,_xlfn.XLOOKUP($D1707&amp;"_"&amp;K$61,$B$23:$B$45&amp;"_"&amp;$C$23:$C$45,$D$23:$D$45)*$E1707)</f>
        <v>6.75683813917725</v>
      </c>
      <c r="L1707" s="67" cm="1">
        <f ca="1" t="array" ref="L1707">MIN(6,_xlfn.XLOOKUP($D1707&amp;"_"&amp;L$61,$B$23:$B$45&amp;"_"&amp;$C$23:$C$45,$D$23:$D$45)*$E1707)</f>
        <v>6</v>
      </c>
      <c r="M1707" s="67" cm="1">
        <f ca="1" t="array" ref="M1707">(1+SUMPRODUCT(G1707:H1707,OFFSET($H$49:$I$49,D1707,0)))*(1+OFFSET($J$49,D1707,0))^I1707*(1+OFFSET($K$49,D1707,0))^J1707*(1+OFFSET($L$49,D1707,0))^K1707*(1+OFFSET($M$49,D1707,0))^L1707</f>
        <v>476.086980940438</v>
      </c>
      <c r="N1707" s="67">
        <f ca="1">MAX(MAX($N$62:N1706),OFFSET($C$61,MATCH(M1707*1.07,$M$62:$M$2061,1),0)-C1707)</f>
        <v>54360</v>
      </c>
    </row>
    <row r="1708" spans="2:14">
      <c r="B1708" s="67">
        <v>1647</v>
      </c>
      <c r="C1708" s="67">
        <f t="shared" si="154"/>
        <v>592920</v>
      </c>
      <c r="D1708" s="67">
        <f t="shared" si="157"/>
        <v>5</v>
      </c>
      <c r="E1708" s="67">
        <f ca="1" t="shared" si="158"/>
        <v>1677</v>
      </c>
      <c r="F1708" s="67">
        <f ca="1" t="shared" si="155"/>
        <v>0</v>
      </c>
      <c r="G1708" s="67">
        <f ca="1" t="shared" si="156"/>
        <v>0</v>
      </c>
      <c r="H1708" s="67" cm="1">
        <f ca="1" t="array" ref="H1708">MIN(30-SUM(I1708:L1708),_xlfn.XLOOKUP($D1708&amp;"_"&amp;H$61,$B$23:$B$45&amp;"_"&amp;$C$23:$C$45,$D$23:$D$45)*$E1708,18)</f>
        <v>9.23913033448673</v>
      </c>
      <c r="I1708" s="67" cm="1">
        <f ca="1" t="array" ref="I1708">MIN(30-SUM(J1708:L1708),6-L1708,_xlfn.XLOOKUP($D1708&amp;"_"&amp;I$61,$B$23:$B$45&amp;"_"&amp;$C$23:$C$45,$D$23:$D$45)*$E1708)</f>
        <v>0</v>
      </c>
      <c r="J1708" s="67" cm="1">
        <f ca="1" t="array" ref="J1708">MIN(8,_xlfn.XLOOKUP($D1708&amp;"_"&amp;J$61,$B$23:$B$45&amp;"_"&amp;$C$23:$C$45,$D$23:$D$45)*$E1708)</f>
        <v>8</v>
      </c>
      <c r="K1708" s="67" cm="1">
        <f ca="1" t="array" ref="K1708">MIN(18,_xlfn.XLOOKUP($D1708&amp;"_"&amp;K$61,$B$23:$B$45&amp;"_"&amp;$C$23:$C$45,$D$23:$D$45)*$E1708)</f>
        <v>6.76086966551327</v>
      </c>
      <c r="L1708" s="67" cm="1">
        <f ca="1" t="array" ref="L1708">MIN(6,_xlfn.XLOOKUP($D1708&amp;"_"&amp;L$61,$B$23:$B$45&amp;"_"&amp;$C$23:$C$45,$D$23:$D$45)*$E1708)</f>
        <v>6</v>
      </c>
      <c r="M1708" s="67" cm="1">
        <f ca="1" t="array" ref="M1708">(1+SUMPRODUCT(G1708:H1708,OFFSET($H$49:$I$49,D1708,0)))*(1+OFFSET($J$49,D1708,0))^I1708*(1+OFFSET($K$49,D1708,0))^J1708*(1+OFFSET($L$49,D1708,0))^K1708*(1+OFFSET($M$49,D1708,0))^L1708</f>
        <v>476.302194288137</v>
      </c>
      <c r="N1708" s="67">
        <f ca="1">MAX(MAX($N$62:N1707),OFFSET($C$61,MATCH(M1708*1.07,$M$62:$M$2061,1),0)-C1708)</f>
        <v>54360</v>
      </c>
    </row>
    <row r="1709" spans="2:14">
      <c r="B1709" s="67">
        <v>1648</v>
      </c>
      <c r="C1709" s="67">
        <f t="shared" si="154"/>
        <v>593280</v>
      </c>
      <c r="D1709" s="67">
        <f t="shared" si="157"/>
        <v>5</v>
      </c>
      <c r="E1709" s="67">
        <f ca="1" t="shared" si="158"/>
        <v>1678</v>
      </c>
      <c r="F1709" s="67">
        <f ca="1" t="shared" si="155"/>
        <v>0</v>
      </c>
      <c r="G1709" s="67">
        <f ca="1" t="shared" si="156"/>
        <v>0</v>
      </c>
      <c r="H1709" s="67" cm="1">
        <f ca="1" t="array" ref="H1709">MIN(30-SUM(I1709:L1709),_xlfn.XLOOKUP($D1709&amp;"_"&amp;H$61,$B$23:$B$45&amp;"_"&amp;$C$23:$C$45,$D$23:$D$45)*$E1709,18)</f>
        <v>9.23509880815071</v>
      </c>
      <c r="I1709" s="67" cm="1">
        <f ca="1" t="array" ref="I1709">MIN(30-SUM(J1709:L1709),6-L1709,_xlfn.XLOOKUP($D1709&amp;"_"&amp;I$61,$B$23:$B$45&amp;"_"&amp;$C$23:$C$45,$D$23:$D$45)*$E1709)</f>
        <v>0</v>
      </c>
      <c r="J1709" s="67" cm="1">
        <f ca="1" t="array" ref="J1709">MIN(8,_xlfn.XLOOKUP($D1709&amp;"_"&amp;J$61,$B$23:$B$45&amp;"_"&amp;$C$23:$C$45,$D$23:$D$45)*$E1709)</f>
        <v>8</v>
      </c>
      <c r="K1709" s="67" cm="1">
        <f ca="1" t="array" ref="K1709">MIN(18,_xlfn.XLOOKUP($D1709&amp;"_"&amp;K$61,$B$23:$B$45&amp;"_"&amp;$C$23:$C$45,$D$23:$D$45)*$E1709)</f>
        <v>6.76490119184929</v>
      </c>
      <c r="L1709" s="67" cm="1">
        <f ca="1" t="array" ref="L1709">MIN(6,_xlfn.XLOOKUP($D1709&amp;"_"&amp;L$61,$B$23:$B$45&amp;"_"&amp;$C$23:$C$45,$D$23:$D$45)*$E1709)</f>
        <v>6</v>
      </c>
      <c r="M1709" s="67" cm="1">
        <f ca="1" t="array" ref="M1709">(1+SUMPRODUCT(G1709:H1709,OFFSET($H$49:$I$49,D1709,0)))*(1+OFFSET($J$49,D1709,0))^I1709*(1+OFFSET($K$49,D1709,0))^J1709*(1+OFFSET($L$49,D1709,0))^K1709*(1+OFFSET($M$49,D1709,0))^L1709</f>
        <v>476.517466723322</v>
      </c>
      <c r="N1709" s="67">
        <f ca="1">MAX(MAX($N$62:N1708),OFFSET($C$61,MATCH(M1709*1.07,$M$62:$M$2061,1),0)-C1709)</f>
        <v>54360</v>
      </c>
    </row>
    <row r="1710" spans="2:14">
      <c r="B1710" s="67">
        <v>1649</v>
      </c>
      <c r="C1710" s="67">
        <f t="shared" ref="C1710:C1773" si="159">C1709+360</f>
        <v>593640</v>
      </c>
      <c r="D1710" s="67">
        <f t="shared" si="157"/>
        <v>5</v>
      </c>
      <c r="E1710" s="67">
        <f ca="1" t="shared" si="158"/>
        <v>1679</v>
      </c>
      <c r="F1710" s="67">
        <f ca="1" t="shared" ref="F1710:F1773" si="160">30-SUM(G1710:L1710)</f>
        <v>0</v>
      </c>
      <c r="G1710" s="67">
        <f ca="1" t="shared" ref="G1710:G1773" si="161">30-SUM(H1710:L1710)</f>
        <v>0</v>
      </c>
      <c r="H1710" s="67" cm="1">
        <f ca="1" t="array" ref="H1710">MIN(30-SUM(I1710:L1710),_xlfn.XLOOKUP($D1710&amp;"_"&amp;H$61,$B$23:$B$45&amp;"_"&amp;$C$23:$C$45,$D$23:$D$45)*$E1710,18)</f>
        <v>9.23106728181468</v>
      </c>
      <c r="I1710" s="67" cm="1">
        <f ca="1" t="array" ref="I1710">MIN(30-SUM(J1710:L1710),6-L1710,_xlfn.XLOOKUP($D1710&amp;"_"&amp;I$61,$B$23:$B$45&amp;"_"&amp;$C$23:$C$45,$D$23:$D$45)*$E1710)</f>
        <v>0</v>
      </c>
      <c r="J1710" s="67" cm="1">
        <f ca="1" t="array" ref="J1710">MIN(8,_xlfn.XLOOKUP($D1710&amp;"_"&amp;J$61,$B$23:$B$45&amp;"_"&amp;$C$23:$C$45,$D$23:$D$45)*$E1710)</f>
        <v>8</v>
      </c>
      <c r="K1710" s="67" cm="1">
        <f ca="1" t="array" ref="K1710">MIN(18,_xlfn.XLOOKUP($D1710&amp;"_"&amp;K$61,$B$23:$B$45&amp;"_"&amp;$C$23:$C$45,$D$23:$D$45)*$E1710)</f>
        <v>6.76893271818532</v>
      </c>
      <c r="L1710" s="67" cm="1">
        <f ca="1" t="array" ref="L1710">MIN(6,_xlfn.XLOOKUP($D1710&amp;"_"&amp;L$61,$B$23:$B$45&amp;"_"&amp;$C$23:$C$45,$D$23:$D$45)*$E1710)</f>
        <v>6</v>
      </c>
      <c r="M1710" s="67" cm="1">
        <f ca="1" t="array" ref="M1710">(1+SUMPRODUCT(G1710:H1710,OFFSET($H$49:$I$49,D1710,0)))*(1+OFFSET($J$49,D1710,0))^I1710*(1+OFFSET($K$49,D1710,0))^J1710*(1+OFFSET($L$49,D1710,0))^K1710*(1+OFFSET($M$49,D1710,0))^L1710</f>
        <v>476.732798216528</v>
      </c>
      <c r="N1710" s="67">
        <f ca="1">MAX(MAX($N$62:N1709),OFFSET($C$61,MATCH(M1710*1.07,$M$62:$M$2061,1),0)-C1710)</f>
        <v>54360</v>
      </c>
    </row>
    <row r="1711" spans="2:14">
      <c r="B1711" s="67">
        <v>1650</v>
      </c>
      <c r="C1711" s="67">
        <f t="shared" si="159"/>
        <v>594000</v>
      </c>
      <c r="D1711" s="67">
        <f t="shared" si="157"/>
        <v>5</v>
      </c>
      <c r="E1711" s="67">
        <f ca="1" t="shared" si="158"/>
        <v>1680</v>
      </c>
      <c r="F1711" s="67">
        <f ca="1" t="shared" si="160"/>
        <v>0</v>
      </c>
      <c r="G1711" s="67">
        <f ca="1" t="shared" si="161"/>
        <v>0</v>
      </c>
      <c r="H1711" s="67" cm="1">
        <f ca="1" t="array" ref="H1711">MIN(30-SUM(I1711:L1711),_xlfn.XLOOKUP($D1711&amp;"_"&amp;H$61,$B$23:$B$45&amp;"_"&amp;$C$23:$C$45,$D$23:$D$45)*$E1711,18)</f>
        <v>9.22703575547866</v>
      </c>
      <c r="I1711" s="67" cm="1">
        <f ca="1" t="array" ref="I1711">MIN(30-SUM(J1711:L1711),6-L1711,_xlfn.XLOOKUP($D1711&amp;"_"&amp;I$61,$B$23:$B$45&amp;"_"&amp;$C$23:$C$45,$D$23:$D$45)*$E1711)</f>
        <v>0</v>
      </c>
      <c r="J1711" s="67" cm="1">
        <f ca="1" t="array" ref="J1711">MIN(8,_xlfn.XLOOKUP($D1711&amp;"_"&amp;J$61,$B$23:$B$45&amp;"_"&amp;$C$23:$C$45,$D$23:$D$45)*$E1711)</f>
        <v>8</v>
      </c>
      <c r="K1711" s="67" cm="1">
        <f ca="1" t="array" ref="K1711">MIN(18,_xlfn.XLOOKUP($D1711&amp;"_"&amp;K$61,$B$23:$B$45&amp;"_"&amp;$C$23:$C$45,$D$23:$D$45)*$E1711)</f>
        <v>6.77296424452134</v>
      </c>
      <c r="L1711" s="67" cm="1">
        <f ca="1" t="array" ref="L1711">MIN(6,_xlfn.XLOOKUP($D1711&amp;"_"&amp;L$61,$B$23:$B$45&amp;"_"&amp;$C$23:$C$45,$D$23:$D$45)*$E1711)</f>
        <v>6</v>
      </c>
      <c r="M1711" s="67" cm="1">
        <f ca="1" t="array" ref="M1711">(1+SUMPRODUCT(G1711:H1711,OFFSET($H$49:$I$49,D1711,0)))*(1+OFFSET($J$49,D1711,0))^I1711*(1+OFFSET($K$49,D1711,0))^J1711*(1+OFFSET($L$49,D1711,0))^K1711*(1+OFFSET($M$49,D1711,0))^L1711</f>
        <v>476.948188738215</v>
      </c>
      <c r="N1711" s="67">
        <f ca="1">MAX(MAX($N$62:N1710),OFFSET($C$61,MATCH(M1711*1.07,$M$62:$M$2061,1),0)-C1711)</f>
        <v>54360</v>
      </c>
    </row>
    <row r="1712" spans="2:14">
      <c r="B1712" s="67">
        <v>1651</v>
      </c>
      <c r="C1712" s="67">
        <f t="shared" si="159"/>
        <v>594360</v>
      </c>
      <c r="D1712" s="67">
        <f t="shared" si="157"/>
        <v>5</v>
      </c>
      <c r="E1712" s="67">
        <f ca="1" t="shared" si="158"/>
        <v>1681</v>
      </c>
      <c r="F1712" s="67">
        <f ca="1" t="shared" si="160"/>
        <v>0</v>
      </c>
      <c r="G1712" s="67">
        <f ca="1" t="shared" si="161"/>
        <v>0</v>
      </c>
      <c r="H1712" s="67" cm="1">
        <f ca="1" t="array" ref="H1712">MIN(30-SUM(I1712:L1712),_xlfn.XLOOKUP($D1712&amp;"_"&amp;H$61,$B$23:$B$45&amp;"_"&amp;$C$23:$C$45,$D$23:$D$45)*$E1712,18)</f>
        <v>9.22300422914263</v>
      </c>
      <c r="I1712" s="67" cm="1">
        <f ca="1" t="array" ref="I1712">MIN(30-SUM(J1712:L1712),6-L1712,_xlfn.XLOOKUP($D1712&amp;"_"&amp;I$61,$B$23:$B$45&amp;"_"&amp;$C$23:$C$45,$D$23:$D$45)*$E1712)</f>
        <v>0</v>
      </c>
      <c r="J1712" s="67" cm="1">
        <f ca="1" t="array" ref="J1712">MIN(8,_xlfn.XLOOKUP($D1712&amp;"_"&amp;J$61,$B$23:$B$45&amp;"_"&amp;$C$23:$C$45,$D$23:$D$45)*$E1712)</f>
        <v>8</v>
      </c>
      <c r="K1712" s="67" cm="1">
        <f ca="1" t="array" ref="K1712">MIN(18,_xlfn.XLOOKUP($D1712&amp;"_"&amp;K$61,$B$23:$B$45&amp;"_"&amp;$C$23:$C$45,$D$23:$D$45)*$E1712)</f>
        <v>6.77699577085737</v>
      </c>
      <c r="L1712" s="67" cm="1">
        <f ca="1" t="array" ref="L1712">MIN(6,_xlfn.XLOOKUP($D1712&amp;"_"&amp;L$61,$B$23:$B$45&amp;"_"&amp;$C$23:$C$45,$D$23:$D$45)*$E1712)</f>
        <v>6</v>
      </c>
      <c r="M1712" s="67" cm="1">
        <f ca="1" t="array" ref="M1712">(1+SUMPRODUCT(G1712:H1712,OFFSET($H$49:$I$49,D1712,0)))*(1+OFFSET($J$49,D1712,0))^I1712*(1+OFFSET($K$49,D1712,0))^J1712*(1+OFFSET($L$49,D1712,0))^K1712*(1+OFFSET($M$49,D1712,0))^L1712</f>
        <v>477.163638258766</v>
      </c>
      <c r="N1712" s="67">
        <f ca="1">MAX(MAX($N$62:N1711),OFFSET($C$61,MATCH(M1712*1.07,$M$62:$M$2061,1),0)-C1712)</f>
        <v>54360</v>
      </c>
    </row>
    <row r="1713" spans="2:14">
      <c r="B1713" s="67">
        <v>1652</v>
      </c>
      <c r="C1713" s="67">
        <f t="shared" si="159"/>
        <v>594720</v>
      </c>
      <c r="D1713" s="67">
        <f t="shared" si="157"/>
        <v>5</v>
      </c>
      <c r="E1713" s="67">
        <f ca="1" t="shared" si="158"/>
        <v>1682</v>
      </c>
      <c r="F1713" s="67">
        <f ca="1" t="shared" si="160"/>
        <v>0</v>
      </c>
      <c r="G1713" s="67">
        <f ca="1" t="shared" si="161"/>
        <v>0</v>
      </c>
      <c r="H1713" s="67" cm="1">
        <f ca="1" t="array" ref="H1713">MIN(30-SUM(I1713:L1713),_xlfn.XLOOKUP($D1713&amp;"_"&amp;H$61,$B$23:$B$45&amp;"_"&amp;$C$23:$C$45,$D$23:$D$45)*$E1713,18)</f>
        <v>9.21897270280661</v>
      </c>
      <c r="I1713" s="67" cm="1">
        <f ca="1" t="array" ref="I1713">MIN(30-SUM(J1713:L1713),6-L1713,_xlfn.XLOOKUP($D1713&amp;"_"&amp;I$61,$B$23:$B$45&amp;"_"&amp;$C$23:$C$45,$D$23:$D$45)*$E1713)</f>
        <v>0</v>
      </c>
      <c r="J1713" s="67" cm="1">
        <f ca="1" t="array" ref="J1713">MIN(8,_xlfn.XLOOKUP($D1713&amp;"_"&amp;J$61,$B$23:$B$45&amp;"_"&amp;$C$23:$C$45,$D$23:$D$45)*$E1713)</f>
        <v>8</v>
      </c>
      <c r="K1713" s="67" cm="1">
        <f ca="1" t="array" ref="K1713">MIN(18,_xlfn.XLOOKUP($D1713&amp;"_"&amp;K$61,$B$23:$B$45&amp;"_"&amp;$C$23:$C$45,$D$23:$D$45)*$E1713)</f>
        <v>6.78102729719339</v>
      </c>
      <c r="L1713" s="67" cm="1">
        <f ca="1" t="array" ref="L1713">MIN(6,_xlfn.XLOOKUP($D1713&amp;"_"&amp;L$61,$B$23:$B$45&amp;"_"&amp;$C$23:$C$45,$D$23:$D$45)*$E1713)</f>
        <v>6</v>
      </c>
      <c r="M1713" s="67" cm="1">
        <f ca="1" t="array" ref="M1713">(1+SUMPRODUCT(G1713:H1713,OFFSET($H$49:$I$49,D1713,0)))*(1+OFFSET($J$49,D1713,0))^I1713*(1+OFFSET($K$49,D1713,0))^J1713*(1+OFFSET($L$49,D1713,0))^K1713*(1+OFFSET($M$49,D1713,0))^L1713</f>
        <v>477.379146748489</v>
      </c>
      <c r="N1713" s="67">
        <f ca="1">MAX(MAX($N$62:N1712),OFFSET($C$61,MATCH(M1713*1.07,$M$62:$M$2061,1),0)-C1713)</f>
        <v>54360</v>
      </c>
    </row>
    <row r="1714" spans="2:14">
      <c r="B1714" s="67">
        <v>1653</v>
      </c>
      <c r="C1714" s="67">
        <f t="shared" si="159"/>
        <v>595080</v>
      </c>
      <c r="D1714" s="67">
        <f t="shared" si="157"/>
        <v>5</v>
      </c>
      <c r="E1714" s="67">
        <f ca="1" t="shared" si="158"/>
        <v>1683</v>
      </c>
      <c r="F1714" s="67">
        <f ca="1" t="shared" si="160"/>
        <v>0</v>
      </c>
      <c r="G1714" s="67">
        <f ca="1" t="shared" si="161"/>
        <v>0</v>
      </c>
      <c r="H1714" s="67" cm="1">
        <f ca="1" t="array" ref="H1714">MIN(30-SUM(I1714:L1714),_xlfn.XLOOKUP($D1714&amp;"_"&amp;H$61,$B$23:$B$45&amp;"_"&amp;$C$23:$C$45,$D$23:$D$45)*$E1714,18)</f>
        <v>9.21494117647058</v>
      </c>
      <c r="I1714" s="67" cm="1">
        <f ca="1" t="array" ref="I1714">MIN(30-SUM(J1714:L1714),6-L1714,_xlfn.XLOOKUP($D1714&amp;"_"&amp;I$61,$B$23:$B$45&amp;"_"&amp;$C$23:$C$45,$D$23:$D$45)*$E1714)</f>
        <v>0</v>
      </c>
      <c r="J1714" s="67" cm="1">
        <f ca="1" t="array" ref="J1714">MIN(8,_xlfn.XLOOKUP($D1714&amp;"_"&amp;J$61,$B$23:$B$45&amp;"_"&amp;$C$23:$C$45,$D$23:$D$45)*$E1714)</f>
        <v>8</v>
      </c>
      <c r="K1714" s="67" cm="1">
        <f ca="1" t="array" ref="K1714">MIN(18,_xlfn.XLOOKUP($D1714&amp;"_"&amp;K$61,$B$23:$B$45&amp;"_"&amp;$C$23:$C$45,$D$23:$D$45)*$E1714)</f>
        <v>6.78505882352942</v>
      </c>
      <c r="L1714" s="67" cm="1">
        <f ca="1" t="array" ref="L1714">MIN(6,_xlfn.XLOOKUP($D1714&amp;"_"&amp;L$61,$B$23:$B$45&amp;"_"&amp;$C$23:$C$45,$D$23:$D$45)*$E1714)</f>
        <v>6</v>
      </c>
      <c r="M1714" s="67" cm="1">
        <f ca="1" t="array" ref="M1714">(1+SUMPRODUCT(G1714:H1714,OFFSET($H$49:$I$49,D1714,0)))*(1+OFFSET($J$49,D1714,0))^I1714*(1+OFFSET($K$49,D1714,0))^J1714*(1+OFFSET($L$49,D1714,0))^K1714*(1+OFFSET($M$49,D1714,0))^L1714</f>
        <v>477.594714177618</v>
      </c>
      <c r="N1714" s="67">
        <f ca="1">MAX(MAX($N$62:N1713),OFFSET($C$61,MATCH(M1714*1.07,$M$62:$M$2061,1),0)-C1714)</f>
        <v>54360</v>
      </c>
    </row>
    <row r="1715" spans="2:14">
      <c r="B1715" s="67">
        <v>1654</v>
      </c>
      <c r="C1715" s="67">
        <f t="shared" si="159"/>
        <v>595440</v>
      </c>
      <c r="D1715" s="67">
        <f t="shared" si="157"/>
        <v>5</v>
      </c>
      <c r="E1715" s="67">
        <f ca="1" t="shared" si="158"/>
        <v>1684</v>
      </c>
      <c r="F1715" s="67">
        <f ca="1" t="shared" si="160"/>
        <v>0</v>
      </c>
      <c r="G1715" s="67">
        <f ca="1" t="shared" si="161"/>
        <v>0</v>
      </c>
      <c r="H1715" s="67" cm="1">
        <f ca="1" t="array" ref="H1715">MIN(30-SUM(I1715:L1715),_xlfn.XLOOKUP($D1715&amp;"_"&amp;H$61,$B$23:$B$45&amp;"_"&amp;$C$23:$C$45,$D$23:$D$45)*$E1715,18)</f>
        <v>9.21090965013456</v>
      </c>
      <c r="I1715" s="67" cm="1">
        <f ca="1" t="array" ref="I1715">MIN(30-SUM(J1715:L1715),6-L1715,_xlfn.XLOOKUP($D1715&amp;"_"&amp;I$61,$B$23:$B$45&amp;"_"&amp;$C$23:$C$45,$D$23:$D$45)*$E1715)</f>
        <v>0</v>
      </c>
      <c r="J1715" s="67" cm="1">
        <f ca="1" t="array" ref="J1715">MIN(8,_xlfn.XLOOKUP($D1715&amp;"_"&amp;J$61,$B$23:$B$45&amp;"_"&amp;$C$23:$C$45,$D$23:$D$45)*$E1715)</f>
        <v>8</v>
      </c>
      <c r="K1715" s="67" cm="1">
        <f ca="1" t="array" ref="K1715">MIN(18,_xlfn.XLOOKUP($D1715&amp;"_"&amp;K$61,$B$23:$B$45&amp;"_"&amp;$C$23:$C$45,$D$23:$D$45)*$E1715)</f>
        <v>6.78909034986544</v>
      </c>
      <c r="L1715" s="67" cm="1">
        <f ca="1" t="array" ref="L1715">MIN(6,_xlfn.XLOOKUP($D1715&amp;"_"&amp;L$61,$B$23:$B$45&amp;"_"&amp;$C$23:$C$45,$D$23:$D$45)*$E1715)</f>
        <v>6</v>
      </c>
      <c r="M1715" s="67" cm="1">
        <f ca="1" t="array" ref="M1715">(1+SUMPRODUCT(G1715:H1715,OFFSET($H$49:$I$49,D1715,0)))*(1+OFFSET($J$49,D1715,0))^I1715*(1+OFFSET($K$49,D1715,0))^J1715*(1+OFFSET($L$49,D1715,0))^K1715*(1+OFFSET($M$49,D1715,0))^L1715</f>
        <v>477.81034051631</v>
      </c>
      <c r="N1715" s="67">
        <f ca="1">MAX(MAX($N$62:N1714),OFFSET($C$61,MATCH(M1715*1.07,$M$62:$M$2061,1),0)-C1715)</f>
        <v>54720</v>
      </c>
    </row>
    <row r="1716" spans="2:14">
      <c r="B1716" s="67">
        <v>1655</v>
      </c>
      <c r="C1716" s="67">
        <f t="shared" si="159"/>
        <v>595800</v>
      </c>
      <c r="D1716" s="67">
        <f t="shared" si="157"/>
        <v>5</v>
      </c>
      <c r="E1716" s="67">
        <f ca="1" t="shared" si="158"/>
        <v>1685</v>
      </c>
      <c r="F1716" s="67">
        <f ca="1" t="shared" si="160"/>
        <v>0</v>
      </c>
      <c r="G1716" s="67">
        <f ca="1" t="shared" si="161"/>
        <v>0</v>
      </c>
      <c r="H1716" s="67" cm="1">
        <f ca="1" t="array" ref="H1716">MIN(30-SUM(I1716:L1716),_xlfn.XLOOKUP($D1716&amp;"_"&amp;H$61,$B$23:$B$45&amp;"_"&amp;$C$23:$C$45,$D$23:$D$45)*$E1716,18)</f>
        <v>9.20687812379853</v>
      </c>
      <c r="I1716" s="67" cm="1">
        <f ca="1" t="array" ref="I1716">MIN(30-SUM(J1716:L1716),6-L1716,_xlfn.XLOOKUP($D1716&amp;"_"&amp;I$61,$B$23:$B$45&amp;"_"&amp;$C$23:$C$45,$D$23:$D$45)*$E1716)</f>
        <v>0</v>
      </c>
      <c r="J1716" s="67" cm="1">
        <f ca="1" t="array" ref="J1716">MIN(8,_xlfn.XLOOKUP($D1716&amp;"_"&amp;J$61,$B$23:$B$45&amp;"_"&amp;$C$23:$C$45,$D$23:$D$45)*$E1716)</f>
        <v>8</v>
      </c>
      <c r="K1716" s="67" cm="1">
        <f ca="1" t="array" ref="K1716">MIN(18,_xlfn.XLOOKUP($D1716&amp;"_"&amp;K$61,$B$23:$B$45&amp;"_"&amp;$C$23:$C$45,$D$23:$D$45)*$E1716)</f>
        <v>6.79312187620147</v>
      </c>
      <c r="L1716" s="67" cm="1">
        <f ca="1" t="array" ref="L1716">MIN(6,_xlfn.XLOOKUP($D1716&amp;"_"&amp;L$61,$B$23:$B$45&amp;"_"&amp;$C$23:$C$45,$D$23:$D$45)*$E1716)</f>
        <v>6</v>
      </c>
      <c r="M1716" s="67" cm="1">
        <f ca="1" t="array" ref="M1716">(1+SUMPRODUCT(G1716:H1716,OFFSET($H$49:$I$49,D1716,0)))*(1+OFFSET($J$49,D1716,0))^I1716*(1+OFFSET($K$49,D1716,0))^J1716*(1+OFFSET($L$49,D1716,0))^K1716*(1+OFFSET($M$49,D1716,0))^L1716</f>
        <v>478.026025734647</v>
      </c>
      <c r="N1716" s="67">
        <f ca="1">MAX(MAX($N$62:N1715),OFFSET($C$61,MATCH(M1716*1.07,$M$62:$M$2061,1),0)-C1716)</f>
        <v>54720</v>
      </c>
    </row>
    <row r="1717" spans="2:14">
      <c r="B1717" s="67">
        <v>1656</v>
      </c>
      <c r="C1717" s="67">
        <f t="shared" si="159"/>
        <v>596160</v>
      </c>
      <c r="D1717" s="67">
        <f t="shared" si="157"/>
        <v>5</v>
      </c>
      <c r="E1717" s="67">
        <f ca="1" t="shared" si="158"/>
        <v>1686</v>
      </c>
      <c r="F1717" s="67">
        <f ca="1" t="shared" si="160"/>
        <v>0</v>
      </c>
      <c r="G1717" s="67">
        <f ca="1" t="shared" si="161"/>
        <v>0</v>
      </c>
      <c r="H1717" s="67" cm="1">
        <f ca="1" t="array" ref="H1717">MIN(30-SUM(I1717:L1717),_xlfn.XLOOKUP($D1717&amp;"_"&amp;H$61,$B$23:$B$45&amp;"_"&amp;$C$23:$C$45,$D$23:$D$45)*$E1717,18)</f>
        <v>9.20284659746251</v>
      </c>
      <c r="I1717" s="67" cm="1">
        <f ca="1" t="array" ref="I1717">MIN(30-SUM(J1717:L1717),6-L1717,_xlfn.XLOOKUP($D1717&amp;"_"&amp;I$61,$B$23:$B$45&amp;"_"&amp;$C$23:$C$45,$D$23:$D$45)*$E1717)</f>
        <v>0</v>
      </c>
      <c r="J1717" s="67" cm="1">
        <f ca="1" t="array" ref="J1717">MIN(8,_xlfn.XLOOKUP($D1717&amp;"_"&amp;J$61,$B$23:$B$45&amp;"_"&amp;$C$23:$C$45,$D$23:$D$45)*$E1717)</f>
        <v>8</v>
      </c>
      <c r="K1717" s="67" cm="1">
        <f ca="1" t="array" ref="K1717">MIN(18,_xlfn.XLOOKUP($D1717&amp;"_"&amp;K$61,$B$23:$B$45&amp;"_"&amp;$C$23:$C$45,$D$23:$D$45)*$E1717)</f>
        <v>6.79715340253749</v>
      </c>
      <c r="L1717" s="67" cm="1">
        <f ca="1" t="array" ref="L1717">MIN(6,_xlfn.XLOOKUP($D1717&amp;"_"&amp;L$61,$B$23:$B$45&amp;"_"&amp;$C$23:$C$45,$D$23:$D$45)*$E1717)</f>
        <v>6</v>
      </c>
      <c r="M1717" s="67" cm="1">
        <f ca="1" t="array" ref="M1717">(1+SUMPRODUCT(G1717:H1717,OFFSET($H$49:$I$49,D1717,0)))*(1+OFFSET($J$49,D1717,0))^I1717*(1+OFFSET($K$49,D1717,0))^J1717*(1+OFFSET($L$49,D1717,0))^K1717*(1+OFFSET($M$49,D1717,0))^L1717</f>
        <v>478.241769802634</v>
      </c>
      <c r="N1717" s="67">
        <f ca="1">MAX(MAX($N$62:N1716),OFFSET($C$61,MATCH(M1717*1.07,$M$62:$M$2061,1),0)-C1717)</f>
        <v>54720</v>
      </c>
    </row>
    <row r="1718" spans="2:14">
      <c r="B1718" s="67">
        <v>1657</v>
      </c>
      <c r="C1718" s="67">
        <f t="shared" si="159"/>
        <v>596520</v>
      </c>
      <c r="D1718" s="67">
        <f t="shared" si="157"/>
        <v>5</v>
      </c>
      <c r="E1718" s="67">
        <f ca="1" t="shared" si="158"/>
        <v>1687</v>
      </c>
      <c r="F1718" s="67">
        <f ca="1" t="shared" si="160"/>
        <v>0</v>
      </c>
      <c r="G1718" s="67">
        <f ca="1" t="shared" si="161"/>
        <v>0</v>
      </c>
      <c r="H1718" s="67" cm="1">
        <f ca="1" t="array" ref="H1718">MIN(30-SUM(I1718:L1718),_xlfn.XLOOKUP($D1718&amp;"_"&amp;H$61,$B$23:$B$45&amp;"_"&amp;$C$23:$C$45,$D$23:$D$45)*$E1718,18)</f>
        <v>9.19881507112648</v>
      </c>
      <c r="I1718" s="67" cm="1">
        <f ca="1" t="array" ref="I1718">MIN(30-SUM(J1718:L1718),6-L1718,_xlfn.XLOOKUP($D1718&amp;"_"&amp;I$61,$B$23:$B$45&amp;"_"&amp;$C$23:$C$45,$D$23:$D$45)*$E1718)</f>
        <v>0</v>
      </c>
      <c r="J1718" s="67" cm="1">
        <f ca="1" t="array" ref="J1718">MIN(8,_xlfn.XLOOKUP($D1718&amp;"_"&amp;J$61,$B$23:$B$45&amp;"_"&amp;$C$23:$C$45,$D$23:$D$45)*$E1718)</f>
        <v>8</v>
      </c>
      <c r="K1718" s="67" cm="1">
        <f ca="1" t="array" ref="K1718">MIN(18,_xlfn.XLOOKUP($D1718&amp;"_"&amp;K$61,$B$23:$B$45&amp;"_"&amp;$C$23:$C$45,$D$23:$D$45)*$E1718)</f>
        <v>6.80118492887352</v>
      </c>
      <c r="L1718" s="67" cm="1">
        <f ca="1" t="array" ref="L1718">MIN(6,_xlfn.XLOOKUP($D1718&amp;"_"&amp;L$61,$B$23:$B$45&amp;"_"&amp;$C$23:$C$45,$D$23:$D$45)*$E1718)</f>
        <v>6</v>
      </c>
      <c r="M1718" s="67" cm="1">
        <f ca="1" t="array" ref="M1718">(1+SUMPRODUCT(G1718:H1718,OFFSET($H$49:$I$49,D1718,0)))*(1+OFFSET($J$49,D1718,0))^I1718*(1+OFFSET($K$49,D1718,0))^J1718*(1+OFFSET($L$49,D1718,0))^K1718*(1+OFFSET($M$49,D1718,0))^L1718</f>
        <v>478.457572690201</v>
      </c>
      <c r="N1718" s="67">
        <f ca="1">MAX(MAX($N$62:N1717),OFFSET($C$61,MATCH(M1718*1.07,$M$62:$M$2061,1),0)-C1718)</f>
        <v>54720</v>
      </c>
    </row>
    <row r="1719" spans="2:14">
      <c r="B1719" s="67">
        <v>1658</v>
      </c>
      <c r="C1719" s="67">
        <f t="shared" si="159"/>
        <v>596880</v>
      </c>
      <c r="D1719" s="67">
        <f t="shared" si="157"/>
        <v>5</v>
      </c>
      <c r="E1719" s="67">
        <f ca="1" t="shared" si="158"/>
        <v>1688</v>
      </c>
      <c r="F1719" s="67">
        <f ca="1" t="shared" si="160"/>
        <v>0</v>
      </c>
      <c r="G1719" s="67">
        <f ca="1" t="shared" si="161"/>
        <v>0</v>
      </c>
      <c r="H1719" s="67" cm="1">
        <f ca="1" t="array" ref="H1719">MIN(30-SUM(I1719:L1719),_xlfn.XLOOKUP($D1719&amp;"_"&amp;H$61,$B$23:$B$45&amp;"_"&amp;$C$23:$C$45,$D$23:$D$45)*$E1719,18)</f>
        <v>9.19478354479046</v>
      </c>
      <c r="I1719" s="67" cm="1">
        <f ca="1" t="array" ref="I1719">MIN(30-SUM(J1719:L1719),6-L1719,_xlfn.XLOOKUP($D1719&amp;"_"&amp;I$61,$B$23:$B$45&amp;"_"&amp;$C$23:$C$45,$D$23:$D$45)*$E1719)</f>
        <v>0</v>
      </c>
      <c r="J1719" s="67" cm="1">
        <f ca="1" t="array" ref="J1719">MIN(8,_xlfn.XLOOKUP($D1719&amp;"_"&amp;J$61,$B$23:$B$45&amp;"_"&amp;$C$23:$C$45,$D$23:$D$45)*$E1719)</f>
        <v>8</v>
      </c>
      <c r="K1719" s="67" cm="1">
        <f ca="1" t="array" ref="K1719">MIN(18,_xlfn.XLOOKUP($D1719&amp;"_"&amp;K$61,$B$23:$B$45&amp;"_"&amp;$C$23:$C$45,$D$23:$D$45)*$E1719)</f>
        <v>6.80521645520954</v>
      </c>
      <c r="L1719" s="67" cm="1">
        <f ca="1" t="array" ref="L1719">MIN(6,_xlfn.XLOOKUP($D1719&amp;"_"&amp;L$61,$B$23:$B$45&amp;"_"&amp;$C$23:$C$45,$D$23:$D$45)*$E1719)</f>
        <v>6</v>
      </c>
      <c r="M1719" s="67" cm="1">
        <f ca="1" t="array" ref="M1719">(1+SUMPRODUCT(G1719:H1719,OFFSET($H$49:$I$49,D1719,0)))*(1+OFFSET($J$49,D1719,0))^I1719*(1+OFFSET($K$49,D1719,0))^J1719*(1+OFFSET($L$49,D1719,0))^K1719*(1+OFFSET($M$49,D1719,0))^L1719</f>
        <v>478.673434367201</v>
      </c>
      <c r="N1719" s="67">
        <f ca="1">MAX(MAX($N$62:N1718),OFFSET($C$61,MATCH(M1719*1.07,$M$62:$M$2061,1),0)-C1719)</f>
        <v>54720</v>
      </c>
    </row>
    <row r="1720" spans="2:14">
      <c r="B1720" s="67">
        <v>1659</v>
      </c>
      <c r="C1720" s="67">
        <f t="shared" si="159"/>
        <v>597240</v>
      </c>
      <c r="D1720" s="67">
        <f t="shared" si="157"/>
        <v>5</v>
      </c>
      <c r="E1720" s="67">
        <f ca="1" t="shared" si="158"/>
        <v>1689</v>
      </c>
      <c r="F1720" s="67">
        <f ca="1" t="shared" si="160"/>
        <v>0</v>
      </c>
      <c r="G1720" s="67">
        <f ca="1" t="shared" si="161"/>
        <v>0</v>
      </c>
      <c r="H1720" s="67" cm="1">
        <f ca="1" t="array" ref="H1720">MIN(30-SUM(I1720:L1720),_xlfn.XLOOKUP($D1720&amp;"_"&amp;H$61,$B$23:$B$45&amp;"_"&amp;$C$23:$C$45,$D$23:$D$45)*$E1720,18)</f>
        <v>9.19075201845443</v>
      </c>
      <c r="I1720" s="67" cm="1">
        <f ca="1" t="array" ref="I1720">MIN(30-SUM(J1720:L1720),6-L1720,_xlfn.XLOOKUP($D1720&amp;"_"&amp;I$61,$B$23:$B$45&amp;"_"&amp;$C$23:$C$45,$D$23:$D$45)*$E1720)</f>
        <v>0</v>
      </c>
      <c r="J1720" s="67" cm="1">
        <f ca="1" t="array" ref="J1720">MIN(8,_xlfn.XLOOKUP($D1720&amp;"_"&amp;J$61,$B$23:$B$45&amp;"_"&amp;$C$23:$C$45,$D$23:$D$45)*$E1720)</f>
        <v>8</v>
      </c>
      <c r="K1720" s="67" cm="1">
        <f ca="1" t="array" ref="K1720">MIN(18,_xlfn.XLOOKUP($D1720&amp;"_"&amp;K$61,$B$23:$B$45&amp;"_"&amp;$C$23:$C$45,$D$23:$D$45)*$E1720)</f>
        <v>6.80924798154557</v>
      </c>
      <c r="L1720" s="67" cm="1">
        <f ca="1" t="array" ref="L1720">MIN(6,_xlfn.XLOOKUP($D1720&amp;"_"&amp;L$61,$B$23:$B$45&amp;"_"&amp;$C$23:$C$45,$D$23:$D$45)*$E1720)</f>
        <v>6</v>
      </c>
      <c r="M1720" s="67" cm="1">
        <f ca="1" t="array" ref="M1720">(1+SUMPRODUCT(G1720:H1720,OFFSET($H$49:$I$49,D1720,0)))*(1+OFFSET($J$49,D1720,0))^I1720*(1+OFFSET($K$49,D1720,0))^J1720*(1+OFFSET($L$49,D1720,0))^K1720*(1+OFFSET($M$49,D1720,0))^L1720</f>
        <v>478.889354803413</v>
      </c>
      <c r="N1720" s="67">
        <f ca="1">MAX(MAX($N$62:N1719),OFFSET($C$61,MATCH(M1720*1.07,$M$62:$M$2061,1),0)-C1720)</f>
        <v>54720</v>
      </c>
    </row>
    <row r="1721" spans="2:14">
      <c r="B1721" s="67">
        <v>1660</v>
      </c>
      <c r="C1721" s="67">
        <f t="shared" si="159"/>
        <v>597600</v>
      </c>
      <c r="D1721" s="67">
        <f t="shared" si="157"/>
        <v>5</v>
      </c>
      <c r="E1721" s="67">
        <f ca="1" t="shared" si="158"/>
        <v>1690</v>
      </c>
      <c r="F1721" s="67">
        <f ca="1" t="shared" si="160"/>
        <v>0</v>
      </c>
      <c r="G1721" s="67">
        <f ca="1" t="shared" si="161"/>
        <v>0</v>
      </c>
      <c r="H1721" s="67" cm="1">
        <f ca="1" t="array" ref="H1721">MIN(30-SUM(I1721:L1721),_xlfn.XLOOKUP($D1721&amp;"_"&amp;H$61,$B$23:$B$45&amp;"_"&amp;$C$23:$C$45,$D$23:$D$45)*$E1721,18)</f>
        <v>9.18672049211841</v>
      </c>
      <c r="I1721" s="67" cm="1">
        <f ca="1" t="array" ref="I1721">MIN(30-SUM(J1721:L1721),6-L1721,_xlfn.XLOOKUP($D1721&amp;"_"&amp;I$61,$B$23:$B$45&amp;"_"&amp;$C$23:$C$45,$D$23:$D$45)*$E1721)</f>
        <v>0</v>
      </c>
      <c r="J1721" s="67" cm="1">
        <f ca="1" t="array" ref="J1721">MIN(8,_xlfn.XLOOKUP($D1721&amp;"_"&amp;J$61,$B$23:$B$45&amp;"_"&amp;$C$23:$C$45,$D$23:$D$45)*$E1721)</f>
        <v>8</v>
      </c>
      <c r="K1721" s="67" cm="1">
        <f ca="1" t="array" ref="K1721">MIN(18,_xlfn.XLOOKUP($D1721&amp;"_"&amp;K$61,$B$23:$B$45&amp;"_"&amp;$C$23:$C$45,$D$23:$D$45)*$E1721)</f>
        <v>6.81327950788159</v>
      </c>
      <c r="L1721" s="67" cm="1">
        <f ca="1" t="array" ref="L1721">MIN(6,_xlfn.XLOOKUP($D1721&amp;"_"&amp;L$61,$B$23:$B$45&amp;"_"&amp;$C$23:$C$45,$D$23:$D$45)*$E1721)</f>
        <v>6</v>
      </c>
      <c r="M1721" s="67" cm="1">
        <f ca="1" t="array" ref="M1721">(1+SUMPRODUCT(G1721:H1721,OFFSET($H$49:$I$49,D1721,0)))*(1+OFFSET($J$49,D1721,0))^I1721*(1+OFFSET($K$49,D1721,0))^J1721*(1+OFFSET($L$49,D1721,0))^K1721*(1+OFFSET($M$49,D1721,0))^L1721</f>
        <v>479.105333968537</v>
      </c>
      <c r="N1721" s="67">
        <f ca="1">MAX(MAX($N$62:N1720),OFFSET($C$61,MATCH(M1721*1.07,$M$62:$M$2061,1),0)-C1721)</f>
        <v>54720</v>
      </c>
    </row>
    <row r="1722" spans="2:14">
      <c r="B1722" s="67">
        <v>1661</v>
      </c>
      <c r="C1722" s="67">
        <f t="shared" si="159"/>
        <v>597960</v>
      </c>
      <c r="D1722" s="67">
        <f t="shared" si="157"/>
        <v>5</v>
      </c>
      <c r="E1722" s="67">
        <f ca="1" t="shared" si="158"/>
        <v>1691</v>
      </c>
      <c r="F1722" s="67">
        <f ca="1" t="shared" si="160"/>
        <v>0</v>
      </c>
      <c r="G1722" s="67">
        <f ca="1" t="shared" si="161"/>
        <v>0</v>
      </c>
      <c r="H1722" s="67" cm="1">
        <f ca="1" t="array" ref="H1722">MIN(30-SUM(I1722:L1722),_xlfn.XLOOKUP($D1722&amp;"_"&amp;H$61,$B$23:$B$45&amp;"_"&amp;$C$23:$C$45,$D$23:$D$45)*$E1722,18)</f>
        <v>9.18268896578239</v>
      </c>
      <c r="I1722" s="67" cm="1">
        <f ca="1" t="array" ref="I1722">MIN(30-SUM(J1722:L1722),6-L1722,_xlfn.XLOOKUP($D1722&amp;"_"&amp;I$61,$B$23:$B$45&amp;"_"&amp;$C$23:$C$45,$D$23:$D$45)*$E1722)</f>
        <v>0</v>
      </c>
      <c r="J1722" s="67" cm="1">
        <f ca="1" t="array" ref="J1722">MIN(8,_xlfn.XLOOKUP($D1722&amp;"_"&amp;J$61,$B$23:$B$45&amp;"_"&amp;$C$23:$C$45,$D$23:$D$45)*$E1722)</f>
        <v>8</v>
      </c>
      <c r="K1722" s="67" cm="1">
        <f ca="1" t="array" ref="K1722">MIN(18,_xlfn.XLOOKUP($D1722&amp;"_"&amp;K$61,$B$23:$B$45&amp;"_"&amp;$C$23:$C$45,$D$23:$D$45)*$E1722)</f>
        <v>6.81731103421761</v>
      </c>
      <c r="L1722" s="67" cm="1">
        <f ca="1" t="array" ref="L1722">MIN(6,_xlfn.XLOOKUP($D1722&amp;"_"&amp;L$61,$B$23:$B$45&amp;"_"&amp;$C$23:$C$45,$D$23:$D$45)*$E1722)</f>
        <v>6</v>
      </c>
      <c r="M1722" s="67" cm="1">
        <f ca="1" t="array" ref="M1722">(1+SUMPRODUCT(G1722:H1722,OFFSET($H$49:$I$49,D1722,0)))*(1+OFFSET($J$49,D1722,0))^I1722*(1+OFFSET($K$49,D1722,0))^J1722*(1+OFFSET($L$49,D1722,0))^K1722*(1+OFFSET($M$49,D1722,0))^L1722</f>
        <v>479.321371832199</v>
      </c>
      <c r="N1722" s="67">
        <f ca="1">MAX(MAX($N$62:N1721),OFFSET($C$61,MATCH(M1722*1.07,$M$62:$M$2061,1),0)-C1722)</f>
        <v>54720</v>
      </c>
    </row>
    <row r="1723" spans="2:14">
      <c r="B1723" s="67">
        <v>1662</v>
      </c>
      <c r="C1723" s="67">
        <f t="shared" si="159"/>
        <v>598320</v>
      </c>
      <c r="D1723" s="67">
        <f t="shared" si="157"/>
        <v>5</v>
      </c>
      <c r="E1723" s="67">
        <f ca="1" t="shared" si="158"/>
        <v>1692</v>
      </c>
      <c r="F1723" s="67">
        <f ca="1" t="shared" si="160"/>
        <v>0</v>
      </c>
      <c r="G1723" s="67">
        <f ca="1" t="shared" si="161"/>
        <v>0</v>
      </c>
      <c r="H1723" s="67" cm="1">
        <f ca="1" t="array" ref="H1723">MIN(30-SUM(I1723:L1723),_xlfn.XLOOKUP($D1723&amp;"_"&amp;H$61,$B$23:$B$45&amp;"_"&amp;$C$23:$C$45,$D$23:$D$45)*$E1723,18)</f>
        <v>9.17865743944636</v>
      </c>
      <c r="I1723" s="67" cm="1">
        <f ca="1" t="array" ref="I1723">MIN(30-SUM(J1723:L1723),6-L1723,_xlfn.XLOOKUP($D1723&amp;"_"&amp;I$61,$B$23:$B$45&amp;"_"&amp;$C$23:$C$45,$D$23:$D$45)*$E1723)</f>
        <v>0</v>
      </c>
      <c r="J1723" s="67" cm="1">
        <f ca="1" t="array" ref="J1723">MIN(8,_xlfn.XLOOKUP($D1723&amp;"_"&amp;J$61,$B$23:$B$45&amp;"_"&amp;$C$23:$C$45,$D$23:$D$45)*$E1723)</f>
        <v>8</v>
      </c>
      <c r="K1723" s="67" cm="1">
        <f ca="1" t="array" ref="K1723">MIN(18,_xlfn.XLOOKUP($D1723&amp;"_"&amp;K$61,$B$23:$B$45&amp;"_"&amp;$C$23:$C$45,$D$23:$D$45)*$E1723)</f>
        <v>6.82134256055364</v>
      </c>
      <c r="L1723" s="67" cm="1">
        <f ca="1" t="array" ref="L1723">MIN(6,_xlfn.XLOOKUP($D1723&amp;"_"&amp;L$61,$B$23:$B$45&amp;"_"&amp;$C$23:$C$45,$D$23:$D$45)*$E1723)</f>
        <v>6</v>
      </c>
      <c r="M1723" s="67" cm="1">
        <f ca="1" t="array" ref="M1723">(1+SUMPRODUCT(G1723:H1723,OFFSET($H$49:$I$49,D1723,0)))*(1+OFFSET($J$49,D1723,0))^I1723*(1+OFFSET($K$49,D1723,0))^J1723*(1+OFFSET($L$49,D1723,0))^K1723*(1+OFFSET($M$49,D1723,0))^L1723</f>
        <v>479.537468363947</v>
      </c>
      <c r="N1723" s="67">
        <f ca="1">MAX(MAX($N$62:N1722),OFFSET($C$61,MATCH(M1723*1.07,$M$62:$M$2061,1),0)-C1723)</f>
        <v>54720</v>
      </c>
    </row>
    <row r="1724" spans="2:14">
      <c r="B1724" s="67">
        <v>1663</v>
      </c>
      <c r="C1724" s="67">
        <f t="shared" si="159"/>
        <v>598680</v>
      </c>
      <c r="D1724" s="67">
        <f t="shared" si="157"/>
        <v>5</v>
      </c>
      <c r="E1724" s="67">
        <f ca="1" t="shared" si="158"/>
        <v>1693</v>
      </c>
      <c r="F1724" s="67">
        <f ca="1" t="shared" si="160"/>
        <v>0</v>
      </c>
      <c r="G1724" s="67">
        <f ca="1" t="shared" si="161"/>
        <v>0</v>
      </c>
      <c r="H1724" s="67" cm="1">
        <f ca="1" t="array" ref="H1724">MIN(30-SUM(I1724:L1724),_xlfn.XLOOKUP($D1724&amp;"_"&amp;H$61,$B$23:$B$45&amp;"_"&amp;$C$23:$C$45,$D$23:$D$45)*$E1724,18)</f>
        <v>9.17462591311034</v>
      </c>
      <c r="I1724" s="67" cm="1">
        <f ca="1" t="array" ref="I1724">MIN(30-SUM(J1724:L1724),6-L1724,_xlfn.XLOOKUP($D1724&amp;"_"&amp;I$61,$B$23:$B$45&amp;"_"&amp;$C$23:$C$45,$D$23:$D$45)*$E1724)</f>
        <v>0</v>
      </c>
      <c r="J1724" s="67" cm="1">
        <f ca="1" t="array" ref="J1724">MIN(8,_xlfn.XLOOKUP($D1724&amp;"_"&amp;J$61,$B$23:$B$45&amp;"_"&amp;$C$23:$C$45,$D$23:$D$45)*$E1724)</f>
        <v>8</v>
      </c>
      <c r="K1724" s="67" cm="1">
        <f ca="1" t="array" ref="K1724">MIN(18,_xlfn.XLOOKUP($D1724&amp;"_"&amp;K$61,$B$23:$B$45&amp;"_"&amp;$C$23:$C$45,$D$23:$D$45)*$E1724)</f>
        <v>6.82537408688966</v>
      </c>
      <c r="L1724" s="67" cm="1">
        <f ca="1" t="array" ref="L1724">MIN(6,_xlfn.XLOOKUP($D1724&amp;"_"&amp;L$61,$B$23:$B$45&amp;"_"&amp;$C$23:$C$45,$D$23:$D$45)*$E1724)</f>
        <v>6</v>
      </c>
      <c r="M1724" s="67" cm="1">
        <f ca="1" t="array" ref="M1724">(1+SUMPRODUCT(G1724:H1724,OFFSET($H$49:$I$49,D1724,0)))*(1+OFFSET($J$49,D1724,0))^I1724*(1+OFFSET($K$49,D1724,0))^J1724*(1+OFFSET($L$49,D1724,0))^K1724*(1+OFFSET($M$49,D1724,0))^L1724</f>
        <v>479.753623533253</v>
      </c>
      <c r="N1724" s="67">
        <f ca="1">MAX(MAX($N$62:N1723),OFFSET($C$61,MATCH(M1724*1.07,$M$62:$M$2061,1),0)-C1724)</f>
        <v>54720</v>
      </c>
    </row>
    <row r="1725" spans="2:14">
      <c r="B1725" s="67">
        <v>1664</v>
      </c>
      <c r="C1725" s="67">
        <f t="shared" si="159"/>
        <v>599040</v>
      </c>
      <c r="D1725" s="67">
        <f t="shared" si="157"/>
        <v>5</v>
      </c>
      <c r="E1725" s="67">
        <f ca="1" t="shared" si="158"/>
        <v>1694</v>
      </c>
      <c r="F1725" s="67">
        <f ca="1" t="shared" si="160"/>
        <v>0</v>
      </c>
      <c r="G1725" s="67">
        <f ca="1" t="shared" si="161"/>
        <v>0</v>
      </c>
      <c r="H1725" s="67" cm="1">
        <f ca="1" t="array" ref="H1725">MIN(30-SUM(I1725:L1725),_xlfn.XLOOKUP($D1725&amp;"_"&amp;H$61,$B$23:$B$45&amp;"_"&amp;$C$23:$C$45,$D$23:$D$45)*$E1725,18)</f>
        <v>9.17059438677431</v>
      </c>
      <c r="I1725" s="67" cm="1">
        <f ca="1" t="array" ref="I1725">MIN(30-SUM(J1725:L1725),6-L1725,_xlfn.XLOOKUP($D1725&amp;"_"&amp;I$61,$B$23:$B$45&amp;"_"&amp;$C$23:$C$45,$D$23:$D$45)*$E1725)</f>
        <v>0</v>
      </c>
      <c r="J1725" s="67" cm="1">
        <f ca="1" t="array" ref="J1725">MIN(8,_xlfn.XLOOKUP($D1725&amp;"_"&amp;J$61,$B$23:$B$45&amp;"_"&amp;$C$23:$C$45,$D$23:$D$45)*$E1725)</f>
        <v>8</v>
      </c>
      <c r="K1725" s="67" cm="1">
        <f ca="1" t="array" ref="K1725">MIN(18,_xlfn.XLOOKUP($D1725&amp;"_"&amp;K$61,$B$23:$B$45&amp;"_"&amp;$C$23:$C$45,$D$23:$D$45)*$E1725)</f>
        <v>6.82940561322569</v>
      </c>
      <c r="L1725" s="67" cm="1">
        <f ca="1" t="array" ref="L1725">MIN(6,_xlfn.XLOOKUP($D1725&amp;"_"&amp;L$61,$B$23:$B$45&amp;"_"&amp;$C$23:$C$45,$D$23:$D$45)*$E1725)</f>
        <v>6</v>
      </c>
      <c r="M1725" s="67" cm="1">
        <f ca="1" t="array" ref="M1725">(1+SUMPRODUCT(G1725:H1725,OFFSET($H$49:$I$49,D1725,0)))*(1+OFFSET($J$49,D1725,0))^I1725*(1+OFFSET($K$49,D1725,0))^J1725*(1+OFFSET($L$49,D1725,0))^K1725*(1+OFFSET($M$49,D1725,0))^L1725</f>
        <v>479.969837309513</v>
      </c>
      <c r="N1725" s="67">
        <f ca="1">MAX(MAX($N$62:N1724),OFFSET($C$61,MATCH(M1725*1.07,$M$62:$M$2061,1),0)-C1725)</f>
        <v>54720</v>
      </c>
    </row>
    <row r="1726" spans="2:14">
      <c r="B1726" s="67">
        <v>1665</v>
      </c>
      <c r="C1726" s="67">
        <f t="shared" si="159"/>
        <v>599400</v>
      </c>
      <c r="D1726" s="67">
        <f t="shared" si="157"/>
        <v>5</v>
      </c>
      <c r="E1726" s="67">
        <f ca="1" t="shared" si="158"/>
        <v>1695</v>
      </c>
      <c r="F1726" s="67">
        <f ca="1" t="shared" si="160"/>
        <v>0</v>
      </c>
      <c r="G1726" s="67">
        <f ca="1" t="shared" si="161"/>
        <v>0</v>
      </c>
      <c r="H1726" s="67" cm="1">
        <f ca="1" t="array" ref="H1726">MIN(30-SUM(I1726:L1726),_xlfn.XLOOKUP($D1726&amp;"_"&amp;H$61,$B$23:$B$45&amp;"_"&amp;$C$23:$C$45,$D$23:$D$45)*$E1726,18)</f>
        <v>9.16656286043829</v>
      </c>
      <c r="I1726" s="67" cm="1">
        <f ca="1" t="array" ref="I1726">MIN(30-SUM(J1726:L1726),6-L1726,_xlfn.XLOOKUP($D1726&amp;"_"&amp;I$61,$B$23:$B$45&amp;"_"&amp;$C$23:$C$45,$D$23:$D$45)*$E1726)</f>
        <v>0</v>
      </c>
      <c r="J1726" s="67" cm="1">
        <f ca="1" t="array" ref="J1726">MIN(8,_xlfn.XLOOKUP($D1726&amp;"_"&amp;J$61,$B$23:$B$45&amp;"_"&amp;$C$23:$C$45,$D$23:$D$45)*$E1726)</f>
        <v>8</v>
      </c>
      <c r="K1726" s="67" cm="1">
        <f ca="1" t="array" ref="K1726">MIN(18,_xlfn.XLOOKUP($D1726&amp;"_"&amp;K$61,$B$23:$B$45&amp;"_"&amp;$C$23:$C$45,$D$23:$D$45)*$E1726)</f>
        <v>6.83343713956171</v>
      </c>
      <c r="L1726" s="67" cm="1">
        <f ca="1" t="array" ref="L1726">MIN(6,_xlfn.XLOOKUP($D1726&amp;"_"&amp;L$61,$B$23:$B$45&amp;"_"&amp;$C$23:$C$45,$D$23:$D$45)*$E1726)</f>
        <v>6</v>
      </c>
      <c r="M1726" s="67" cm="1">
        <f ca="1" t="array" ref="M1726">(1+SUMPRODUCT(G1726:H1726,OFFSET($H$49:$I$49,D1726,0)))*(1+OFFSET($J$49,D1726,0))^I1726*(1+OFFSET($K$49,D1726,0))^J1726*(1+OFFSET($L$49,D1726,0))^K1726*(1+OFFSET($M$49,D1726,0))^L1726</f>
        <v>480.186109662045</v>
      </c>
      <c r="N1726" s="67">
        <f ca="1">MAX(MAX($N$62:N1725),OFFSET($C$61,MATCH(M1726*1.07,$M$62:$M$2061,1),0)-C1726)</f>
        <v>54720</v>
      </c>
    </row>
    <row r="1727" spans="2:14">
      <c r="B1727" s="67">
        <v>1666</v>
      </c>
      <c r="C1727" s="67">
        <f t="shared" si="159"/>
        <v>599760</v>
      </c>
      <c r="D1727" s="67">
        <f t="shared" ref="D1727:D1790" si="162">_xlfn.XLOOKUP("非R",$B$49:$B$54,$C$49:$C$54)</f>
        <v>5</v>
      </c>
      <c r="E1727" s="67">
        <f ca="1" t="shared" ref="E1727:E1790" si="163">INT(C1727/_xlfn.XLOOKUP(D1727,$R$14:$R$21,$S$14:$S$21))+OFFSET($R$49,D1727,0)</f>
        <v>1696</v>
      </c>
      <c r="F1727" s="67">
        <f ca="1" t="shared" si="160"/>
        <v>0</v>
      </c>
      <c r="G1727" s="67">
        <f ca="1" t="shared" si="161"/>
        <v>0</v>
      </c>
      <c r="H1727" s="67" cm="1">
        <f ca="1" t="array" ref="H1727">MIN(30-SUM(I1727:L1727),_xlfn.XLOOKUP($D1727&amp;"_"&amp;H$61,$B$23:$B$45&amp;"_"&amp;$C$23:$C$45,$D$23:$D$45)*$E1727,18)</f>
        <v>9.16253133410226</v>
      </c>
      <c r="I1727" s="67" cm="1">
        <f ca="1" t="array" ref="I1727">MIN(30-SUM(J1727:L1727),6-L1727,_xlfn.XLOOKUP($D1727&amp;"_"&amp;I$61,$B$23:$B$45&amp;"_"&amp;$C$23:$C$45,$D$23:$D$45)*$E1727)</f>
        <v>0</v>
      </c>
      <c r="J1727" s="67" cm="1">
        <f ca="1" t="array" ref="J1727">MIN(8,_xlfn.XLOOKUP($D1727&amp;"_"&amp;J$61,$B$23:$B$45&amp;"_"&amp;$C$23:$C$45,$D$23:$D$45)*$E1727)</f>
        <v>8</v>
      </c>
      <c r="K1727" s="67" cm="1">
        <f ca="1" t="array" ref="K1727">MIN(18,_xlfn.XLOOKUP($D1727&amp;"_"&amp;K$61,$B$23:$B$45&amp;"_"&amp;$C$23:$C$45,$D$23:$D$45)*$E1727)</f>
        <v>6.83746866589774</v>
      </c>
      <c r="L1727" s="67" cm="1">
        <f ca="1" t="array" ref="L1727">MIN(6,_xlfn.XLOOKUP($D1727&amp;"_"&amp;L$61,$B$23:$B$45&amp;"_"&amp;$C$23:$C$45,$D$23:$D$45)*$E1727)</f>
        <v>6</v>
      </c>
      <c r="M1727" s="67" cm="1">
        <f ca="1" t="array" ref="M1727">(1+SUMPRODUCT(G1727:H1727,OFFSET($H$49:$I$49,D1727,0)))*(1+OFFSET($J$49,D1727,0))^I1727*(1+OFFSET($K$49,D1727,0))^J1727*(1+OFFSET($L$49,D1727,0))^K1727*(1+OFFSET($M$49,D1727,0))^L1727</f>
        <v>480.402440560092</v>
      </c>
      <c r="N1727" s="67">
        <f ca="1">MAX(MAX($N$62:N1726),OFFSET($C$61,MATCH(M1727*1.07,$M$62:$M$2061,1),0)-C1727)</f>
        <v>54720</v>
      </c>
    </row>
    <row r="1728" spans="2:14">
      <c r="B1728" s="67">
        <v>1667</v>
      </c>
      <c r="C1728" s="67">
        <f t="shared" si="159"/>
        <v>600120</v>
      </c>
      <c r="D1728" s="67">
        <f t="shared" si="162"/>
        <v>5</v>
      </c>
      <c r="E1728" s="67">
        <f ca="1" t="shared" si="163"/>
        <v>1697</v>
      </c>
      <c r="F1728" s="67">
        <f ca="1" t="shared" si="160"/>
        <v>0</v>
      </c>
      <c r="G1728" s="67">
        <f ca="1" t="shared" si="161"/>
        <v>0</v>
      </c>
      <c r="H1728" s="67" cm="1">
        <f ca="1" t="array" ref="H1728">MIN(30-SUM(I1728:L1728),_xlfn.XLOOKUP($D1728&amp;"_"&amp;H$61,$B$23:$B$45&amp;"_"&amp;$C$23:$C$45,$D$23:$D$45)*$E1728,18)</f>
        <v>9.15849980776624</v>
      </c>
      <c r="I1728" s="67" cm="1">
        <f ca="1" t="array" ref="I1728">MIN(30-SUM(J1728:L1728),6-L1728,_xlfn.XLOOKUP($D1728&amp;"_"&amp;I$61,$B$23:$B$45&amp;"_"&amp;$C$23:$C$45,$D$23:$D$45)*$E1728)</f>
        <v>0</v>
      </c>
      <c r="J1728" s="67" cm="1">
        <f ca="1" t="array" ref="J1728">MIN(8,_xlfn.XLOOKUP($D1728&amp;"_"&amp;J$61,$B$23:$B$45&amp;"_"&amp;$C$23:$C$45,$D$23:$D$45)*$E1728)</f>
        <v>8</v>
      </c>
      <c r="K1728" s="67" cm="1">
        <f ca="1" t="array" ref="K1728">MIN(18,_xlfn.XLOOKUP($D1728&amp;"_"&amp;K$61,$B$23:$B$45&amp;"_"&amp;$C$23:$C$45,$D$23:$D$45)*$E1728)</f>
        <v>6.84150019223376</v>
      </c>
      <c r="L1728" s="67" cm="1">
        <f ca="1" t="array" ref="L1728">MIN(6,_xlfn.XLOOKUP($D1728&amp;"_"&amp;L$61,$B$23:$B$45&amp;"_"&amp;$C$23:$C$45,$D$23:$D$45)*$E1728)</f>
        <v>6</v>
      </c>
      <c r="M1728" s="67" cm="1">
        <f ca="1" t="array" ref="M1728">(1+SUMPRODUCT(G1728:H1728,OFFSET($H$49:$I$49,D1728,0)))*(1+OFFSET($J$49,D1728,0))^I1728*(1+OFFSET($K$49,D1728,0))^J1728*(1+OFFSET($L$49,D1728,0))^K1728*(1+OFFSET($M$49,D1728,0))^L1728</f>
        <v>480.618829972817</v>
      </c>
      <c r="N1728" s="67">
        <f ca="1">MAX(MAX($N$62:N1727),OFFSET($C$61,MATCH(M1728*1.07,$M$62:$M$2061,1),0)-C1728)</f>
        <v>54720</v>
      </c>
    </row>
    <row r="1729" spans="2:14">
      <c r="B1729" s="67">
        <v>1668</v>
      </c>
      <c r="C1729" s="67">
        <f t="shared" si="159"/>
        <v>600480</v>
      </c>
      <c r="D1729" s="67">
        <f t="shared" si="162"/>
        <v>5</v>
      </c>
      <c r="E1729" s="67">
        <f ca="1" t="shared" si="163"/>
        <v>1698</v>
      </c>
      <c r="F1729" s="67">
        <f ca="1" t="shared" si="160"/>
        <v>0</v>
      </c>
      <c r="G1729" s="67">
        <f ca="1" t="shared" si="161"/>
        <v>0</v>
      </c>
      <c r="H1729" s="67" cm="1">
        <f ca="1" t="array" ref="H1729">MIN(30-SUM(I1729:L1729),_xlfn.XLOOKUP($D1729&amp;"_"&amp;H$61,$B$23:$B$45&amp;"_"&amp;$C$23:$C$45,$D$23:$D$45)*$E1729,18)</f>
        <v>9.15446828143021</v>
      </c>
      <c r="I1729" s="67" cm="1">
        <f ca="1" t="array" ref="I1729">MIN(30-SUM(J1729:L1729),6-L1729,_xlfn.XLOOKUP($D1729&amp;"_"&amp;I$61,$B$23:$B$45&amp;"_"&amp;$C$23:$C$45,$D$23:$D$45)*$E1729)</f>
        <v>0</v>
      </c>
      <c r="J1729" s="67" cm="1">
        <f ca="1" t="array" ref="J1729">MIN(8,_xlfn.XLOOKUP($D1729&amp;"_"&amp;J$61,$B$23:$B$45&amp;"_"&amp;$C$23:$C$45,$D$23:$D$45)*$E1729)</f>
        <v>8</v>
      </c>
      <c r="K1729" s="67" cm="1">
        <f ca="1" t="array" ref="K1729">MIN(18,_xlfn.XLOOKUP($D1729&amp;"_"&amp;K$61,$B$23:$B$45&amp;"_"&amp;$C$23:$C$45,$D$23:$D$45)*$E1729)</f>
        <v>6.84553171856979</v>
      </c>
      <c r="L1729" s="67" cm="1">
        <f ca="1" t="array" ref="L1729">MIN(6,_xlfn.XLOOKUP($D1729&amp;"_"&amp;L$61,$B$23:$B$45&amp;"_"&amp;$C$23:$C$45,$D$23:$D$45)*$E1729)</f>
        <v>6</v>
      </c>
      <c r="M1729" s="67" cm="1">
        <f ca="1" t="array" ref="M1729">(1+SUMPRODUCT(G1729:H1729,OFFSET($H$49:$I$49,D1729,0)))*(1+OFFSET($J$49,D1729,0))^I1729*(1+OFFSET($K$49,D1729,0))^J1729*(1+OFFSET($L$49,D1729,0))^K1729*(1+OFFSET($M$49,D1729,0))^L1729</f>
        <v>480.835277869311</v>
      </c>
      <c r="N1729" s="67">
        <f ca="1">MAX(MAX($N$62:N1728),OFFSET($C$61,MATCH(M1729*1.07,$M$62:$M$2061,1),0)-C1729)</f>
        <v>54720</v>
      </c>
    </row>
    <row r="1730" spans="2:14">
      <c r="B1730" s="67">
        <v>1669</v>
      </c>
      <c r="C1730" s="67">
        <f t="shared" si="159"/>
        <v>600840</v>
      </c>
      <c r="D1730" s="67">
        <f t="shared" si="162"/>
        <v>5</v>
      </c>
      <c r="E1730" s="67">
        <f ca="1" t="shared" si="163"/>
        <v>1699</v>
      </c>
      <c r="F1730" s="67">
        <f ca="1" t="shared" si="160"/>
        <v>0</v>
      </c>
      <c r="G1730" s="67">
        <f ca="1" t="shared" si="161"/>
        <v>0</v>
      </c>
      <c r="H1730" s="67" cm="1">
        <f ca="1" t="array" ref="H1730">MIN(30-SUM(I1730:L1730),_xlfn.XLOOKUP($D1730&amp;"_"&amp;H$61,$B$23:$B$45&amp;"_"&amp;$C$23:$C$45,$D$23:$D$45)*$E1730,18)</f>
        <v>9.15043675509419</v>
      </c>
      <c r="I1730" s="67" cm="1">
        <f ca="1" t="array" ref="I1730">MIN(30-SUM(J1730:L1730),6-L1730,_xlfn.XLOOKUP($D1730&amp;"_"&amp;I$61,$B$23:$B$45&amp;"_"&amp;$C$23:$C$45,$D$23:$D$45)*$E1730)</f>
        <v>0</v>
      </c>
      <c r="J1730" s="67" cm="1">
        <f ca="1" t="array" ref="J1730">MIN(8,_xlfn.XLOOKUP($D1730&amp;"_"&amp;J$61,$B$23:$B$45&amp;"_"&amp;$C$23:$C$45,$D$23:$D$45)*$E1730)</f>
        <v>8</v>
      </c>
      <c r="K1730" s="67" cm="1">
        <f ca="1" t="array" ref="K1730">MIN(18,_xlfn.XLOOKUP($D1730&amp;"_"&amp;K$61,$B$23:$B$45&amp;"_"&amp;$C$23:$C$45,$D$23:$D$45)*$E1730)</f>
        <v>6.84956324490581</v>
      </c>
      <c r="L1730" s="67" cm="1">
        <f ca="1" t="array" ref="L1730">MIN(6,_xlfn.XLOOKUP($D1730&amp;"_"&amp;L$61,$B$23:$B$45&amp;"_"&amp;$C$23:$C$45,$D$23:$D$45)*$E1730)</f>
        <v>6</v>
      </c>
      <c r="M1730" s="67" cm="1">
        <f ca="1" t="array" ref="M1730">(1+SUMPRODUCT(G1730:H1730,OFFSET($H$49:$I$49,D1730,0)))*(1+OFFSET($J$49,D1730,0))^I1730*(1+OFFSET($K$49,D1730,0))^J1730*(1+OFFSET($L$49,D1730,0))^K1730*(1+OFFSET($M$49,D1730,0))^L1730</f>
        <v>481.051784218582</v>
      </c>
      <c r="N1730" s="67">
        <f ca="1">MAX(MAX($N$62:N1729),OFFSET($C$61,MATCH(M1730*1.07,$M$62:$M$2061,1),0)-C1730)</f>
        <v>54720</v>
      </c>
    </row>
    <row r="1731" spans="2:14">
      <c r="B1731" s="67">
        <v>1670</v>
      </c>
      <c r="C1731" s="67">
        <f t="shared" si="159"/>
        <v>601200</v>
      </c>
      <c r="D1731" s="67">
        <f t="shared" si="162"/>
        <v>5</v>
      </c>
      <c r="E1731" s="67">
        <f ca="1" t="shared" si="163"/>
        <v>1700</v>
      </c>
      <c r="F1731" s="67">
        <f ca="1" t="shared" si="160"/>
        <v>0</v>
      </c>
      <c r="G1731" s="67">
        <f ca="1" t="shared" si="161"/>
        <v>0</v>
      </c>
      <c r="H1731" s="67" cm="1">
        <f ca="1" t="array" ref="H1731">MIN(30-SUM(I1731:L1731),_xlfn.XLOOKUP($D1731&amp;"_"&amp;H$61,$B$23:$B$45&amp;"_"&amp;$C$23:$C$45,$D$23:$D$45)*$E1731,18)</f>
        <v>9.14640522875816</v>
      </c>
      <c r="I1731" s="67" cm="1">
        <f ca="1" t="array" ref="I1731">MIN(30-SUM(J1731:L1731),6-L1731,_xlfn.XLOOKUP($D1731&amp;"_"&amp;I$61,$B$23:$B$45&amp;"_"&amp;$C$23:$C$45,$D$23:$D$45)*$E1731)</f>
        <v>0</v>
      </c>
      <c r="J1731" s="67" cm="1">
        <f ca="1" t="array" ref="J1731">MIN(8,_xlfn.XLOOKUP($D1731&amp;"_"&amp;J$61,$B$23:$B$45&amp;"_"&amp;$C$23:$C$45,$D$23:$D$45)*$E1731)</f>
        <v>8</v>
      </c>
      <c r="K1731" s="67" cm="1">
        <f ca="1" t="array" ref="K1731">MIN(18,_xlfn.XLOOKUP($D1731&amp;"_"&amp;K$61,$B$23:$B$45&amp;"_"&amp;$C$23:$C$45,$D$23:$D$45)*$E1731)</f>
        <v>6.85359477124184</v>
      </c>
      <c r="L1731" s="67" cm="1">
        <f ca="1" t="array" ref="L1731">MIN(6,_xlfn.XLOOKUP($D1731&amp;"_"&amp;L$61,$B$23:$B$45&amp;"_"&amp;$C$23:$C$45,$D$23:$D$45)*$E1731)</f>
        <v>6</v>
      </c>
      <c r="M1731" s="67" cm="1">
        <f ca="1" t="array" ref="M1731">(1+SUMPRODUCT(G1731:H1731,OFFSET($H$49:$I$49,D1731,0)))*(1+OFFSET($J$49,D1731,0))^I1731*(1+OFFSET($K$49,D1731,0))^J1731*(1+OFFSET($L$49,D1731,0))^K1731*(1+OFFSET($M$49,D1731,0))^L1731</f>
        <v>481.268348989566</v>
      </c>
      <c r="N1731" s="67">
        <f ca="1">MAX(MAX($N$62:N1730),OFFSET($C$61,MATCH(M1731*1.07,$M$62:$M$2061,1),0)-C1731)</f>
        <v>54720</v>
      </c>
    </row>
    <row r="1732" spans="2:14">
      <c r="B1732" s="67">
        <v>1671</v>
      </c>
      <c r="C1732" s="67">
        <f t="shared" si="159"/>
        <v>601560</v>
      </c>
      <c r="D1732" s="67">
        <f t="shared" si="162"/>
        <v>5</v>
      </c>
      <c r="E1732" s="67">
        <f ca="1" t="shared" si="163"/>
        <v>1701</v>
      </c>
      <c r="F1732" s="67">
        <f ca="1" t="shared" si="160"/>
        <v>0</v>
      </c>
      <c r="G1732" s="67">
        <f ca="1" t="shared" si="161"/>
        <v>0</v>
      </c>
      <c r="H1732" s="67" cm="1">
        <f ca="1" t="array" ref="H1732">MIN(30-SUM(I1732:L1732),_xlfn.XLOOKUP($D1732&amp;"_"&amp;H$61,$B$23:$B$45&amp;"_"&amp;$C$23:$C$45,$D$23:$D$45)*$E1732,18)</f>
        <v>9.14237370242214</v>
      </c>
      <c r="I1732" s="67" cm="1">
        <f ca="1" t="array" ref="I1732">MIN(30-SUM(J1732:L1732),6-L1732,_xlfn.XLOOKUP($D1732&amp;"_"&amp;I$61,$B$23:$B$45&amp;"_"&amp;$C$23:$C$45,$D$23:$D$45)*$E1732)</f>
        <v>0</v>
      </c>
      <c r="J1732" s="67" cm="1">
        <f ca="1" t="array" ref="J1732">MIN(8,_xlfn.XLOOKUP($D1732&amp;"_"&amp;J$61,$B$23:$B$45&amp;"_"&amp;$C$23:$C$45,$D$23:$D$45)*$E1732)</f>
        <v>8</v>
      </c>
      <c r="K1732" s="67" cm="1">
        <f ca="1" t="array" ref="K1732">MIN(18,_xlfn.XLOOKUP($D1732&amp;"_"&amp;K$61,$B$23:$B$45&amp;"_"&amp;$C$23:$C$45,$D$23:$D$45)*$E1732)</f>
        <v>6.85762629757786</v>
      </c>
      <c r="L1732" s="67" cm="1">
        <f ca="1" t="array" ref="L1732">MIN(6,_xlfn.XLOOKUP($D1732&amp;"_"&amp;L$61,$B$23:$B$45&amp;"_"&amp;$C$23:$C$45,$D$23:$D$45)*$E1732)</f>
        <v>6</v>
      </c>
      <c r="M1732" s="67" cm="1">
        <f ca="1" t="array" ref="M1732">(1+SUMPRODUCT(G1732:H1732,OFFSET($H$49:$I$49,D1732,0)))*(1+OFFSET($J$49,D1732,0))^I1732*(1+OFFSET($K$49,D1732,0))^J1732*(1+OFFSET($L$49,D1732,0))^K1732*(1+OFFSET($M$49,D1732,0))^L1732</f>
        <v>481.484972151118</v>
      </c>
      <c r="N1732" s="67">
        <f ca="1">MAX(MAX($N$62:N1731),OFFSET($C$61,MATCH(M1732*1.07,$M$62:$M$2061,1),0)-C1732)</f>
        <v>54720</v>
      </c>
    </row>
    <row r="1733" spans="2:14">
      <c r="B1733" s="67">
        <v>1672</v>
      </c>
      <c r="C1733" s="67">
        <f t="shared" si="159"/>
        <v>601920</v>
      </c>
      <c r="D1733" s="67">
        <f t="shared" si="162"/>
        <v>5</v>
      </c>
      <c r="E1733" s="67">
        <f ca="1" t="shared" si="163"/>
        <v>1702</v>
      </c>
      <c r="F1733" s="67">
        <f ca="1" t="shared" si="160"/>
        <v>0</v>
      </c>
      <c r="G1733" s="67">
        <f ca="1" t="shared" si="161"/>
        <v>0</v>
      </c>
      <c r="H1733" s="67" cm="1">
        <f ca="1" t="array" ref="H1733">MIN(30-SUM(I1733:L1733),_xlfn.XLOOKUP($D1733&amp;"_"&amp;H$61,$B$23:$B$45&amp;"_"&amp;$C$23:$C$45,$D$23:$D$45)*$E1733,18)</f>
        <v>9.13834217608611</v>
      </c>
      <c r="I1733" s="67" cm="1">
        <f ca="1" t="array" ref="I1733">MIN(30-SUM(J1733:L1733),6-L1733,_xlfn.XLOOKUP($D1733&amp;"_"&amp;I$61,$B$23:$B$45&amp;"_"&amp;$C$23:$C$45,$D$23:$D$45)*$E1733)</f>
        <v>0</v>
      </c>
      <c r="J1733" s="67" cm="1">
        <f ca="1" t="array" ref="J1733">MIN(8,_xlfn.XLOOKUP($D1733&amp;"_"&amp;J$61,$B$23:$B$45&amp;"_"&amp;$C$23:$C$45,$D$23:$D$45)*$E1733)</f>
        <v>8</v>
      </c>
      <c r="K1733" s="67" cm="1">
        <f ca="1" t="array" ref="K1733">MIN(18,_xlfn.XLOOKUP($D1733&amp;"_"&amp;K$61,$B$23:$B$45&amp;"_"&amp;$C$23:$C$45,$D$23:$D$45)*$E1733)</f>
        <v>6.86165782391389</v>
      </c>
      <c r="L1733" s="67" cm="1">
        <f ca="1" t="array" ref="L1733">MIN(6,_xlfn.XLOOKUP($D1733&amp;"_"&amp;L$61,$B$23:$B$45&amp;"_"&amp;$C$23:$C$45,$D$23:$D$45)*$E1733)</f>
        <v>6</v>
      </c>
      <c r="M1733" s="67" cm="1">
        <f ca="1" t="array" ref="M1733">(1+SUMPRODUCT(G1733:H1733,OFFSET($H$49:$I$49,D1733,0)))*(1+OFFSET($J$49,D1733,0))^I1733*(1+OFFSET($K$49,D1733,0))^J1733*(1+OFFSET($L$49,D1733,0))^K1733*(1+OFFSET($M$49,D1733,0))^L1733</f>
        <v>481.701653672018</v>
      </c>
      <c r="N1733" s="67">
        <f ca="1">MAX(MAX($N$62:N1732),OFFSET($C$61,MATCH(M1733*1.07,$M$62:$M$2061,1),0)-C1733)</f>
        <v>54720</v>
      </c>
    </row>
    <row r="1734" spans="2:14">
      <c r="B1734" s="67">
        <v>1673</v>
      </c>
      <c r="C1734" s="67">
        <f t="shared" si="159"/>
        <v>602280</v>
      </c>
      <c r="D1734" s="67">
        <f t="shared" si="162"/>
        <v>5</v>
      </c>
      <c r="E1734" s="67">
        <f ca="1" t="shared" si="163"/>
        <v>1703</v>
      </c>
      <c r="F1734" s="67">
        <f ca="1" t="shared" si="160"/>
        <v>0</v>
      </c>
      <c r="G1734" s="67">
        <f ca="1" t="shared" si="161"/>
        <v>0</v>
      </c>
      <c r="H1734" s="67" cm="1">
        <f ca="1" t="array" ref="H1734">MIN(30-SUM(I1734:L1734),_xlfn.XLOOKUP($D1734&amp;"_"&amp;H$61,$B$23:$B$45&amp;"_"&amp;$C$23:$C$45,$D$23:$D$45)*$E1734,18)</f>
        <v>9.13431064975009</v>
      </c>
      <c r="I1734" s="67" cm="1">
        <f ca="1" t="array" ref="I1734">MIN(30-SUM(J1734:L1734),6-L1734,_xlfn.XLOOKUP($D1734&amp;"_"&amp;I$61,$B$23:$B$45&amp;"_"&amp;$C$23:$C$45,$D$23:$D$45)*$E1734)</f>
        <v>0</v>
      </c>
      <c r="J1734" s="67" cm="1">
        <f ca="1" t="array" ref="J1734">MIN(8,_xlfn.XLOOKUP($D1734&amp;"_"&amp;J$61,$B$23:$B$45&amp;"_"&amp;$C$23:$C$45,$D$23:$D$45)*$E1734)</f>
        <v>8</v>
      </c>
      <c r="K1734" s="67" cm="1">
        <f ca="1" t="array" ref="K1734">MIN(18,_xlfn.XLOOKUP($D1734&amp;"_"&amp;K$61,$B$23:$B$45&amp;"_"&amp;$C$23:$C$45,$D$23:$D$45)*$E1734)</f>
        <v>6.86568935024991</v>
      </c>
      <c r="L1734" s="67" cm="1">
        <f ca="1" t="array" ref="L1734">MIN(6,_xlfn.XLOOKUP($D1734&amp;"_"&amp;L$61,$B$23:$B$45&amp;"_"&amp;$C$23:$C$45,$D$23:$D$45)*$E1734)</f>
        <v>6</v>
      </c>
      <c r="M1734" s="67" cm="1">
        <f ca="1" t="array" ref="M1734">(1+SUMPRODUCT(G1734:H1734,OFFSET($H$49:$I$49,D1734,0)))*(1+OFFSET($J$49,D1734,0))^I1734*(1+OFFSET($K$49,D1734,0))^J1734*(1+OFFSET($L$49,D1734,0))^K1734*(1+OFFSET($M$49,D1734,0))^L1734</f>
        <v>481.918393520967</v>
      </c>
      <c r="N1734" s="67">
        <f ca="1">MAX(MAX($N$62:N1733),OFFSET($C$61,MATCH(M1734*1.07,$M$62:$M$2061,1),0)-C1734)</f>
        <v>54720</v>
      </c>
    </row>
    <row r="1735" spans="2:14">
      <c r="B1735" s="67">
        <v>1674</v>
      </c>
      <c r="C1735" s="67">
        <f t="shared" si="159"/>
        <v>602640</v>
      </c>
      <c r="D1735" s="67">
        <f t="shared" si="162"/>
        <v>5</v>
      </c>
      <c r="E1735" s="67">
        <f ca="1" t="shared" si="163"/>
        <v>1704</v>
      </c>
      <c r="F1735" s="67">
        <f ca="1" t="shared" si="160"/>
        <v>0</v>
      </c>
      <c r="G1735" s="67">
        <f ca="1" t="shared" si="161"/>
        <v>0</v>
      </c>
      <c r="H1735" s="67" cm="1">
        <f ca="1" t="array" ref="H1735">MIN(30-SUM(I1735:L1735),_xlfn.XLOOKUP($D1735&amp;"_"&amp;H$61,$B$23:$B$45&amp;"_"&amp;$C$23:$C$45,$D$23:$D$45)*$E1735,18)</f>
        <v>9.13027912341407</v>
      </c>
      <c r="I1735" s="67" cm="1">
        <f ca="1" t="array" ref="I1735">MIN(30-SUM(J1735:L1735),6-L1735,_xlfn.XLOOKUP($D1735&amp;"_"&amp;I$61,$B$23:$B$45&amp;"_"&amp;$C$23:$C$45,$D$23:$D$45)*$E1735)</f>
        <v>0</v>
      </c>
      <c r="J1735" s="67" cm="1">
        <f ca="1" t="array" ref="J1735">MIN(8,_xlfn.XLOOKUP($D1735&amp;"_"&amp;J$61,$B$23:$B$45&amp;"_"&amp;$C$23:$C$45,$D$23:$D$45)*$E1735)</f>
        <v>8</v>
      </c>
      <c r="K1735" s="67" cm="1">
        <f ca="1" t="array" ref="K1735">MIN(18,_xlfn.XLOOKUP($D1735&amp;"_"&amp;K$61,$B$23:$B$45&amp;"_"&amp;$C$23:$C$45,$D$23:$D$45)*$E1735)</f>
        <v>6.86972087658593</v>
      </c>
      <c r="L1735" s="67" cm="1">
        <f ca="1" t="array" ref="L1735">MIN(6,_xlfn.XLOOKUP($D1735&amp;"_"&amp;L$61,$B$23:$B$45&amp;"_"&amp;$C$23:$C$45,$D$23:$D$45)*$E1735)</f>
        <v>6</v>
      </c>
      <c r="M1735" s="67" cm="1">
        <f ca="1" t="array" ref="M1735">(1+SUMPRODUCT(G1735:H1735,OFFSET($H$49:$I$49,D1735,0)))*(1+OFFSET($J$49,D1735,0))^I1735*(1+OFFSET($K$49,D1735,0))^J1735*(1+OFFSET($L$49,D1735,0))^K1735*(1+OFFSET($M$49,D1735,0))^L1735</f>
        <v>482.135191666589</v>
      </c>
      <c r="N1735" s="67">
        <f ca="1">MAX(MAX($N$62:N1734),OFFSET($C$61,MATCH(M1735*1.07,$M$62:$M$2061,1),0)-C1735)</f>
        <v>54720</v>
      </c>
    </row>
    <row r="1736" spans="2:14">
      <c r="B1736" s="67">
        <v>1675</v>
      </c>
      <c r="C1736" s="67">
        <f t="shared" si="159"/>
        <v>603000</v>
      </c>
      <c r="D1736" s="67">
        <f t="shared" si="162"/>
        <v>5</v>
      </c>
      <c r="E1736" s="67">
        <f ca="1" t="shared" si="163"/>
        <v>1705</v>
      </c>
      <c r="F1736" s="67">
        <f ca="1" t="shared" si="160"/>
        <v>0</v>
      </c>
      <c r="G1736" s="67">
        <f ca="1" t="shared" si="161"/>
        <v>0</v>
      </c>
      <c r="H1736" s="67" cm="1">
        <f ca="1" t="array" ref="H1736">MIN(30-SUM(I1736:L1736),_xlfn.XLOOKUP($D1736&amp;"_"&amp;H$61,$B$23:$B$45&amp;"_"&amp;$C$23:$C$45,$D$23:$D$45)*$E1736,18)</f>
        <v>9.12624759707804</v>
      </c>
      <c r="I1736" s="67" cm="1">
        <f ca="1" t="array" ref="I1736">MIN(30-SUM(J1736:L1736),6-L1736,_xlfn.XLOOKUP($D1736&amp;"_"&amp;I$61,$B$23:$B$45&amp;"_"&amp;$C$23:$C$45,$D$23:$D$45)*$E1736)</f>
        <v>0</v>
      </c>
      <c r="J1736" s="67" cm="1">
        <f ca="1" t="array" ref="J1736">MIN(8,_xlfn.XLOOKUP($D1736&amp;"_"&amp;J$61,$B$23:$B$45&amp;"_"&amp;$C$23:$C$45,$D$23:$D$45)*$E1736)</f>
        <v>8</v>
      </c>
      <c r="K1736" s="67" cm="1">
        <f ca="1" t="array" ref="K1736">MIN(18,_xlfn.XLOOKUP($D1736&amp;"_"&amp;K$61,$B$23:$B$45&amp;"_"&amp;$C$23:$C$45,$D$23:$D$45)*$E1736)</f>
        <v>6.87375240292196</v>
      </c>
      <c r="L1736" s="67" cm="1">
        <f ca="1" t="array" ref="L1736">MIN(6,_xlfn.XLOOKUP($D1736&amp;"_"&amp;L$61,$B$23:$B$45&amp;"_"&amp;$C$23:$C$45,$D$23:$D$45)*$E1736)</f>
        <v>6</v>
      </c>
      <c r="M1736" s="67" cm="1">
        <f ca="1" t="array" ref="M1736">(1+SUMPRODUCT(G1736:H1736,OFFSET($H$49:$I$49,D1736,0)))*(1+OFFSET($J$49,D1736,0))^I1736*(1+OFFSET($K$49,D1736,0))^J1736*(1+OFFSET($L$49,D1736,0))^K1736*(1+OFFSET($M$49,D1736,0))^L1736</f>
        <v>482.352048077431</v>
      </c>
      <c r="N1736" s="67">
        <f ca="1">MAX(MAX($N$62:N1735),OFFSET($C$61,MATCH(M1736*1.07,$M$62:$M$2061,1),0)-C1736)</f>
        <v>54720</v>
      </c>
    </row>
    <row r="1737" spans="2:14">
      <c r="B1737" s="67">
        <v>1676</v>
      </c>
      <c r="C1737" s="67">
        <f t="shared" si="159"/>
        <v>603360</v>
      </c>
      <c r="D1737" s="67">
        <f t="shared" si="162"/>
        <v>5</v>
      </c>
      <c r="E1737" s="67">
        <f ca="1" t="shared" si="163"/>
        <v>1706</v>
      </c>
      <c r="F1737" s="67">
        <f ca="1" t="shared" si="160"/>
        <v>0</v>
      </c>
      <c r="G1737" s="67">
        <f ca="1" t="shared" si="161"/>
        <v>0</v>
      </c>
      <c r="H1737" s="67" cm="1">
        <f ca="1" t="array" ref="H1737">MIN(30-SUM(I1737:L1737),_xlfn.XLOOKUP($D1737&amp;"_"&amp;H$61,$B$23:$B$45&amp;"_"&amp;$C$23:$C$45,$D$23:$D$45)*$E1737,18)</f>
        <v>9.12221607074202</v>
      </c>
      <c r="I1737" s="67" cm="1">
        <f ca="1" t="array" ref="I1737">MIN(30-SUM(J1737:L1737),6-L1737,_xlfn.XLOOKUP($D1737&amp;"_"&amp;I$61,$B$23:$B$45&amp;"_"&amp;$C$23:$C$45,$D$23:$D$45)*$E1737)</f>
        <v>0</v>
      </c>
      <c r="J1737" s="67" cm="1">
        <f ca="1" t="array" ref="J1737">MIN(8,_xlfn.XLOOKUP($D1737&amp;"_"&amp;J$61,$B$23:$B$45&amp;"_"&amp;$C$23:$C$45,$D$23:$D$45)*$E1737)</f>
        <v>8</v>
      </c>
      <c r="K1737" s="67" cm="1">
        <f ca="1" t="array" ref="K1737">MIN(18,_xlfn.XLOOKUP($D1737&amp;"_"&amp;K$61,$B$23:$B$45&amp;"_"&amp;$C$23:$C$45,$D$23:$D$45)*$E1737)</f>
        <v>6.87778392925798</v>
      </c>
      <c r="L1737" s="67" cm="1">
        <f ca="1" t="array" ref="L1737">MIN(6,_xlfn.XLOOKUP($D1737&amp;"_"&amp;L$61,$B$23:$B$45&amp;"_"&amp;$C$23:$C$45,$D$23:$D$45)*$E1737)</f>
        <v>6</v>
      </c>
      <c r="M1737" s="67" cm="1">
        <f ca="1" t="array" ref="M1737">(1+SUMPRODUCT(G1737:H1737,OFFSET($H$49:$I$49,D1737,0)))*(1+OFFSET($J$49,D1737,0))^I1737*(1+OFFSET($K$49,D1737,0))^J1737*(1+OFFSET($L$49,D1737,0))^K1737*(1+OFFSET($M$49,D1737,0))^L1737</f>
        <v>482.56896272196</v>
      </c>
      <c r="N1737" s="67">
        <f ca="1">MAX(MAX($N$62:N1736),OFFSET($C$61,MATCH(M1737*1.07,$M$62:$M$2061,1),0)-C1737)</f>
        <v>54720</v>
      </c>
    </row>
    <row r="1738" spans="2:14">
      <c r="B1738" s="67">
        <v>1677</v>
      </c>
      <c r="C1738" s="67">
        <f t="shared" si="159"/>
        <v>603720</v>
      </c>
      <c r="D1738" s="67">
        <f t="shared" si="162"/>
        <v>5</v>
      </c>
      <c r="E1738" s="67">
        <f ca="1" t="shared" si="163"/>
        <v>1707</v>
      </c>
      <c r="F1738" s="67">
        <f ca="1" t="shared" si="160"/>
        <v>0</v>
      </c>
      <c r="G1738" s="67">
        <f ca="1" t="shared" si="161"/>
        <v>0</v>
      </c>
      <c r="H1738" s="67" cm="1">
        <f ca="1" t="array" ref="H1738">MIN(30-SUM(I1738:L1738),_xlfn.XLOOKUP($D1738&amp;"_"&amp;H$61,$B$23:$B$45&amp;"_"&amp;$C$23:$C$45,$D$23:$D$45)*$E1738,18)</f>
        <v>9.11818454440599</v>
      </c>
      <c r="I1738" s="67" cm="1">
        <f ca="1" t="array" ref="I1738">MIN(30-SUM(J1738:L1738),6-L1738,_xlfn.XLOOKUP($D1738&amp;"_"&amp;I$61,$B$23:$B$45&amp;"_"&amp;$C$23:$C$45,$D$23:$D$45)*$E1738)</f>
        <v>0</v>
      </c>
      <c r="J1738" s="67" cm="1">
        <f ca="1" t="array" ref="J1738">MIN(8,_xlfn.XLOOKUP($D1738&amp;"_"&amp;J$61,$B$23:$B$45&amp;"_"&amp;$C$23:$C$45,$D$23:$D$45)*$E1738)</f>
        <v>8</v>
      </c>
      <c r="K1738" s="67" cm="1">
        <f ca="1" t="array" ref="K1738">MIN(18,_xlfn.XLOOKUP($D1738&amp;"_"&amp;K$61,$B$23:$B$45&amp;"_"&amp;$C$23:$C$45,$D$23:$D$45)*$E1738)</f>
        <v>6.88181545559401</v>
      </c>
      <c r="L1738" s="67" cm="1">
        <f ca="1" t="array" ref="L1738">MIN(6,_xlfn.XLOOKUP($D1738&amp;"_"&amp;L$61,$B$23:$B$45&amp;"_"&amp;$C$23:$C$45,$D$23:$D$45)*$E1738)</f>
        <v>6</v>
      </c>
      <c r="M1738" s="67" cm="1">
        <f ca="1" t="array" ref="M1738">(1+SUMPRODUCT(G1738:H1738,OFFSET($H$49:$I$49,D1738,0)))*(1+OFFSET($J$49,D1738,0))^I1738*(1+OFFSET($K$49,D1738,0))^J1738*(1+OFFSET($L$49,D1738,0))^K1738*(1+OFFSET($M$49,D1738,0))^L1738</f>
        <v>482.785935568569</v>
      </c>
      <c r="N1738" s="67">
        <f ca="1">MAX(MAX($N$62:N1737),OFFSET($C$61,MATCH(M1738*1.07,$M$62:$M$2061,1),0)-C1738)</f>
        <v>54720</v>
      </c>
    </row>
    <row r="1739" spans="2:14">
      <c r="B1739" s="67">
        <v>1678</v>
      </c>
      <c r="C1739" s="67">
        <f t="shared" si="159"/>
        <v>604080</v>
      </c>
      <c r="D1739" s="67">
        <f t="shared" si="162"/>
        <v>5</v>
      </c>
      <c r="E1739" s="67">
        <f ca="1" t="shared" si="163"/>
        <v>1708</v>
      </c>
      <c r="F1739" s="67">
        <f ca="1" t="shared" si="160"/>
        <v>0</v>
      </c>
      <c r="G1739" s="67">
        <f ca="1" t="shared" si="161"/>
        <v>0</v>
      </c>
      <c r="H1739" s="67" cm="1">
        <f ca="1" t="array" ref="H1739">MIN(30-SUM(I1739:L1739),_xlfn.XLOOKUP($D1739&amp;"_"&amp;H$61,$B$23:$B$45&amp;"_"&amp;$C$23:$C$45,$D$23:$D$45)*$E1739,18)</f>
        <v>9.11415301806997</v>
      </c>
      <c r="I1739" s="67" cm="1">
        <f ca="1" t="array" ref="I1739">MIN(30-SUM(J1739:L1739),6-L1739,_xlfn.XLOOKUP($D1739&amp;"_"&amp;I$61,$B$23:$B$45&amp;"_"&amp;$C$23:$C$45,$D$23:$D$45)*$E1739)</f>
        <v>0</v>
      </c>
      <c r="J1739" s="67" cm="1">
        <f ca="1" t="array" ref="J1739">MIN(8,_xlfn.XLOOKUP($D1739&amp;"_"&amp;J$61,$B$23:$B$45&amp;"_"&amp;$C$23:$C$45,$D$23:$D$45)*$E1739)</f>
        <v>8</v>
      </c>
      <c r="K1739" s="67" cm="1">
        <f ca="1" t="array" ref="K1739">MIN(18,_xlfn.XLOOKUP($D1739&amp;"_"&amp;K$61,$B$23:$B$45&amp;"_"&amp;$C$23:$C$45,$D$23:$D$45)*$E1739)</f>
        <v>6.88584698193003</v>
      </c>
      <c r="L1739" s="67" cm="1">
        <f ca="1" t="array" ref="L1739">MIN(6,_xlfn.XLOOKUP($D1739&amp;"_"&amp;L$61,$B$23:$B$45&amp;"_"&amp;$C$23:$C$45,$D$23:$D$45)*$E1739)</f>
        <v>6</v>
      </c>
      <c r="M1739" s="67" cm="1">
        <f ca="1" t="array" ref="M1739">(1+SUMPRODUCT(G1739:H1739,OFFSET($H$49:$I$49,D1739,0)))*(1+OFFSET($J$49,D1739,0))^I1739*(1+OFFSET($K$49,D1739,0))^J1739*(1+OFFSET($L$49,D1739,0))^K1739*(1+OFFSET($M$49,D1739,0))^L1739</f>
        <v>483.002966585568</v>
      </c>
      <c r="N1739" s="67">
        <f ca="1">MAX(MAX($N$62:N1738),OFFSET($C$61,MATCH(M1739*1.07,$M$62:$M$2061,1),0)-C1739)</f>
        <v>54720</v>
      </c>
    </row>
    <row r="1740" spans="2:14">
      <c r="B1740" s="67">
        <v>1679</v>
      </c>
      <c r="C1740" s="67">
        <f t="shared" si="159"/>
        <v>604440</v>
      </c>
      <c r="D1740" s="67">
        <f t="shared" si="162"/>
        <v>5</v>
      </c>
      <c r="E1740" s="67">
        <f ca="1" t="shared" si="163"/>
        <v>1709</v>
      </c>
      <c r="F1740" s="67">
        <f ca="1" t="shared" si="160"/>
        <v>0</v>
      </c>
      <c r="G1740" s="67">
        <f ca="1" t="shared" si="161"/>
        <v>0</v>
      </c>
      <c r="H1740" s="67" cm="1">
        <f ca="1" t="array" ref="H1740">MIN(30-SUM(I1740:L1740),_xlfn.XLOOKUP($D1740&amp;"_"&amp;H$61,$B$23:$B$45&amp;"_"&amp;$C$23:$C$45,$D$23:$D$45)*$E1740,18)</f>
        <v>9.11012149173394</v>
      </c>
      <c r="I1740" s="67" cm="1">
        <f ca="1" t="array" ref="I1740">MIN(30-SUM(J1740:L1740),6-L1740,_xlfn.XLOOKUP($D1740&amp;"_"&amp;I$61,$B$23:$B$45&amp;"_"&amp;$C$23:$C$45,$D$23:$D$45)*$E1740)</f>
        <v>0</v>
      </c>
      <c r="J1740" s="67" cm="1">
        <f ca="1" t="array" ref="J1740">MIN(8,_xlfn.XLOOKUP($D1740&amp;"_"&amp;J$61,$B$23:$B$45&amp;"_"&amp;$C$23:$C$45,$D$23:$D$45)*$E1740)</f>
        <v>8</v>
      </c>
      <c r="K1740" s="67" cm="1">
        <f ca="1" t="array" ref="K1740">MIN(18,_xlfn.XLOOKUP($D1740&amp;"_"&amp;K$61,$B$23:$B$45&amp;"_"&amp;$C$23:$C$45,$D$23:$D$45)*$E1740)</f>
        <v>6.88987850826606</v>
      </c>
      <c r="L1740" s="67" cm="1">
        <f ca="1" t="array" ref="L1740">MIN(6,_xlfn.XLOOKUP($D1740&amp;"_"&amp;L$61,$B$23:$B$45&amp;"_"&amp;$C$23:$C$45,$D$23:$D$45)*$E1740)</f>
        <v>6</v>
      </c>
      <c r="M1740" s="67" cm="1">
        <f ca="1" t="array" ref="M1740">(1+SUMPRODUCT(G1740:H1740,OFFSET($H$49:$I$49,D1740,0)))*(1+OFFSET($J$49,D1740,0))^I1740*(1+OFFSET($K$49,D1740,0))^J1740*(1+OFFSET($L$49,D1740,0))^K1740*(1+OFFSET($M$49,D1740,0))^L1740</f>
        <v>483.220055741194</v>
      </c>
      <c r="N1740" s="67">
        <f ca="1">MAX(MAX($N$62:N1739),OFFSET($C$61,MATCH(M1740*1.07,$M$62:$M$2061,1),0)-C1740)</f>
        <v>54720</v>
      </c>
    </row>
    <row r="1741" spans="2:14">
      <c r="B1741" s="67">
        <v>1680</v>
      </c>
      <c r="C1741" s="67">
        <f t="shared" si="159"/>
        <v>604800</v>
      </c>
      <c r="D1741" s="67">
        <f t="shared" si="162"/>
        <v>5</v>
      </c>
      <c r="E1741" s="67">
        <f ca="1" t="shared" si="163"/>
        <v>1710</v>
      </c>
      <c r="F1741" s="67">
        <f ca="1" t="shared" si="160"/>
        <v>0</v>
      </c>
      <c r="G1741" s="67">
        <f ca="1" t="shared" si="161"/>
        <v>0</v>
      </c>
      <c r="H1741" s="67" cm="1">
        <f ca="1" t="array" ref="H1741">MIN(30-SUM(I1741:L1741),_xlfn.XLOOKUP($D1741&amp;"_"&amp;H$61,$B$23:$B$45&amp;"_"&amp;$C$23:$C$45,$D$23:$D$45)*$E1741,18)</f>
        <v>9.10608996539792</v>
      </c>
      <c r="I1741" s="67" cm="1">
        <f ca="1" t="array" ref="I1741">MIN(30-SUM(J1741:L1741),6-L1741,_xlfn.XLOOKUP($D1741&amp;"_"&amp;I$61,$B$23:$B$45&amp;"_"&amp;$C$23:$C$45,$D$23:$D$45)*$E1741)</f>
        <v>0</v>
      </c>
      <c r="J1741" s="67" cm="1">
        <f ca="1" t="array" ref="J1741">MIN(8,_xlfn.XLOOKUP($D1741&amp;"_"&amp;J$61,$B$23:$B$45&amp;"_"&amp;$C$23:$C$45,$D$23:$D$45)*$E1741)</f>
        <v>8</v>
      </c>
      <c r="K1741" s="67" cm="1">
        <f ca="1" t="array" ref="K1741">MIN(18,_xlfn.XLOOKUP($D1741&amp;"_"&amp;K$61,$B$23:$B$45&amp;"_"&amp;$C$23:$C$45,$D$23:$D$45)*$E1741)</f>
        <v>6.89391003460208</v>
      </c>
      <c r="L1741" s="67" cm="1">
        <f ca="1" t="array" ref="L1741">MIN(6,_xlfn.XLOOKUP($D1741&amp;"_"&amp;L$61,$B$23:$B$45&amp;"_"&amp;$C$23:$C$45,$D$23:$D$45)*$E1741)</f>
        <v>6</v>
      </c>
      <c r="M1741" s="67" cm="1">
        <f ca="1" t="array" ref="M1741">(1+SUMPRODUCT(G1741:H1741,OFFSET($H$49:$I$49,D1741,0)))*(1+OFFSET($J$49,D1741,0))^I1741*(1+OFFSET($K$49,D1741,0))^J1741*(1+OFFSET($L$49,D1741,0))^K1741*(1+OFFSET($M$49,D1741,0))^L1741</f>
        <v>483.437203003602</v>
      </c>
      <c r="N1741" s="67">
        <f ca="1">MAX(MAX($N$62:N1740),OFFSET($C$61,MATCH(M1741*1.07,$M$62:$M$2061,1),0)-C1741)</f>
        <v>54720</v>
      </c>
    </row>
    <row r="1742" spans="2:14">
      <c r="B1742" s="67">
        <v>1681</v>
      </c>
      <c r="C1742" s="67">
        <f t="shared" si="159"/>
        <v>605160</v>
      </c>
      <c r="D1742" s="67">
        <f t="shared" si="162"/>
        <v>5</v>
      </c>
      <c r="E1742" s="67">
        <f ca="1" t="shared" si="163"/>
        <v>1711</v>
      </c>
      <c r="F1742" s="67">
        <f ca="1" t="shared" si="160"/>
        <v>0</v>
      </c>
      <c r="G1742" s="67">
        <f ca="1" t="shared" si="161"/>
        <v>0</v>
      </c>
      <c r="H1742" s="67" cm="1">
        <f ca="1" t="array" ref="H1742">MIN(30-SUM(I1742:L1742),_xlfn.XLOOKUP($D1742&amp;"_"&amp;H$61,$B$23:$B$45&amp;"_"&amp;$C$23:$C$45,$D$23:$D$45)*$E1742,18)</f>
        <v>9.10205843906189</v>
      </c>
      <c r="I1742" s="67" cm="1">
        <f ca="1" t="array" ref="I1742">MIN(30-SUM(J1742:L1742),6-L1742,_xlfn.XLOOKUP($D1742&amp;"_"&amp;I$61,$B$23:$B$45&amp;"_"&amp;$C$23:$C$45,$D$23:$D$45)*$E1742)</f>
        <v>0</v>
      </c>
      <c r="J1742" s="67" cm="1">
        <f ca="1" t="array" ref="J1742">MIN(8,_xlfn.XLOOKUP($D1742&amp;"_"&amp;J$61,$B$23:$B$45&amp;"_"&amp;$C$23:$C$45,$D$23:$D$45)*$E1742)</f>
        <v>8</v>
      </c>
      <c r="K1742" s="67" cm="1">
        <f ca="1" t="array" ref="K1742">MIN(18,_xlfn.XLOOKUP($D1742&amp;"_"&amp;K$61,$B$23:$B$45&amp;"_"&amp;$C$23:$C$45,$D$23:$D$45)*$E1742)</f>
        <v>6.89794156093811</v>
      </c>
      <c r="L1742" s="67" cm="1">
        <f ca="1" t="array" ref="L1742">MIN(6,_xlfn.XLOOKUP($D1742&amp;"_"&amp;L$61,$B$23:$B$45&amp;"_"&amp;$C$23:$C$45,$D$23:$D$45)*$E1742)</f>
        <v>6</v>
      </c>
      <c r="M1742" s="67" cm="1">
        <f ca="1" t="array" ref="M1742">(1+SUMPRODUCT(G1742:H1742,OFFSET($H$49:$I$49,D1742,0)))*(1+OFFSET($J$49,D1742,0))^I1742*(1+OFFSET($K$49,D1742,0))^J1742*(1+OFFSET($L$49,D1742,0))^K1742*(1+OFFSET($M$49,D1742,0))^L1742</f>
        <v>483.654408340871</v>
      </c>
      <c r="N1742" s="67">
        <f ca="1">MAX(MAX($N$62:N1741),OFFSET($C$61,MATCH(M1742*1.07,$M$62:$M$2061,1),0)-C1742)</f>
        <v>54720</v>
      </c>
    </row>
    <row r="1743" spans="2:14">
      <c r="B1743" s="67">
        <v>1682</v>
      </c>
      <c r="C1743" s="67">
        <f t="shared" si="159"/>
        <v>605520</v>
      </c>
      <c r="D1743" s="67">
        <f t="shared" si="162"/>
        <v>5</v>
      </c>
      <c r="E1743" s="67">
        <f ca="1" t="shared" si="163"/>
        <v>1712</v>
      </c>
      <c r="F1743" s="67">
        <f ca="1" t="shared" si="160"/>
        <v>0</v>
      </c>
      <c r="G1743" s="67">
        <f ca="1" t="shared" si="161"/>
        <v>0</v>
      </c>
      <c r="H1743" s="67" cm="1">
        <f ca="1" t="array" ref="H1743">MIN(30-SUM(I1743:L1743),_xlfn.XLOOKUP($D1743&amp;"_"&amp;H$61,$B$23:$B$45&amp;"_"&amp;$C$23:$C$45,$D$23:$D$45)*$E1743,18)</f>
        <v>9.09802691272587</v>
      </c>
      <c r="I1743" s="67" cm="1">
        <f ca="1" t="array" ref="I1743">MIN(30-SUM(J1743:L1743),6-L1743,_xlfn.XLOOKUP($D1743&amp;"_"&amp;I$61,$B$23:$B$45&amp;"_"&amp;$C$23:$C$45,$D$23:$D$45)*$E1743)</f>
        <v>0</v>
      </c>
      <c r="J1743" s="67" cm="1">
        <f ca="1" t="array" ref="J1743">MIN(8,_xlfn.XLOOKUP($D1743&amp;"_"&amp;J$61,$B$23:$B$45&amp;"_"&amp;$C$23:$C$45,$D$23:$D$45)*$E1743)</f>
        <v>8</v>
      </c>
      <c r="K1743" s="67" cm="1">
        <f ca="1" t="array" ref="K1743">MIN(18,_xlfn.XLOOKUP($D1743&amp;"_"&amp;K$61,$B$23:$B$45&amp;"_"&amp;$C$23:$C$45,$D$23:$D$45)*$E1743)</f>
        <v>6.90197308727413</v>
      </c>
      <c r="L1743" s="67" cm="1">
        <f ca="1" t="array" ref="L1743">MIN(6,_xlfn.XLOOKUP($D1743&amp;"_"&amp;L$61,$B$23:$B$45&amp;"_"&amp;$C$23:$C$45,$D$23:$D$45)*$E1743)</f>
        <v>6</v>
      </c>
      <c r="M1743" s="67" cm="1">
        <f ca="1" t="array" ref="M1743">(1+SUMPRODUCT(G1743:H1743,OFFSET($H$49:$I$49,D1743,0)))*(1+OFFSET($J$49,D1743,0))^I1743*(1+OFFSET($K$49,D1743,0))^J1743*(1+OFFSET($L$49,D1743,0))^K1743*(1+OFFSET($M$49,D1743,0))^L1743</f>
        <v>483.871671721001</v>
      </c>
      <c r="N1743" s="67">
        <f ca="1">MAX(MAX($N$62:N1742),OFFSET($C$61,MATCH(M1743*1.07,$M$62:$M$2061,1),0)-C1743)</f>
        <v>54720</v>
      </c>
    </row>
    <row r="1744" spans="2:14">
      <c r="B1744" s="67">
        <v>1683</v>
      </c>
      <c r="C1744" s="67">
        <f t="shared" si="159"/>
        <v>605880</v>
      </c>
      <c r="D1744" s="67">
        <f t="shared" si="162"/>
        <v>5</v>
      </c>
      <c r="E1744" s="67">
        <f ca="1" t="shared" si="163"/>
        <v>1713</v>
      </c>
      <c r="F1744" s="67">
        <f ca="1" t="shared" si="160"/>
        <v>0</v>
      </c>
      <c r="G1744" s="67">
        <f ca="1" t="shared" si="161"/>
        <v>0</v>
      </c>
      <c r="H1744" s="67" cm="1">
        <f ca="1" t="array" ref="H1744">MIN(30-SUM(I1744:L1744),_xlfn.XLOOKUP($D1744&amp;"_"&amp;H$61,$B$23:$B$45&amp;"_"&amp;$C$23:$C$45,$D$23:$D$45)*$E1744,18)</f>
        <v>9.09399538638984</v>
      </c>
      <c r="I1744" s="67" cm="1">
        <f ca="1" t="array" ref="I1744">MIN(30-SUM(J1744:L1744),6-L1744,_xlfn.XLOOKUP($D1744&amp;"_"&amp;I$61,$B$23:$B$45&amp;"_"&amp;$C$23:$C$45,$D$23:$D$45)*$E1744)</f>
        <v>0</v>
      </c>
      <c r="J1744" s="67" cm="1">
        <f ca="1" t="array" ref="J1744">MIN(8,_xlfn.XLOOKUP($D1744&amp;"_"&amp;J$61,$B$23:$B$45&amp;"_"&amp;$C$23:$C$45,$D$23:$D$45)*$E1744)</f>
        <v>8</v>
      </c>
      <c r="K1744" s="67" cm="1">
        <f ca="1" t="array" ref="K1744">MIN(18,_xlfn.XLOOKUP($D1744&amp;"_"&amp;K$61,$B$23:$B$45&amp;"_"&amp;$C$23:$C$45,$D$23:$D$45)*$E1744)</f>
        <v>6.90600461361016</v>
      </c>
      <c r="L1744" s="67" cm="1">
        <f ca="1" t="array" ref="L1744">MIN(6,_xlfn.XLOOKUP($D1744&amp;"_"&amp;L$61,$B$23:$B$45&amp;"_"&amp;$C$23:$C$45,$D$23:$D$45)*$E1744)</f>
        <v>6</v>
      </c>
      <c r="M1744" s="67" cm="1">
        <f ca="1" t="array" ref="M1744">(1+SUMPRODUCT(G1744:H1744,OFFSET($H$49:$I$49,D1744,0)))*(1+OFFSET($J$49,D1744,0))^I1744*(1+OFFSET($K$49,D1744,0))^J1744*(1+OFFSET($L$49,D1744,0))^K1744*(1+OFFSET($M$49,D1744,0))^L1744</f>
        <v>484.088993111912</v>
      </c>
      <c r="N1744" s="67">
        <f ca="1">MAX(MAX($N$62:N1743),OFFSET($C$61,MATCH(M1744*1.07,$M$62:$M$2061,1),0)-C1744)</f>
        <v>54720</v>
      </c>
    </row>
    <row r="1745" spans="2:14">
      <c r="B1745" s="67">
        <v>1684</v>
      </c>
      <c r="C1745" s="67">
        <f t="shared" si="159"/>
        <v>606240</v>
      </c>
      <c r="D1745" s="67">
        <f t="shared" si="162"/>
        <v>5</v>
      </c>
      <c r="E1745" s="67">
        <f ca="1" t="shared" si="163"/>
        <v>1714</v>
      </c>
      <c r="F1745" s="67">
        <f ca="1" t="shared" si="160"/>
        <v>0</v>
      </c>
      <c r="G1745" s="67">
        <f ca="1" t="shared" si="161"/>
        <v>0</v>
      </c>
      <c r="H1745" s="67" cm="1">
        <f ca="1" t="array" ref="H1745">MIN(30-SUM(I1745:L1745),_xlfn.XLOOKUP($D1745&amp;"_"&amp;H$61,$B$23:$B$45&amp;"_"&amp;$C$23:$C$45,$D$23:$D$45)*$E1745,18)</f>
        <v>9.08996386005382</v>
      </c>
      <c r="I1745" s="67" cm="1">
        <f ca="1" t="array" ref="I1745">MIN(30-SUM(J1745:L1745),6-L1745,_xlfn.XLOOKUP($D1745&amp;"_"&amp;I$61,$B$23:$B$45&amp;"_"&amp;$C$23:$C$45,$D$23:$D$45)*$E1745)</f>
        <v>0</v>
      </c>
      <c r="J1745" s="67" cm="1">
        <f ca="1" t="array" ref="J1745">MIN(8,_xlfn.XLOOKUP($D1745&amp;"_"&amp;J$61,$B$23:$B$45&amp;"_"&amp;$C$23:$C$45,$D$23:$D$45)*$E1745)</f>
        <v>8</v>
      </c>
      <c r="K1745" s="67" cm="1">
        <f ca="1" t="array" ref="K1745">MIN(18,_xlfn.XLOOKUP($D1745&amp;"_"&amp;K$61,$B$23:$B$45&amp;"_"&amp;$C$23:$C$45,$D$23:$D$45)*$E1745)</f>
        <v>6.91003613994618</v>
      </c>
      <c r="L1745" s="67" cm="1">
        <f ca="1" t="array" ref="L1745">MIN(6,_xlfn.XLOOKUP($D1745&amp;"_"&amp;L$61,$B$23:$B$45&amp;"_"&amp;$C$23:$C$45,$D$23:$D$45)*$E1745)</f>
        <v>6</v>
      </c>
      <c r="M1745" s="67" cm="1">
        <f ca="1" t="array" ref="M1745">(1+SUMPRODUCT(G1745:H1745,OFFSET($H$49:$I$49,D1745,0)))*(1+OFFSET($J$49,D1745,0))^I1745*(1+OFFSET($K$49,D1745,0))^J1745*(1+OFFSET($L$49,D1745,0))^K1745*(1+OFFSET($M$49,D1745,0))^L1745</f>
        <v>484.306372481448</v>
      </c>
      <c r="N1745" s="67">
        <f ca="1">MAX(MAX($N$62:N1744),OFFSET($C$61,MATCH(M1745*1.07,$M$62:$M$2061,1),0)-C1745)</f>
        <v>54720</v>
      </c>
    </row>
    <row r="1746" spans="2:14">
      <c r="B1746" s="67">
        <v>1685</v>
      </c>
      <c r="C1746" s="67">
        <f t="shared" si="159"/>
        <v>606600</v>
      </c>
      <c r="D1746" s="67">
        <f t="shared" si="162"/>
        <v>5</v>
      </c>
      <c r="E1746" s="67">
        <f ca="1" t="shared" si="163"/>
        <v>1715</v>
      </c>
      <c r="F1746" s="67">
        <f ca="1" t="shared" si="160"/>
        <v>0</v>
      </c>
      <c r="G1746" s="67">
        <f ca="1" t="shared" si="161"/>
        <v>0</v>
      </c>
      <c r="H1746" s="67" cm="1">
        <f ca="1" t="array" ref="H1746">MIN(30-SUM(I1746:L1746),_xlfn.XLOOKUP($D1746&amp;"_"&amp;H$61,$B$23:$B$45&amp;"_"&amp;$C$23:$C$45,$D$23:$D$45)*$E1746,18)</f>
        <v>9.08593233371779</v>
      </c>
      <c r="I1746" s="67" cm="1">
        <f ca="1" t="array" ref="I1746">MIN(30-SUM(J1746:L1746),6-L1746,_xlfn.XLOOKUP($D1746&amp;"_"&amp;I$61,$B$23:$B$45&amp;"_"&amp;$C$23:$C$45,$D$23:$D$45)*$E1746)</f>
        <v>0</v>
      </c>
      <c r="J1746" s="67" cm="1">
        <f ca="1" t="array" ref="J1746">MIN(8,_xlfn.XLOOKUP($D1746&amp;"_"&amp;J$61,$B$23:$B$45&amp;"_"&amp;$C$23:$C$45,$D$23:$D$45)*$E1746)</f>
        <v>8</v>
      </c>
      <c r="K1746" s="67" cm="1">
        <f ca="1" t="array" ref="K1746">MIN(18,_xlfn.XLOOKUP($D1746&amp;"_"&amp;K$61,$B$23:$B$45&amp;"_"&amp;$C$23:$C$45,$D$23:$D$45)*$E1746)</f>
        <v>6.91406766628221</v>
      </c>
      <c r="L1746" s="67" cm="1">
        <f ca="1" t="array" ref="L1746">MIN(6,_xlfn.XLOOKUP($D1746&amp;"_"&amp;L$61,$B$23:$B$45&amp;"_"&amp;$C$23:$C$45,$D$23:$D$45)*$E1746)</f>
        <v>6</v>
      </c>
      <c r="M1746" s="67" cm="1">
        <f ca="1" t="array" ref="M1746">(1+SUMPRODUCT(G1746:H1746,OFFSET($H$49:$I$49,D1746,0)))*(1+OFFSET($J$49,D1746,0))^I1746*(1+OFFSET($K$49,D1746,0))^J1746*(1+OFFSET($L$49,D1746,0))^K1746*(1+OFFSET($M$49,D1746,0))^L1746</f>
        <v>484.523809797373</v>
      </c>
      <c r="N1746" s="67">
        <f ca="1">MAX(MAX($N$62:N1745),OFFSET($C$61,MATCH(M1746*1.07,$M$62:$M$2061,1),0)-C1746)</f>
        <v>54720</v>
      </c>
    </row>
    <row r="1747" spans="2:14">
      <c r="B1747" s="67">
        <v>1686</v>
      </c>
      <c r="C1747" s="67">
        <f t="shared" si="159"/>
        <v>606960</v>
      </c>
      <c r="D1747" s="67">
        <f t="shared" si="162"/>
        <v>5</v>
      </c>
      <c r="E1747" s="67">
        <f ca="1" t="shared" si="163"/>
        <v>1716</v>
      </c>
      <c r="F1747" s="67">
        <f ca="1" t="shared" si="160"/>
        <v>0</v>
      </c>
      <c r="G1747" s="67">
        <f ca="1" t="shared" si="161"/>
        <v>0</v>
      </c>
      <c r="H1747" s="67" cm="1">
        <f ca="1" t="array" ref="H1747">MIN(30-SUM(I1747:L1747),_xlfn.XLOOKUP($D1747&amp;"_"&amp;H$61,$B$23:$B$45&amp;"_"&amp;$C$23:$C$45,$D$23:$D$45)*$E1747,18)</f>
        <v>9.08190080738177</v>
      </c>
      <c r="I1747" s="67" cm="1">
        <f ca="1" t="array" ref="I1747">MIN(30-SUM(J1747:L1747),6-L1747,_xlfn.XLOOKUP($D1747&amp;"_"&amp;I$61,$B$23:$B$45&amp;"_"&amp;$C$23:$C$45,$D$23:$D$45)*$E1747)</f>
        <v>0</v>
      </c>
      <c r="J1747" s="67" cm="1">
        <f ca="1" t="array" ref="J1747">MIN(8,_xlfn.XLOOKUP($D1747&amp;"_"&amp;J$61,$B$23:$B$45&amp;"_"&amp;$C$23:$C$45,$D$23:$D$45)*$E1747)</f>
        <v>8</v>
      </c>
      <c r="K1747" s="67" cm="1">
        <f ca="1" t="array" ref="K1747">MIN(18,_xlfn.XLOOKUP($D1747&amp;"_"&amp;K$61,$B$23:$B$45&amp;"_"&amp;$C$23:$C$45,$D$23:$D$45)*$E1747)</f>
        <v>6.91809919261823</v>
      </c>
      <c r="L1747" s="67" cm="1">
        <f ca="1" t="array" ref="L1747">MIN(6,_xlfn.XLOOKUP($D1747&amp;"_"&amp;L$61,$B$23:$B$45&amp;"_"&amp;$C$23:$C$45,$D$23:$D$45)*$E1747)</f>
        <v>6</v>
      </c>
      <c r="M1747" s="67" cm="1">
        <f ca="1" t="array" ref="M1747">(1+SUMPRODUCT(G1747:H1747,OFFSET($H$49:$I$49,D1747,0)))*(1+OFFSET($J$49,D1747,0))^I1747*(1+OFFSET($K$49,D1747,0))^J1747*(1+OFFSET($L$49,D1747,0))^K1747*(1+OFFSET($M$49,D1747,0))^L1747</f>
        <v>484.741305027372</v>
      </c>
      <c r="N1747" s="67">
        <f ca="1">MAX(MAX($N$62:N1746),OFFSET($C$61,MATCH(M1747*1.07,$M$62:$M$2061,1),0)-C1747)</f>
        <v>54720</v>
      </c>
    </row>
    <row r="1748" spans="2:14">
      <c r="B1748" s="67">
        <v>1687</v>
      </c>
      <c r="C1748" s="67">
        <f t="shared" si="159"/>
        <v>607320</v>
      </c>
      <c r="D1748" s="67">
        <f t="shared" si="162"/>
        <v>5</v>
      </c>
      <c r="E1748" s="67">
        <f ca="1" t="shared" si="163"/>
        <v>1717</v>
      </c>
      <c r="F1748" s="67">
        <f ca="1" t="shared" si="160"/>
        <v>0</v>
      </c>
      <c r="G1748" s="67">
        <f ca="1" t="shared" si="161"/>
        <v>0</v>
      </c>
      <c r="H1748" s="67" cm="1">
        <f ca="1" t="array" ref="H1748">MIN(30-SUM(I1748:L1748),_xlfn.XLOOKUP($D1748&amp;"_"&amp;H$61,$B$23:$B$45&amp;"_"&amp;$C$23:$C$45,$D$23:$D$45)*$E1748,18)</f>
        <v>9.07786928104575</v>
      </c>
      <c r="I1748" s="67" cm="1">
        <f ca="1" t="array" ref="I1748">MIN(30-SUM(J1748:L1748),6-L1748,_xlfn.XLOOKUP($D1748&amp;"_"&amp;I$61,$B$23:$B$45&amp;"_"&amp;$C$23:$C$45,$D$23:$D$45)*$E1748)</f>
        <v>0</v>
      </c>
      <c r="J1748" s="67" cm="1">
        <f ca="1" t="array" ref="J1748">MIN(8,_xlfn.XLOOKUP($D1748&amp;"_"&amp;J$61,$B$23:$B$45&amp;"_"&amp;$C$23:$C$45,$D$23:$D$45)*$E1748)</f>
        <v>8</v>
      </c>
      <c r="K1748" s="67" cm="1">
        <f ca="1" t="array" ref="K1748">MIN(18,_xlfn.XLOOKUP($D1748&amp;"_"&amp;K$61,$B$23:$B$45&amp;"_"&amp;$C$23:$C$45,$D$23:$D$45)*$E1748)</f>
        <v>6.92213071895425</v>
      </c>
      <c r="L1748" s="67" cm="1">
        <f ca="1" t="array" ref="L1748">MIN(6,_xlfn.XLOOKUP($D1748&amp;"_"&amp;L$61,$B$23:$B$45&amp;"_"&amp;$C$23:$C$45,$D$23:$D$45)*$E1748)</f>
        <v>6</v>
      </c>
      <c r="M1748" s="67" cm="1">
        <f ca="1" t="array" ref="M1748">(1+SUMPRODUCT(G1748:H1748,OFFSET($H$49:$I$49,D1748,0)))*(1+OFFSET($J$49,D1748,0))^I1748*(1+OFFSET($K$49,D1748,0))^J1748*(1+OFFSET($L$49,D1748,0))^K1748*(1+OFFSET($M$49,D1748,0))^L1748</f>
        <v>484.958858139053</v>
      </c>
      <c r="N1748" s="67">
        <f ca="1">MAX(MAX($N$62:N1747),OFFSET($C$61,MATCH(M1748*1.07,$M$62:$M$2061,1),0)-C1748)</f>
        <v>55080</v>
      </c>
    </row>
    <row r="1749" spans="2:14">
      <c r="B1749" s="67">
        <v>1688</v>
      </c>
      <c r="C1749" s="67">
        <f t="shared" si="159"/>
        <v>607680</v>
      </c>
      <c r="D1749" s="67">
        <f t="shared" si="162"/>
        <v>5</v>
      </c>
      <c r="E1749" s="67">
        <f ca="1" t="shared" si="163"/>
        <v>1718</v>
      </c>
      <c r="F1749" s="67">
        <f ca="1" t="shared" si="160"/>
        <v>0</v>
      </c>
      <c r="G1749" s="67">
        <f ca="1" t="shared" si="161"/>
        <v>0</v>
      </c>
      <c r="H1749" s="67" cm="1">
        <f ca="1" t="array" ref="H1749">MIN(30-SUM(I1749:L1749),_xlfn.XLOOKUP($D1749&amp;"_"&amp;H$61,$B$23:$B$45&amp;"_"&amp;$C$23:$C$45,$D$23:$D$45)*$E1749,18)</f>
        <v>9.07383775470972</v>
      </c>
      <c r="I1749" s="67" cm="1">
        <f ca="1" t="array" ref="I1749">MIN(30-SUM(J1749:L1749),6-L1749,_xlfn.XLOOKUP($D1749&amp;"_"&amp;I$61,$B$23:$B$45&amp;"_"&amp;$C$23:$C$45,$D$23:$D$45)*$E1749)</f>
        <v>0</v>
      </c>
      <c r="J1749" s="67" cm="1">
        <f ca="1" t="array" ref="J1749">MIN(8,_xlfn.XLOOKUP($D1749&amp;"_"&amp;J$61,$B$23:$B$45&amp;"_"&amp;$C$23:$C$45,$D$23:$D$45)*$E1749)</f>
        <v>8</v>
      </c>
      <c r="K1749" s="67" cm="1">
        <f ca="1" t="array" ref="K1749">MIN(18,_xlfn.XLOOKUP($D1749&amp;"_"&amp;K$61,$B$23:$B$45&amp;"_"&amp;$C$23:$C$45,$D$23:$D$45)*$E1749)</f>
        <v>6.92616224529028</v>
      </c>
      <c r="L1749" s="67" cm="1">
        <f ca="1" t="array" ref="L1749">MIN(6,_xlfn.XLOOKUP($D1749&amp;"_"&amp;L$61,$B$23:$B$45&amp;"_"&amp;$C$23:$C$45,$D$23:$D$45)*$E1749)</f>
        <v>6</v>
      </c>
      <c r="M1749" s="67" cm="1">
        <f ca="1" t="array" ref="M1749">(1+SUMPRODUCT(G1749:H1749,OFFSET($H$49:$I$49,D1749,0)))*(1+OFFSET($J$49,D1749,0))^I1749*(1+OFFSET($K$49,D1749,0))^J1749*(1+OFFSET($L$49,D1749,0))^K1749*(1+OFFSET($M$49,D1749,0))^L1749</f>
        <v>485.176469099941</v>
      </c>
      <c r="N1749" s="67">
        <f ca="1">MAX(MAX($N$62:N1748),OFFSET($C$61,MATCH(M1749*1.07,$M$62:$M$2061,1),0)-C1749)</f>
        <v>55080</v>
      </c>
    </row>
    <row r="1750" spans="2:14">
      <c r="B1750" s="67">
        <v>1689</v>
      </c>
      <c r="C1750" s="67">
        <f t="shared" si="159"/>
        <v>608040</v>
      </c>
      <c r="D1750" s="67">
        <f t="shared" si="162"/>
        <v>5</v>
      </c>
      <c r="E1750" s="67">
        <f ca="1" t="shared" si="163"/>
        <v>1719</v>
      </c>
      <c r="F1750" s="67">
        <f ca="1" t="shared" si="160"/>
        <v>0</v>
      </c>
      <c r="G1750" s="67">
        <f ca="1" t="shared" si="161"/>
        <v>0</v>
      </c>
      <c r="H1750" s="67" cm="1">
        <f ca="1" t="array" ref="H1750">MIN(30-SUM(I1750:L1750),_xlfn.XLOOKUP($D1750&amp;"_"&amp;H$61,$B$23:$B$45&amp;"_"&amp;$C$23:$C$45,$D$23:$D$45)*$E1750,18)</f>
        <v>9.0698062283737</v>
      </c>
      <c r="I1750" s="67" cm="1">
        <f ca="1" t="array" ref="I1750">MIN(30-SUM(J1750:L1750),6-L1750,_xlfn.XLOOKUP($D1750&amp;"_"&amp;I$61,$B$23:$B$45&amp;"_"&amp;$C$23:$C$45,$D$23:$D$45)*$E1750)</f>
        <v>0</v>
      </c>
      <c r="J1750" s="67" cm="1">
        <f ca="1" t="array" ref="J1750">MIN(8,_xlfn.XLOOKUP($D1750&amp;"_"&amp;J$61,$B$23:$B$45&amp;"_"&amp;$C$23:$C$45,$D$23:$D$45)*$E1750)</f>
        <v>8</v>
      </c>
      <c r="K1750" s="67" cm="1">
        <f ca="1" t="array" ref="K1750">MIN(18,_xlfn.XLOOKUP($D1750&amp;"_"&amp;K$61,$B$23:$B$45&amp;"_"&amp;$C$23:$C$45,$D$23:$D$45)*$E1750)</f>
        <v>6.9301937716263</v>
      </c>
      <c r="L1750" s="67" cm="1">
        <f ca="1" t="array" ref="L1750">MIN(6,_xlfn.XLOOKUP($D1750&amp;"_"&amp;L$61,$B$23:$B$45&amp;"_"&amp;$C$23:$C$45,$D$23:$D$45)*$E1750)</f>
        <v>6</v>
      </c>
      <c r="M1750" s="67" cm="1">
        <f ca="1" t="array" ref="M1750">(1+SUMPRODUCT(G1750:H1750,OFFSET($H$49:$I$49,D1750,0)))*(1+OFFSET($J$49,D1750,0))^I1750*(1+OFFSET($K$49,D1750,0))^J1750*(1+OFFSET($L$49,D1750,0))^K1750*(1+OFFSET($M$49,D1750,0))^L1750</f>
        <v>485.394137877487</v>
      </c>
      <c r="N1750" s="67">
        <f ca="1">MAX(MAX($N$62:N1749),OFFSET($C$61,MATCH(M1750*1.07,$M$62:$M$2061,1),0)-C1750)</f>
        <v>55080</v>
      </c>
    </row>
    <row r="1751" spans="2:14">
      <c r="B1751" s="67">
        <v>1690</v>
      </c>
      <c r="C1751" s="67">
        <f t="shared" si="159"/>
        <v>608400</v>
      </c>
      <c r="D1751" s="67">
        <f t="shared" si="162"/>
        <v>5</v>
      </c>
      <c r="E1751" s="67">
        <f ca="1" t="shared" si="163"/>
        <v>1720</v>
      </c>
      <c r="F1751" s="67">
        <f ca="1" t="shared" si="160"/>
        <v>0</v>
      </c>
      <c r="G1751" s="67">
        <f ca="1" t="shared" si="161"/>
        <v>0</v>
      </c>
      <c r="H1751" s="67" cm="1">
        <f ca="1" t="array" ref="H1751">MIN(30-SUM(I1751:L1751),_xlfn.XLOOKUP($D1751&amp;"_"&amp;H$61,$B$23:$B$45&amp;"_"&amp;$C$23:$C$45,$D$23:$D$45)*$E1751,18)</f>
        <v>9.06577470203767</v>
      </c>
      <c r="I1751" s="67" cm="1">
        <f ca="1" t="array" ref="I1751">MIN(30-SUM(J1751:L1751),6-L1751,_xlfn.XLOOKUP($D1751&amp;"_"&amp;I$61,$B$23:$B$45&amp;"_"&amp;$C$23:$C$45,$D$23:$D$45)*$E1751)</f>
        <v>0</v>
      </c>
      <c r="J1751" s="67" cm="1">
        <f ca="1" t="array" ref="J1751">MIN(8,_xlfn.XLOOKUP($D1751&amp;"_"&amp;J$61,$B$23:$B$45&amp;"_"&amp;$C$23:$C$45,$D$23:$D$45)*$E1751)</f>
        <v>8</v>
      </c>
      <c r="K1751" s="67" cm="1">
        <f ca="1" t="array" ref="K1751">MIN(18,_xlfn.XLOOKUP($D1751&amp;"_"&amp;K$61,$B$23:$B$45&amp;"_"&amp;$C$23:$C$45,$D$23:$D$45)*$E1751)</f>
        <v>6.93422529796233</v>
      </c>
      <c r="L1751" s="67" cm="1">
        <f ca="1" t="array" ref="L1751">MIN(6,_xlfn.XLOOKUP($D1751&amp;"_"&amp;L$61,$B$23:$B$45&amp;"_"&amp;$C$23:$C$45,$D$23:$D$45)*$E1751)</f>
        <v>6</v>
      </c>
      <c r="M1751" s="67" cm="1">
        <f ca="1" t="array" ref="M1751">(1+SUMPRODUCT(G1751:H1751,OFFSET($H$49:$I$49,D1751,0)))*(1+OFFSET($J$49,D1751,0))^I1751*(1+OFFSET($K$49,D1751,0))^J1751*(1+OFFSET($L$49,D1751,0))^K1751*(1+OFFSET($M$49,D1751,0))^L1751</f>
        <v>485.611864439059</v>
      </c>
      <c r="N1751" s="67">
        <f ca="1">MAX(MAX($N$62:N1750),OFFSET($C$61,MATCH(M1751*1.07,$M$62:$M$2061,1),0)-C1751)</f>
        <v>55080</v>
      </c>
    </row>
    <row r="1752" spans="2:14">
      <c r="B1752" s="67">
        <v>1691</v>
      </c>
      <c r="C1752" s="67">
        <f t="shared" si="159"/>
        <v>608760</v>
      </c>
      <c r="D1752" s="67">
        <f t="shared" si="162"/>
        <v>5</v>
      </c>
      <c r="E1752" s="67">
        <f ca="1" t="shared" si="163"/>
        <v>1721</v>
      </c>
      <c r="F1752" s="67">
        <f ca="1" t="shared" si="160"/>
        <v>0</v>
      </c>
      <c r="G1752" s="67">
        <f ca="1" t="shared" si="161"/>
        <v>0</v>
      </c>
      <c r="H1752" s="67" cm="1">
        <f ca="1" t="array" ref="H1752">MIN(30-SUM(I1752:L1752),_xlfn.XLOOKUP($D1752&amp;"_"&amp;H$61,$B$23:$B$45&amp;"_"&amp;$C$23:$C$45,$D$23:$D$45)*$E1752,18)</f>
        <v>9.06174317570165</v>
      </c>
      <c r="I1752" s="67" cm="1">
        <f ca="1" t="array" ref="I1752">MIN(30-SUM(J1752:L1752),6-L1752,_xlfn.XLOOKUP($D1752&amp;"_"&amp;I$61,$B$23:$B$45&amp;"_"&amp;$C$23:$C$45,$D$23:$D$45)*$E1752)</f>
        <v>0</v>
      </c>
      <c r="J1752" s="67" cm="1">
        <f ca="1" t="array" ref="J1752">MIN(8,_xlfn.XLOOKUP($D1752&amp;"_"&amp;J$61,$B$23:$B$45&amp;"_"&amp;$C$23:$C$45,$D$23:$D$45)*$E1752)</f>
        <v>8</v>
      </c>
      <c r="K1752" s="67" cm="1">
        <f ca="1" t="array" ref="K1752">MIN(18,_xlfn.XLOOKUP($D1752&amp;"_"&amp;K$61,$B$23:$B$45&amp;"_"&amp;$C$23:$C$45,$D$23:$D$45)*$E1752)</f>
        <v>6.93825682429835</v>
      </c>
      <c r="L1752" s="67" cm="1">
        <f ca="1" t="array" ref="L1752">MIN(6,_xlfn.XLOOKUP($D1752&amp;"_"&amp;L$61,$B$23:$B$45&amp;"_"&amp;$C$23:$C$45,$D$23:$D$45)*$E1752)</f>
        <v>6</v>
      </c>
      <c r="M1752" s="67" cm="1">
        <f ca="1" t="array" ref="M1752">(1+SUMPRODUCT(G1752:H1752,OFFSET($H$49:$I$49,D1752,0)))*(1+OFFSET($J$49,D1752,0))^I1752*(1+OFFSET($K$49,D1752,0))^J1752*(1+OFFSET($L$49,D1752,0))^K1752*(1+OFFSET($M$49,D1752,0))^L1752</f>
        <v>485.829648751948</v>
      </c>
      <c r="N1752" s="67">
        <f ca="1">MAX(MAX($N$62:N1751),OFFSET($C$61,MATCH(M1752*1.07,$M$62:$M$2061,1),0)-C1752)</f>
        <v>55080</v>
      </c>
    </row>
    <row r="1753" spans="2:14">
      <c r="B1753" s="67">
        <v>1692</v>
      </c>
      <c r="C1753" s="67">
        <f t="shared" si="159"/>
        <v>609120</v>
      </c>
      <c r="D1753" s="67">
        <f t="shared" si="162"/>
        <v>5</v>
      </c>
      <c r="E1753" s="67">
        <f ca="1" t="shared" si="163"/>
        <v>1722</v>
      </c>
      <c r="F1753" s="67">
        <f ca="1" t="shared" si="160"/>
        <v>0</v>
      </c>
      <c r="G1753" s="67">
        <f ca="1" t="shared" si="161"/>
        <v>0</v>
      </c>
      <c r="H1753" s="67" cm="1">
        <f ca="1" t="array" ref="H1753">MIN(30-SUM(I1753:L1753),_xlfn.XLOOKUP($D1753&amp;"_"&amp;H$61,$B$23:$B$45&amp;"_"&amp;$C$23:$C$45,$D$23:$D$45)*$E1753,18)</f>
        <v>9.05771164936562</v>
      </c>
      <c r="I1753" s="67" cm="1">
        <f ca="1" t="array" ref="I1753">MIN(30-SUM(J1753:L1753),6-L1753,_xlfn.XLOOKUP($D1753&amp;"_"&amp;I$61,$B$23:$B$45&amp;"_"&amp;$C$23:$C$45,$D$23:$D$45)*$E1753)</f>
        <v>0</v>
      </c>
      <c r="J1753" s="67" cm="1">
        <f ca="1" t="array" ref="J1753">MIN(8,_xlfn.XLOOKUP($D1753&amp;"_"&amp;J$61,$B$23:$B$45&amp;"_"&amp;$C$23:$C$45,$D$23:$D$45)*$E1753)</f>
        <v>8</v>
      </c>
      <c r="K1753" s="67" cm="1">
        <f ca="1" t="array" ref="K1753">MIN(18,_xlfn.XLOOKUP($D1753&amp;"_"&amp;K$61,$B$23:$B$45&amp;"_"&amp;$C$23:$C$45,$D$23:$D$45)*$E1753)</f>
        <v>6.94228835063438</v>
      </c>
      <c r="L1753" s="67" cm="1">
        <f ca="1" t="array" ref="L1753">MIN(6,_xlfn.XLOOKUP($D1753&amp;"_"&amp;L$61,$B$23:$B$45&amp;"_"&amp;$C$23:$C$45,$D$23:$D$45)*$E1753)</f>
        <v>6</v>
      </c>
      <c r="M1753" s="67" cm="1">
        <f ca="1" t="array" ref="M1753">(1+SUMPRODUCT(G1753:H1753,OFFSET($H$49:$I$49,D1753,0)))*(1+OFFSET($J$49,D1753,0))^I1753*(1+OFFSET($K$49,D1753,0))^J1753*(1+OFFSET($L$49,D1753,0))^K1753*(1+OFFSET($M$49,D1753,0))^L1753</f>
        <v>486.047490783365</v>
      </c>
      <c r="N1753" s="67">
        <f ca="1">MAX(MAX($N$62:N1752),OFFSET($C$61,MATCH(M1753*1.07,$M$62:$M$2061,1),0)-C1753)</f>
        <v>55080</v>
      </c>
    </row>
    <row r="1754" spans="2:14">
      <c r="B1754" s="67">
        <v>1693</v>
      </c>
      <c r="C1754" s="67">
        <f t="shared" si="159"/>
        <v>609480</v>
      </c>
      <c r="D1754" s="67">
        <f t="shared" si="162"/>
        <v>5</v>
      </c>
      <c r="E1754" s="67">
        <f ca="1" t="shared" si="163"/>
        <v>1723</v>
      </c>
      <c r="F1754" s="67">
        <f ca="1" t="shared" si="160"/>
        <v>0</v>
      </c>
      <c r="G1754" s="67">
        <f ca="1" t="shared" si="161"/>
        <v>0</v>
      </c>
      <c r="H1754" s="67" cm="1">
        <f ca="1" t="array" ref="H1754">MIN(30-SUM(I1754:L1754),_xlfn.XLOOKUP($D1754&amp;"_"&amp;H$61,$B$23:$B$45&amp;"_"&amp;$C$23:$C$45,$D$23:$D$45)*$E1754,18)</f>
        <v>9.0536801230296</v>
      </c>
      <c r="I1754" s="67" cm="1">
        <f ca="1" t="array" ref="I1754">MIN(30-SUM(J1754:L1754),6-L1754,_xlfn.XLOOKUP($D1754&amp;"_"&amp;I$61,$B$23:$B$45&amp;"_"&amp;$C$23:$C$45,$D$23:$D$45)*$E1754)</f>
        <v>0</v>
      </c>
      <c r="J1754" s="67" cm="1">
        <f ca="1" t="array" ref="J1754">MIN(8,_xlfn.XLOOKUP($D1754&amp;"_"&amp;J$61,$B$23:$B$45&amp;"_"&amp;$C$23:$C$45,$D$23:$D$45)*$E1754)</f>
        <v>8</v>
      </c>
      <c r="K1754" s="67" cm="1">
        <f ca="1" t="array" ref="K1754">MIN(18,_xlfn.XLOOKUP($D1754&amp;"_"&amp;K$61,$B$23:$B$45&amp;"_"&amp;$C$23:$C$45,$D$23:$D$45)*$E1754)</f>
        <v>6.9463198769704</v>
      </c>
      <c r="L1754" s="67" cm="1">
        <f ca="1" t="array" ref="L1754">MIN(6,_xlfn.XLOOKUP($D1754&amp;"_"&amp;L$61,$B$23:$B$45&amp;"_"&amp;$C$23:$C$45,$D$23:$D$45)*$E1754)</f>
        <v>6</v>
      </c>
      <c r="M1754" s="67" cm="1">
        <f ca="1" t="array" ref="M1754">(1+SUMPRODUCT(G1754:H1754,OFFSET($H$49:$I$49,D1754,0)))*(1+OFFSET($J$49,D1754,0))^I1754*(1+OFFSET($K$49,D1754,0))^J1754*(1+OFFSET($L$49,D1754,0))^K1754*(1+OFFSET($M$49,D1754,0))^L1754</f>
        <v>486.26539050044</v>
      </c>
      <c r="N1754" s="67">
        <f ca="1">MAX(MAX($N$62:N1753),OFFSET($C$61,MATCH(M1754*1.07,$M$62:$M$2061,1),0)-C1754)</f>
        <v>55080</v>
      </c>
    </row>
    <row r="1755" spans="2:14">
      <c r="B1755" s="67">
        <v>1694</v>
      </c>
      <c r="C1755" s="67">
        <f t="shared" si="159"/>
        <v>609840</v>
      </c>
      <c r="D1755" s="67">
        <f t="shared" si="162"/>
        <v>5</v>
      </c>
      <c r="E1755" s="67">
        <f ca="1" t="shared" si="163"/>
        <v>1724</v>
      </c>
      <c r="F1755" s="67">
        <f ca="1" t="shared" si="160"/>
        <v>0</v>
      </c>
      <c r="G1755" s="67">
        <f ca="1" t="shared" si="161"/>
        <v>0</v>
      </c>
      <c r="H1755" s="67" cm="1">
        <f ca="1" t="array" ref="H1755">MIN(30-SUM(I1755:L1755),_xlfn.XLOOKUP($D1755&amp;"_"&amp;H$61,$B$23:$B$45&amp;"_"&amp;$C$23:$C$45,$D$23:$D$45)*$E1755,18)</f>
        <v>9.04964859669357</v>
      </c>
      <c r="I1755" s="67" cm="1">
        <f ca="1" t="array" ref="I1755">MIN(30-SUM(J1755:L1755),6-L1755,_xlfn.XLOOKUP($D1755&amp;"_"&amp;I$61,$B$23:$B$45&amp;"_"&amp;$C$23:$C$45,$D$23:$D$45)*$E1755)</f>
        <v>0</v>
      </c>
      <c r="J1755" s="67" cm="1">
        <f ca="1" t="array" ref="J1755">MIN(8,_xlfn.XLOOKUP($D1755&amp;"_"&amp;J$61,$B$23:$B$45&amp;"_"&amp;$C$23:$C$45,$D$23:$D$45)*$E1755)</f>
        <v>8</v>
      </c>
      <c r="K1755" s="67" cm="1">
        <f ca="1" t="array" ref="K1755">MIN(18,_xlfn.XLOOKUP($D1755&amp;"_"&amp;K$61,$B$23:$B$45&amp;"_"&amp;$C$23:$C$45,$D$23:$D$45)*$E1755)</f>
        <v>6.95035140330643</v>
      </c>
      <c r="L1755" s="67" cm="1">
        <f ca="1" t="array" ref="L1755">MIN(6,_xlfn.XLOOKUP($D1755&amp;"_"&amp;L$61,$B$23:$B$45&amp;"_"&amp;$C$23:$C$45,$D$23:$D$45)*$E1755)</f>
        <v>6</v>
      </c>
      <c r="M1755" s="67" cm="1">
        <f ca="1" t="array" ref="M1755">(1+SUMPRODUCT(G1755:H1755,OFFSET($H$49:$I$49,D1755,0)))*(1+OFFSET($J$49,D1755,0))^I1755*(1+OFFSET($K$49,D1755,0))^J1755*(1+OFFSET($L$49,D1755,0))^K1755*(1+OFFSET($M$49,D1755,0))^L1755</f>
        <v>486.483347870226</v>
      </c>
      <c r="N1755" s="67">
        <f ca="1">MAX(MAX($N$62:N1754),OFFSET($C$61,MATCH(M1755*1.07,$M$62:$M$2061,1),0)-C1755)</f>
        <v>55080</v>
      </c>
    </row>
    <row r="1756" spans="2:14">
      <c r="B1756" s="67">
        <v>1695</v>
      </c>
      <c r="C1756" s="67">
        <f t="shared" si="159"/>
        <v>610200</v>
      </c>
      <c r="D1756" s="67">
        <f t="shared" si="162"/>
        <v>5</v>
      </c>
      <c r="E1756" s="67">
        <f ca="1" t="shared" si="163"/>
        <v>1725</v>
      </c>
      <c r="F1756" s="67">
        <f ca="1" t="shared" si="160"/>
        <v>0</v>
      </c>
      <c r="G1756" s="67">
        <f ca="1" t="shared" si="161"/>
        <v>0</v>
      </c>
      <c r="H1756" s="67" cm="1">
        <f ca="1" t="array" ref="H1756">MIN(30-SUM(I1756:L1756),_xlfn.XLOOKUP($D1756&amp;"_"&amp;H$61,$B$23:$B$45&amp;"_"&amp;$C$23:$C$45,$D$23:$D$45)*$E1756,18)</f>
        <v>9.04561707035755</v>
      </c>
      <c r="I1756" s="67" cm="1">
        <f ca="1" t="array" ref="I1756">MIN(30-SUM(J1756:L1756),6-L1756,_xlfn.XLOOKUP($D1756&amp;"_"&amp;I$61,$B$23:$B$45&amp;"_"&amp;$C$23:$C$45,$D$23:$D$45)*$E1756)</f>
        <v>0</v>
      </c>
      <c r="J1756" s="67" cm="1">
        <f ca="1" t="array" ref="J1756">MIN(8,_xlfn.XLOOKUP($D1756&amp;"_"&amp;J$61,$B$23:$B$45&amp;"_"&amp;$C$23:$C$45,$D$23:$D$45)*$E1756)</f>
        <v>8</v>
      </c>
      <c r="K1756" s="67" cm="1">
        <f ca="1" t="array" ref="K1756">MIN(18,_xlfn.XLOOKUP($D1756&amp;"_"&amp;K$61,$B$23:$B$45&amp;"_"&amp;$C$23:$C$45,$D$23:$D$45)*$E1756)</f>
        <v>6.95438292964245</v>
      </c>
      <c r="L1756" s="67" cm="1">
        <f ca="1" t="array" ref="L1756">MIN(6,_xlfn.XLOOKUP($D1756&amp;"_"&amp;L$61,$B$23:$B$45&amp;"_"&amp;$C$23:$C$45,$D$23:$D$45)*$E1756)</f>
        <v>6</v>
      </c>
      <c r="M1756" s="67" cm="1">
        <f ca="1" t="array" ref="M1756">(1+SUMPRODUCT(G1756:H1756,OFFSET($H$49:$I$49,D1756,0)))*(1+OFFSET($J$49,D1756,0))^I1756*(1+OFFSET($K$49,D1756,0))^J1756*(1+OFFSET($L$49,D1756,0))^K1756*(1+OFFSET($M$49,D1756,0))^L1756</f>
        <v>486.701362859695</v>
      </c>
      <c r="N1756" s="67">
        <f ca="1">MAX(MAX($N$62:N1755),OFFSET($C$61,MATCH(M1756*1.07,$M$62:$M$2061,1),0)-C1756)</f>
        <v>55080</v>
      </c>
    </row>
    <row r="1757" spans="2:14">
      <c r="B1757" s="67">
        <v>1696</v>
      </c>
      <c r="C1757" s="67">
        <f t="shared" si="159"/>
        <v>610560</v>
      </c>
      <c r="D1757" s="67">
        <f t="shared" si="162"/>
        <v>5</v>
      </c>
      <c r="E1757" s="67">
        <f ca="1" t="shared" si="163"/>
        <v>1726</v>
      </c>
      <c r="F1757" s="67">
        <f ca="1" t="shared" si="160"/>
        <v>0</v>
      </c>
      <c r="G1757" s="67">
        <f ca="1" t="shared" si="161"/>
        <v>0</v>
      </c>
      <c r="H1757" s="67" cm="1">
        <f ca="1" t="array" ref="H1757">MIN(30-SUM(I1757:L1757),_xlfn.XLOOKUP($D1757&amp;"_"&amp;H$61,$B$23:$B$45&amp;"_"&amp;$C$23:$C$45,$D$23:$D$45)*$E1757,18)</f>
        <v>9.04158554402152</v>
      </c>
      <c r="I1757" s="67" cm="1">
        <f ca="1" t="array" ref="I1757">MIN(30-SUM(J1757:L1757),6-L1757,_xlfn.XLOOKUP($D1757&amp;"_"&amp;I$61,$B$23:$B$45&amp;"_"&amp;$C$23:$C$45,$D$23:$D$45)*$E1757)</f>
        <v>0</v>
      </c>
      <c r="J1757" s="67" cm="1">
        <f ca="1" t="array" ref="J1757">MIN(8,_xlfn.XLOOKUP($D1757&amp;"_"&amp;J$61,$B$23:$B$45&amp;"_"&amp;$C$23:$C$45,$D$23:$D$45)*$E1757)</f>
        <v>8</v>
      </c>
      <c r="K1757" s="67" cm="1">
        <f ca="1" t="array" ref="K1757">MIN(18,_xlfn.XLOOKUP($D1757&amp;"_"&amp;K$61,$B$23:$B$45&amp;"_"&amp;$C$23:$C$45,$D$23:$D$45)*$E1757)</f>
        <v>6.95841445597848</v>
      </c>
      <c r="L1757" s="67" cm="1">
        <f ca="1" t="array" ref="L1757">MIN(6,_xlfn.XLOOKUP($D1757&amp;"_"&amp;L$61,$B$23:$B$45&amp;"_"&amp;$C$23:$C$45,$D$23:$D$45)*$E1757)</f>
        <v>6</v>
      </c>
      <c r="M1757" s="67" cm="1">
        <f ca="1" t="array" ref="M1757">(1+SUMPRODUCT(G1757:H1757,OFFSET($H$49:$I$49,D1757,0)))*(1+OFFSET($J$49,D1757,0))^I1757*(1+OFFSET($K$49,D1757,0))^J1757*(1+OFFSET($L$49,D1757,0))^K1757*(1+OFFSET($M$49,D1757,0))^L1757</f>
        <v>486.919435435739</v>
      </c>
      <c r="N1757" s="67">
        <f ca="1">MAX(MAX($N$62:N1756),OFFSET($C$61,MATCH(M1757*1.07,$M$62:$M$2061,1),0)-C1757)</f>
        <v>55080</v>
      </c>
    </row>
    <row r="1758" spans="2:14">
      <c r="B1758" s="67">
        <v>1697</v>
      </c>
      <c r="C1758" s="67">
        <f t="shared" si="159"/>
        <v>610920</v>
      </c>
      <c r="D1758" s="67">
        <f t="shared" si="162"/>
        <v>5</v>
      </c>
      <c r="E1758" s="67">
        <f ca="1" t="shared" si="163"/>
        <v>1727</v>
      </c>
      <c r="F1758" s="67">
        <f ca="1" t="shared" si="160"/>
        <v>0</v>
      </c>
      <c r="G1758" s="67">
        <f ca="1" t="shared" si="161"/>
        <v>0</v>
      </c>
      <c r="H1758" s="67" cm="1">
        <f ca="1" t="array" ref="H1758">MIN(30-SUM(I1758:L1758),_xlfn.XLOOKUP($D1758&amp;"_"&amp;H$61,$B$23:$B$45&amp;"_"&amp;$C$23:$C$45,$D$23:$D$45)*$E1758,18)</f>
        <v>9.0375540176855</v>
      </c>
      <c r="I1758" s="67" cm="1">
        <f ca="1" t="array" ref="I1758">MIN(30-SUM(J1758:L1758),6-L1758,_xlfn.XLOOKUP($D1758&amp;"_"&amp;I$61,$B$23:$B$45&amp;"_"&amp;$C$23:$C$45,$D$23:$D$45)*$E1758)</f>
        <v>0</v>
      </c>
      <c r="J1758" s="67" cm="1">
        <f ca="1" t="array" ref="J1758">MIN(8,_xlfn.XLOOKUP($D1758&amp;"_"&amp;J$61,$B$23:$B$45&amp;"_"&amp;$C$23:$C$45,$D$23:$D$45)*$E1758)</f>
        <v>8</v>
      </c>
      <c r="K1758" s="67" cm="1">
        <f ca="1" t="array" ref="K1758">MIN(18,_xlfn.XLOOKUP($D1758&amp;"_"&amp;K$61,$B$23:$B$45&amp;"_"&amp;$C$23:$C$45,$D$23:$D$45)*$E1758)</f>
        <v>6.9624459823145</v>
      </c>
      <c r="L1758" s="67" cm="1">
        <f ca="1" t="array" ref="L1758">MIN(6,_xlfn.XLOOKUP($D1758&amp;"_"&amp;L$61,$B$23:$B$45&amp;"_"&amp;$C$23:$C$45,$D$23:$D$45)*$E1758)</f>
        <v>6</v>
      </c>
      <c r="M1758" s="67" cm="1">
        <f ca="1" t="array" ref="M1758">(1+SUMPRODUCT(G1758:H1758,OFFSET($H$49:$I$49,D1758,0)))*(1+OFFSET($J$49,D1758,0))^I1758*(1+OFFSET($K$49,D1758,0))^J1758*(1+OFFSET($L$49,D1758,0))^K1758*(1+OFFSET($M$49,D1758,0))^L1758</f>
        <v>487.137565565172</v>
      </c>
      <c r="N1758" s="67">
        <f ca="1">MAX(MAX($N$62:N1757),OFFSET($C$61,MATCH(M1758*1.07,$M$62:$M$2061,1),0)-C1758)</f>
        <v>55080</v>
      </c>
    </row>
    <row r="1759" spans="2:14">
      <c r="B1759" s="67">
        <v>1698</v>
      </c>
      <c r="C1759" s="67">
        <f t="shared" si="159"/>
        <v>611280</v>
      </c>
      <c r="D1759" s="67">
        <f t="shared" si="162"/>
        <v>5</v>
      </c>
      <c r="E1759" s="67">
        <f ca="1" t="shared" si="163"/>
        <v>1728</v>
      </c>
      <c r="F1759" s="67">
        <f ca="1" t="shared" si="160"/>
        <v>0</v>
      </c>
      <c r="G1759" s="67">
        <f ca="1" t="shared" si="161"/>
        <v>0</v>
      </c>
      <c r="H1759" s="67" cm="1">
        <f ca="1" t="array" ref="H1759">MIN(30-SUM(I1759:L1759),_xlfn.XLOOKUP($D1759&amp;"_"&amp;H$61,$B$23:$B$45&amp;"_"&amp;$C$23:$C$45,$D$23:$D$45)*$E1759,18)</f>
        <v>9.03352249134947</v>
      </c>
      <c r="I1759" s="67" cm="1">
        <f ca="1" t="array" ref="I1759">MIN(30-SUM(J1759:L1759),6-L1759,_xlfn.XLOOKUP($D1759&amp;"_"&amp;I$61,$B$23:$B$45&amp;"_"&amp;$C$23:$C$45,$D$23:$D$45)*$E1759)</f>
        <v>0</v>
      </c>
      <c r="J1759" s="67" cm="1">
        <f ca="1" t="array" ref="J1759">MIN(8,_xlfn.XLOOKUP($D1759&amp;"_"&amp;J$61,$B$23:$B$45&amp;"_"&amp;$C$23:$C$45,$D$23:$D$45)*$E1759)</f>
        <v>8</v>
      </c>
      <c r="K1759" s="67" cm="1">
        <f ca="1" t="array" ref="K1759">MIN(18,_xlfn.XLOOKUP($D1759&amp;"_"&amp;K$61,$B$23:$B$45&amp;"_"&amp;$C$23:$C$45,$D$23:$D$45)*$E1759)</f>
        <v>6.96647750865053</v>
      </c>
      <c r="L1759" s="67" cm="1">
        <f ca="1" t="array" ref="L1759">MIN(6,_xlfn.XLOOKUP($D1759&amp;"_"&amp;L$61,$B$23:$B$45&amp;"_"&amp;$C$23:$C$45,$D$23:$D$45)*$E1759)</f>
        <v>6</v>
      </c>
      <c r="M1759" s="67" cm="1">
        <f ca="1" t="array" ref="M1759">(1+SUMPRODUCT(G1759:H1759,OFFSET($H$49:$I$49,D1759,0)))*(1+OFFSET($J$49,D1759,0))^I1759*(1+OFFSET($K$49,D1759,0))^J1759*(1+OFFSET($L$49,D1759,0))^K1759*(1+OFFSET($M$49,D1759,0))^L1759</f>
        <v>487.355753214724</v>
      </c>
      <c r="N1759" s="67">
        <f ca="1">MAX(MAX($N$62:N1758),OFFSET($C$61,MATCH(M1759*1.07,$M$62:$M$2061,1),0)-C1759)</f>
        <v>55080</v>
      </c>
    </row>
    <row r="1760" spans="2:14">
      <c r="B1760" s="67">
        <v>1699</v>
      </c>
      <c r="C1760" s="67">
        <f t="shared" si="159"/>
        <v>611640</v>
      </c>
      <c r="D1760" s="67">
        <f t="shared" si="162"/>
        <v>5</v>
      </c>
      <c r="E1760" s="67">
        <f ca="1" t="shared" si="163"/>
        <v>1729</v>
      </c>
      <c r="F1760" s="67">
        <f ca="1" t="shared" si="160"/>
        <v>0</v>
      </c>
      <c r="G1760" s="67">
        <f ca="1" t="shared" si="161"/>
        <v>0</v>
      </c>
      <c r="H1760" s="67" cm="1">
        <f ca="1" t="array" ref="H1760">MIN(30-SUM(I1760:L1760),_xlfn.XLOOKUP($D1760&amp;"_"&amp;H$61,$B$23:$B$45&amp;"_"&amp;$C$23:$C$45,$D$23:$D$45)*$E1760,18)</f>
        <v>9.02949096501345</v>
      </c>
      <c r="I1760" s="67" cm="1">
        <f ca="1" t="array" ref="I1760">MIN(30-SUM(J1760:L1760),6-L1760,_xlfn.XLOOKUP($D1760&amp;"_"&amp;I$61,$B$23:$B$45&amp;"_"&amp;$C$23:$C$45,$D$23:$D$45)*$E1760)</f>
        <v>0</v>
      </c>
      <c r="J1760" s="67" cm="1">
        <f ca="1" t="array" ref="J1760">MIN(8,_xlfn.XLOOKUP($D1760&amp;"_"&amp;J$61,$B$23:$B$45&amp;"_"&amp;$C$23:$C$45,$D$23:$D$45)*$E1760)</f>
        <v>8</v>
      </c>
      <c r="K1760" s="67" cm="1">
        <f ca="1" t="array" ref="K1760">MIN(18,_xlfn.XLOOKUP($D1760&amp;"_"&amp;K$61,$B$23:$B$45&amp;"_"&amp;$C$23:$C$45,$D$23:$D$45)*$E1760)</f>
        <v>6.97050903498655</v>
      </c>
      <c r="L1760" s="67" cm="1">
        <f ca="1" t="array" ref="L1760">MIN(6,_xlfn.XLOOKUP($D1760&amp;"_"&amp;L$61,$B$23:$B$45&amp;"_"&amp;$C$23:$C$45,$D$23:$D$45)*$E1760)</f>
        <v>6</v>
      </c>
      <c r="M1760" s="67" cm="1">
        <f ca="1" t="array" ref="M1760">(1+SUMPRODUCT(G1760:H1760,OFFSET($H$49:$I$49,D1760,0)))*(1+OFFSET($J$49,D1760,0))^I1760*(1+OFFSET($K$49,D1760,0))^J1760*(1+OFFSET($L$49,D1760,0))^K1760*(1+OFFSET($M$49,D1760,0))^L1760</f>
        <v>487.573998351051</v>
      </c>
      <c r="N1760" s="67">
        <f ca="1">MAX(MAX($N$62:N1759),OFFSET($C$61,MATCH(M1760*1.07,$M$62:$M$2061,1),0)-C1760)</f>
        <v>55080</v>
      </c>
    </row>
    <row r="1761" spans="2:14">
      <c r="B1761" s="67">
        <v>1700</v>
      </c>
      <c r="C1761" s="67">
        <f t="shared" si="159"/>
        <v>612000</v>
      </c>
      <c r="D1761" s="67">
        <f t="shared" si="162"/>
        <v>5</v>
      </c>
      <c r="E1761" s="67">
        <f ca="1" t="shared" si="163"/>
        <v>1730</v>
      </c>
      <c r="F1761" s="67">
        <f ca="1" t="shared" si="160"/>
        <v>0</v>
      </c>
      <c r="G1761" s="67">
        <f ca="1" t="shared" si="161"/>
        <v>0</v>
      </c>
      <c r="H1761" s="67" cm="1">
        <f ca="1" t="array" ref="H1761">MIN(30-SUM(I1761:L1761),_xlfn.XLOOKUP($D1761&amp;"_"&amp;H$61,$B$23:$B$45&amp;"_"&amp;$C$23:$C$45,$D$23:$D$45)*$E1761,18)</f>
        <v>9.02545943867742</v>
      </c>
      <c r="I1761" s="67" cm="1">
        <f ca="1" t="array" ref="I1761">MIN(30-SUM(J1761:L1761),6-L1761,_xlfn.XLOOKUP($D1761&amp;"_"&amp;I$61,$B$23:$B$45&amp;"_"&amp;$C$23:$C$45,$D$23:$D$45)*$E1761)</f>
        <v>0</v>
      </c>
      <c r="J1761" s="67" cm="1">
        <f ca="1" t="array" ref="J1761">MIN(8,_xlfn.XLOOKUP($D1761&amp;"_"&amp;J$61,$B$23:$B$45&amp;"_"&amp;$C$23:$C$45,$D$23:$D$45)*$E1761)</f>
        <v>8</v>
      </c>
      <c r="K1761" s="67" cm="1">
        <f ca="1" t="array" ref="K1761">MIN(18,_xlfn.XLOOKUP($D1761&amp;"_"&amp;K$61,$B$23:$B$45&amp;"_"&amp;$C$23:$C$45,$D$23:$D$45)*$E1761)</f>
        <v>6.97454056132258</v>
      </c>
      <c r="L1761" s="67" cm="1">
        <f ca="1" t="array" ref="L1761">MIN(6,_xlfn.XLOOKUP($D1761&amp;"_"&amp;L$61,$B$23:$B$45&amp;"_"&amp;$C$23:$C$45,$D$23:$D$45)*$E1761)</f>
        <v>6</v>
      </c>
      <c r="M1761" s="67" cm="1">
        <f ca="1" t="array" ref="M1761">(1+SUMPRODUCT(G1761:H1761,OFFSET($H$49:$I$49,D1761,0)))*(1+OFFSET($J$49,D1761,0))^I1761*(1+OFFSET($K$49,D1761,0))^J1761*(1+OFFSET($L$49,D1761,0))^K1761*(1+OFFSET($M$49,D1761,0))^L1761</f>
        <v>487.792300940722</v>
      </c>
      <c r="N1761" s="67">
        <f ca="1">MAX(MAX($N$62:N1760),OFFSET($C$61,MATCH(M1761*1.07,$M$62:$M$2061,1),0)-C1761)</f>
        <v>55080</v>
      </c>
    </row>
    <row r="1762" spans="2:14">
      <c r="B1762" s="67">
        <v>1701</v>
      </c>
      <c r="C1762" s="67">
        <f t="shared" si="159"/>
        <v>612360</v>
      </c>
      <c r="D1762" s="67">
        <f t="shared" si="162"/>
        <v>5</v>
      </c>
      <c r="E1762" s="67">
        <f ca="1" t="shared" si="163"/>
        <v>1731</v>
      </c>
      <c r="F1762" s="67">
        <f ca="1" t="shared" si="160"/>
        <v>0</v>
      </c>
      <c r="G1762" s="67">
        <f ca="1" t="shared" si="161"/>
        <v>0</v>
      </c>
      <c r="H1762" s="67" cm="1">
        <f ca="1" t="array" ref="H1762">MIN(30-SUM(I1762:L1762),_xlfn.XLOOKUP($D1762&amp;"_"&amp;H$61,$B$23:$B$45&amp;"_"&amp;$C$23:$C$45,$D$23:$D$45)*$E1762,18)</f>
        <v>9.0214279123414</v>
      </c>
      <c r="I1762" s="67" cm="1">
        <f ca="1" t="array" ref="I1762">MIN(30-SUM(J1762:L1762),6-L1762,_xlfn.XLOOKUP($D1762&amp;"_"&amp;I$61,$B$23:$B$45&amp;"_"&amp;$C$23:$C$45,$D$23:$D$45)*$E1762)</f>
        <v>0</v>
      </c>
      <c r="J1762" s="67" cm="1">
        <f ca="1" t="array" ref="J1762">MIN(8,_xlfn.XLOOKUP($D1762&amp;"_"&amp;J$61,$B$23:$B$45&amp;"_"&amp;$C$23:$C$45,$D$23:$D$45)*$E1762)</f>
        <v>8</v>
      </c>
      <c r="K1762" s="67" cm="1">
        <f ca="1" t="array" ref="K1762">MIN(18,_xlfn.XLOOKUP($D1762&amp;"_"&amp;K$61,$B$23:$B$45&amp;"_"&amp;$C$23:$C$45,$D$23:$D$45)*$E1762)</f>
        <v>6.9785720876586</v>
      </c>
      <c r="L1762" s="67" cm="1">
        <f ca="1" t="array" ref="L1762">MIN(6,_xlfn.XLOOKUP($D1762&amp;"_"&amp;L$61,$B$23:$B$45&amp;"_"&amp;$C$23:$C$45,$D$23:$D$45)*$E1762)</f>
        <v>6</v>
      </c>
      <c r="M1762" s="67" cm="1">
        <f ca="1" t="array" ref="M1762">(1+SUMPRODUCT(G1762:H1762,OFFSET($H$49:$I$49,D1762,0)))*(1+OFFSET($J$49,D1762,0))^I1762*(1+OFFSET($K$49,D1762,0))^J1762*(1+OFFSET($L$49,D1762,0))^K1762*(1+OFFSET($M$49,D1762,0))^L1762</f>
        <v>488.010660950232</v>
      </c>
      <c r="N1762" s="67">
        <f ca="1">MAX(MAX($N$62:N1761),OFFSET($C$61,MATCH(M1762*1.07,$M$62:$M$2061,1),0)-C1762)</f>
        <v>55080</v>
      </c>
    </row>
    <row r="1763" spans="2:14">
      <c r="B1763" s="67">
        <v>1702</v>
      </c>
      <c r="C1763" s="67">
        <f t="shared" si="159"/>
        <v>612720</v>
      </c>
      <c r="D1763" s="67">
        <f t="shared" si="162"/>
        <v>5</v>
      </c>
      <c r="E1763" s="67">
        <f ca="1" t="shared" si="163"/>
        <v>1732</v>
      </c>
      <c r="F1763" s="67">
        <f ca="1" t="shared" si="160"/>
        <v>0</v>
      </c>
      <c r="G1763" s="67">
        <f ca="1" t="shared" si="161"/>
        <v>0</v>
      </c>
      <c r="H1763" s="67" cm="1">
        <f ca="1" t="array" ref="H1763">MIN(30-SUM(I1763:L1763),_xlfn.XLOOKUP($D1763&amp;"_"&amp;H$61,$B$23:$B$45&amp;"_"&amp;$C$23:$C$45,$D$23:$D$45)*$E1763,18)</f>
        <v>9.01739638600538</v>
      </c>
      <c r="I1763" s="67" cm="1">
        <f ca="1" t="array" ref="I1763">MIN(30-SUM(J1763:L1763),6-L1763,_xlfn.XLOOKUP($D1763&amp;"_"&amp;I$61,$B$23:$B$45&amp;"_"&amp;$C$23:$C$45,$D$23:$D$45)*$E1763)</f>
        <v>0</v>
      </c>
      <c r="J1763" s="67" cm="1">
        <f ca="1" t="array" ref="J1763">MIN(8,_xlfn.XLOOKUP($D1763&amp;"_"&amp;J$61,$B$23:$B$45&amp;"_"&amp;$C$23:$C$45,$D$23:$D$45)*$E1763)</f>
        <v>8</v>
      </c>
      <c r="K1763" s="67" cm="1">
        <f ca="1" t="array" ref="K1763">MIN(18,_xlfn.XLOOKUP($D1763&amp;"_"&amp;K$61,$B$23:$B$45&amp;"_"&amp;$C$23:$C$45,$D$23:$D$45)*$E1763)</f>
        <v>6.98260361399462</v>
      </c>
      <c r="L1763" s="67" cm="1">
        <f ca="1" t="array" ref="L1763">MIN(6,_xlfn.XLOOKUP($D1763&amp;"_"&amp;L$61,$B$23:$B$45&amp;"_"&amp;$C$23:$C$45,$D$23:$D$45)*$E1763)</f>
        <v>6</v>
      </c>
      <c r="M1763" s="67" cm="1">
        <f ca="1" t="array" ref="M1763">(1+SUMPRODUCT(G1763:H1763,OFFSET($H$49:$I$49,D1763,0)))*(1+OFFSET($J$49,D1763,0))^I1763*(1+OFFSET($K$49,D1763,0))^J1763*(1+OFFSET($L$49,D1763,0))^K1763*(1+OFFSET($M$49,D1763,0))^L1763</f>
        <v>488.229078345992</v>
      </c>
      <c r="N1763" s="67">
        <f ca="1">MAX(MAX($N$62:N1762),OFFSET($C$61,MATCH(M1763*1.07,$M$62:$M$2061,1),0)-C1763)</f>
        <v>55080</v>
      </c>
    </row>
    <row r="1764" spans="2:14">
      <c r="B1764" s="67">
        <v>1703</v>
      </c>
      <c r="C1764" s="67">
        <f t="shared" si="159"/>
        <v>613080</v>
      </c>
      <c r="D1764" s="67">
        <f t="shared" si="162"/>
        <v>5</v>
      </c>
      <c r="E1764" s="67">
        <f ca="1" t="shared" si="163"/>
        <v>1733</v>
      </c>
      <c r="F1764" s="67">
        <f ca="1" t="shared" si="160"/>
        <v>0</v>
      </c>
      <c r="G1764" s="67">
        <f ca="1" t="shared" si="161"/>
        <v>0</v>
      </c>
      <c r="H1764" s="67" cm="1">
        <f ca="1" t="array" ref="H1764">MIN(30-SUM(I1764:L1764),_xlfn.XLOOKUP($D1764&amp;"_"&amp;H$61,$B$23:$B$45&amp;"_"&amp;$C$23:$C$45,$D$23:$D$45)*$E1764,18)</f>
        <v>9.01336485966935</v>
      </c>
      <c r="I1764" s="67" cm="1">
        <f ca="1" t="array" ref="I1764">MIN(30-SUM(J1764:L1764),6-L1764,_xlfn.XLOOKUP($D1764&amp;"_"&amp;I$61,$B$23:$B$45&amp;"_"&amp;$C$23:$C$45,$D$23:$D$45)*$E1764)</f>
        <v>0</v>
      </c>
      <c r="J1764" s="67" cm="1">
        <f ca="1" t="array" ref="J1764">MIN(8,_xlfn.XLOOKUP($D1764&amp;"_"&amp;J$61,$B$23:$B$45&amp;"_"&amp;$C$23:$C$45,$D$23:$D$45)*$E1764)</f>
        <v>8</v>
      </c>
      <c r="K1764" s="67" cm="1">
        <f ca="1" t="array" ref="K1764">MIN(18,_xlfn.XLOOKUP($D1764&amp;"_"&amp;K$61,$B$23:$B$45&amp;"_"&amp;$C$23:$C$45,$D$23:$D$45)*$E1764)</f>
        <v>6.98663514033065</v>
      </c>
      <c r="L1764" s="67" cm="1">
        <f ca="1" t="array" ref="L1764">MIN(6,_xlfn.XLOOKUP($D1764&amp;"_"&amp;L$61,$B$23:$B$45&amp;"_"&amp;$C$23:$C$45,$D$23:$D$45)*$E1764)</f>
        <v>6</v>
      </c>
      <c r="M1764" s="67" cm="1">
        <f ca="1" t="array" ref="M1764">(1+SUMPRODUCT(G1764:H1764,OFFSET($H$49:$I$49,D1764,0)))*(1+OFFSET($J$49,D1764,0))^I1764*(1+OFFSET($K$49,D1764,0))^J1764*(1+OFFSET($L$49,D1764,0))^K1764*(1+OFFSET($M$49,D1764,0))^L1764</f>
        <v>488.447553094333</v>
      </c>
      <c r="N1764" s="67">
        <f ca="1">MAX(MAX($N$62:N1763),OFFSET($C$61,MATCH(M1764*1.07,$M$62:$M$2061,1),0)-C1764)</f>
        <v>55080</v>
      </c>
    </row>
    <row r="1765" spans="2:14">
      <c r="B1765" s="67">
        <v>1704</v>
      </c>
      <c r="C1765" s="67">
        <f t="shared" si="159"/>
        <v>613440</v>
      </c>
      <c r="D1765" s="67">
        <f t="shared" si="162"/>
        <v>5</v>
      </c>
      <c r="E1765" s="67">
        <f ca="1" t="shared" si="163"/>
        <v>1734</v>
      </c>
      <c r="F1765" s="67">
        <f ca="1" t="shared" si="160"/>
        <v>0</v>
      </c>
      <c r="G1765" s="67">
        <f ca="1" t="shared" si="161"/>
        <v>0</v>
      </c>
      <c r="H1765" s="67" cm="1">
        <f ca="1" t="array" ref="H1765">MIN(30-SUM(I1765:L1765),_xlfn.XLOOKUP($D1765&amp;"_"&amp;H$61,$B$23:$B$45&amp;"_"&amp;$C$23:$C$45,$D$23:$D$45)*$E1765,18)</f>
        <v>9.00933333333333</v>
      </c>
      <c r="I1765" s="67" cm="1">
        <f ca="1" t="array" ref="I1765">MIN(30-SUM(J1765:L1765),6-L1765,_xlfn.XLOOKUP($D1765&amp;"_"&amp;I$61,$B$23:$B$45&amp;"_"&amp;$C$23:$C$45,$D$23:$D$45)*$E1765)</f>
        <v>0</v>
      </c>
      <c r="J1765" s="67" cm="1">
        <f ca="1" t="array" ref="J1765">MIN(8,_xlfn.XLOOKUP($D1765&amp;"_"&amp;J$61,$B$23:$B$45&amp;"_"&amp;$C$23:$C$45,$D$23:$D$45)*$E1765)</f>
        <v>8</v>
      </c>
      <c r="K1765" s="67" cm="1">
        <f ca="1" t="array" ref="K1765">MIN(18,_xlfn.XLOOKUP($D1765&amp;"_"&amp;K$61,$B$23:$B$45&amp;"_"&amp;$C$23:$C$45,$D$23:$D$45)*$E1765)</f>
        <v>6.99066666666667</v>
      </c>
      <c r="L1765" s="67" cm="1">
        <f ca="1" t="array" ref="L1765">MIN(6,_xlfn.XLOOKUP($D1765&amp;"_"&amp;L$61,$B$23:$B$45&amp;"_"&amp;$C$23:$C$45,$D$23:$D$45)*$E1765)</f>
        <v>6</v>
      </c>
      <c r="M1765" s="67" cm="1">
        <f ca="1" t="array" ref="M1765">(1+SUMPRODUCT(G1765:H1765,OFFSET($H$49:$I$49,D1765,0)))*(1+OFFSET($J$49,D1765,0))^I1765*(1+OFFSET($K$49,D1765,0))^J1765*(1+OFFSET($L$49,D1765,0))^K1765*(1+OFFSET($M$49,D1765,0))^L1765</f>
        <v>488.666085161507</v>
      </c>
      <c r="N1765" s="67">
        <f ca="1">MAX(MAX($N$62:N1764),OFFSET($C$61,MATCH(M1765*1.07,$M$62:$M$2061,1),0)-C1765)</f>
        <v>55080</v>
      </c>
    </row>
    <row r="1766" spans="2:14">
      <c r="B1766" s="67">
        <v>1705</v>
      </c>
      <c r="C1766" s="67">
        <f t="shared" si="159"/>
        <v>613800</v>
      </c>
      <c r="D1766" s="67">
        <f t="shared" si="162"/>
        <v>5</v>
      </c>
      <c r="E1766" s="67">
        <f ca="1" t="shared" si="163"/>
        <v>1735</v>
      </c>
      <c r="F1766" s="67">
        <f ca="1" t="shared" si="160"/>
        <v>0</v>
      </c>
      <c r="G1766" s="67">
        <f ca="1" t="shared" si="161"/>
        <v>0</v>
      </c>
      <c r="H1766" s="67" cm="1">
        <f ca="1" t="array" ref="H1766">MIN(30-SUM(I1766:L1766),_xlfn.XLOOKUP($D1766&amp;"_"&amp;H$61,$B$23:$B$45&amp;"_"&amp;$C$23:$C$45,$D$23:$D$45)*$E1766,18)</f>
        <v>9.0053018069973</v>
      </c>
      <c r="I1766" s="67" cm="1">
        <f ca="1" t="array" ref="I1766">MIN(30-SUM(J1766:L1766),6-L1766,_xlfn.XLOOKUP($D1766&amp;"_"&amp;I$61,$B$23:$B$45&amp;"_"&amp;$C$23:$C$45,$D$23:$D$45)*$E1766)</f>
        <v>0</v>
      </c>
      <c r="J1766" s="67" cm="1">
        <f ca="1" t="array" ref="J1766">MIN(8,_xlfn.XLOOKUP($D1766&amp;"_"&amp;J$61,$B$23:$B$45&amp;"_"&amp;$C$23:$C$45,$D$23:$D$45)*$E1766)</f>
        <v>8</v>
      </c>
      <c r="K1766" s="67" cm="1">
        <f ca="1" t="array" ref="K1766">MIN(18,_xlfn.XLOOKUP($D1766&amp;"_"&amp;K$61,$B$23:$B$45&amp;"_"&amp;$C$23:$C$45,$D$23:$D$45)*$E1766)</f>
        <v>6.9946981930027</v>
      </c>
      <c r="L1766" s="67" cm="1">
        <f ca="1" t="array" ref="L1766">MIN(6,_xlfn.XLOOKUP($D1766&amp;"_"&amp;L$61,$B$23:$B$45&amp;"_"&amp;$C$23:$C$45,$D$23:$D$45)*$E1766)</f>
        <v>6</v>
      </c>
      <c r="M1766" s="67" cm="1">
        <f ca="1" t="array" ref="M1766">(1+SUMPRODUCT(G1766:H1766,OFFSET($H$49:$I$49,D1766,0)))*(1+OFFSET($J$49,D1766,0))^I1766*(1+OFFSET($K$49,D1766,0))^J1766*(1+OFFSET($L$49,D1766,0))^K1766*(1+OFFSET($M$49,D1766,0))^L1766</f>
        <v>488.884674513683</v>
      </c>
      <c r="N1766" s="67">
        <f ca="1">MAX(MAX($N$62:N1765),OFFSET($C$61,MATCH(M1766*1.07,$M$62:$M$2061,1),0)-C1766)</f>
        <v>55080</v>
      </c>
    </row>
    <row r="1767" spans="2:14">
      <c r="B1767" s="67">
        <v>1706</v>
      </c>
      <c r="C1767" s="67">
        <f t="shared" si="159"/>
        <v>614160</v>
      </c>
      <c r="D1767" s="67">
        <f t="shared" si="162"/>
        <v>5</v>
      </c>
      <c r="E1767" s="67">
        <f ca="1" t="shared" si="163"/>
        <v>1736</v>
      </c>
      <c r="F1767" s="67">
        <f ca="1" t="shared" si="160"/>
        <v>0</v>
      </c>
      <c r="G1767" s="67">
        <f ca="1" t="shared" si="161"/>
        <v>0</v>
      </c>
      <c r="H1767" s="67" cm="1">
        <f ca="1" t="array" ref="H1767">MIN(30-SUM(I1767:L1767),_xlfn.XLOOKUP($D1767&amp;"_"&amp;H$61,$B$23:$B$45&amp;"_"&amp;$C$23:$C$45,$D$23:$D$45)*$E1767,18)</f>
        <v>9.00127028066128</v>
      </c>
      <c r="I1767" s="67" cm="1">
        <f ca="1" t="array" ref="I1767">MIN(30-SUM(J1767:L1767),6-L1767,_xlfn.XLOOKUP($D1767&amp;"_"&amp;I$61,$B$23:$B$45&amp;"_"&amp;$C$23:$C$45,$D$23:$D$45)*$E1767)</f>
        <v>0</v>
      </c>
      <c r="J1767" s="67" cm="1">
        <f ca="1" t="array" ref="J1767">MIN(8,_xlfn.XLOOKUP($D1767&amp;"_"&amp;J$61,$B$23:$B$45&amp;"_"&amp;$C$23:$C$45,$D$23:$D$45)*$E1767)</f>
        <v>8</v>
      </c>
      <c r="K1767" s="67" cm="1">
        <f ca="1" t="array" ref="K1767">MIN(18,_xlfn.XLOOKUP($D1767&amp;"_"&amp;K$61,$B$23:$B$45&amp;"_"&amp;$C$23:$C$45,$D$23:$D$45)*$E1767)</f>
        <v>6.99872971933872</v>
      </c>
      <c r="L1767" s="67" cm="1">
        <f ca="1" t="array" ref="L1767">MIN(6,_xlfn.XLOOKUP($D1767&amp;"_"&amp;L$61,$B$23:$B$45&amp;"_"&amp;$C$23:$C$45,$D$23:$D$45)*$E1767)</f>
        <v>6</v>
      </c>
      <c r="M1767" s="67" cm="1">
        <f ca="1" t="array" ref="M1767">(1+SUMPRODUCT(G1767:H1767,OFFSET($H$49:$I$49,D1767,0)))*(1+OFFSET($J$49,D1767,0))^I1767*(1+OFFSET($K$49,D1767,0))^J1767*(1+OFFSET($L$49,D1767,0))^K1767*(1+OFFSET($M$49,D1767,0))^L1767</f>
        <v>489.103321116951</v>
      </c>
      <c r="N1767" s="67">
        <f ca="1">MAX(MAX($N$62:N1766),OFFSET($C$61,MATCH(M1767*1.07,$M$62:$M$2061,1),0)-C1767)</f>
        <v>55080</v>
      </c>
    </row>
    <row r="1768" spans="2:14">
      <c r="B1768" s="67">
        <v>1707</v>
      </c>
      <c r="C1768" s="67">
        <f t="shared" si="159"/>
        <v>614520</v>
      </c>
      <c r="D1768" s="67">
        <f t="shared" si="162"/>
        <v>5</v>
      </c>
      <c r="E1768" s="67">
        <f ca="1" t="shared" si="163"/>
        <v>1737</v>
      </c>
      <c r="F1768" s="67">
        <f ca="1" t="shared" si="160"/>
        <v>0</v>
      </c>
      <c r="G1768" s="67">
        <f ca="1" t="shared" si="161"/>
        <v>0</v>
      </c>
      <c r="H1768" s="67" cm="1">
        <f ca="1" t="array" ref="H1768">MIN(30-SUM(I1768:L1768),_xlfn.XLOOKUP($D1768&amp;"_"&amp;H$61,$B$23:$B$45&amp;"_"&amp;$C$23:$C$45,$D$23:$D$45)*$E1768,18)</f>
        <v>8.99723875432525</v>
      </c>
      <c r="I1768" s="67" cm="1">
        <f ca="1" t="array" ref="I1768">MIN(30-SUM(J1768:L1768),6-L1768,_xlfn.XLOOKUP($D1768&amp;"_"&amp;I$61,$B$23:$B$45&amp;"_"&amp;$C$23:$C$45,$D$23:$D$45)*$E1768)</f>
        <v>0</v>
      </c>
      <c r="J1768" s="67" cm="1">
        <f ca="1" t="array" ref="J1768">MIN(8,_xlfn.XLOOKUP($D1768&amp;"_"&amp;J$61,$B$23:$B$45&amp;"_"&amp;$C$23:$C$45,$D$23:$D$45)*$E1768)</f>
        <v>8</v>
      </c>
      <c r="K1768" s="67" cm="1">
        <f ca="1" t="array" ref="K1768">MIN(18,_xlfn.XLOOKUP($D1768&amp;"_"&amp;K$61,$B$23:$B$45&amp;"_"&amp;$C$23:$C$45,$D$23:$D$45)*$E1768)</f>
        <v>7.00276124567475</v>
      </c>
      <c r="L1768" s="67" cm="1">
        <f ca="1" t="array" ref="L1768">MIN(6,_xlfn.XLOOKUP($D1768&amp;"_"&amp;L$61,$B$23:$B$45&amp;"_"&amp;$C$23:$C$45,$D$23:$D$45)*$E1768)</f>
        <v>6</v>
      </c>
      <c r="M1768" s="67" cm="1">
        <f ca="1" t="array" ref="M1768">(1+SUMPRODUCT(G1768:H1768,OFFSET($H$49:$I$49,D1768,0)))*(1+OFFSET($J$49,D1768,0))^I1768*(1+OFFSET($K$49,D1768,0))^J1768*(1+OFFSET($L$49,D1768,0))^K1768*(1+OFFSET($M$49,D1768,0))^L1768</f>
        <v>489.32202493732</v>
      </c>
      <c r="N1768" s="67">
        <f ca="1">MAX(MAX($N$62:N1767),OFFSET($C$61,MATCH(M1768*1.07,$M$62:$M$2061,1),0)-C1768)</f>
        <v>55080</v>
      </c>
    </row>
    <row r="1769" spans="2:14">
      <c r="B1769" s="67">
        <v>1708</v>
      </c>
      <c r="C1769" s="67">
        <f t="shared" si="159"/>
        <v>614880</v>
      </c>
      <c r="D1769" s="67">
        <f t="shared" si="162"/>
        <v>5</v>
      </c>
      <c r="E1769" s="67">
        <f ca="1" t="shared" si="163"/>
        <v>1738</v>
      </c>
      <c r="F1769" s="67">
        <f ca="1" t="shared" si="160"/>
        <v>0</v>
      </c>
      <c r="G1769" s="67">
        <f ca="1" t="shared" si="161"/>
        <v>0</v>
      </c>
      <c r="H1769" s="67" cm="1">
        <f ca="1" t="array" ref="H1769">MIN(30-SUM(I1769:L1769),_xlfn.XLOOKUP($D1769&amp;"_"&amp;H$61,$B$23:$B$45&amp;"_"&amp;$C$23:$C$45,$D$23:$D$45)*$E1769,18)</f>
        <v>8.99320722798923</v>
      </c>
      <c r="I1769" s="67" cm="1">
        <f ca="1" t="array" ref="I1769">MIN(30-SUM(J1769:L1769),6-L1769,_xlfn.XLOOKUP($D1769&amp;"_"&amp;I$61,$B$23:$B$45&amp;"_"&amp;$C$23:$C$45,$D$23:$D$45)*$E1769)</f>
        <v>0</v>
      </c>
      <c r="J1769" s="67" cm="1">
        <f ca="1" t="array" ref="J1769">MIN(8,_xlfn.XLOOKUP($D1769&amp;"_"&amp;J$61,$B$23:$B$45&amp;"_"&amp;$C$23:$C$45,$D$23:$D$45)*$E1769)</f>
        <v>8</v>
      </c>
      <c r="K1769" s="67" cm="1">
        <f ca="1" t="array" ref="K1769">MIN(18,_xlfn.XLOOKUP($D1769&amp;"_"&amp;K$61,$B$23:$B$45&amp;"_"&amp;$C$23:$C$45,$D$23:$D$45)*$E1769)</f>
        <v>7.00679277201077</v>
      </c>
      <c r="L1769" s="67" cm="1">
        <f ca="1" t="array" ref="L1769">MIN(6,_xlfn.XLOOKUP($D1769&amp;"_"&amp;L$61,$B$23:$B$45&amp;"_"&amp;$C$23:$C$45,$D$23:$D$45)*$E1769)</f>
        <v>6</v>
      </c>
      <c r="M1769" s="67" cm="1">
        <f ca="1" t="array" ref="M1769">(1+SUMPRODUCT(G1769:H1769,OFFSET($H$49:$I$49,D1769,0)))*(1+OFFSET($J$49,D1769,0))^I1769*(1+OFFSET($K$49,D1769,0))^J1769*(1+OFFSET($L$49,D1769,0))^K1769*(1+OFFSET($M$49,D1769,0))^L1769</f>
        <v>489.540785940717</v>
      </c>
      <c r="N1769" s="67">
        <f ca="1">MAX(MAX($N$62:N1768),OFFSET($C$61,MATCH(M1769*1.07,$M$62:$M$2061,1),0)-C1769)</f>
        <v>55080</v>
      </c>
    </row>
    <row r="1770" spans="2:14">
      <c r="B1770" s="67">
        <v>1709</v>
      </c>
      <c r="C1770" s="67">
        <f t="shared" si="159"/>
        <v>615240</v>
      </c>
      <c r="D1770" s="67">
        <f t="shared" si="162"/>
        <v>5</v>
      </c>
      <c r="E1770" s="67">
        <f ca="1" t="shared" si="163"/>
        <v>1739</v>
      </c>
      <c r="F1770" s="67">
        <f ca="1" t="shared" si="160"/>
        <v>0</v>
      </c>
      <c r="G1770" s="67">
        <f ca="1" t="shared" si="161"/>
        <v>0</v>
      </c>
      <c r="H1770" s="67" cm="1">
        <f ca="1" t="array" ref="H1770">MIN(30-SUM(I1770:L1770),_xlfn.XLOOKUP($D1770&amp;"_"&amp;H$61,$B$23:$B$45&amp;"_"&amp;$C$23:$C$45,$D$23:$D$45)*$E1770,18)</f>
        <v>8.9891757016532</v>
      </c>
      <c r="I1770" s="67" cm="1">
        <f ca="1" t="array" ref="I1770">MIN(30-SUM(J1770:L1770),6-L1770,_xlfn.XLOOKUP($D1770&amp;"_"&amp;I$61,$B$23:$B$45&amp;"_"&amp;$C$23:$C$45,$D$23:$D$45)*$E1770)</f>
        <v>0</v>
      </c>
      <c r="J1770" s="67" cm="1">
        <f ca="1" t="array" ref="J1770">MIN(8,_xlfn.XLOOKUP($D1770&amp;"_"&amp;J$61,$B$23:$B$45&amp;"_"&amp;$C$23:$C$45,$D$23:$D$45)*$E1770)</f>
        <v>8</v>
      </c>
      <c r="K1770" s="67" cm="1">
        <f ca="1" t="array" ref="K1770">MIN(18,_xlfn.XLOOKUP($D1770&amp;"_"&amp;K$61,$B$23:$B$45&amp;"_"&amp;$C$23:$C$45,$D$23:$D$45)*$E1770)</f>
        <v>7.0108242983468</v>
      </c>
      <c r="L1770" s="67" cm="1">
        <f ca="1" t="array" ref="L1770">MIN(6,_xlfn.XLOOKUP($D1770&amp;"_"&amp;L$61,$B$23:$B$45&amp;"_"&amp;$C$23:$C$45,$D$23:$D$45)*$E1770)</f>
        <v>6</v>
      </c>
      <c r="M1770" s="67" cm="1">
        <f ca="1" t="array" ref="M1770">(1+SUMPRODUCT(G1770:H1770,OFFSET($H$49:$I$49,D1770,0)))*(1+OFFSET($J$49,D1770,0))^I1770*(1+OFFSET($K$49,D1770,0))^J1770*(1+OFFSET($L$49,D1770,0))^K1770*(1+OFFSET($M$49,D1770,0))^L1770</f>
        <v>489.75960409299</v>
      </c>
      <c r="N1770" s="67">
        <f ca="1">MAX(MAX($N$62:N1769),OFFSET($C$61,MATCH(M1770*1.07,$M$62:$M$2061,1),0)-C1770)</f>
        <v>55080</v>
      </c>
    </row>
    <row r="1771" spans="2:14">
      <c r="B1771" s="67">
        <v>1710</v>
      </c>
      <c r="C1771" s="67">
        <f t="shared" si="159"/>
        <v>615600</v>
      </c>
      <c r="D1771" s="67">
        <f t="shared" si="162"/>
        <v>5</v>
      </c>
      <c r="E1771" s="67">
        <f ca="1" t="shared" si="163"/>
        <v>1740</v>
      </c>
      <c r="F1771" s="67">
        <f ca="1" t="shared" si="160"/>
        <v>0</v>
      </c>
      <c r="G1771" s="67">
        <f ca="1" t="shared" si="161"/>
        <v>0</v>
      </c>
      <c r="H1771" s="67" cm="1">
        <f ca="1" t="array" ref="H1771">MIN(30-SUM(I1771:L1771),_xlfn.XLOOKUP($D1771&amp;"_"&amp;H$61,$B$23:$B$45&amp;"_"&amp;$C$23:$C$45,$D$23:$D$45)*$E1771,18)</f>
        <v>8.98514417531718</v>
      </c>
      <c r="I1771" s="67" cm="1">
        <f ca="1" t="array" ref="I1771">MIN(30-SUM(J1771:L1771),6-L1771,_xlfn.XLOOKUP($D1771&amp;"_"&amp;I$61,$B$23:$B$45&amp;"_"&amp;$C$23:$C$45,$D$23:$D$45)*$E1771)</f>
        <v>0</v>
      </c>
      <c r="J1771" s="67" cm="1">
        <f ca="1" t="array" ref="J1771">MIN(8,_xlfn.XLOOKUP($D1771&amp;"_"&amp;J$61,$B$23:$B$45&amp;"_"&amp;$C$23:$C$45,$D$23:$D$45)*$E1771)</f>
        <v>8</v>
      </c>
      <c r="K1771" s="67" cm="1">
        <f ca="1" t="array" ref="K1771">MIN(18,_xlfn.XLOOKUP($D1771&amp;"_"&amp;K$61,$B$23:$B$45&amp;"_"&amp;$C$23:$C$45,$D$23:$D$45)*$E1771)</f>
        <v>7.01485582468282</v>
      </c>
      <c r="L1771" s="67" cm="1">
        <f ca="1" t="array" ref="L1771">MIN(6,_xlfn.XLOOKUP($D1771&amp;"_"&amp;L$61,$B$23:$B$45&amp;"_"&amp;$C$23:$C$45,$D$23:$D$45)*$E1771)</f>
        <v>6</v>
      </c>
      <c r="M1771" s="67" cm="1">
        <f ca="1" t="array" ref="M1771">(1+SUMPRODUCT(G1771:H1771,OFFSET($H$49:$I$49,D1771,0)))*(1+OFFSET($J$49,D1771,0))^I1771*(1+OFFSET($K$49,D1771,0))^J1771*(1+OFFSET($L$49,D1771,0))^K1771*(1+OFFSET($M$49,D1771,0))^L1771</f>
        <v>489.978479359904</v>
      </c>
      <c r="N1771" s="67">
        <f ca="1">MAX(MAX($N$62:N1770),OFFSET($C$61,MATCH(M1771*1.07,$M$62:$M$2061,1),0)-C1771)</f>
        <v>55080</v>
      </c>
    </row>
    <row r="1772" spans="2:14">
      <c r="B1772" s="67">
        <v>1711</v>
      </c>
      <c r="C1772" s="67">
        <f t="shared" si="159"/>
        <v>615960</v>
      </c>
      <c r="D1772" s="67">
        <f t="shared" si="162"/>
        <v>5</v>
      </c>
      <c r="E1772" s="67">
        <f ca="1" t="shared" si="163"/>
        <v>1741</v>
      </c>
      <c r="F1772" s="67">
        <f ca="1" t="shared" si="160"/>
        <v>0</v>
      </c>
      <c r="G1772" s="67">
        <f ca="1" t="shared" si="161"/>
        <v>0</v>
      </c>
      <c r="H1772" s="67" cm="1">
        <f ca="1" t="array" ref="H1772">MIN(30-SUM(I1772:L1772),_xlfn.XLOOKUP($D1772&amp;"_"&amp;H$61,$B$23:$B$45&amp;"_"&amp;$C$23:$C$45,$D$23:$D$45)*$E1772,18)</f>
        <v>8.98111264898115</v>
      </c>
      <c r="I1772" s="67" cm="1">
        <f ca="1" t="array" ref="I1772">MIN(30-SUM(J1772:L1772),6-L1772,_xlfn.XLOOKUP($D1772&amp;"_"&amp;I$61,$B$23:$B$45&amp;"_"&amp;$C$23:$C$45,$D$23:$D$45)*$E1772)</f>
        <v>0</v>
      </c>
      <c r="J1772" s="67" cm="1">
        <f ca="1" t="array" ref="J1772">MIN(8,_xlfn.XLOOKUP($D1772&amp;"_"&amp;J$61,$B$23:$B$45&amp;"_"&amp;$C$23:$C$45,$D$23:$D$45)*$E1772)</f>
        <v>8</v>
      </c>
      <c r="K1772" s="67" cm="1">
        <f ca="1" t="array" ref="K1772">MIN(18,_xlfn.XLOOKUP($D1772&amp;"_"&amp;K$61,$B$23:$B$45&amp;"_"&amp;$C$23:$C$45,$D$23:$D$45)*$E1772)</f>
        <v>7.01888735101885</v>
      </c>
      <c r="L1772" s="67" cm="1">
        <f ca="1" t="array" ref="L1772">MIN(6,_xlfn.XLOOKUP($D1772&amp;"_"&amp;L$61,$B$23:$B$45&amp;"_"&amp;$C$23:$C$45,$D$23:$D$45)*$E1772)</f>
        <v>6</v>
      </c>
      <c r="M1772" s="67" cm="1">
        <f ca="1" t="array" ref="M1772">(1+SUMPRODUCT(G1772:H1772,OFFSET($H$49:$I$49,D1772,0)))*(1+OFFSET($J$49,D1772,0))^I1772*(1+OFFSET($K$49,D1772,0))^J1772*(1+OFFSET($L$49,D1772,0))^K1772*(1+OFFSET($M$49,D1772,0))^L1772</f>
        <v>490.197411707142</v>
      </c>
      <c r="N1772" s="67">
        <f ca="1">MAX(MAX($N$62:N1771),OFFSET($C$61,MATCH(M1772*1.07,$M$62:$M$2061,1),0)-C1772)</f>
        <v>55080</v>
      </c>
    </row>
    <row r="1773" spans="2:14">
      <c r="B1773" s="67">
        <v>1712</v>
      </c>
      <c r="C1773" s="67">
        <f t="shared" si="159"/>
        <v>616320</v>
      </c>
      <c r="D1773" s="67">
        <f t="shared" si="162"/>
        <v>5</v>
      </c>
      <c r="E1773" s="67">
        <f ca="1" t="shared" si="163"/>
        <v>1742</v>
      </c>
      <c r="F1773" s="67">
        <f ca="1" t="shared" si="160"/>
        <v>0</v>
      </c>
      <c r="G1773" s="67">
        <f ca="1" t="shared" si="161"/>
        <v>0</v>
      </c>
      <c r="H1773" s="67" cm="1">
        <f ca="1" t="array" ref="H1773">MIN(30-SUM(I1773:L1773),_xlfn.XLOOKUP($D1773&amp;"_"&amp;H$61,$B$23:$B$45&amp;"_"&amp;$C$23:$C$45,$D$23:$D$45)*$E1773,18)</f>
        <v>8.97708112264513</v>
      </c>
      <c r="I1773" s="67" cm="1">
        <f ca="1" t="array" ref="I1773">MIN(30-SUM(J1773:L1773),6-L1773,_xlfn.XLOOKUP($D1773&amp;"_"&amp;I$61,$B$23:$B$45&amp;"_"&amp;$C$23:$C$45,$D$23:$D$45)*$E1773)</f>
        <v>0</v>
      </c>
      <c r="J1773" s="67" cm="1">
        <f ca="1" t="array" ref="J1773">MIN(8,_xlfn.XLOOKUP($D1773&amp;"_"&amp;J$61,$B$23:$B$45&amp;"_"&amp;$C$23:$C$45,$D$23:$D$45)*$E1773)</f>
        <v>8</v>
      </c>
      <c r="K1773" s="67" cm="1">
        <f ca="1" t="array" ref="K1773">MIN(18,_xlfn.XLOOKUP($D1773&amp;"_"&amp;K$61,$B$23:$B$45&amp;"_"&amp;$C$23:$C$45,$D$23:$D$45)*$E1773)</f>
        <v>7.02291887735487</v>
      </c>
      <c r="L1773" s="67" cm="1">
        <f ca="1" t="array" ref="L1773">MIN(6,_xlfn.XLOOKUP($D1773&amp;"_"&amp;L$61,$B$23:$B$45&amp;"_"&amp;$C$23:$C$45,$D$23:$D$45)*$E1773)</f>
        <v>6</v>
      </c>
      <c r="M1773" s="67" cm="1">
        <f ca="1" t="array" ref="M1773">(1+SUMPRODUCT(G1773:H1773,OFFSET($H$49:$I$49,D1773,0)))*(1+OFFSET($J$49,D1773,0))^I1773*(1+OFFSET($K$49,D1773,0))^J1773*(1+OFFSET($L$49,D1773,0))^K1773*(1+OFFSET($M$49,D1773,0))^L1773</f>
        <v>490.41640110031</v>
      </c>
      <c r="N1773" s="67">
        <f ca="1">MAX(MAX($N$62:N1772),OFFSET($C$61,MATCH(M1773*1.07,$M$62:$M$2061,1),0)-C1773)</f>
        <v>55080</v>
      </c>
    </row>
    <row r="1774" spans="2:14">
      <c r="B1774" s="67">
        <v>1713</v>
      </c>
      <c r="C1774" s="67">
        <f t="shared" ref="C1774:C1837" si="164">C1773+360</f>
        <v>616680</v>
      </c>
      <c r="D1774" s="67">
        <f t="shared" si="162"/>
        <v>5</v>
      </c>
      <c r="E1774" s="67">
        <f ca="1" t="shared" si="163"/>
        <v>1743</v>
      </c>
      <c r="F1774" s="67">
        <f ca="1" t="shared" ref="F1774:F1837" si="165">30-SUM(G1774:L1774)</f>
        <v>0</v>
      </c>
      <c r="G1774" s="67">
        <f ca="1" t="shared" ref="G1774:G1837" si="166">30-SUM(H1774:L1774)</f>
        <v>0</v>
      </c>
      <c r="H1774" s="67" cm="1">
        <f ca="1" t="array" ref="H1774">MIN(30-SUM(I1774:L1774),_xlfn.XLOOKUP($D1774&amp;"_"&amp;H$61,$B$23:$B$45&amp;"_"&amp;$C$23:$C$45,$D$23:$D$45)*$E1774,18)</f>
        <v>8.9730495963091</v>
      </c>
      <c r="I1774" s="67" cm="1">
        <f ca="1" t="array" ref="I1774">MIN(30-SUM(J1774:L1774),6-L1774,_xlfn.XLOOKUP($D1774&amp;"_"&amp;I$61,$B$23:$B$45&amp;"_"&amp;$C$23:$C$45,$D$23:$D$45)*$E1774)</f>
        <v>0</v>
      </c>
      <c r="J1774" s="67" cm="1">
        <f ca="1" t="array" ref="J1774">MIN(8,_xlfn.XLOOKUP($D1774&amp;"_"&amp;J$61,$B$23:$B$45&amp;"_"&amp;$C$23:$C$45,$D$23:$D$45)*$E1774)</f>
        <v>8</v>
      </c>
      <c r="K1774" s="67" cm="1">
        <f ca="1" t="array" ref="K1774">MIN(18,_xlfn.XLOOKUP($D1774&amp;"_"&amp;K$61,$B$23:$B$45&amp;"_"&amp;$C$23:$C$45,$D$23:$D$45)*$E1774)</f>
        <v>7.0269504036909</v>
      </c>
      <c r="L1774" s="67" cm="1">
        <f ca="1" t="array" ref="L1774">MIN(6,_xlfn.XLOOKUP($D1774&amp;"_"&amp;L$61,$B$23:$B$45&amp;"_"&amp;$C$23:$C$45,$D$23:$D$45)*$E1774)</f>
        <v>6</v>
      </c>
      <c r="M1774" s="67" cm="1">
        <f ca="1" t="array" ref="M1774">(1+SUMPRODUCT(G1774:H1774,OFFSET($H$49:$I$49,D1774,0)))*(1+OFFSET($J$49,D1774,0))^I1774*(1+OFFSET($K$49,D1774,0))^J1774*(1+OFFSET($L$49,D1774,0))^K1774*(1+OFFSET($M$49,D1774,0))^L1774</f>
        <v>490.635447504926</v>
      </c>
      <c r="N1774" s="67">
        <f ca="1">MAX(MAX($N$62:N1773),OFFSET($C$61,MATCH(M1774*1.07,$M$62:$M$2061,1),0)-C1774)</f>
        <v>55080</v>
      </c>
    </row>
    <row r="1775" spans="2:14">
      <c r="B1775" s="67">
        <v>1714</v>
      </c>
      <c r="C1775" s="67">
        <f t="shared" si="164"/>
        <v>617040</v>
      </c>
      <c r="D1775" s="67">
        <f t="shared" si="162"/>
        <v>5</v>
      </c>
      <c r="E1775" s="67">
        <f ca="1" t="shared" si="163"/>
        <v>1744</v>
      </c>
      <c r="F1775" s="67">
        <f ca="1" t="shared" si="165"/>
        <v>0</v>
      </c>
      <c r="G1775" s="67">
        <f ca="1" t="shared" si="166"/>
        <v>0</v>
      </c>
      <c r="H1775" s="67" cm="1">
        <f ca="1" t="array" ref="H1775">MIN(30-SUM(I1775:L1775),_xlfn.XLOOKUP($D1775&amp;"_"&amp;H$61,$B$23:$B$45&amp;"_"&amp;$C$23:$C$45,$D$23:$D$45)*$E1775,18)</f>
        <v>8.96901806997308</v>
      </c>
      <c r="I1775" s="67" cm="1">
        <f ca="1" t="array" ref="I1775">MIN(30-SUM(J1775:L1775),6-L1775,_xlfn.XLOOKUP($D1775&amp;"_"&amp;I$61,$B$23:$B$45&amp;"_"&amp;$C$23:$C$45,$D$23:$D$45)*$E1775)</f>
        <v>0</v>
      </c>
      <c r="J1775" s="67" cm="1">
        <f ca="1" t="array" ref="J1775">MIN(8,_xlfn.XLOOKUP($D1775&amp;"_"&amp;J$61,$B$23:$B$45&amp;"_"&amp;$C$23:$C$45,$D$23:$D$45)*$E1775)</f>
        <v>8</v>
      </c>
      <c r="K1775" s="67" cm="1">
        <f ca="1" t="array" ref="K1775">MIN(18,_xlfn.XLOOKUP($D1775&amp;"_"&amp;K$61,$B$23:$B$45&amp;"_"&amp;$C$23:$C$45,$D$23:$D$45)*$E1775)</f>
        <v>7.03098193002692</v>
      </c>
      <c r="L1775" s="67" cm="1">
        <f ca="1" t="array" ref="L1775">MIN(6,_xlfn.XLOOKUP($D1775&amp;"_"&amp;L$61,$B$23:$B$45&amp;"_"&amp;$C$23:$C$45,$D$23:$D$45)*$E1775)</f>
        <v>6</v>
      </c>
      <c r="M1775" s="67" cm="1">
        <f ca="1" t="array" ref="M1775">(1+SUMPRODUCT(G1775:H1775,OFFSET($H$49:$I$49,D1775,0)))*(1+OFFSET($J$49,D1775,0))^I1775*(1+OFFSET($K$49,D1775,0))^J1775*(1+OFFSET($L$49,D1775,0))^K1775*(1+OFFSET($M$49,D1775,0))^L1775</f>
        <v>490.854550886433</v>
      </c>
      <c r="N1775" s="67">
        <f ca="1">MAX(MAX($N$62:N1774),OFFSET($C$61,MATCH(M1775*1.07,$M$62:$M$2061,1),0)-C1775)</f>
        <v>55080</v>
      </c>
    </row>
    <row r="1776" spans="2:14">
      <c r="B1776" s="67">
        <v>1715</v>
      </c>
      <c r="C1776" s="67">
        <f t="shared" si="164"/>
        <v>617400</v>
      </c>
      <c r="D1776" s="67">
        <f t="shared" si="162"/>
        <v>5</v>
      </c>
      <c r="E1776" s="67">
        <f ca="1" t="shared" si="163"/>
        <v>1745</v>
      </c>
      <c r="F1776" s="67">
        <f ca="1" t="shared" si="165"/>
        <v>0</v>
      </c>
      <c r="G1776" s="67">
        <f ca="1" t="shared" si="166"/>
        <v>0</v>
      </c>
      <c r="H1776" s="67" cm="1">
        <f ca="1" t="array" ref="H1776">MIN(30-SUM(I1776:L1776),_xlfn.XLOOKUP($D1776&amp;"_"&amp;H$61,$B$23:$B$45&amp;"_"&amp;$C$23:$C$45,$D$23:$D$45)*$E1776,18)</f>
        <v>8.96498654363706</v>
      </c>
      <c r="I1776" s="67" cm="1">
        <f ca="1" t="array" ref="I1776">MIN(30-SUM(J1776:L1776),6-L1776,_xlfn.XLOOKUP($D1776&amp;"_"&amp;I$61,$B$23:$B$45&amp;"_"&amp;$C$23:$C$45,$D$23:$D$45)*$E1776)</f>
        <v>0</v>
      </c>
      <c r="J1776" s="67" cm="1">
        <f ca="1" t="array" ref="J1776">MIN(8,_xlfn.XLOOKUP($D1776&amp;"_"&amp;J$61,$B$23:$B$45&amp;"_"&amp;$C$23:$C$45,$D$23:$D$45)*$E1776)</f>
        <v>8</v>
      </c>
      <c r="K1776" s="67" cm="1">
        <f ca="1" t="array" ref="K1776">MIN(18,_xlfn.XLOOKUP($D1776&amp;"_"&amp;K$61,$B$23:$B$45&amp;"_"&amp;$C$23:$C$45,$D$23:$D$45)*$E1776)</f>
        <v>7.03501345636294</v>
      </c>
      <c r="L1776" s="67" cm="1">
        <f ca="1" t="array" ref="L1776">MIN(6,_xlfn.XLOOKUP($D1776&amp;"_"&amp;L$61,$B$23:$B$45&amp;"_"&amp;$C$23:$C$45,$D$23:$D$45)*$E1776)</f>
        <v>6</v>
      </c>
      <c r="M1776" s="67" cm="1">
        <f ca="1" t="array" ref="M1776">(1+SUMPRODUCT(G1776:H1776,OFFSET($H$49:$I$49,D1776,0)))*(1+OFFSET($J$49,D1776,0))^I1776*(1+OFFSET($K$49,D1776,0))^J1776*(1+OFFSET($L$49,D1776,0))^K1776*(1+OFFSET($M$49,D1776,0))^L1776</f>
        <v>491.073711210188</v>
      </c>
      <c r="N1776" s="67">
        <f ca="1">MAX(MAX($N$62:N1775),OFFSET($C$61,MATCH(M1776*1.07,$M$62:$M$2061,1),0)-C1776)</f>
        <v>55080</v>
      </c>
    </row>
    <row r="1777" spans="2:14">
      <c r="B1777" s="67">
        <v>1716</v>
      </c>
      <c r="C1777" s="67">
        <f t="shared" si="164"/>
        <v>617760</v>
      </c>
      <c r="D1777" s="67">
        <f t="shared" si="162"/>
        <v>5</v>
      </c>
      <c r="E1777" s="67">
        <f ca="1" t="shared" si="163"/>
        <v>1746</v>
      </c>
      <c r="F1777" s="67">
        <f ca="1" t="shared" si="165"/>
        <v>0</v>
      </c>
      <c r="G1777" s="67">
        <f ca="1" t="shared" si="166"/>
        <v>0</v>
      </c>
      <c r="H1777" s="67" cm="1">
        <f ca="1" t="array" ref="H1777">MIN(30-SUM(I1777:L1777),_xlfn.XLOOKUP($D1777&amp;"_"&amp;H$61,$B$23:$B$45&amp;"_"&amp;$C$23:$C$45,$D$23:$D$45)*$E1777,18)</f>
        <v>8.96095501730103</v>
      </c>
      <c r="I1777" s="67" cm="1">
        <f ca="1" t="array" ref="I1777">MIN(30-SUM(J1777:L1777),6-L1777,_xlfn.XLOOKUP($D1777&amp;"_"&amp;I$61,$B$23:$B$45&amp;"_"&amp;$C$23:$C$45,$D$23:$D$45)*$E1777)</f>
        <v>0</v>
      </c>
      <c r="J1777" s="67" cm="1">
        <f ca="1" t="array" ref="J1777">MIN(8,_xlfn.XLOOKUP($D1777&amp;"_"&amp;J$61,$B$23:$B$45&amp;"_"&amp;$C$23:$C$45,$D$23:$D$45)*$E1777)</f>
        <v>8</v>
      </c>
      <c r="K1777" s="67" cm="1">
        <f ca="1" t="array" ref="K1777">MIN(18,_xlfn.XLOOKUP($D1777&amp;"_"&amp;K$61,$B$23:$B$45&amp;"_"&amp;$C$23:$C$45,$D$23:$D$45)*$E1777)</f>
        <v>7.03904498269897</v>
      </c>
      <c r="L1777" s="67" cm="1">
        <f ca="1" t="array" ref="L1777">MIN(6,_xlfn.XLOOKUP($D1777&amp;"_"&amp;L$61,$B$23:$B$45&amp;"_"&amp;$C$23:$C$45,$D$23:$D$45)*$E1777)</f>
        <v>6</v>
      </c>
      <c r="M1777" s="67" cm="1">
        <f ca="1" t="array" ref="M1777">(1+SUMPRODUCT(G1777:H1777,OFFSET($H$49:$I$49,D1777,0)))*(1+OFFSET($J$49,D1777,0))^I1777*(1+OFFSET($K$49,D1777,0))^J1777*(1+OFFSET($L$49,D1777,0))^K1777*(1+OFFSET($M$49,D1777,0))^L1777</f>
        <v>491.292928441467</v>
      </c>
      <c r="N1777" s="67">
        <f ca="1">MAX(MAX($N$62:N1776),OFFSET($C$61,MATCH(M1777*1.07,$M$62:$M$2061,1),0)-C1777)</f>
        <v>55080</v>
      </c>
    </row>
    <row r="1778" spans="2:14">
      <c r="B1778" s="67">
        <v>1717</v>
      </c>
      <c r="C1778" s="67">
        <f t="shared" si="164"/>
        <v>618120</v>
      </c>
      <c r="D1778" s="67">
        <f t="shared" si="162"/>
        <v>5</v>
      </c>
      <c r="E1778" s="67">
        <f ca="1" t="shared" si="163"/>
        <v>1747</v>
      </c>
      <c r="F1778" s="67">
        <f ca="1" t="shared" si="165"/>
        <v>0</v>
      </c>
      <c r="G1778" s="67">
        <f ca="1" t="shared" si="166"/>
        <v>0</v>
      </c>
      <c r="H1778" s="67" cm="1">
        <f ca="1" t="array" ref="H1778">MIN(30-SUM(I1778:L1778),_xlfn.XLOOKUP($D1778&amp;"_"&amp;H$61,$B$23:$B$45&amp;"_"&amp;$C$23:$C$45,$D$23:$D$45)*$E1778,18)</f>
        <v>8.95692349096501</v>
      </c>
      <c r="I1778" s="67" cm="1">
        <f ca="1" t="array" ref="I1778">MIN(30-SUM(J1778:L1778),6-L1778,_xlfn.XLOOKUP($D1778&amp;"_"&amp;I$61,$B$23:$B$45&amp;"_"&amp;$C$23:$C$45,$D$23:$D$45)*$E1778)</f>
        <v>0</v>
      </c>
      <c r="J1778" s="67" cm="1">
        <f ca="1" t="array" ref="J1778">MIN(8,_xlfn.XLOOKUP($D1778&amp;"_"&amp;J$61,$B$23:$B$45&amp;"_"&amp;$C$23:$C$45,$D$23:$D$45)*$E1778)</f>
        <v>8</v>
      </c>
      <c r="K1778" s="67" cm="1">
        <f ca="1" t="array" ref="K1778">MIN(18,_xlfn.XLOOKUP($D1778&amp;"_"&amp;K$61,$B$23:$B$45&amp;"_"&amp;$C$23:$C$45,$D$23:$D$45)*$E1778)</f>
        <v>7.04307650903499</v>
      </c>
      <c r="L1778" s="67" cm="1">
        <f ca="1" t="array" ref="L1778">MIN(6,_xlfn.XLOOKUP($D1778&amp;"_"&amp;L$61,$B$23:$B$45&amp;"_"&amp;$C$23:$C$45,$D$23:$D$45)*$E1778)</f>
        <v>6</v>
      </c>
      <c r="M1778" s="67" cm="1">
        <f ca="1" t="array" ref="M1778">(1+SUMPRODUCT(G1778:H1778,OFFSET($H$49:$I$49,D1778,0)))*(1+OFFSET($J$49,D1778,0))^I1778*(1+OFFSET($K$49,D1778,0))^J1778*(1+OFFSET($L$49,D1778,0))^K1778*(1+OFFSET($M$49,D1778,0))^L1778</f>
        <v>491.512202545466</v>
      </c>
      <c r="N1778" s="67">
        <f ca="1">MAX(MAX($N$62:N1777),OFFSET($C$61,MATCH(M1778*1.07,$M$62:$M$2061,1),0)-C1778)</f>
        <v>55080</v>
      </c>
    </row>
    <row r="1779" spans="2:14">
      <c r="B1779" s="67">
        <v>1718</v>
      </c>
      <c r="C1779" s="67">
        <f t="shared" si="164"/>
        <v>618480</v>
      </c>
      <c r="D1779" s="67">
        <f t="shared" si="162"/>
        <v>5</v>
      </c>
      <c r="E1779" s="67">
        <f ca="1" t="shared" si="163"/>
        <v>1748</v>
      </c>
      <c r="F1779" s="67">
        <f ca="1" t="shared" si="165"/>
        <v>0</v>
      </c>
      <c r="G1779" s="67">
        <f ca="1" t="shared" si="166"/>
        <v>0</v>
      </c>
      <c r="H1779" s="67" cm="1">
        <f ca="1" t="array" ref="H1779">MIN(30-SUM(I1779:L1779),_xlfn.XLOOKUP($D1779&amp;"_"&amp;H$61,$B$23:$B$45&amp;"_"&amp;$C$23:$C$45,$D$23:$D$45)*$E1779,18)</f>
        <v>8.95289196462898</v>
      </c>
      <c r="I1779" s="67" cm="1">
        <f ca="1" t="array" ref="I1779">MIN(30-SUM(J1779:L1779),6-L1779,_xlfn.XLOOKUP($D1779&amp;"_"&amp;I$61,$B$23:$B$45&amp;"_"&amp;$C$23:$C$45,$D$23:$D$45)*$E1779)</f>
        <v>0</v>
      </c>
      <c r="J1779" s="67" cm="1">
        <f ca="1" t="array" ref="J1779">MIN(8,_xlfn.XLOOKUP($D1779&amp;"_"&amp;J$61,$B$23:$B$45&amp;"_"&amp;$C$23:$C$45,$D$23:$D$45)*$E1779)</f>
        <v>8</v>
      </c>
      <c r="K1779" s="67" cm="1">
        <f ca="1" t="array" ref="K1779">MIN(18,_xlfn.XLOOKUP($D1779&amp;"_"&amp;K$61,$B$23:$B$45&amp;"_"&amp;$C$23:$C$45,$D$23:$D$45)*$E1779)</f>
        <v>7.04710803537102</v>
      </c>
      <c r="L1779" s="67" cm="1">
        <f ca="1" t="array" ref="L1779">MIN(6,_xlfn.XLOOKUP($D1779&amp;"_"&amp;L$61,$B$23:$B$45&amp;"_"&amp;$C$23:$C$45,$D$23:$D$45)*$E1779)</f>
        <v>6</v>
      </c>
      <c r="M1779" s="67" cm="1">
        <f ca="1" t="array" ref="M1779">(1+SUMPRODUCT(G1779:H1779,OFFSET($H$49:$I$49,D1779,0)))*(1+OFFSET($J$49,D1779,0))^I1779*(1+OFFSET($K$49,D1779,0))^J1779*(1+OFFSET($L$49,D1779,0))^K1779*(1+OFFSET($M$49,D1779,0))^L1779</f>
        <v>491.731533487297</v>
      </c>
      <c r="N1779" s="67">
        <f ca="1">MAX(MAX($N$62:N1778),OFFSET($C$61,MATCH(M1779*1.07,$M$62:$M$2061,1),0)-C1779)</f>
        <v>55080</v>
      </c>
    </row>
    <row r="1780" spans="2:14">
      <c r="B1780" s="67">
        <v>1719</v>
      </c>
      <c r="C1780" s="67">
        <f t="shared" si="164"/>
        <v>618840</v>
      </c>
      <c r="D1780" s="67">
        <f t="shared" si="162"/>
        <v>5</v>
      </c>
      <c r="E1780" s="67">
        <f ca="1" t="shared" si="163"/>
        <v>1749</v>
      </c>
      <c r="F1780" s="67">
        <f ca="1" t="shared" si="165"/>
        <v>0</v>
      </c>
      <c r="G1780" s="67">
        <f ca="1" t="shared" si="166"/>
        <v>0</v>
      </c>
      <c r="H1780" s="67" cm="1">
        <f ca="1" t="array" ref="H1780">MIN(30-SUM(I1780:L1780),_xlfn.XLOOKUP($D1780&amp;"_"&amp;H$61,$B$23:$B$45&amp;"_"&amp;$C$23:$C$45,$D$23:$D$45)*$E1780,18)</f>
        <v>8.94886043829296</v>
      </c>
      <c r="I1780" s="67" cm="1">
        <f ca="1" t="array" ref="I1780">MIN(30-SUM(J1780:L1780),6-L1780,_xlfn.XLOOKUP($D1780&amp;"_"&amp;I$61,$B$23:$B$45&amp;"_"&amp;$C$23:$C$45,$D$23:$D$45)*$E1780)</f>
        <v>0</v>
      </c>
      <c r="J1780" s="67" cm="1">
        <f ca="1" t="array" ref="J1780">MIN(8,_xlfn.XLOOKUP($D1780&amp;"_"&amp;J$61,$B$23:$B$45&amp;"_"&amp;$C$23:$C$45,$D$23:$D$45)*$E1780)</f>
        <v>8</v>
      </c>
      <c r="K1780" s="67" cm="1">
        <f ca="1" t="array" ref="K1780">MIN(18,_xlfn.XLOOKUP($D1780&amp;"_"&amp;K$61,$B$23:$B$45&amp;"_"&amp;$C$23:$C$45,$D$23:$D$45)*$E1780)</f>
        <v>7.05113956170704</v>
      </c>
      <c r="L1780" s="67" cm="1">
        <f ca="1" t="array" ref="L1780">MIN(6,_xlfn.XLOOKUP($D1780&amp;"_"&amp;L$61,$B$23:$B$45&amp;"_"&amp;$C$23:$C$45,$D$23:$D$45)*$E1780)</f>
        <v>6</v>
      </c>
      <c r="M1780" s="67" cm="1">
        <f ca="1" t="array" ref="M1780">(1+SUMPRODUCT(G1780:H1780,OFFSET($H$49:$I$49,D1780,0)))*(1+OFFSET($J$49,D1780,0))^I1780*(1+OFFSET($K$49,D1780,0))^J1780*(1+OFFSET($L$49,D1780,0))^K1780*(1+OFFSET($M$49,D1780,0))^L1780</f>
        <v>491.95092123199</v>
      </c>
      <c r="N1780" s="67">
        <f ca="1">MAX(MAX($N$62:N1779),OFFSET($C$61,MATCH(M1780*1.07,$M$62:$M$2061,1),0)-C1780)</f>
        <v>55080</v>
      </c>
    </row>
    <row r="1781" spans="2:14">
      <c r="B1781" s="67">
        <v>1720</v>
      </c>
      <c r="C1781" s="67">
        <f t="shared" si="164"/>
        <v>619200</v>
      </c>
      <c r="D1781" s="67">
        <f t="shared" si="162"/>
        <v>5</v>
      </c>
      <c r="E1781" s="67">
        <f ca="1" t="shared" si="163"/>
        <v>1750</v>
      </c>
      <c r="F1781" s="67">
        <f ca="1" t="shared" si="165"/>
        <v>0</v>
      </c>
      <c r="G1781" s="67">
        <f ca="1" t="shared" si="166"/>
        <v>0</v>
      </c>
      <c r="H1781" s="67" cm="1">
        <f ca="1" t="array" ref="H1781">MIN(30-SUM(I1781:L1781),_xlfn.XLOOKUP($D1781&amp;"_"&amp;H$61,$B$23:$B$45&amp;"_"&amp;$C$23:$C$45,$D$23:$D$45)*$E1781,18)</f>
        <v>8.94482891195693</v>
      </c>
      <c r="I1781" s="67" cm="1">
        <f ca="1" t="array" ref="I1781">MIN(30-SUM(J1781:L1781),6-L1781,_xlfn.XLOOKUP($D1781&amp;"_"&amp;I$61,$B$23:$B$45&amp;"_"&amp;$C$23:$C$45,$D$23:$D$45)*$E1781)</f>
        <v>0</v>
      </c>
      <c r="J1781" s="67" cm="1">
        <f ca="1" t="array" ref="J1781">MIN(8,_xlfn.XLOOKUP($D1781&amp;"_"&amp;J$61,$B$23:$B$45&amp;"_"&amp;$C$23:$C$45,$D$23:$D$45)*$E1781)</f>
        <v>8</v>
      </c>
      <c r="K1781" s="67" cm="1">
        <f ca="1" t="array" ref="K1781">MIN(18,_xlfn.XLOOKUP($D1781&amp;"_"&amp;K$61,$B$23:$B$45&amp;"_"&amp;$C$23:$C$45,$D$23:$D$45)*$E1781)</f>
        <v>7.05517108804307</v>
      </c>
      <c r="L1781" s="67" cm="1">
        <f ca="1" t="array" ref="L1781">MIN(6,_xlfn.XLOOKUP($D1781&amp;"_"&amp;L$61,$B$23:$B$45&amp;"_"&amp;$C$23:$C$45,$D$23:$D$45)*$E1781)</f>
        <v>6</v>
      </c>
      <c r="M1781" s="67" cm="1">
        <f ca="1" t="array" ref="M1781">(1+SUMPRODUCT(G1781:H1781,OFFSET($H$49:$I$49,D1781,0)))*(1+OFFSET($J$49,D1781,0))^I1781*(1+OFFSET($K$49,D1781,0))^J1781*(1+OFFSET($L$49,D1781,0))^K1781*(1+OFFSET($M$49,D1781,0))^L1781</f>
        <v>492.170365744495</v>
      </c>
      <c r="N1781" s="67">
        <f ca="1">MAX(MAX($N$62:N1780),OFFSET($C$61,MATCH(M1781*1.07,$M$62:$M$2061,1),0)-C1781)</f>
        <v>55440</v>
      </c>
    </row>
    <row r="1782" spans="2:14">
      <c r="B1782" s="67">
        <v>1721</v>
      </c>
      <c r="C1782" s="67">
        <f t="shared" si="164"/>
        <v>619560</v>
      </c>
      <c r="D1782" s="67">
        <f t="shared" si="162"/>
        <v>5</v>
      </c>
      <c r="E1782" s="67">
        <f ca="1" t="shared" si="163"/>
        <v>1751</v>
      </c>
      <c r="F1782" s="67">
        <f ca="1" t="shared" si="165"/>
        <v>0</v>
      </c>
      <c r="G1782" s="67">
        <f ca="1" t="shared" si="166"/>
        <v>0</v>
      </c>
      <c r="H1782" s="67" cm="1">
        <f ca="1" t="array" ref="H1782">MIN(30-SUM(I1782:L1782),_xlfn.XLOOKUP($D1782&amp;"_"&amp;H$61,$B$23:$B$45&amp;"_"&amp;$C$23:$C$45,$D$23:$D$45)*$E1782,18)</f>
        <v>8.94079738562091</v>
      </c>
      <c r="I1782" s="67" cm="1">
        <f ca="1" t="array" ref="I1782">MIN(30-SUM(J1782:L1782),6-L1782,_xlfn.XLOOKUP($D1782&amp;"_"&amp;I$61,$B$23:$B$45&amp;"_"&amp;$C$23:$C$45,$D$23:$D$45)*$E1782)</f>
        <v>0</v>
      </c>
      <c r="J1782" s="67" cm="1">
        <f ca="1" t="array" ref="J1782">MIN(8,_xlfn.XLOOKUP($D1782&amp;"_"&amp;J$61,$B$23:$B$45&amp;"_"&amp;$C$23:$C$45,$D$23:$D$45)*$E1782)</f>
        <v>8</v>
      </c>
      <c r="K1782" s="67" cm="1">
        <f ca="1" t="array" ref="K1782">MIN(18,_xlfn.XLOOKUP($D1782&amp;"_"&amp;K$61,$B$23:$B$45&amp;"_"&amp;$C$23:$C$45,$D$23:$D$45)*$E1782)</f>
        <v>7.05920261437909</v>
      </c>
      <c r="L1782" s="67" cm="1">
        <f ca="1" t="array" ref="L1782">MIN(6,_xlfn.XLOOKUP($D1782&amp;"_"&amp;L$61,$B$23:$B$45&amp;"_"&amp;$C$23:$C$45,$D$23:$D$45)*$E1782)</f>
        <v>6</v>
      </c>
      <c r="M1782" s="67" cm="1">
        <f ca="1" t="array" ref="M1782">(1+SUMPRODUCT(G1782:H1782,OFFSET($H$49:$I$49,D1782,0)))*(1+OFFSET($J$49,D1782,0))^I1782*(1+OFFSET($K$49,D1782,0))^J1782*(1+OFFSET($L$49,D1782,0))^K1782*(1+OFFSET($M$49,D1782,0))^L1782</f>
        <v>492.389866989679</v>
      </c>
      <c r="N1782" s="67">
        <f ca="1">MAX(MAX($N$62:N1781),OFFSET($C$61,MATCH(M1782*1.07,$M$62:$M$2061,1),0)-C1782)</f>
        <v>55440</v>
      </c>
    </row>
    <row r="1783" spans="2:14">
      <c r="B1783" s="67">
        <v>1722</v>
      </c>
      <c r="C1783" s="67">
        <f t="shared" si="164"/>
        <v>619920</v>
      </c>
      <c r="D1783" s="67">
        <f t="shared" si="162"/>
        <v>5</v>
      </c>
      <c r="E1783" s="67">
        <f ca="1" t="shared" si="163"/>
        <v>1752</v>
      </c>
      <c r="F1783" s="67">
        <f ca="1" t="shared" si="165"/>
        <v>0</v>
      </c>
      <c r="G1783" s="67">
        <f ca="1" t="shared" si="166"/>
        <v>0</v>
      </c>
      <c r="H1783" s="67" cm="1">
        <f ca="1" t="array" ref="H1783">MIN(30-SUM(I1783:L1783),_xlfn.XLOOKUP($D1783&amp;"_"&amp;H$61,$B$23:$B$45&amp;"_"&amp;$C$23:$C$45,$D$23:$D$45)*$E1783,18)</f>
        <v>8.93676585928488</v>
      </c>
      <c r="I1783" s="67" cm="1">
        <f ca="1" t="array" ref="I1783">MIN(30-SUM(J1783:L1783),6-L1783,_xlfn.XLOOKUP($D1783&amp;"_"&amp;I$61,$B$23:$B$45&amp;"_"&amp;$C$23:$C$45,$D$23:$D$45)*$E1783)</f>
        <v>0</v>
      </c>
      <c r="J1783" s="67" cm="1">
        <f ca="1" t="array" ref="J1783">MIN(8,_xlfn.XLOOKUP($D1783&amp;"_"&amp;J$61,$B$23:$B$45&amp;"_"&amp;$C$23:$C$45,$D$23:$D$45)*$E1783)</f>
        <v>8</v>
      </c>
      <c r="K1783" s="67" cm="1">
        <f ca="1" t="array" ref="K1783">MIN(18,_xlfn.XLOOKUP($D1783&amp;"_"&amp;K$61,$B$23:$B$45&amp;"_"&amp;$C$23:$C$45,$D$23:$D$45)*$E1783)</f>
        <v>7.06323414071512</v>
      </c>
      <c r="L1783" s="67" cm="1">
        <f ca="1" t="array" ref="L1783">MIN(6,_xlfn.XLOOKUP($D1783&amp;"_"&amp;L$61,$B$23:$B$45&amp;"_"&amp;$C$23:$C$45,$D$23:$D$45)*$E1783)</f>
        <v>6</v>
      </c>
      <c r="M1783" s="67" cm="1">
        <f ca="1" t="array" ref="M1783">(1+SUMPRODUCT(G1783:H1783,OFFSET($H$49:$I$49,D1783,0)))*(1+OFFSET($J$49,D1783,0))^I1783*(1+OFFSET($K$49,D1783,0))^J1783*(1+OFFSET($L$49,D1783,0))^K1783*(1+OFFSET($M$49,D1783,0))^L1783</f>
        <v>492.609424932324</v>
      </c>
      <c r="N1783" s="67">
        <f ca="1">MAX(MAX($N$62:N1782),OFFSET($C$61,MATCH(M1783*1.07,$M$62:$M$2061,1),0)-C1783)</f>
        <v>55440</v>
      </c>
    </row>
    <row r="1784" spans="2:14">
      <c r="B1784" s="67">
        <v>1723</v>
      </c>
      <c r="C1784" s="67">
        <f t="shared" si="164"/>
        <v>620280</v>
      </c>
      <c r="D1784" s="67">
        <f t="shared" si="162"/>
        <v>5</v>
      </c>
      <c r="E1784" s="67">
        <f ca="1" t="shared" si="163"/>
        <v>1753</v>
      </c>
      <c r="F1784" s="67">
        <f ca="1" t="shared" si="165"/>
        <v>0</v>
      </c>
      <c r="G1784" s="67">
        <f ca="1" t="shared" si="166"/>
        <v>0</v>
      </c>
      <c r="H1784" s="67" cm="1">
        <f ca="1" t="array" ref="H1784">MIN(30-SUM(I1784:L1784),_xlfn.XLOOKUP($D1784&amp;"_"&amp;H$61,$B$23:$B$45&amp;"_"&amp;$C$23:$C$45,$D$23:$D$45)*$E1784,18)</f>
        <v>8.93273433294886</v>
      </c>
      <c r="I1784" s="67" cm="1">
        <f ca="1" t="array" ref="I1784">MIN(30-SUM(J1784:L1784),6-L1784,_xlfn.XLOOKUP($D1784&amp;"_"&amp;I$61,$B$23:$B$45&amp;"_"&amp;$C$23:$C$45,$D$23:$D$45)*$E1784)</f>
        <v>0</v>
      </c>
      <c r="J1784" s="67" cm="1">
        <f ca="1" t="array" ref="J1784">MIN(8,_xlfn.XLOOKUP($D1784&amp;"_"&amp;J$61,$B$23:$B$45&amp;"_"&amp;$C$23:$C$45,$D$23:$D$45)*$E1784)</f>
        <v>8</v>
      </c>
      <c r="K1784" s="67" cm="1">
        <f ca="1" t="array" ref="K1784">MIN(18,_xlfn.XLOOKUP($D1784&amp;"_"&amp;K$61,$B$23:$B$45&amp;"_"&amp;$C$23:$C$45,$D$23:$D$45)*$E1784)</f>
        <v>7.06726566705114</v>
      </c>
      <c r="L1784" s="67" cm="1">
        <f ca="1" t="array" ref="L1784">MIN(6,_xlfn.XLOOKUP($D1784&amp;"_"&amp;L$61,$B$23:$B$45&amp;"_"&amp;$C$23:$C$45,$D$23:$D$45)*$E1784)</f>
        <v>6</v>
      </c>
      <c r="M1784" s="67" cm="1">
        <f ca="1" t="array" ref="M1784">(1+SUMPRODUCT(G1784:H1784,OFFSET($H$49:$I$49,D1784,0)))*(1+OFFSET($J$49,D1784,0))^I1784*(1+OFFSET($K$49,D1784,0))^J1784*(1+OFFSET($L$49,D1784,0))^K1784*(1+OFFSET($M$49,D1784,0))^L1784</f>
        <v>492.829039537132</v>
      </c>
      <c r="N1784" s="67">
        <f ca="1">MAX(MAX($N$62:N1783),OFFSET($C$61,MATCH(M1784*1.07,$M$62:$M$2061,1),0)-C1784)</f>
        <v>55440</v>
      </c>
    </row>
    <row r="1785" spans="2:14">
      <c r="B1785" s="67">
        <v>1724</v>
      </c>
      <c r="C1785" s="67">
        <f t="shared" si="164"/>
        <v>620640</v>
      </c>
      <c r="D1785" s="67">
        <f t="shared" si="162"/>
        <v>5</v>
      </c>
      <c r="E1785" s="67">
        <f ca="1" t="shared" si="163"/>
        <v>1754</v>
      </c>
      <c r="F1785" s="67">
        <f ca="1" t="shared" si="165"/>
        <v>0</v>
      </c>
      <c r="G1785" s="67">
        <f ca="1" t="shared" si="166"/>
        <v>0</v>
      </c>
      <c r="H1785" s="67" cm="1">
        <f ca="1" t="array" ref="H1785">MIN(30-SUM(I1785:L1785),_xlfn.XLOOKUP($D1785&amp;"_"&amp;H$61,$B$23:$B$45&amp;"_"&amp;$C$23:$C$45,$D$23:$D$45)*$E1785,18)</f>
        <v>8.92870280661283</v>
      </c>
      <c r="I1785" s="67" cm="1">
        <f ca="1" t="array" ref="I1785">MIN(30-SUM(J1785:L1785),6-L1785,_xlfn.XLOOKUP($D1785&amp;"_"&amp;I$61,$B$23:$B$45&amp;"_"&amp;$C$23:$C$45,$D$23:$D$45)*$E1785)</f>
        <v>0</v>
      </c>
      <c r="J1785" s="67" cm="1">
        <f ca="1" t="array" ref="J1785">MIN(8,_xlfn.XLOOKUP($D1785&amp;"_"&amp;J$61,$B$23:$B$45&amp;"_"&amp;$C$23:$C$45,$D$23:$D$45)*$E1785)</f>
        <v>8</v>
      </c>
      <c r="K1785" s="67" cm="1">
        <f ca="1" t="array" ref="K1785">MIN(18,_xlfn.XLOOKUP($D1785&amp;"_"&amp;K$61,$B$23:$B$45&amp;"_"&amp;$C$23:$C$45,$D$23:$D$45)*$E1785)</f>
        <v>7.07129719338717</v>
      </c>
      <c r="L1785" s="67" cm="1">
        <f ca="1" t="array" ref="L1785">MIN(6,_xlfn.XLOOKUP($D1785&amp;"_"&amp;L$61,$B$23:$B$45&amp;"_"&amp;$C$23:$C$45,$D$23:$D$45)*$E1785)</f>
        <v>6</v>
      </c>
      <c r="M1785" s="67" cm="1">
        <f ca="1" t="array" ref="M1785">(1+SUMPRODUCT(G1785:H1785,OFFSET($H$49:$I$49,D1785,0)))*(1+OFFSET($J$49,D1785,0))^I1785*(1+OFFSET($K$49,D1785,0))^J1785*(1+OFFSET($L$49,D1785,0))^K1785*(1+OFFSET($M$49,D1785,0))^L1785</f>
        <v>493.048710768722</v>
      </c>
      <c r="N1785" s="67">
        <f ca="1">MAX(MAX($N$62:N1784),OFFSET($C$61,MATCH(M1785*1.07,$M$62:$M$2061,1),0)-C1785)</f>
        <v>55440</v>
      </c>
    </row>
    <row r="1786" spans="2:14">
      <c r="B1786" s="67">
        <v>1725</v>
      </c>
      <c r="C1786" s="67">
        <f t="shared" si="164"/>
        <v>621000</v>
      </c>
      <c r="D1786" s="67">
        <f t="shared" si="162"/>
        <v>5</v>
      </c>
      <c r="E1786" s="67">
        <f ca="1" t="shared" si="163"/>
        <v>1755</v>
      </c>
      <c r="F1786" s="67">
        <f ca="1" t="shared" si="165"/>
        <v>0</v>
      </c>
      <c r="G1786" s="67">
        <f ca="1" t="shared" si="166"/>
        <v>0</v>
      </c>
      <c r="H1786" s="67" cm="1">
        <f ca="1" t="array" ref="H1786">MIN(30-SUM(I1786:L1786),_xlfn.XLOOKUP($D1786&amp;"_"&amp;H$61,$B$23:$B$45&amp;"_"&amp;$C$23:$C$45,$D$23:$D$45)*$E1786,18)</f>
        <v>8.92467128027681</v>
      </c>
      <c r="I1786" s="67" cm="1">
        <f ca="1" t="array" ref="I1786">MIN(30-SUM(J1786:L1786),6-L1786,_xlfn.XLOOKUP($D1786&amp;"_"&amp;I$61,$B$23:$B$45&amp;"_"&amp;$C$23:$C$45,$D$23:$D$45)*$E1786)</f>
        <v>0</v>
      </c>
      <c r="J1786" s="67" cm="1">
        <f ca="1" t="array" ref="J1786">MIN(8,_xlfn.XLOOKUP($D1786&amp;"_"&amp;J$61,$B$23:$B$45&amp;"_"&amp;$C$23:$C$45,$D$23:$D$45)*$E1786)</f>
        <v>8</v>
      </c>
      <c r="K1786" s="67" cm="1">
        <f ca="1" t="array" ref="K1786">MIN(18,_xlfn.XLOOKUP($D1786&amp;"_"&amp;K$61,$B$23:$B$45&amp;"_"&amp;$C$23:$C$45,$D$23:$D$45)*$E1786)</f>
        <v>7.07532871972319</v>
      </c>
      <c r="L1786" s="67" cm="1">
        <f ca="1" t="array" ref="L1786">MIN(6,_xlfn.XLOOKUP($D1786&amp;"_"&amp;L$61,$B$23:$B$45&amp;"_"&amp;$C$23:$C$45,$D$23:$D$45)*$E1786)</f>
        <v>6</v>
      </c>
      <c r="M1786" s="67" cm="1">
        <f ca="1" t="array" ref="M1786">(1+SUMPRODUCT(G1786:H1786,OFFSET($H$49:$I$49,D1786,0)))*(1+OFFSET($J$49,D1786,0))^I1786*(1+OFFSET($K$49,D1786,0))^J1786*(1+OFFSET($L$49,D1786,0))^K1786*(1+OFFSET($M$49,D1786,0))^L1786</f>
        <v>493.268438591631</v>
      </c>
      <c r="N1786" s="67">
        <f ca="1">MAX(MAX($N$62:N1785),OFFSET($C$61,MATCH(M1786*1.07,$M$62:$M$2061,1),0)-C1786)</f>
        <v>55440</v>
      </c>
    </row>
    <row r="1787" spans="2:14">
      <c r="B1787" s="67">
        <v>1726</v>
      </c>
      <c r="C1787" s="67">
        <f t="shared" si="164"/>
        <v>621360</v>
      </c>
      <c r="D1787" s="67">
        <f t="shared" si="162"/>
        <v>5</v>
      </c>
      <c r="E1787" s="67">
        <f ca="1" t="shared" si="163"/>
        <v>1756</v>
      </c>
      <c r="F1787" s="67">
        <f ca="1" t="shared" si="165"/>
        <v>0</v>
      </c>
      <c r="G1787" s="67">
        <f ca="1" t="shared" si="166"/>
        <v>0</v>
      </c>
      <c r="H1787" s="67" cm="1">
        <f ca="1" t="array" ref="H1787">MIN(30-SUM(I1787:L1787),_xlfn.XLOOKUP($D1787&amp;"_"&amp;H$61,$B$23:$B$45&amp;"_"&amp;$C$23:$C$45,$D$23:$D$45)*$E1787,18)</f>
        <v>8.92063975394078</v>
      </c>
      <c r="I1787" s="67" cm="1">
        <f ca="1" t="array" ref="I1787">MIN(30-SUM(J1787:L1787),6-L1787,_xlfn.XLOOKUP($D1787&amp;"_"&amp;I$61,$B$23:$B$45&amp;"_"&amp;$C$23:$C$45,$D$23:$D$45)*$E1787)</f>
        <v>0</v>
      </c>
      <c r="J1787" s="67" cm="1">
        <f ca="1" t="array" ref="J1787">MIN(8,_xlfn.XLOOKUP($D1787&amp;"_"&amp;J$61,$B$23:$B$45&amp;"_"&amp;$C$23:$C$45,$D$23:$D$45)*$E1787)</f>
        <v>8</v>
      </c>
      <c r="K1787" s="67" cm="1">
        <f ca="1" t="array" ref="K1787">MIN(18,_xlfn.XLOOKUP($D1787&amp;"_"&amp;K$61,$B$23:$B$45&amp;"_"&amp;$C$23:$C$45,$D$23:$D$45)*$E1787)</f>
        <v>7.07936024605922</v>
      </c>
      <c r="L1787" s="67" cm="1">
        <f ca="1" t="array" ref="L1787">MIN(6,_xlfn.XLOOKUP($D1787&amp;"_"&amp;L$61,$B$23:$B$45&amp;"_"&amp;$C$23:$C$45,$D$23:$D$45)*$E1787)</f>
        <v>6</v>
      </c>
      <c r="M1787" s="67" cm="1">
        <f ca="1" t="array" ref="M1787">(1+SUMPRODUCT(G1787:H1787,OFFSET($H$49:$I$49,D1787,0)))*(1+OFFSET($J$49,D1787,0))^I1787*(1+OFFSET($K$49,D1787,0))^J1787*(1+OFFSET($L$49,D1787,0))^K1787*(1+OFFSET($M$49,D1787,0))^L1787</f>
        <v>493.488222970311</v>
      </c>
      <c r="N1787" s="67">
        <f ca="1">MAX(MAX($N$62:N1786),OFFSET($C$61,MATCH(M1787*1.07,$M$62:$M$2061,1),0)-C1787)</f>
        <v>55440</v>
      </c>
    </row>
    <row r="1788" spans="2:14">
      <c r="B1788" s="67">
        <v>1727</v>
      </c>
      <c r="C1788" s="67">
        <f t="shared" si="164"/>
        <v>621720</v>
      </c>
      <c r="D1788" s="67">
        <f t="shared" si="162"/>
        <v>5</v>
      </c>
      <c r="E1788" s="67">
        <f ca="1" t="shared" si="163"/>
        <v>1757</v>
      </c>
      <c r="F1788" s="67">
        <f ca="1" t="shared" si="165"/>
        <v>0</v>
      </c>
      <c r="G1788" s="67">
        <f ca="1" t="shared" si="166"/>
        <v>0</v>
      </c>
      <c r="H1788" s="67" cm="1">
        <f ca="1" t="array" ref="H1788">MIN(30-SUM(I1788:L1788),_xlfn.XLOOKUP($D1788&amp;"_"&amp;H$61,$B$23:$B$45&amp;"_"&amp;$C$23:$C$45,$D$23:$D$45)*$E1788,18)</f>
        <v>8.91660822760476</v>
      </c>
      <c r="I1788" s="67" cm="1">
        <f ca="1" t="array" ref="I1788">MIN(30-SUM(J1788:L1788),6-L1788,_xlfn.XLOOKUP($D1788&amp;"_"&amp;I$61,$B$23:$B$45&amp;"_"&amp;$C$23:$C$45,$D$23:$D$45)*$E1788)</f>
        <v>0</v>
      </c>
      <c r="J1788" s="67" cm="1">
        <f ca="1" t="array" ref="J1788">MIN(8,_xlfn.XLOOKUP($D1788&amp;"_"&amp;J$61,$B$23:$B$45&amp;"_"&amp;$C$23:$C$45,$D$23:$D$45)*$E1788)</f>
        <v>8</v>
      </c>
      <c r="K1788" s="67" cm="1">
        <f ca="1" t="array" ref="K1788">MIN(18,_xlfn.XLOOKUP($D1788&amp;"_"&amp;K$61,$B$23:$B$45&amp;"_"&amp;$C$23:$C$45,$D$23:$D$45)*$E1788)</f>
        <v>7.08339177239524</v>
      </c>
      <c r="L1788" s="67" cm="1">
        <f ca="1" t="array" ref="L1788">MIN(6,_xlfn.XLOOKUP($D1788&amp;"_"&amp;L$61,$B$23:$B$45&amp;"_"&amp;$C$23:$C$45,$D$23:$D$45)*$E1788)</f>
        <v>6</v>
      </c>
      <c r="M1788" s="67" cm="1">
        <f ca="1" t="array" ref="M1788">(1+SUMPRODUCT(G1788:H1788,OFFSET($H$49:$I$49,D1788,0)))*(1+OFFSET($J$49,D1788,0))^I1788*(1+OFFSET($K$49,D1788,0))^J1788*(1+OFFSET($L$49,D1788,0))^K1788*(1+OFFSET($M$49,D1788,0))^L1788</f>
        <v>493.708063869135</v>
      </c>
      <c r="N1788" s="67">
        <f ca="1">MAX(MAX($N$62:N1787),OFFSET($C$61,MATCH(M1788*1.07,$M$62:$M$2061,1),0)-C1788)</f>
        <v>55440</v>
      </c>
    </row>
    <row r="1789" spans="2:14">
      <c r="B1789" s="67">
        <v>1728</v>
      </c>
      <c r="C1789" s="67">
        <f t="shared" si="164"/>
        <v>622080</v>
      </c>
      <c r="D1789" s="67">
        <f t="shared" si="162"/>
        <v>5</v>
      </c>
      <c r="E1789" s="67">
        <f ca="1" t="shared" si="163"/>
        <v>1758</v>
      </c>
      <c r="F1789" s="67">
        <f ca="1" t="shared" si="165"/>
        <v>0</v>
      </c>
      <c r="G1789" s="67">
        <f ca="1" t="shared" si="166"/>
        <v>0</v>
      </c>
      <c r="H1789" s="67" cm="1">
        <f ca="1" t="array" ref="H1789">MIN(30-SUM(I1789:L1789),_xlfn.XLOOKUP($D1789&amp;"_"&amp;H$61,$B$23:$B$45&amp;"_"&amp;$C$23:$C$45,$D$23:$D$45)*$E1789,18)</f>
        <v>8.91257670126874</v>
      </c>
      <c r="I1789" s="67" cm="1">
        <f ca="1" t="array" ref="I1789">MIN(30-SUM(J1789:L1789),6-L1789,_xlfn.XLOOKUP($D1789&amp;"_"&amp;I$61,$B$23:$B$45&amp;"_"&amp;$C$23:$C$45,$D$23:$D$45)*$E1789)</f>
        <v>0</v>
      </c>
      <c r="J1789" s="67" cm="1">
        <f ca="1" t="array" ref="J1789">MIN(8,_xlfn.XLOOKUP($D1789&amp;"_"&amp;J$61,$B$23:$B$45&amp;"_"&amp;$C$23:$C$45,$D$23:$D$45)*$E1789)</f>
        <v>8</v>
      </c>
      <c r="K1789" s="67" cm="1">
        <f ca="1" t="array" ref="K1789">MIN(18,_xlfn.XLOOKUP($D1789&amp;"_"&amp;K$61,$B$23:$B$45&amp;"_"&amp;$C$23:$C$45,$D$23:$D$45)*$E1789)</f>
        <v>7.08742329873126</v>
      </c>
      <c r="L1789" s="67" cm="1">
        <f ca="1" t="array" ref="L1789">MIN(6,_xlfn.XLOOKUP($D1789&amp;"_"&amp;L$61,$B$23:$B$45&amp;"_"&amp;$C$23:$C$45,$D$23:$D$45)*$E1789)</f>
        <v>6</v>
      </c>
      <c r="M1789" s="67" cm="1">
        <f ca="1" t="array" ref="M1789">(1+SUMPRODUCT(G1789:H1789,OFFSET($H$49:$I$49,D1789,0)))*(1+OFFSET($J$49,D1789,0))^I1789*(1+OFFSET($K$49,D1789,0))^J1789*(1+OFFSET($L$49,D1789,0))^K1789*(1+OFFSET($M$49,D1789,0))^L1789</f>
        <v>493.927961252389</v>
      </c>
      <c r="N1789" s="67">
        <f ca="1">MAX(MAX($N$62:N1788),OFFSET($C$61,MATCH(M1789*1.07,$M$62:$M$2061,1),0)-C1789)</f>
        <v>55440</v>
      </c>
    </row>
    <row r="1790" spans="2:14">
      <c r="B1790" s="67">
        <v>1729</v>
      </c>
      <c r="C1790" s="67">
        <f t="shared" si="164"/>
        <v>622440</v>
      </c>
      <c r="D1790" s="67">
        <f t="shared" si="162"/>
        <v>5</v>
      </c>
      <c r="E1790" s="67">
        <f ca="1" t="shared" si="163"/>
        <v>1759</v>
      </c>
      <c r="F1790" s="67">
        <f ca="1" t="shared" si="165"/>
        <v>0</v>
      </c>
      <c r="G1790" s="67">
        <f ca="1" t="shared" si="166"/>
        <v>0</v>
      </c>
      <c r="H1790" s="67" cm="1">
        <f ca="1" t="array" ref="H1790">MIN(30-SUM(I1790:L1790),_xlfn.XLOOKUP($D1790&amp;"_"&amp;H$61,$B$23:$B$45&amp;"_"&amp;$C$23:$C$45,$D$23:$D$45)*$E1790,18)</f>
        <v>8.90854517493271</v>
      </c>
      <c r="I1790" s="67" cm="1">
        <f ca="1" t="array" ref="I1790">MIN(30-SUM(J1790:L1790),6-L1790,_xlfn.XLOOKUP($D1790&amp;"_"&amp;I$61,$B$23:$B$45&amp;"_"&amp;$C$23:$C$45,$D$23:$D$45)*$E1790)</f>
        <v>0</v>
      </c>
      <c r="J1790" s="67" cm="1">
        <f ca="1" t="array" ref="J1790">MIN(8,_xlfn.XLOOKUP($D1790&amp;"_"&amp;J$61,$B$23:$B$45&amp;"_"&amp;$C$23:$C$45,$D$23:$D$45)*$E1790)</f>
        <v>8</v>
      </c>
      <c r="K1790" s="67" cm="1">
        <f ca="1" t="array" ref="K1790">MIN(18,_xlfn.XLOOKUP($D1790&amp;"_"&amp;K$61,$B$23:$B$45&amp;"_"&amp;$C$23:$C$45,$D$23:$D$45)*$E1790)</f>
        <v>7.09145482506729</v>
      </c>
      <c r="L1790" s="67" cm="1">
        <f ca="1" t="array" ref="L1790">MIN(6,_xlfn.XLOOKUP($D1790&amp;"_"&amp;L$61,$B$23:$B$45&amp;"_"&amp;$C$23:$C$45,$D$23:$D$45)*$E1790)</f>
        <v>6</v>
      </c>
      <c r="M1790" s="67" cm="1">
        <f ca="1" t="array" ref="M1790">(1+SUMPRODUCT(G1790:H1790,OFFSET($H$49:$I$49,D1790,0)))*(1+OFFSET($J$49,D1790,0))^I1790*(1+OFFSET($K$49,D1790,0))^J1790*(1+OFFSET($L$49,D1790,0))^K1790*(1+OFFSET($M$49,D1790,0))^L1790</f>
        <v>494.147915084277</v>
      </c>
      <c r="N1790" s="67">
        <f ca="1">MAX(MAX($N$62:N1789),OFFSET($C$61,MATCH(M1790*1.07,$M$62:$M$2061,1),0)-C1790)</f>
        <v>55440</v>
      </c>
    </row>
    <row r="1791" spans="2:14">
      <c r="B1791" s="67">
        <v>1730</v>
      </c>
      <c r="C1791" s="67">
        <f t="shared" si="164"/>
        <v>622800</v>
      </c>
      <c r="D1791" s="67">
        <f t="shared" ref="D1791:D1854" si="167">_xlfn.XLOOKUP("非R",$B$49:$B$54,$C$49:$C$54)</f>
        <v>5</v>
      </c>
      <c r="E1791" s="67">
        <f ca="1" t="shared" ref="E1791:E1854" si="168">INT(C1791/_xlfn.XLOOKUP(D1791,$R$14:$R$21,$S$14:$S$21))+OFFSET($R$49,D1791,0)</f>
        <v>1760</v>
      </c>
      <c r="F1791" s="67">
        <f ca="1" t="shared" si="165"/>
        <v>0</v>
      </c>
      <c r="G1791" s="67">
        <f ca="1" t="shared" si="166"/>
        <v>0</v>
      </c>
      <c r="H1791" s="67" cm="1">
        <f ca="1" t="array" ref="H1791">MIN(30-SUM(I1791:L1791),_xlfn.XLOOKUP($D1791&amp;"_"&amp;H$61,$B$23:$B$45&amp;"_"&amp;$C$23:$C$45,$D$23:$D$45)*$E1791,18)</f>
        <v>8.90451364859669</v>
      </c>
      <c r="I1791" s="67" cm="1">
        <f ca="1" t="array" ref="I1791">MIN(30-SUM(J1791:L1791),6-L1791,_xlfn.XLOOKUP($D1791&amp;"_"&amp;I$61,$B$23:$B$45&amp;"_"&amp;$C$23:$C$45,$D$23:$D$45)*$E1791)</f>
        <v>0</v>
      </c>
      <c r="J1791" s="67" cm="1">
        <f ca="1" t="array" ref="J1791">MIN(8,_xlfn.XLOOKUP($D1791&amp;"_"&amp;J$61,$B$23:$B$45&amp;"_"&amp;$C$23:$C$45,$D$23:$D$45)*$E1791)</f>
        <v>8</v>
      </c>
      <c r="K1791" s="67" cm="1">
        <f ca="1" t="array" ref="K1791">MIN(18,_xlfn.XLOOKUP($D1791&amp;"_"&amp;K$61,$B$23:$B$45&amp;"_"&amp;$C$23:$C$45,$D$23:$D$45)*$E1791)</f>
        <v>7.09548635140331</v>
      </c>
      <c r="L1791" s="67" cm="1">
        <f ca="1" t="array" ref="L1791">MIN(6,_xlfn.XLOOKUP($D1791&amp;"_"&amp;L$61,$B$23:$B$45&amp;"_"&amp;$C$23:$C$45,$D$23:$D$45)*$E1791)</f>
        <v>6</v>
      </c>
      <c r="M1791" s="67" cm="1">
        <f ca="1" t="array" ref="M1791">(1+SUMPRODUCT(G1791:H1791,OFFSET($H$49:$I$49,D1791,0)))*(1+OFFSET($J$49,D1791,0))^I1791*(1+OFFSET($K$49,D1791,0))^J1791*(1+OFFSET($L$49,D1791,0))^K1791*(1+OFFSET($M$49,D1791,0))^L1791</f>
        <v>494.367925328921</v>
      </c>
      <c r="N1791" s="67">
        <f ca="1">MAX(MAX($N$62:N1790),OFFSET($C$61,MATCH(M1791*1.07,$M$62:$M$2061,1),0)-C1791)</f>
        <v>55440</v>
      </c>
    </row>
    <row r="1792" spans="2:14">
      <c r="B1792" s="67">
        <v>1731</v>
      </c>
      <c r="C1792" s="67">
        <f t="shared" si="164"/>
        <v>623160</v>
      </c>
      <c r="D1792" s="67">
        <f t="shared" si="167"/>
        <v>5</v>
      </c>
      <c r="E1792" s="67">
        <f ca="1" t="shared" si="168"/>
        <v>1761</v>
      </c>
      <c r="F1792" s="67">
        <f ca="1" t="shared" si="165"/>
        <v>0</v>
      </c>
      <c r="G1792" s="67">
        <f ca="1" t="shared" si="166"/>
        <v>0</v>
      </c>
      <c r="H1792" s="67" cm="1">
        <f ca="1" t="array" ref="H1792">MIN(30-SUM(I1792:L1792),_xlfn.XLOOKUP($D1792&amp;"_"&amp;H$61,$B$23:$B$45&amp;"_"&amp;$C$23:$C$45,$D$23:$D$45)*$E1792,18)</f>
        <v>8.90048212226066</v>
      </c>
      <c r="I1792" s="67" cm="1">
        <f ca="1" t="array" ref="I1792">MIN(30-SUM(J1792:L1792),6-L1792,_xlfn.XLOOKUP($D1792&amp;"_"&amp;I$61,$B$23:$B$45&amp;"_"&amp;$C$23:$C$45,$D$23:$D$45)*$E1792)</f>
        <v>0</v>
      </c>
      <c r="J1792" s="67" cm="1">
        <f ca="1" t="array" ref="J1792">MIN(8,_xlfn.XLOOKUP($D1792&amp;"_"&amp;J$61,$B$23:$B$45&amp;"_"&amp;$C$23:$C$45,$D$23:$D$45)*$E1792)</f>
        <v>8</v>
      </c>
      <c r="K1792" s="67" cm="1">
        <f ca="1" t="array" ref="K1792">MIN(18,_xlfn.XLOOKUP($D1792&amp;"_"&amp;K$61,$B$23:$B$45&amp;"_"&amp;$C$23:$C$45,$D$23:$D$45)*$E1792)</f>
        <v>7.09951787773934</v>
      </c>
      <c r="L1792" s="67" cm="1">
        <f ca="1" t="array" ref="L1792">MIN(6,_xlfn.XLOOKUP($D1792&amp;"_"&amp;L$61,$B$23:$B$45&amp;"_"&amp;$C$23:$C$45,$D$23:$D$45)*$E1792)</f>
        <v>6</v>
      </c>
      <c r="M1792" s="67" cm="1">
        <f ca="1" t="array" ref="M1792">(1+SUMPRODUCT(G1792:H1792,OFFSET($H$49:$I$49,D1792,0)))*(1+OFFSET($J$49,D1792,0))^I1792*(1+OFFSET($K$49,D1792,0))^J1792*(1+OFFSET($L$49,D1792,0))^K1792*(1+OFFSET($M$49,D1792,0))^L1792</f>
        <v>494.58799195036</v>
      </c>
      <c r="N1792" s="67">
        <f ca="1">MAX(MAX($N$62:N1791),OFFSET($C$61,MATCH(M1792*1.07,$M$62:$M$2061,1),0)-C1792)</f>
        <v>55440</v>
      </c>
    </row>
    <row r="1793" spans="2:14">
      <c r="B1793" s="67">
        <v>1732</v>
      </c>
      <c r="C1793" s="67">
        <f t="shared" si="164"/>
        <v>623520</v>
      </c>
      <c r="D1793" s="67">
        <f t="shared" si="167"/>
        <v>5</v>
      </c>
      <c r="E1793" s="67">
        <f ca="1" t="shared" si="168"/>
        <v>1762</v>
      </c>
      <c r="F1793" s="67">
        <f ca="1" t="shared" si="165"/>
        <v>0</v>
      </c>
      <c r="G1793" s="67">
        <f ca="1" t="shared" si="166"/>
        <v>0</v>
      </c>
      <c r="H1793" s="67" cm="1">
        <f ca="1" t="array" ref="H1793">MIN(30-SUM(I1793:L1793),_xlfn.XLOOKUP($D1793&amp;"_"&amp;H$61,$B$23:$B$45&amp;"_"&amp;$C$23:$C$45,$D$23:$D$45)*$E1793,18)</f>
        <v>8.89645059592464</v>
      </c>
      <c r="I1793" s="67" cm="1">
        <f ca="1" t="array" ref="I1793">MIN(30-SUM(J1793:L1793),6-L1793,_xlfn.XLOOKUP($D1793&amp;"_"&amp;I$61,$B$23:$B$45&amp;"_"&amp;$C$23:$C$45,$D$23:$D$45)*$E1793)</f>
        <v>0</v>
      </c>
      <c r="J1793" s="67" cm="1">
        <f ca="1" t="array" ref="J1793">MIN(8,_xlfn.XLOOKUP($D1793&amp;"_"&amp;J$61,$B$23:$B$45&amp;"_"&amp;$C$23:$C$45,$D$23:$D$45)*$E1793)</f>
        <v>8</v>
      </c>
      <c r="K1793" s="67" cm="1">
        <f ca="1" t="array" ref="K1793">MIN(18,_xlfn.XLOOKUP($D1793&amp;"_"&amp;K$61,$B$23:$B$45&amp;"_"&amp;$C$23:$C$45,$D$23:$D$45)*$E1793)</f>
        <v>7.10354940407536</v>
      </c>
      <c r="L1793" s="67" cm="1">
        <f ca="1" t="array" ref="L1793">MIN(6,_xlfn.XLOOKUP($D1793&amp;"_"&amp;L$61,$B$23:$B$45&amp;"_"&amp;$C$23:$C$45,$D$23:$D$45)*$E1793)</f>
        <v>6</v>
      </c>
      <c r="M1793" s="67" cm="1">
        <f ca="1" t="array" ref="M1793">(1+SUMPRODUCT(G1793:H1793,OFFSET($H$49:$I$49,D1793,0)))*(1+OFFSET($J$49,D1793,0))^I1793*(1+OFFSET($K$49,D1793,0))^J1793*(1+OFFSET($L$49,D1793,0))^K1793*(1+OFFSET($M$49,D1793,0))^L1793</f>
        <v>494.808114912548</v>
      </c>
      <c r="N1793" s="67">
        <f ca="1">MAX(MAX($N$62:N1792),OFFSET($C$61,MATCH(M1793*1.07,$M$62:$M$2061,1),0)-C1793)</f>
        <v>55440</v>
      </c>
    </row>
    <row r="1794" spans="2:14">
      <c r="B1794" s="67">
        <v>1733</v>
      </c>
      <c r="C1794" s="67">
        <f t="shared" si="164"/>
        <v>623880</v>
      </c>
      <c r="D1794" s="67">
        <f t="shared" si="167"/>
        <v>5</v>
      </c>
      <c r="E1794" s="67">
        <f ca="1" t="shared" si="168"/>
        <v>1763</v>
      </c>
      <c r="F1794" s="67">
        <f ca="1" t="shared" si="165"/>
        <v>0</v>
      </c>
      <c r="G1794" s="67">
        <f ca="1" t="shared" si="166"/>
        <v>0</v>
      </c>
      <c r="H1794" s="67" cm="1">
        <f ca="1" t="array" ref="H1794">MIN(30-SUM(I1794:L1794),_xlfn.XLOOKUP($D1794&amp;"_"&amp;H$61,$B$23:$B$45&amp;"_"&amp;$C$23:$C$45,$D$23:$D$45)*$E1794,18)</f>
        <v>8.89241906958861</v>
      </c>
      <c r="I1794" s="67" cm="1">
        <f ca="1" t="array" ref="I1794">MIN(30-SUM(J1794:L1794),6-L1794,_xlfn.XLOOKUP($D1794&amp;"_"&amp;I$61,$B$23:$B$45&amp;"_"&amp;$C$23:$C$45,$D$23:$D$45)*$E1794)</f>
        <v>0</v>
      </c>
      <c r="J1794" s="67" cm="1">
        <f ca="1" t="array" ref="J1794">MIN(8,_xlfn.XLOOKUP($D1794&amp;"_"&amp;J$61,$B$23:$B$45&amp;"_"&amp;$C$23:$C$45,$D$23:$D$45)*$E1794)</f>
        <v>8</v>
      </c>
      <c r="K1794" s="67" cm="1">
        <f ca="1" t="array" ref="K1794">MIN(18,_xlfn.XLOOKUP($D1794&amp;"_"&amp;K$61,$B$23:$B$45&amp;"_"&amp;$C$23:$C$45,$D$23:$D$45)*$E1794)</f>
        <v>7.10758093041139</v>
      </c>
      <c r="L1794" s="67" cm="1">
        <f ca="1" t="array" ref="L1794">MIN(6,_xlfn.XLOOKUP($D1794&amp;"_"&amp;L$61,$B$23:$B$45&amp;"_"&amp;$C$23:$C$45,$D$23:$D$45)*$E1794)</f>
        <v>6</v>
      </c>
      <c r="M1794" s="67" cm="1">
        <f ca="1" t="array" ref="M1794">(1+SUMPRODUCT(G1794:H1794,OFFSET($H$49:$I$49,D1794,0)))*(1+OFFSET($J$49,D1794,0))^I1794*(1+OFFSET($K$49,D1794,0))^J1794*(1+OFFSET($L$49,D1794,0))^K1794*(1+OFFSET($M$49,D1794,0))^L1794</f>
        <v>495.028294179355</v>
      </c>
      <c r="N1794" s="67">
        <f ca="1">MAX(MAX($N$62:N1793),OFFSET($C$61,MATCH(M1794*1.07,$M$62:$M$2061,1),0)-C1794)</f>
        <v>55440</v>
      </c>
    </row>
    <row r="1795" spans="2:14">
      <c r="B1795" s="67">
        <v>1734</v>
      </c>
      <c r="C1795" s="67">
        <f t="shared" si="164"/>
        <v>624240</v>
      </c>
      <c r="D1795" s="67">
        <f t="shared" si="167"/>
        <v>5</v>
      </c>
      <c r="E1795" s="67">
        <f ca="1" t="shared" si="168"/>
        <v>1764</v>
      </c>
      <c r="F1795" s="67">
        <f ca="1" t="shared" si="165"/>
        <v>0</v>
      </c>
      <c r="G1795" s="67">
        <f ca="1" t="shared" si="166"/>
        <v>0</v>
      </c>
      <c r="H1795" s="67" cm="1">
        <f ca="1" t="array" ref="H1795">MIN(30-SUM(I1795:L1795),_xlfn.XLOOKUP($D1795&amp;"_"&amp;H$61,$B$23:$B$45&amp;"_"&amp;$C$23:$C$45,$D$23:$D$45)*$E1795,18)</f>
        <v>8.88838754325259</v>
      </c>
      <c r="I1795" s="67" cm="1">
        <f ca="1" t="array" ref="I1795">MIN(30-SUM(J1795:L1795),6-L1795,_xlfn.XLOOKUP($D1795&amp;"_"&amp;I$61,$B$23:$B$45&amp;"_"&amp;$C$23:$C$45,$D$23:$D$45)*$E1795)</f>
        <v>0</v>
      </c>
      <c r="J1795" s="67" cm="1">
        <f ca="1" t="array" ref="J1795">MIN(8,_xlfn.XLOOKUP($D1795&amp;"_"&amp;J$61,$B$23:$B$45&amp;"_"&amp;$C$23:$C$45,$D$23:$D$45)*$E1795)</f>
        <v>8</v>
      </c>
      <c r="K1795" s="67" cm="1">
        <f ca="1" t="array" ref="K1795">MIN(18,_xlfn.XLOOKUP($D1795&amp;"_"&amp;K$61,$B$23:$B$45&amp;"_"&amp;$C$23:$C$45,$D$23:$D$45)*$E1795)</f>
        <v>7.11161245674741</v>
      </c>
      <c r="L1795" s="67" cm="1">
        <f ca="1" t="array" ref="L1795">MIN(6,_xlfn.XLOOKUP($D1795&amp;"_"&amp;L$61,$B$23:$B$45&amp;"_"&amp;$C$23:$C$45,$D$23:$D$45)*$E1795)</f>
        <v>6</v>
      </c>
      <c r="M1795" s="67" cm="1">
        <f ca="1" t="array" ref="M1795">(1+SUMPRODUCT(G1795:H1795,OFFSET($H$49:$I$49,D1795,0)))*(1+OFFSET($J$49,D1795,0))^I1795*(1+OFFSET($K$49,D1795,0))^J1795*(1+OFFSET($L$49,D1795,0))^K1795*(1+OFFSET($M$49,D1795,0))^L1795</f>
        <v>495.248529714571</v>
      </c>
      <c r="N1795" s="67">
        <f ca="1">MAX(MAX($N$62:N1794),OFFSET($C$61,MATCH(M1795*1.07,$M$62:$M$2061,1),0)-C1795)</f>
        <v>55440</v>
      </c>
    </row>
    <row r="1796" spans="2:14">
      <c r="B1796" s="67">
        <v>1735</v>
      </c>
      <c r="C1796" s="67">
        <f t="shared" si="164"/>
        <v>624600</v>
      </c>
      <c r="D1796" s="67">
        <f t="shared" si="167"/>
        <v>5</v>
      </c>
      <c r="E1796" s="67">
        <f ca="1" t="shared" si="168"/>
        <v>1765</v>
      </c>
      <c r="F1796" s="67">
        <f ca="1" t="shared" si="165"/>
        <v>0</v>
      </c>
      <c r="G1796" s="67">
        <f ca="1" t="shared" si="166"/>
        <v>0</v>
      </c>
      <c r="H1796" s="67" cm="1">
        <f ca="1" t="array" ref="H1796">MIN(30-SUM(I1796:L1796),_xlfn.XLOOKUP($D1796&amp;"_"&amp;H$61,$B$23:$B$45&amp;"_"&amp;$C$23:$C$45,$D$23:$D$45)*$E1796,18)</f>
        <v>8.88435601691656</v>
      </c>
      <c r="I1796" s="67" cm="1">
        <f ca="1" t="array" ref="I1796">MIN(30-SUM(J1796:L1796),6-L1796,_xlfn.XLOOKUP($D1796&amp;"_"&amp;I$61,$B$23:$B$45&amp;"_"&amp;$C$23:$C$45,$D$23:$D$45)*$E1796)</f>
        <v>0</v>
      </c>
      <c r="J1796" s="67" cm="1">
        <f ca="1" t="array" ref="J1796">MIN(8,_xlfn.XLOOKUP($D1796&amp;"_"&amp;J$61,$B$23:$B$45&amp;"_"&amp;$C$23:$C$45,$D$23:$D$45)*$E1796)</f>
        <v>8</v>
      </c>
      <c r="K1796" s="67" cm="1">
        <f ca="1" t="array" ref="K1796">MIN(18,_xlfn.XLOOKUP($D1796&amp;"_"&amp;K$61,$B$23:$B$45&amp;"_"&amp;$C$23:$C$45,$D$23:$D$45)*$E1796)</f>
        <v>7.11564398308344</v>
      </c>
      <c r="L1796" s="67" cm="1">
        <f ca="1" t="array" ref="L1796">MIN(6,_xlfn.XLOOKUP($D1796&amp;"_"&amp;L$61,$B$23:$B$45&amp;"_"&amp;$C$23:$C$45,$D$23:$D$45)*$E1796)</f>
        <v>6</v>
      </c>
      <c r="M1796" s="67" cm="1">
        <f ca="1" t="array" ref="M1796">(1+SUMPRODUCT(G1796:H1796,OFFSET($H$49:$I$49,D1796,0)))*(1+OFFSET($J$49,D1796,0))^I1796*(1+OFFSET($K$49,D1796,0))^J1796*(1+OFFSET($L$49,D1796,0))^K1796*(1+OFFSET($M$49,D1796,0))^L1796</f>
        <v>495.468821481899</v>
      </c>
      <c r="N1796" s="67">
        <f ca="1">MAX(MAX($N$62:N1795),OFFSET($C$61,MATCH(M1796*1.07,$M$62:$M$2061,1),0)-C1796)</f>
        <v>55440</v>
      </c>
    </row>
    <row r="1797" spans="2:14">
      <c r="B1797" s="67">
        <v>1736</v>
      </c>
      <c r="C1797" s="67">
        <f t="shared" si="164"/>
        <v>624960</v>
      </c>
      <c r="D1797" s="67">
        <f t="shared" si="167"/>
        <v>5</v>
      </c>
      <c r="E1797" s="67">
        <f ca="1" t="shared" si="168"/>
        <v>1766</v>
      </c>
      <c r="F1797" s="67">
        <f ca="1" t="shared" si="165"/>
        <v>0</v>
      </c>
      <c r="G1797" s="67">
        <f ca="1" t="shared" si="166"/>
        <v>0</v>
      </c>
      <c r="H1797" s="67" cm="1">
        <f ca="1" t="array" ref="H1797">MIN(30-SUM(I1797:L1797),_xlfn.XLOOKUP($D1797&amp;"_"&amp;H$61,$B$23:$B$45&amp;"_"&amp;$C$23:$C$45,$D$23:$D$45)*$E1797,18)</f>
        <v>8.88032449058054</v>
      </c>
      <c r="I1797" s="67" cm="1">
        <f ca="1" t="array" ref="I1797">MIN(30-SUM(J1797:L1797),6-L1797,_xlfn.XLOOKUP($D1797&amp;"_"&amp;I$61,$B$23:$B$45&amp;"_"&amp;$C$23:$C$45,$D$23:$D$45)*$E1797)</f>
        <v>0</v>
      </c>
      <c r="J1797" s="67" cm="1">
        <f ca="1" t="array" ref="J1797">MIN(8,_xlfn.XLOOKUP($D1797&amp;"_"&amp;J$61,$B$23:$B$45&amp;"_"&amp;$C$23:$C$45,$D$23:$D$45)*$E1797)</f>
        <v>8</v>
      </c>
      <c r="K1797" s="67" cm="1">
        <f ca="1" t="array" ref="K1797">MIN(18,_xlfn.XLOOKUP($D1797&amp;"_"&amp;K$61,$B$23:$B$45&amp;"_"&amp;$C$23:$C$45,$D$23:$D$45)*$E1797)</f>
        <v>7.11967550941946</v>
      </c>
      <c r="L1797" s="67" cm="1">
        <f ca="1" t="array" ref="L1797">MIN(6,_xlfn.XLOOKUP($D1797&amp;"_"&amp;L$61,$B$23:$B$45&amp;"_"&amp;$C$23:$C$45,$D$23:$D$45)*$E1797)</f>
        <v>6</v>
      </c>
      <c r="M1797" s="67" cm="1">
        <f ca="1" t="array" ref="M1797">(1+SUMPRODUCT(G1797:H1797,OFFSET($H$49:$I$49,D1797,0)))*(1+OFFSET($J$49,D1797,0))^I1797*(1+OFFSET($K$49,D1797,0))^J1797*(1+OFFSET($L$49,D1797,0))^K1797*(1+OFFSET($M$49,D1797,0))^L1797</f>
        <v>495.689169444958</v>
      </c>
      <c r="N1797" s="67">
        <f ca="1">MAX(MAX($N$62:N1796),OFFSET($C$61,MATCH(M1797*1.07,$M$62:$M$2061,1),0)-C1797)</f>
        <v>55440</v>
      </c>
    </row>
    <row r="1798" spans="2:14">
      <c r="B1798" s="67">
        <v>1737</v>
      </c>
      <c r="C1798" s="67">
        <f t="shared" si="164"/>
        <v>625320</v>
      </c>
      <c r="D1798" s="67">
        <f t="shared" si="167"/>
        <v>5</v>
      </c>
      <c r="E1798" s="67">
        <f ca="1" t="shared" si="168"/>
        <v>1767</v>
      </c>
      <c r="F1798" s="67">
        <f ca="1" t="shared" si="165"/>
        <v>0</v>
      </c>
      <c r="G1798" s="67">
        <f ca="1" t="shared" si="166"/>
        <v>0</v>
      </c>
      <c r="H1798" s="67" cm="1">
        <f ca="1" t="array" ref="H1798">MIN(30-SUM(I1798:L1798),_xlfn.XLOOKUP($D1798&amp;"_"&amp;H$61,$B$23:$B$45&amp;"_"&amp;$C$23:$C$45,$D$23:$D$45)*$E1798,18)</f>
        <v>8.87629296424451</v>
      </c>
      <c r="I1798" s="67" cm="1">
        <f ca="1" t="array" ref="I1798">MIN(30-SUM(J1798:L1798),6-L1798,_xlfn.XLOOKUP($D1798&amp;"_"&amp;I$61,$B$23:$B$45&amp;"_"&amp;$C$23:$C$45,$D$23:$D$45)*$E1798)</f>
        <v>0</v>
      </c>
      <c r="J1798" s="67" cm="1">
        <f ca="1" t="array" ref="J1798">MIN(8,_xlfn.XLOOKUP($D1798&amp;"_"&amp;J$61,$B$23:$B$45&amp;"_"&amp;$C$23:$C$45,$D$23:$D$45)*$E1798)</f>
        <v>8</v>
      </c>
      <c r="K1798" s="67" cm="1">
        <f ca="1" t="array" ref="K1798">MIN(18,_xlfn.XLOOKUP($D1798&amp;"_"&amp;K$61,$B$23:$B$45&amp;"_"&amp;$C$23:$C$45,$D$23:$D$45)*$E1798)</f>
        <v>7.12370703575549</v>
      </c>
      <c r="L1798" s="67" cm="1">
        <f ca="1" t="array" ref="L1798">MIN(6,_xlfn.XLOOKUP($D1798&amp;"_"&amp;L$61,$B$23:$B$45&amp;"_"&amp;$C$23:$C$45,$D$23:$D$45)*$E1798)</f>
        <v>6</v>
      </c>
      <c r="M1798" s="67" cm="1">
        <f ca="1" t="array" ref="M1798">(1+SUMPRODUCT(G1798:H1798,OFFSET($H$49:$I$49,D1798,0)))*(1+OFFSET($J$49,D1798,0))^I1798*(1+OFFSET($K$49,D1798,0))^J1798*(1+OFFSET($L$49,D1798,0))^K1798*(1+OFFSET($M$49,D1798,0))^L1798</f>
        <v>495.909573567286</v>
      </c>
      <c r="N1798" s="67">
        <f ca="1">MAX(MAX($N$62:N1797),OFFSET($C$61,MATCH(M1798*1.07,$M$62:$M$2061,1),0)-C1798)</f>
        <v>55440</v>
      </c>
    </row>
    <row r="1799" spans="2:14">
      <c r="B1799" s="67">
        <v>1738</v>
      </c>
      <c r="C1799" s="67">
        <f t="shared" si="164"/>
        <v>625680</v>
      </c>
      <c r="D1799" s="67">
        <f t="shared" si="167"/>
        <v>5</v>
      </c>
      <c r="E1799" s="67">
        <f ca="1" t="shared" si="168"/>
        <v>1768</v>
      </c>
      <c r="F1799" s="67">
        <f ca="1" t="shared" si="165"/>
        <v>0</v>
      </c>
      <c r="G1799" s="67">
        <f ca="1" t="shared" si="166"/>
        <v>0</v>
      </c>
      <c r="H1799" s="67" cm="1">
        <f ca="1" t="array" ref="H1799">MIN(30-SUM(I1799:L1799),_xlfn.XLOOKUP($D1799&amp;"_"&amp;H$61,$B$23:$B$45&amp;"_"&amp;$C$23:$C$45,$D$23:$D$45)*$E1799,18)</f>
        <v>8.87226143790849</v>
      </c>
      <c r="I1799" s="67" cm="1">
        <f ca="1" t="array" ref="I1799">MIN(30-SUM(J1799:L1799),6-L1799,_xlfn.XLOOKUP($D1799&amp;"_"&amp;I$61,$B$23:$B$45&amp;"_"&amp;$C$23:$C$45,$D$23:$D$45)*$E1799)</f>
        <v>0</v>
      </c>
      <c r="J1799" s="67" cm="1">
        <f ca="1" t="array" ref="J1799">MIN(8,_xlfn.XLOOKUP($D1799&amp;"_"&amp;J$61,$B$23:$B$45&amp;"_"&amp;$C$23:$C$45,$D$23:$D$45)*$E1799)</f>
        <v>8</v>
      </c>
      <c r="K1799" s="67" cm="1">
        <f ca="1" t="array" ref="K1799">MIN(18,_xlfn.XLOOKUP($D1799&amp;"_"&amp;K$61,$B$23:$B$45&amp;"_"&amp;$C$23:$C$45,$D$23:$D$45)*$E1799)</f>
        <v>7.12773856209151</v>
      </c>
      <c r="L1799" s="67" cm="1">
        <f ca="1" t="array" ref="L1799">MIN(6,_xlfn.XLOOKUP($D1799&amp;"_"&amp;L$61,$B$23:$B$45&amp;"_"&amp;$C$23:$C$45,$D$23:$D$45)*$E1799)</f>
        <v>6</v>
      </c>
      <c r="M1799" s="67" cm="1">
        <f ca="1" t="array" ref="M1799">(1+SUMPRODUCT(G1799:H1799,OFFSET($H$49:$I$49,D1799,0)))*(1+OFFSET($J$49,D1799,0))^I1799*(1+OFFSET($K$49,D1799,0))^J1799*(1+OFFSET($L$49,D1799,0))^K1799*(1+OFFSET($M$49,D1799,0))^L1799</f>
        <v>496.130033812334</v>
      </c>
      <c r="N1799" s="67">
        <f ca="1">MAX(MAX($N$62:N1798),OFFSET($C$61,MATCH(M1799*1.07,$M$62:$M$2061,1),0)-C1799)</f>
        <v>55440</v>
      </c>
    </row>
    <row r="1800" spans="2:14">
      <c r="B1800" s="67">
        <v>1739</v>
      </c>
      <c r="C1800" s="67">
        <f t="shared" si="164"/>
        <v>626040</v>
      </c>
      <c r="D1800" s="67">
        <f t="shared" si="167"/>
        <v>5</v>
      </c>
      <c r="E1800" s="67">
        <f ca="1" t="shared" si="168"/>
        <v>1769</v>
      </c>
      <c r="F1800" s="67">
        <f ca="1" t="shared" si="165"/>
        <v>0</v>
      </c>
      <c r="G1800" s="67">
        <f ca="1" t="shared" si="166"/>
        <v>0</v>
      </c>
      <c r="H1800" s="67" cm="1">
        <f ca="1" t="array" ref="H1800">MIN(30-SUM(I1800:L1800),_xlfn.XLOOKUP($D1800&amp;"_"&amp;H$61,$B$23:$B$45&amp;"_"&amp;$C$23:$C$45,$D$23:$D$45)*$E1800,18)</f>
        <v>8.86822991157246</v>
      </c>
      <c r="I1800" s="67" cm="1">
        <f ca="1" t="array" ref="I1800">MIN(30-SUM(J1800:L1800),6-L1800,_xlfn.XLOOKUP($D1800&amp;"_"&amp;I$61,$B$23:$B$45&amp;"_"&amp;$C$23:$C$45,$D$23:$D$45)*$E1800)</f>
        <v>0</v>
      </c>
      <c r="J1800" s="67" cm="1">
        <f ca="1" t="array" ref="J1800">MIN(8,_xlfn.XLOOKUP($D1800&amp;"_"&amp;J$61,$B$23:$B$45&amp;"_"&amp;$C$23:$C$45,$D$23:$D$45)*$E1800)</f>
        <v>8</v>
      </c>
      <c r="K1800" s="67" cm="1">
        <f ca="1" t="array" ref="K1800">MIN(18,_xlfn.XLOOKUP($D1800&amp;"_"&amp;K$61,$B$23:$B$45&amp;"_"&amp;$C$23:$C$45,$D$23:$D$45)*$E1800)</f>
        <v>7.13177008842754</v>
      </c>
      <c r="L1800" s="67" cm="1">
        <f ca="1" t="array" ref="L1800">MIN(6,_xlfn.XLOOKUP($D1800&amp;"_"&amp;L$61,$B$23:$B$45&amp;"_"&amp;$C$23:$C$45,$D$23:$D$45)*$E1800)</f>
        <v>6</v>
      </c>
      <c r="M1800" s="67" cm="1">
        <f ca="1" t="array" ref="M1800">(1+SUMPRODUCT(G1800:H1800,OFFSET($H$49:$I$49,D1800,0)))*(1+OFFSET($J$49,D1800,0))^I1800*(1+OFFSET($K$49,D1800,0))^J1800*(1+OFFSET($L$49,D1800,0))^K1800*(1+OFFSET($M$49,D1800,0))^L1800</f>
        <v>496.35055014347</v>
      </c>
      <c r="N1800" s="67">
        <f ca="1">MAX(MAX($N$62:N1799),OFFSET($C$61,MATCH(M1800*1.07,$M$62:$M$2061,1),0)-C1800)</f>
        <v>55440</v>
      </c>
    </row>
    <row r="1801" spans="2:14">
      <c r="B1801" s="67">
        <v>1740</v>
      </c>
      <c r="C1801" s="67">
        <f t="shared" si="164"/>
        <v>626400</v>
      </c>
      <c r="D1801" s="67">
        <f t="shared" si="167"/>
        <v>5</v>
      </c>
      <c r="E1801" s="67">
        <f ca="1" t="shared" si="168"/>
        <v>1770</v>
      </c>
      <c r="F1801" s="67">
        <f ca="1" t="shared" si="165"/>
        <v>0</v>
      </c>
      <c r="G1801" s="67">
        <f ca="1" t="shared" si="166"/>
        <v>0</v>
      </c>
      <c r="H1801" s="67" cm="1">
        <f ca="1" t="array" ref="H1801">MIN(30-SUM(I1801:L1801),_xlfn.XLOOKUP($D1801&amp;"_"&amp;H$61,$B$23:$B$45&amp;"_"&amp;$C$23:$C$45,$D$23:$D$45)*$E1801,18)</f>
        <v>8.86419838523644</v>
      </c>
      <c r="I1801" s="67" cm="1">
        <f ca="1" t="array" ref="I1801">MIN(30-SUM(J1801:L1801),6-L1801,_xlfn.XLOOKUP($D1801&amp;"_"&amp;I$61,$B$23:$B$45&amp;"_"&amp;$C$23:$C$45,$D$23:$D$45)*$E1801)</f>
        <v>0</v>
      </c>
      <c r="J1801" s="67" cm="1">
        <f ca="1" t="array" ref="J1801">MIN(8,_xlfn.XLOOKUP($D1801&amp;"_"&amp;J$61,$B$23:$B$45&amp;"_"&amp;$C$23:$C$45,$D$23:$D$45)*$E1801)</f>
        <v>8</v>
      </c>
      <c r="K1801" s="67" cm="1">
        <f ca="1" t="array" ref="K1801">MIN(18,_xlfn.XLOOKUP($D1801&amp;"_"&amp;K$61,$B$23:$B$45&amp;"_"&amp;$C$23:$C$45,$D$23:$D$45)*$E1801)</f>
        <v>7.13580161476356</v>
      </c>
      <c r="L1801" s="67" cm="1">
        <f ca="1" t="array" ref="L1801">MIN(6,_xlfn.XLOOKUP($D1801&amp;"_"&amp;L$61,$B$23:$B$45&amp;"_"&amp;$C$23:$C$45,$D$23:$D$45)*$E1801)</f>
        <v>6</v>
      </c>
      <c r="M1801" s="67" cm="1">
        <f ca="1" t="array" ref="M1801">(1+SUMPRODUCT(G1801:H1801,OFFSET($H$49:$I$49,D1801,0)))*(1+OFFSET($J$49,D1801,0))^I1801*(1+OFFSET($K$49,D1801,0))^J1801*(1+OFFSET($L$49,D1801,0))^K1801*(1+OFFSET($M$49,D1801,0))^L1801</f>
        <v>496.571122523979</v>
      </c>
      <c r="N1801" s="67">
        <f ca="1">MAX(MAX($N$62:N1800),OFFSET($C$61,MATCH(M1801*1.07,$M$62:$M$2061,1),0)-C1801)</f>
        <v>55440</v>
      </c>
    </row>
    <row r="1802" spans="2:14">
      <c r="B1802" s="67">
        <v>1741</v>
      </c>
      <c r="C1802" s="67">
        <f t="shared" si="164"/>
        <v>626760</v>
      </c>
      <c r="D1802" s="67">
        <f t="shared" si="167"/>
        <v>5</v>
      </c>
      <c r="E1802" s="67">
        <f ca="1" t="shared" si="168"/>
        <v>1771</v>
      </c>
      <c r="F1802" s="67">
        <f ca="1" t="shared" si="165"/>
        <v>0</v>
      </c>
      <c r="G1802" s="67">
        <f ca="1" t="shared" si="166"/>
        <v>0</v>
      </c>
      <c r="H1802" s="67" cm="1">
        <f ca="1" t="array" ref="H1802">MIN(30-SUM(I1802:L1802),_xlfn.XLOOKUP($D1802&amp;"_"&amp;H$61,$B$23:$B$45&amp;"_"&amp;$C$23:$C$45,$D$23:$D$45)*$E1802,18)</f>
        <v>8.86016685890042</v>
      </c>
      <c r="I1802" s="67" cm="1">
        <f ca="1" t="array" ref="I1802">MIN(30-SUM(J1802:L1802),6-L1802,_xlfn.XLOOKUP($D1802&amp;"_"&amp;I$61,$B$23:$B$45&amp;"_"&amp;$C$23:$C$45,$D$23:$D$45)*$E1802)</f>
        <v>0</v>
      </c>
      <c r="J1802" s="67" cm="1">
        <f ca="1" t="array" ref="J1802">MIN(8,_xlfn.XLOOKUP($D1802&amp;"_"&amp;J$61,$B$23:$B$45&amp;"_"&amp;$C$23:$C$45,$D$23:$D$45)*$E1802)</f>
        <v>8</v>
      </c>
      <c r="K1802" s="67" cm="1">
        <f ca="1" t="array" ref="K1802">MIN(18,_xlfn.XLOOKUP($D1802&amp;"_"&amp;K$61,$B$23:$B$45&amp;"_"&amp;$C$23:$C$45,$D$23:$D$45)*$E1802)</f>
        <v>7.13983314109958</v>
      </c>
      <c r="L1802" s="67" cm="1">
        <f ca="1" t="array" ref="L1802">MIN(6,_xlfn.XLOOKUP($D1802&amp;"_"&amp;L$61,$B$23:$B$45&amp;"_"&amp;$C$23:$C$45,$D$23:$D$45)*$E1802)</f>
        <v>6</v>
      </c>
      <c r="M1802" s="67" cm="1">
        <f ca="1" t="array" ref="M1802">(1+SUMPRODUCT(G1802:H1802,OFFSET($H$49:$I$49,D1802,0)))*(1+OFFSET($J$49,D1802,0))^I1802*(1+OFFSET($K$49,D1802,0))^J1802*(1+OFFSET($L$49,D1802,0))^K1802*(1+OFFSET($M$49,D1802,0))^L1802</f>
        <v>496.79175091706</v>
      </c>
      <c r="N1802" s="67">
        <f ca="1">MAX(MAX($N$62:N1801),OFFSET($C$61,MATCH(M1802*1.07,$M$62:$M$2061,1),0)-C1802)</f>
        <v>55440</v>
      </c>
    </row>
    <row r="1803" spans="2:14">
      <c r="B1803" s="67">
        <v>1742</v>
      </c>
      <c r="C1803" s="67">
        <f t="shared" si="164"/>
        <v>627120</v>
      </c>
      <c r="D1803" s="67">
        <f t="shared" si="167"/>
        <v>5</v>
      </c>
      <c r="E1803" s="67">
        <f ca="1" t="shared" si="168"/>
        <v>1772</v>
      </c>
      <c r="F1803" s="67">
        <f ca="1" t="shared" si="165"/>
        <v>0</v>
      </c>
      <c r="G1803" s="67">
        <f ca="1" t="shared" si="166"/>
        <v>0</v>
      </c>
      <c r="H1803" s="67" cm="1">
        <f ca="1" t="array" ref="H1803">MIN(30-SUM(I1803:L1803),_xlfn.XLOOKUP($D1803&amp;"_"&amp;H$61,$B$23:$B$45&amp;"_"&amp;$C$23:$C$45,$D$23:$D$45)*$E1803,18)</f>
        <v>8.85613533256439</v>
      </c>
      <c r="I1803" s="67" cm="1">
        <f ca="1" t="array" ref="I1803">MIN(30-SUM(J1803:L1803),6-L1803,_xlfn.XLOOKUP($D1803&amp;"_"&amp;I$61,$B$23:$B$45&amp;"_"&amp;$C$23:$C$45,$D$23:$D$45)*$E1803)</f>
        <v>0</v>
      </c>
      <c r="J1803" s="67" cm="1">
        <f ca="1" t="array" ref="J1803">MIN(8,_xlfn.XLOOKUP($D1803&amp;"_"&amp;J$61,$B$23:$B$45&amp;"_"&amp;$C$23:$C$45,$D$23:$D$45)*$E1803)</f>
        <v>8</v>
      </c>
      <c r="K1803" s="67" cm="1">
        <f ca="1" t="array" ref="K1803">MIN(18,_xlfn.XLOOKUP($D1803&amp;"_"&amp;K$61,$B$23:$B$45&amp;"_"&amp;$C$23:$C$45,$D$23:$D$45)*$E1803)</f>
        <v>7.14386466743561</v>
      </c>
      <c r="L1803" s="67" cm="1">
        <f ca="1" t="array" ref="L1803">MIN(6,_xlfn.XLOOKUP($D1803&amp;"_"&amp;L$61,$B$23:$B$45&amp;"_"&amp;$C$23:$C$45,$D$23:$D$45)*$E1803)</f>
        <v>6</v>
      </c>
      <c r="M1803" s="67" cm="1">
        <f ca="1" t="array" ref="M1803">(1+SUMPRODUCT(G1803:H1803,OFFSET($H$49:$I$49,D1803,0)))*(1+OFFSET($J$49,D1803,0))^I1803*(1+OFFSET($K$49,D1803,0))^J1803*(1+OFFSET($L$49,D1803,0))^K1803*(1+OFFSET($M$49,D1803,0))^L1803</f>
        <v>497.012435285828</v>
      </c>
      <c r="N1803" s="67">
        <f ca="1">MAX(MAX($N$62:N1802),OFFSET($C$61,MATCH(M1803*1.07,$M$62:$M$2061,1),0)-C1803)</f>
        <v>55440</v>
      </c>
    </row>
    <row r="1804" spans="2:14">
      <c r="B1804" s="67">
        <v>1743</v>
      </c>
      <c r="C1804" s="67">
        <f t="shared" si="164"/>
        <v>627480</v>
      </c>
      <c r="D1804" s="67">
        <f t="shared" si="167"/>
        <v>5</v>
      </c>
      <c r="E1804" s="67">
        <f ca="1" t="shared" si="168"/>
        <v>1773</v>
      </c>
      <c r="F1804" s="67">
        <f ca="1" t="shared" si="165"/>
        <v>0</v>
      </c>
      <c r="G1804" s="67">
        <f ca="1" t="shared" si="166"/>
        <v>0</v>
      </c>
      <c r="H1804" s="67" cm="1">
        <f ca="1" t="array" ref="H1804">MIN(30-SUM(I1804:L1804),_xlfn.XLOOKUP($D1804&amp;"_"&amp;H$61,$B$23:$B$45&amp;"_"&amp;$C$23:$C$45,$D$23:$D$45)*$E1804,18)</f>
        <v>8.85210380622837</v>
      </c>
      <c r="I1804" s="67" cm="1">
        <f ca="1" t="array" ref="I1804">MIN(30-SUM(J1804:L1804),6-L1804,_xlfn.XLOOKUP($D1804&amp;"_"&amp;I$61,$B$23:$B$45&amp;"_"&amp;$C$23:$C$45,$D$23:$D$45)*$E1804)</f>
        <v>0</v>
      </c>
      <c r="J1804" s="67" cm="1">
        <f ca="1" t="array" ref="J1804">MIN(8,_xlfn.XLOOKUP($D1804&amp;"_"&amp;J$61,$B$23:$B$45&amp;"_"&amp;$C$23:$C$45,$D$23:$D$45)*$E1804)</f>
        <v>8</v>
      </c>
      <c r="K1804" s="67" cm="1">
        <f ca="1" t="array" ref="K1804">MIN(18,_xlfn.XLOOKUP($D1804&amp;"_"&amp;K$61,$B$23:$B$45&amp;"_"&amp;$C$23:$C$45,$D$23:$D$45)*$E1804)</f>
        <v>7.14789619377163</v>
      </c>
      <c r="L1804" s="67" cm="1">
        <f ca="1" t="array" ref="L1804">MIN(6,_xlfn.XLOOKUP($D1804&amp;"_"&amp;L$61,$B$23:$B$45&amp;"_"&amp;$C$23:$C$45,$D$23:$D$45)*$E1804)</f>
        <v>6</v>
      </c>
      <c r="M1804" s="67" cm="1">
        <f ca="1" t="array" ref="M1804">(1+SUMPRODUCT(G1804:H1804,OFFSET($H$49:$I$49,D1804,0)))*(1+OFFSET($J$49,D1804,0))^I1804*(1+OFFSET($K$49,D1804,0))^J1804*(1+OFFSET($L$49,D1804,0))^K1804*(1+OFFSET($M$49,D1804,0))^L1804</f>
        <v>497.233175593313</v>
      </c>
      <c r="N1804" s="67">
        <f ca="1">MAX(MAX($N$62:N1803),OFFSET($C$61,MATCH(M1804*1.07,$M$62:$M$2061,1),0)-C1804)</f>
        <v>55440</v>
      </c>
    </row>
    <row r="1805" spans="2:14">
      <c r="B1805" s="67">
        <v>1744</v>
      </c>
      <c r="C1805" s="67">
        <f t="shared" si="164"/>
        <v>627840</v>
      </c>
      <c r="D1805" s="67">
        <f t="shared" si="167"/>
        <v>5</v>
      </c>
      <c r="E1805" s="67">
        <f ca="1" t="shared" si="168"/>
        <v>1774</v>
      </c>
      <c r="F1805" s="67">
        <f ca="1" t="shared" si="165"/>
        <v>0</v>
      </c>
      <c r="G1805" s="67">
        <f ca="1" t="shared" si="166"/>
        <v>0</v>
      </c>
      <c r="H1805" s="67" cm="1">
        <f ca="1" t="array" ref="H1805">MIN(30-SUM(I1805:L1805),_xlfn.XLOOKUP($D1805&amp;"_"&amp;H$61,$B$23:$B$45&amp;"_"&amp;$C$23:$C$45,$D$23:$D$45)*$E1805,18)</f>
        <v>8.84807227989234</v>
      </c>
      <c r="I1805" s="67" cm="1">
        <f ca="1" t="array" ref="I1805">MIN(30-SUM(J1805:L1805),6-L1805,_xlfn.XLOOKUP($D1805&amp;"_"&amp;I$61,$B$23:$B$45&amp;"_"&amp;$C$23:$C$45,$D$23:$D$45)*$E1805)</f>
        <v>0</v>
      </c>
      <c r="J1805" s="67" cm="1">
        <f ca="1" t="array" ref="J1805">MIN(8,_xlfn.XLOOKUP($D1805&amp;"_"&amp;J$61,$B$23:$B$45&amp;"_"&amp;$C$23:$C$45,$D$23:$D$45)*$E1805)</f>
        <v>8</v>
      </c>
      <c r="K1805" s="67" cm="1">
        <f ca="1" t="array" ref="K1805">MIN(18,_xlfn.XLOOKUP($D1805&amp;"_"&amp;K$61,$B$23:$B$45&amp;"_"&amp;$C$23:$C$45,$D$23:$D$45)*$E1805)</f>
        <v>7.15192772010766</v>
      </c>
      <c r="L1805" s="67" cm="1">
        <f ca="1" t="array" ref="L1805">MIN(6,_xlfn.XLOOKUP($D1805&amp;"_"&amp;L$61,$B$23:$B$45&amp;"_"&amp;$C$23:$C$45,$D$23:$D$45)*$E1805)</f>
        <v>6</v>
      </c>
      <c r="M1805" s="67" cm="1">
        <f ca="1" t="array" ref="M1805">(1+SUMPRODUCT(G1805:H1805,OFFSET($H$49:$I$49,D1805,0)))*(1+OFFSET($J$49,D1805,0))^I1805*(1+OFFSET($K$49,D1805,0))^J1805*(1+OFFSET($L$49,D1805,0))^K1805*(1+OFFSET($M$49,D1805,0))^L1805</f>
        <v>497.453971802463</v>
      </c>
      <c r="N1805" s="67">
        <f ca="1">MAX(MAX($N$62:N1804),OFFSET($C$61,MATCH(M1805*1.07,$M$62:$M$2061,1),0)-C1805)</f>
        <v>55440</v>
      </c>
    </row>
    <row r="1806" spans="2:14">
      <c r="B1806" s="67">
        <v>1745</v>
      </c>
      <c r="C1806" s="67">
        <f t="shared" si="164"/>
        <v>628200</v>
      </c>
      <c r="D1806" s="67">
        <f t="shared" si="167"/>
        <v>5</v>
      </c>
      <c r="E1806" s="67">
        <f ca="1" t="shared" si="168"/>
        <v>1775</v>
      </c>
      <c r="F1806" s="67">
        <f ca="1" t="shared" si="165"/>
        <v>0</v>
      </c>
      <c r="G1806" s="67">
        <f ca="1" t="shared" si="166"/>
        <v>0</v>
      </c>
      <c r="H1806" s="67" cm="1">
        <f ca="1" t="array" ref="H1806">MIN(30-SUM(I1806:L1806),_xlfn.XLOOKUP($D1806&amp;"_"&amp;H$61,$B$23:$B$45&amp;"_"&amp;$C$23:$C$45,$D$23:$D$45)*$E1806,18)</f>
        <v>8.84404075355632</v>
      </c>
      <c r="I1806" s="67" cm="1">
        <f ca="1" t="array" ref="I1806">MIN(30-SUM(J1806:L1806),6-L1806,_xlfn.XLOOKUP($D1806&amp;"_"&amp;I$61,$B$23:$B$45&amp;"_"&amp;$C$23:$C$45,$D$23:$D$45)*$E1806)</f>
        <v>0</v>
      </c>
      <c r="J1806" s="67" cm="1">
        <f ca="1" t="array" ref="J1806">MIN(8,_xlfn.XLOOKUP($D1806&amp;"_"&amp;J$61,$B$23:$B$45&amp;"_"&amp;$C$23:$C$45,$D$23:$D$45)*$E1806)</f>
        <v>8</v>
      </c>
      <c r="K1806" s="67" cm="1">
        <f ca="1" t="array" ref="K1806">MIN(18,_xlfn.XLOOKUP($D1806&amp;"_"&amp;K$61,$B$23:$B$45&amp;"_"&amp;$C$23:$C$45,$D$23:$D$45)*$E1806)</f>
        <v>7.15595924644368</v>
      </c>
      <c r="L1806" s="67" cm="1">
        <f ca="1" t="array" ref="L1806">MIN(6,_xlfn.XLOOKUP($D1806&amp;"_"&amp;L$61,$B$23:$B$45&amp;"_"&amp;$C$23:$C$45,$D$23:$D$45)*$E1806)</f>
        <v>6</v>
      </c>
      <c r="M1806" s="67" cm="1">
        <f ca="1" t="array" ref="M1806">(1+SUMPRODUCT(G1806:H1806,OFFSET($H$49:$I$49,D1806,0)))*(1+OFFSET($J$49,D1806,0))^I1806*(1+OFFSET($K$49,D1806,0))^J1806*(1+OFFSET($L$49,D1806,0))^K1806*(1+OFFSET($M$49,D1806,0))^L1806</f>
        <v>497.674823876137</v>
      </c>
      <c r="N1806" s="67">
        <f ca="1">MAX(MAX($N$62:N1805),OFFSET($C$61,MATCH(M1806*1.07,$M$62:$M$2061,1),0)-C1806)</f>
        <v>55440</v>
      </c>
    </row>
    <row r="1807" spans="2:14">
      <c r="B1807" s="67">
        <v>1746</v>
      </c>
      <c r="C1807" s="67">
        <f t="shared" si="164"/>
        <v>628560</v>
      </c>
      <c r="D1807" s="67">
        <f t="shared" si="167"/>
        <v>5</v>
      </c>
      <c r="E1807" s="67">
        <f ca="1" t="shared" si="168"/>
        <v>1776</v>
      </c>
      <c r="F1807" s="67">
        <f ca="1" t="shared" si="165"/>
        <v>0</v>
      </c>
      <c r="G1807" s="67">
        <f ca="1" t="shared" si="166"/>
        <v>0</v>
      </c>
      <c r="H1807" s="67" cm="1">
        <f ca="1" t="array" ref="H1807">MIN(30-SUM(I1807:L1807),_xlfn.XLOOKUP($D1807&amp;"_"&amp;H$61,$B$23:$B$45&amp;"_"&amp;$C$23:$C$45,$D$23:$D$45)*$E1807,18)</f>
        <v>8.84000922722029</v>
      </c>
      <c r="I1807" s="67" cm="1">
        <f ca="1" t="array" ref="I1807">MIN(30-SUM(J1807:L1807),6-L1807,_xlfn.XLOOKUP($D1807&amp;"_"&amp;I$61,$B$23:$B$45&amp;"_"&amp;$C$23:$C$45,$D$23:$D$45)*$E1807)</f>
        <v>0</v>
      </c>
      <c r="J1807" s="67" cm="1">
        <f ca="1" t="array" ref="J1807">MIN(8,_xlfn.XLOOKUP($D1807&amp;"_"&amp;J$61,$B$23:$B$45&amp;"_"&amp;$C$23:$C$45,$D$23:$D$45)*$E1807)</f>
        <v>8</v>
      </c>
      <c r="K1807" s="67" cm="1">
        <f ca="1" t="array" ref="K1807">MIN(18,_xlfn.XLOOKUP($D1807&amp;"_"&amp;K$61,$B$23:$B$45&amp;"_"&amp;$C$23:$C$45,$D$23:$D$45)*$E1807)</f>
        <v>7.15999077277971</v>
      </c>
      <c r="L1807" s="67" cm="1">
        <f ca="1" t="array" ref="L1807">MIN(6,_xlfn.XLOOKUP($D1807&amp;"_"&amp;L$61,$B$23:$B$45&amp;"_"&amp;$C$23:$C$45,$D$23:$D$45)*$E1807)</f>
        <v>6</v>
      </c>
      <c r="M1807" s="67" cm="1">
        <f ca="1" t="array" ref="M1807">(1+SUMPRODUCT(G1807:H1807,OFFSET($H$49:$I$49,D1807,0)))*(1+OFFSET($J$49,D1807,0))^I1807*(1+OFFSET($K$49,D1807,0))^J1807*(1+OFFSET($L$49,D1807,0))^K1807*(1+OFFSET($M$49,D1807,0))^L1807</f>
        <v>497.895731777113</v>
      </c>
      <c r="N1807" s="67">
        <f ca="1">MAX(MAX($N$62:N1806),OFFSET($C$61,MATCH(M1807*1.07,$M$62:$M$2061,1),0)-C1807)</f>
        <v>55440</v>
      </c>
    </row>
    <row r="1808" spans="2:14">
      <c r="B1808" s="67">
        <v>1747</v>
      </c>
      <c r="C1808" s="67">
        <f t="shared" si="164"/>
        <v>628920</v>
      </c>
      <c r="D1808" s="67">
        <f t="shared" si="167"/>
        <v>5</v>
      </c>
      <c r="E1808" s="67">
        <f ca="1" t="shared" si="168"/>
        <v>1777</v>
      </c>
      <c r="F1808" s="67">
        <f ca="1" t="shared" si="165"/>
        <v>0</v>
      </c>
      <c r="G1808" s="67">
        <f ca="1" t="shared" si="166"/>
        <v>0</v>
      </c>
      <c r="H1808" s="67" cm="1">
        <f ca="1" t="array" ref="H1808">MIN(30-SUM(I1808:L1808),_xlfn.XLOOKUP($D1808&amp;"_"&amp;H$61,$B$23:$B$45&amp;"_"&amp;$C$23:$C$45,$D$23:$D$45)*$E1808,18)</f>
        <v>8.83597770088427</v>
      </c>
      <c r="I1808" s="67" cm="1">
        <f ca="1" t="array" ref="I1808">MIN(30-SUM(J1808:L1808),6-L1808,_xlfn.XLOOKUP($D1808&amp;"_"&amp;I$61,$B$23:$B$45&amp;"_"&amp;$C$23:$C$45,$D$23:$D$45)*$E1808)</f>
        <v>0</v>
      </c>
      <c r="J1808" s="67" cm="1">
        <f ca="1" t="array" ref="J1808">MIN(8,_xlfn.XLOOKUP($D1808&amp;"_"&amp;J$61,$B$23:$B$45&amp;"_"&amp;$C$23:$C$45,$D$23:$D$45)*$E1808)</f>
        <v>8</v>
      </c>
      <c r="K1808" s="67" cm="1">
        <f ca="1" t="array" ref="K1808">MIN(18,_xlfn.XLOOKUP($D1808&amp;"_"&amp;K$61,$B$23:$B$45&amp;"_"&amp;$C$23:$C$45,$D$23:$D$45)*$E1808)</f>
        <v>7.16402229911573</v>
      </c>
      <c r="L1808" s="67" cm="1">
        <f ca="1" t="array" ref="L1808">MIN(6,_xlfn.XLOOKUP($D1808&amp;"_"&amp;L$61,$B$23:$B$45&amp;"_"&amp;$C$23:$C$45,$D$23:$D$45)*$E1808)</f>
        <v>6</v>
      </c>
      <c r="M1808" s="67" cm="1">
        <f ca="1" t="array" ref="M1808">(1+SUMPRODUCT(G1808:H1808,OFFSET($H$49:$I$49,D1808,0)))*(1+OFFSET($J$49,D1808,0))^I1808*(1+OFFSET($K$49,D1808,0))^J1808*(1+OFFSET($L$49,D1808,0))^K1808*(1+OFFSET($M$49,D1808,0))^L1808</f>
        <v>498.116695468082</v>
      </c>
      <c r="N1808" s="67">
        <f ca="1">MAX(MAX($N$62:N1807),OFFSET($C$61,MATCH(M1808*1.07,$M$62:$M$2061,1),0)-C1808)</f>
        <v>55440</v>
      </c>
    </row>
    <row r="1809" spans="2:14">
      <c r="B1809" s="67">
        <v>1748</v>
      </c>
      <c r="C1809" s="67">
        <f t="shared" si="164"/>
        <v>629280</v>
      </c>
      <c r="D1809" s="67">
        <f t="shared" si="167"/>
        <v>5</v>
      </c>
      <c r="E1809" s="67">
        <f ca="1" t="shared" si="168"/>
        <v>1778</v>
      </c>
      <c r="F1809" s="67">
        <f ca="1" t="shared" si="165"/>
        <v>0</v>
      </c>
      <c r="G1809" s="67">
        <f ca="1" t="shared" si="166"/>
        <v>0</v>
      </c>
      <c r="H1809" s="67" cm="1">
        <f ca="1" t="array" ref="H1809">MIN(30-SUM(I1809:L1809),_xlfn.XLOOKUP($D1809&amp;"_"&amp;H$61,$B$23:$B$45&amp;"_"&amp;$C$23:$C$45,$D$23:$D$45)*$E1809,18)</f>
        <v>8.83194617454824</v>
      </c>
      <c r="I1809" s="67" cm="1">
        <f ca="1" t="array" ref="I1809">MIN(30-SUM(J1809:L1809),6-L1809,_xlfn.XLOOKUP($D1809&amp;"_"&amp;I$61,$B$23:$B$45&amp;"_"&amp;$C$23:$C$45,$D$23:$D$45)*$E1809)</f>
        <v>0</v>
      </c>
      <c r="J1809" s="67" cm="1">
        <f ca="1" t="array" ref="J1809">MIN(8,_xlfn.XLOOKUP($D1809&amp;"_"&amp;J$61,$B$23:$B$45&amp;"_"&amp;$C$23:$C$45,$D$23:$D$45)*$E1809)</f>
        <v>8</v>
      </c>
      <c r="K1809" s="67" cm="1">
        <f ca="1" t="array" ref="K1809">MIN(18,_xlfn.XLOOKUP($D1809&amp;"_"&amp;K$61,$B$23:$B$45&amp;"_"&amp;$C$23:$C$45,$D$23:$D$45)*$E1809)</f>
        <v>7.16805382545176</v>
      </c>
      <c r="L1809" s="67" cm="1">
        <f ca="1" t="array" ref="L1809">MIN(6,_xlfn.XLOOKUP($D1809&amp;"_"&amp;L$61,$B$23:$B$45&amp;"_"&amp;$C$23:$C$45,$D$23:$D$45)*$E1809)</f>
        <v>6</v>
      </c>
      <c r="M1809" s="67" cm="1">
        <f ca="1" t="array" ref="M1809">(1+SUMPRODUCT(G1809:H1809,OFFSET($H$49:$I$49,D1809,0)))*(1+OFFSET($J$49,D1809,0))^I1809*(1+OFFSET($K$49,D1809,0))^J1809*(1+OFFSET($L$49,D1809,0))^K1809*(1+OFFSET($M$49,D1809,0))^L1809</f>
        <v>498.33771491165</v>
      </c>
      <c r="N1809" s="67">
        <f ca="1">MAX(MAX($N$62:N1808),OFFSET($C$61,MATCH(M1809*1.07,$M$62:$M$2061,1),0)-C1809)</f>
        <v>55440</v>
      </c>
    </row>
    <row r="1810" spans="2:14">
      <c r="B1810" s="67">
        <v>1749</v>
      </c>
      <c r="C1810" s="67">
        <f t="shared" si="164"/>
        <v>629640</v>
      </c>
      <c r="D1810" s="67">
        <f t="shared" si="167"/>
        <v>5</v>
      </c>
      <c r="E1810" s="67">
        <f ca="1" t="shared" si="168"/>
        <v>1779</v>
      </c>
      <c r="F1810" s="67">
        <f ca="1" t="shared" si="165"/>
        <v>0</v>
      </c>
      <c r="G1810" s="67">
        <f ca="1" t="shared" si="166"/>
        <v>0</v>
      </c>
      <c r="H1810" s="67" cm="1">
        <f ca="1" t="array" ref="H1810">MIN(30-SUM(I1810:L1810),_xlfn.XLOOKUP($D1810&amp;"_"&amp;H$61,$B$23:$B$45&amp;"_"&amp;$C$23:$C$45,$D$23:$D$45)*$E1810,18)</f>
        <v>8.82791464821222</v>
      </c>
      <c r="I1810" s="67" cm="1">
        <f ca="1" t="array" ref="I1810">MIN(30-SUM(J1810:L1810),6-L1810,_xlfn.XLOOKUP($D1810&amp;"_"&amp;I$61,$B$23:$B$45&amp;"_"&amp;$C$23:$C$45,$D$23:$D$45)*$E1810)</f>
        <v>0</v>
      </c>
      <c r="J1810" s="67" cm="1">
        <f ca="1" t="array" ref="J1810">MIN(8,_xlfn.XLOOKUP($D1810&amp;"_"&amp;J$61,$B$23:$B$45&amp;"_"&amp;$C$23:$C$45,$D$23:$D$45)*$E1810)</f>
        <v>8</v>
      </c>
      <c r="K1810" s="67" cm="1">
        <f ca="1" t="array" ref="K1810">MIN(18,_xlfn.XLOOKUP($D1810&amp;"_"&amp;K$61,$B$23:$B$45&amp;"_"&amp;$C$23:$C$45,$D$23:$D$45)*$E1810)</f>
        <v>7.17208535178778</v>
      </c>
      <c r="L1810" s="67" cm="1">
        <f ca="1" t="array" ref="L1810">MIN(6,_xlfn.XLOOKUP($D1810&amp;"_"&amp;L$61,$B$23:$B$45&amp;"_"&amp;$C$23:$C$45,$D$23:$D$45)*$E1810)</f>
        <v>6</v>
      </c>
      <c r="M1810" s="67" cm="1">
        <f ca="1" t="array" ref="M1810">(1+SUMPRODUCT(G1810:H1810,OFFSET($H$49:$I$49,D1810,0)))*(1+OFFSET($J$49,D1810,0))^I1810*(1+OFFSET($K$49,D1810,0))^J1810*(1+OFFSET($L$49,D1810,0))^K1810*(1+OFFSET($M$49,D1810,0))^L1810</f>
        <v>498.558790070338</v>
      </c>
      <c r="N1810" s="67">
        <f ca="1">MAX(MAX($N$62:N1809),OFFSET($C$61,MATCH(M1810*1.07,$M$62:$M$2061,1),0)-C1810)</f>
        <v>55440</v>
      </c>
    </row>
    <row r="1811" spans="2:14">
      <c r="B1811" s="67">
        <v>1750</v>
      </c>
      <c r="C1811" s="67">
        <f t="shared" si="164"/>
        <v>630000</v>
      </c>
      <c r="D1811" s="67">
        <f t="shared" si="167"/>
        <v>5</v>
      </c>
      <c r="E1811" s="67">
        <f ca="1" t="shared" si="168"/>
        <v>1780</v>
      </c>
      <c r="F1811" s="67">
        <f ca="1" t="shared" si="165"/>
        <v>0</v>
      </c>
      <c r="G1811" s="67">
        <f ca="1" t="shared" si="166"/>
        <v>0</v>
      </c>
      <c r="H1811" s="67" cm="1">
        <f ca="1" t="array" ref="H1811">MIN(30-SUM(I1811:L1811),_xlfn.XLOOKUP($D1811&amp;"_"&amp;H$61,$B$23:$B$45&amp;"_"&amp;$C$23:$C$45,$D$23:$D$45)*$E1811,18)</f>
        <v>8.82388312187619</v>
      </c>
      <c r="I1811" s="67" cm="1">
        <f ca="1" t="array" ref="I1811">MIN(30-SUM(J1811:L1811),6-L1811,_xlfn.XLOOKUP($D1811&amp;"_"&amp;I$61,$B$23:$B$45&amp;"_"&amp;$C$23:$C$45,$D$23:$D$45)*$E1811)</f>
        <v>0</v>
      </c>
      <c r="J1811" s="67" cm="1">
        <f ca="1" t="array" ref="J1811">MIN(8,_xlfn.XLOOKUP($D1811&amp;"_"&amp;J$61,$B$23:$B$45&amp;"_"&amp;$C$23:$C$45,$D$23:$D$45)*$E1811)</f>
        <v>8</v>
      </c>
      <c r="K1811" s="67" cm="1">
        <f ca="1" t="array" ref="K1811">MIN(18,_xlfn.XLOOKUP($D1811&amp;"_"&amp;K$61,$B$23:$B$45&amp;"_"&amp;$C$23:$C$45,$D$23:$D$45)*$E1811)</f>
        <v>7.17611687812381</v>
      </c>
      <c r="L1811" s="67" cm="1">
        <f ca="1" t="array" ref="L1811">MIN(6,_xlfn.XLOOKUP($D1811&amp;"_"&amp;L$61,$B$23:$B$45&amp;"_"&amp;$C$23:$C$45,$D$23:$D$45)*$E1811)</f>
        <v>6</v>
      </c>
      <c r="M1811" s="67" cm="1">
        <f ca="1" t="array" ref="M1811">(1+SUMPRODUCT(G1811:H1811,OFFSET($H$49:$I$49,D1811,0)))*(1+OFFSET($J$49,D1811,0))^I1811*(1+OFFSET($K$49,D1811,0))^J1811*(1+OFFSET($L$49,D1811,0))^K1811*(1+OFFSET($M$49,D1811,0))^L1811</f>
        <v>498.779920906583</v>
      </c>
      <c r="N1811" s="67">
        <f ca="1">MAX(MAX($N$62:N1810),OFFSET($C$61,MATCH(M1811*1.07,$M$62:$M$2061,1),0)-C1811)</f>
        <v>55440</v>
      </c>
    </row>
    <row r="1812" spans="2:14">
      <c r="B1812" s="67">
        <v>1751</v>
      </c>
      <c r="C1812" s="67">
        <f t="shared" si="164"/>
        <v>630360</v>
      </c>
      <c r="D1812" s="67">
        <f t="shared" si="167"/>
        <v>5</v>
      </c>
      <c r="E1812" s="67">
        <f ca="1" t="shared" si="168"/>
        <v>1781</v>
      </c>
      <c r="F1812" s="67">
        <f ca="1" t="shared" si="165"/>
        <v>0</v>
      </c>
      <c r="G1812" s="67">
        <f ca="1" t="shared" si="166"/>
        <v>0</v>
      </c>
      <c r="H1812" s="67" cm="1">
        <f ca="1" t="array" ref="H1812">MIN(30-SUM(I1812:L1812),_xlfn.XLOOKUP($D1812&amp;"_"&amp;H$61,$B$23:$B$45&amp;"_"&amp;$C$23:$C$45,$D$23:$D$45)*$E1812,18)</f>
        <v>8.81985159554017</v>
      </c>
      <c r="I1812" s="67" cm="1">
        <f ca="1" t="array" ref="I1812">MIN(30-SUM(J1812:L1812),6-L1812,_xlfn.XLOOKUP($D1812&amp;"_"&amp;I$61,$B$23:$B$45&amp;"_"&amp;$C$23:$C$45,$D$23:$D$45)*$E1812)</f>
        <v>0</v>
      </c>
      <c r="J1812" s="67" cm="1">
        <f ca="1" t="array" ref="J1812">MIN(8,_xlfn.XLOOKUP($D1812&amp;"_"&amp;J$61,$B$23:$B$45&amp;"_"&amp;$C$23:$C$45,$D$23:$D$45)*$E1812)</f>
        <v>8</v>
      </c>
      <c r="K1812" s="67" cm="1">
        <f ca="1" t="array" ref="K1812">MIN(18,_xlfn.XLOOKUP($D1812&amp;"_"&amp;K$61,$B$23:$B$45&amp;"_"&amp;$C$23:$C$45,$D$23:$D$45)*$E1812)</f>
        <v>7.18014840445983</v>
      </c>
      <c r="L1812" s="67" cm="1">
        <f ca="1" t="array" ref="L1812">MIN(6,_xlfn.XLOOKUP($D1812&amp;"_"&amp;L$61,$B$23:$B$45&amp;"_"&amp;$C$23:$C$45,$D$23:$D$45)*$E1812)</f>
        <v>6</v>
      </c>
      <c r="M1812" s="67" cm="1">
        <f ca="1" t="array" ref="M1812">(1+SUMPRODUCT(G1812:H1812,OFFSET($H$49:$I$49,D1812,0)))*(1+OFFSET($J$49,D1812,0))^I1812*(1+OFFSET($K$49,D1812,0))^J1812*(1+OFFSET($L$49,D1812,0))^K1812*(1+OFFSET($M$49,D1812,0))^L1812</f>
        <v>499.001107382736</v>
      </c>
      <c r="N1812" s="67">
        <f ca="1">MAX(MAX($N$62:N1811),OFFSET($C$61,MATCH(M1812*1.07,$M$62:$M$2061,1),0)-C1812)</f>
        <v>55440</v>
      </c>
    </row>
    <row r="1813" spans="2:14">
      <c r="B1813" s="67">
        <v>1752</v>
      </c>
      <c r="C1813" s="67">
        <f t="shared" si="164"/>
        <v>630720</v>
      </c>
      <c r="D1813" s="67">
        <f t="shared" si="167"/>
        <v>5</v>
      </c>
      <c r="E1813" s="67">
        <f ca="1" t="shared" si="168"/>
        <v>1782</v>
      </c>
      <c r="F1813" s="67">
        <f ca="1" t="shared" si="165"/>
        <v>0</v>
      </c>
      <c r="G1813" s="67">
        <f ca="1" t="shared" si="166"/>
        <v>0</v>
      </c>
      <c r="H1813" s="67" cm="1">
        <f ca="1" t="array" ref="H1813">MIN(30-SUM(I1813:L1813),_xlfn.XLOOKUP($D1813&amp;"_"&amp;H$61,$B$23:$B$45&amp;"_"&amp;$C$23:$C$45,$D$23:$D$45)*$E1813,18)</f>
        <v>8.81582006920414</v>
      </c>
      <c r="I1813" s="67" cm="1">
        <f ca="1" t="array" ref="I1813">MIN(30-SUM(J1813:L1813),6-L1813,_xlfn.XLOOKUP($D1813&amp;"_"&amp;I$61,$B$23:$B$45&amp;"_"&amp;$C$23:$C$45,$D$23:$D$45)*$E1813)</f>
        <v>0</v>
      </c>
      <c r="J1813" s="67" cm="1">
        <f ca="1" t="array" ref="J1813">MIN(8,_xlfn.XLOOKUP($D1813&amp;"_"&amp;J$61,$B$23:$B$45&amp;"_"&amp;$C$23:$C$45,$D$23:$D$45)*$E1813)</f>
        <v>8</v>
      </c>
      <c r="K1813" s="67" cm="1">
        <f ca="1" t="array" ref="K1813">MIN(18,_xlfn.XLOOKUP($D1813&amp;"_"&amp;K$61,$B$23:$B$45&amp;"_"&amp;$C$23:$C$45,$D$23:$D$45)*$E1813)</f>
        <v>7.18417993079585</v>
      </c>
      <c r="L1813" s="67" cm="1">
        <f ca="1" t="array" ref="L1813">MIN(6,_xlfn.XLOOKUP($D1813&amp;"_"&amp;L$61,$B$23:$B$45&amp;"_"&amp;$C$23:$C$45,$D$23:$D$45)*$E1813)</f>
        <v>6</v>
      </c>
      <c r="M1813" s="67" cm="1">
        <f ca="1" t="array" ref="M1813">(1+SUMPRODUCT(G1813:H1813,OFFSET($H$49:$I$49,D1813,0)))*(1+OFFSET($J$49,D1813,0))^I1813*(1+OFFSET($K$49,D1813,0))^J1813*(1+OFFSET($L$49,D1813,0))^K1813*(1+OFFSET($M$49,D1813,0))^L1813</f>
        <v>499.22234946106</v>
      </c>
      <c r="N1813" s="67">
        <f ca="1">MAX(MAX($N$62:N1812),OFFSET($C$61,MATCH(M1813*1.07,$M$62:$M$2061,1),0)-C1813)</f>
        <v>55800</v>
      </c>
    </row>
    <row r="1814" spans="2:14">
      <c r="B1814" s="67">
        <v>1753</v>
      </c>
      <c r="C1814" s="67">
        <f t="shared" si="164"/>
        <v>631080</v>
      </c>
      <c r="D1814" s="67">
        <f t="shared" si="167"/>
        <v>5</v>
      </c>
      <c r="E1814" s="67">
        <f ca="1" t="shared" si="168"/>
        <v>1783</v>
      </c>
      <c r="F1814" s="67">
        <f ca="1" t="shared" si="165"/>
        <v>0</v>
      </c>
      <c r="G1814" s="67">
        <f ca="1" t="shared" si="166"/>
        <v>0</v>
      </c>
      <c r="H1814" s="67" cm="1">
        <f ca="1" t="array" ref="H1814">MIN(30-SUM(I1814:L1814),_xlfn.XLOOKUP($D1814&amp;"_"&amp;H$61,$B$23:$B$45&amp;"_"&amp;$C$23:$C$45,$D$23:$D$45)*$E1814,18)</f>
        <v>8.81178854286812</v>
      </c>
      <c r="I1814" s="67" cm="1">
        <f ca="1" t="array" ref="I1814">MIN(30-SUM(J1814:L1814),6-L1814,_xlfn.XLOOKUP($D1814&amp;"_"&amp;I$61,$B$23:$B$45&amp;"_"&amp;$C$23:$C$45,$D$23:$D$45)*$E1814)</f>
        <v>0</v>
      </c>
      <c r="J1814" s="67" cm="1">
        <f ca="1" t="array" ref="J1814">MIN(8,_xlfn.XLOOKUP($D1814&amp;"_"&amp;J$61,$B$23:$B$45&amp;"_"&amp;$C$23:$C$45,$D$23:$D$45)*$E1814)</f>
        <v>8</v>
      </c>
      <c r="K1814" s="67" cm="1">
        <f ca="1" t="array" ref="K1814">MIN(18,_xlfn.XLOOKUP($D1814&amp;"_"&amp;K$61,$B$23:$B$45&amp;"_"&amp;$C$23:$C$45,$D$23:$D$45)*$E1814)</f>
        <v>7.18821145713188</v>
      </c>
      <c r="L1814" s="67" cm="1">
        <f ca="1" t="array" ref="L1814">MIN(6,_xlfn.XLOOKUP($D1814&amp;"_"&amp;L$61,$B$23:$B$45&amp;"_"&amp;$C$23:$C$45,$D$23:$D$45)*$E1814)</f>
        <v>6</v>
      </c>
      <c r="M1814" s="67" cm="1">
        <f ca="1" t="array" ref="M1814">(1+SUMPRODUCT(G1814:H1814,OFFSET($H$49:$I$49,D1814,0)))*(1+OFFSET($J$49,D1814,0))^I1814*(1+OFFSET($K$49,D1814,0))^J1814*(1+OFFSET($L$49,D1814,0))^K1814*(1+OFFSET($M$49,D1814,0))^L1814</f>
        <v>499.443647103737</v>
      </c>
      <c r="N1814" s="67">
        <f ca="1">MAX(MAX($N$62:N1813),OFFSET($C$61,MATCH(M1814*1.07,$M$62:$M$2061,1),0)-C1814)</f>
        <v>55800</v>
      </c>
    </row>
    <row r="1815" spans="2:14">
      <c r="B1815" s="67">
        <v>1754</v>
      </c>
      <c r="C1815" s="67">
        <f t="shared" si="164"/>
        <v>631440</v>
      </c>
      <c r="D1815" s="67">
        <f t="shared" si="167"/>
        <v>5</v>
      </c>
      <c r="E1815" s="67">
        <f ca="1" t="shared" si="168"/>
        <v>1784</v>
      </c>
      <c r="F1815" s="67">
        <f ca="1" t="shared" si="165"/>
        <v>0</v>
      </c>
      <c r="G1815" s="67">
        <f ca="1" t="shared" si="166"/>
        <v>0</v>
      </c>
      <c r="H1815" s="67" cm="1">
        <f ca="1" t="array" ref="H1815">MIN(30-SUM(I1815:L1815),_xlfn.XLOOKUP($D1815&amp;"_"&amp;H$61,$B$23:$B$45&amp;"_"&amp;$C$23:$C$45,$D$23:$D$45)*$E1815,18)</f>
        <v>8.8077570165321</v>
      </c>
      <c r="I1815" s="67" cm="1">
        <f ca="1" t="array" ref="I1815">MIN(30-SUM(J1815:L1815),6-L1815,_xlfn.XLOOKUP($D1815&amp;"_"&amp;I$61,$B$23:$B$45&amp;"_"&amp;$C$23:$C$45,$D$23:$D$45)*$E1815)</f>
        <v>0</v>
      </c>
      <c r="J1815" s="67" cm="1">
        <f ca="1" t="array" ref="J1815">MIN(8,_xlfn.XLOOKUP($D1815&amp;"_"&amp;J$61,$B$23:$B$45&amp;"_"&amp;$C$23:$C$45,$D$23:$D$45)*$E1815)</f>
        <v>8</v>
      </c>
      <c r="K1815" s="67" cm="1">
        <f ca="1" t="array" ref="K1815">MIN(18,_xlfn.XLOOKUP($D1815&amp;"_"&amp;K$61,$B$23:$B$45&amp;"_"&amp;$C$23:$C$45,$D$23:$D$45)*$E1815)</f>
        <v>7.1922429834679</v>
      </c>
      <c r="L1815" s="67" cm="1">
        <f ca="1" t="array" ref="L1815">MIN(6,_xlfn.XLOOKUP($D1815&amp;"_"&amp;L$61,$B$23:$B$45&amp;"_"&amp;$C$23:$C$45,$D$23:$D$45)*$E1815)</f>
        <v>6</v>
      </c>
      <c r="M1815" s="67" cm="1">
        <f ca="1" t="array" ref="M1815">(1+SUMPRODUCT(G1815:H1815,OFFSET($H$49:$I$49,D1815,0)))*(1+OFFSET($J$49,D1815,0))^I1815*(1+OFFSET($K$49,D1815,0))^J1815*(1+OFFSET($L$49,D1815,0))^K1815*(1+OFFSET($M$49,D1815,0))^L1815</f>
        <v>499.66500027286</v>
      </c>
      <c r="N1815" s="67">
        <f ca="1">MAX(MAX($N$62:N1814),OFFSET($C$61,MATCH(M1815*1.07,$M$62:$M$2061,1),0)-C1815)</f>
        <v>55800</v>
      </c>
    </row>
    <row r="1816" spans="2:14">
      <c r="B1816" s="67">
        <v>1755</v>
      </c>
      <c r="C1816" s="67">
        <f t="shared" si="164"/>
        <v>631800</v>
      </c>
      <c r="D1816" s="67">
        <f t="shared" si="167"/>
        <v>5</v>
      </c>
      <c r="E1816" s="67">
        <f ca="1" t="shared" si="168"/>
        <v>1785</v>
      </c>
      <c r="F1816" s="67">
        <f ca="1" t="shared" si="165"/>
        <v>0</v>
      </c>
      <c r="G1816" s="67">
        <f ca="1" t="shared" si="166"/>
        <v>0</v>
      </c>
      <c r="H1816" s="67" cm="1">
        <f ca="1" t="array" ref="H1816">MIN(30-SUM(I1816:L1816),_xlfn.XLOOKUP($D1816&amp;"_"&amp;H$61,$B$23:$B$45&amp;"_"&amp;$C$23:$C$45,$D$23:$D$45)*$E1816,18)</f>
        <v>8.80372549019607</v>
      </c>
      <c r="I1816" s="67" cm="1">
        <f ca="1" t="array" ref="I1816">MIN(30-SUM(J1816:L1816),6-L1816,_xlfn.XLOOKUP($D1816&amp;"_"&amp;I$61,$B$23:$B$45&amp;"_"&amp;$C$23:$C$45,$D$23:$D$45)*$E1816)</f>
        <v>0</v>
      </c>
      <c r="J1816" s="67" cm="1">
        <f ca="1" t="array" ref="J1816">MIN(8,_xlfn.XLOOKUP($D1816&amp;"_"&amp;J$61,$B$23:$B$45&amp;"_"&amp;$C$23:$C$45,$D$23:$D$45)*$E1816)</f>
        <v>8</v>
      </c>
      <c r="K1816" s="67" cm="1">
        <f ca="1" t="array" ref="K1816">MIN(18,_xlfn.XLOOKUP($D1816&amp;"_"&amp;K$61,$B$23:$B$45&amp;"_"&amp;$C$23:$C$45,$D$23:$D$45)*$E1816)</f>
        <v>7.19627450980393</v>
      </c>
      <c r="L1816" s="67" cm="1">
        <f ca="1" t="array" ref="L1816">MIN(6,_xlfn.XLOOKUP($D1816&amp;"_"&amp;L$61,$B$23:$B$45&amp;"_"&amp;$C$23:$C$45,$D$23:$D$45)*$E1816)</f>
        <v>6</v>
      </c>
      <c r="M1816" s="67" cm="1">
        <f ca="1" t="array" ref="M1816">(1+SUMPRODUCT(G1816:H1816,OFFSET($H$49:$I$49,D1816,0)))*(1+OFFSET($J$49,D1816,0))^I1816*(1+OFFSET($K$49,D1816,0))^J1816*(1+OFFSET($L$49,D1816,0))^K1816*(1+OFFSET($M$49,D1816,0))^L1816</f>
        <v>499.886408930437</v>
      </c>
      <c r="N1816" s="67">
        <f ca="1">MAX(MAX($N$62:N1815),OFFSET($C$61,MATCH(M1816*1.07,$M$62:$M$2061,1),0)-C1816)</f>
        <v>55800</v>
      </c>
    </row>
    <row r="1817" spans="2:14">
      <c r="B1817" s="67">
        <v>1756</v>
      </c>
      <c r="C1817" s="67">
        <f t="shared" si="164"/>
        <v>632160</v>
      </c>
      <c r="D1817" s="67">
        <f t="shared" si="167"/>
        <v>5</v>
      </c>
      <c r="E1817" s="67">
        <f ca="1" t="shared" si="168"/>
        <v>1786</v>
      </c>
      <c r="F1817" s="67">
        <f ca="1" t="shared" si="165"/>
        <v>0</v>
      </c>
      <c r="G1817" s="67">
        <f ca="1" t="shared" si="166"/>
        <v>0</v>
      </c>
      <c r="H1817" s="67" cm="1">
        <f ca="1" t="array" ref="H1817">MIN(30-SUM(I1817:L1817),_xlfn.XLOOKUP($D1817&amp;"_"&amp;H$61,$B$23:$B$45&amp;"_"&amp;$C$23:$C$45,$D$23:$D$45)*$E1817,18)</f>
        <v>8.79969396386005</v>
      </c>
      <c r="I1817" s="67" cm="1">
        <f ca="1" t="array" ref="I1817">MIN(30-SUM(J1817:L1817),6-L1817,_xlfn.XLOOKUP($D1817&amp;"_"&amp;I$61,$B$23:$B$45&amp;"_"&amp;$C$23:$C$45,$D$23:$D$45)*$E1817)</f>
        <v>0</v>
      </c>
      <c r="J1817" s="67" cm="1">
        <f ca="1" t="array" ref="J1817">MIN(8,_xlfn.XLOOKUP($D1817&amp;"_"&amp;J$61,$B$23:$B$45&amp;"_"&amp;$C$23:$C$45,$D$23:$D$45)*$E1817)</f>
        <v>8</v>
      </c>
      <c r="K1817" s="67" cm="1">
        <f ca="1" t="array" ref="K1817">MIN(18,_xlfn.XLOOKUP($D1817&amp;"_"&amp;K$61,$B$23:$B$45&amp;"_"&amp;$C$23:$C$45,$D$23:$D$45)*$E1817)</f>
        <v>7.20030603613995</v>
      </c>
      <c r="L1817" s="67" cm="1">
        <f ca="1" t="array" ref="L1817">MIN(6,_xlfn.XLOOKUP($D1817&amp;"_"&amp;L$61,$B$23:$B$45&amp;"_"&amp;$C$23:$C$45,$D$23:$D$45)*$E1817)</f>
        <v>6</v>
      </c>
      <c r="M1817" s="67" cm="1">
        <f ca="1" t="array" ref="M1817">(1+SUMPRODUCT(G1817:H1817,OFFSET($H$49:$I$49,D1817,0)))*(1+OFFSET($J$49,D1817,0))^I1817*(1+OFFSET($K$49,D1817,0))^J1817*(1+OFFSET($L$49,D1817,0))^K1817*(1+OFFSET($M$49,D1817,0))^L1817</f>
        <v>500.10787303839</v>
      </c>
      <c r="N1817" s="67">
        <f ca="1">MAX(MAX($N$62:N1816),OFFSET($C$61,MATCH(M1817*1.07,$M$62:$M$2061,1),0)-C1817)</f>
        <v>55800</v>
      </c>
    </row>
    <row r="1818" spans="2:14">
      <c r="B1818" s="67">
        <v>1757</v>
      </c>
      <c r="C1818" s="67">
        <f t="shared" si="164"/>
        <v>632520</v>
      </c>
      <c r="D1818" s="67">
        <f t="shared" si="167"/>
        <v>5</v>
      </c>
      <c r="E1818" s="67">
        <f ca="1" t="shared" si="168"/>
        <v>1787</v>
      </c>
      <c r="F1818" s="67">
        <f ca="1" t="shared" si="165"/>
        <v>0</v>
      </c>
      <c r="G1818" s="67">
        <f ca="1" t="shared" si="166"/>
        <v>0</v>
      </c>
      <c r="H1818" s="67" cm="1">
        <f ca="1" t="array" ref="H1818">MIN(30-SUM(I1818:L1818),_xlfn.XLOOKUP($D1818&amp;"_"&amp;H$61,$B$23:$B$45&amp;"_"&amp;$C$23:$C$45,$D$23:$D$45)*$E1818,18)</f>
        <v>8.79566243752402</v>
      </c>
      <c r="I1818" s="67" cm="1">
        <f ca="1" t="array" ref="I1818">MIN(30-SUM(J1818:L1818),6-L1818,_xlfn.XLOOKUP($D1818&amp;"_"&amp;I$61,$B$23:$B$45&amp;"_"&amp;$C$23:$C$45,$D$23:$D$45)*$E1818)</f>
        <v>0</v>
      </c>
      <c r="J1818" s="67" cm="1">
        <f ca="1" t="array" ref="J1818">MIN(8,_xlfn.XLOOKUP($D1818&amp;"_"&amp;J$61,$B$23:$B$45&amp;"_"&amp;$C$23:$C$45,$D$23:$D$45)*$E1818)</f>
        <v>8</v>
      </c>
      <c r="K1818" s="67" cm="1">
        <f ca="1" t="array" ref="K1818">MIN(18,_xlfn.XLOOKUP($D1818&amp;"_"&amp;K$61,$B$23:$B$45&amp;"_"&amp;$C$23:$C$45,$D$23:$D$45)*$E1818)</f>
        <v>7.20433756247598</v>
      </c>
      <c r="L1818" s="67" cm="1">
        <f ca="1" t="array" ref="L1818">MIN(6,_xlfn.XLOOKUP($D1818&amp;"_"&amp;L$61,$B$23:$B$45&amp;"_"&amp;$C$23:$C$45,$D$23:$D$45)*$E1818)</f>
        <v>6</v>
      </c>
      <c r="M1818" s="67" cm="1">
        <f ca="1" t="array" ref="M1818">(1+SUMPRODUCT(G1818:H1818,OFFSET($H$49:$I$49,D1818,0)))*(1+OFFSET($J$49,D1818,0))^I1818*(1+OFFSET($K$49,D1818,0))^J1818*(1+OFFSET($L$49,D1818,0))^K1818*(1+OFFSET($M$49,D1818,0))^L1818</f>
        <v>500.329392558555</v>
      </c>
      <c r="N1818" s="67">
        <f ca="1">MAX(MAX($N$62:N1817),OFFSET($C$61,MATCH(M1818*1.07,$M$62:$M$2061,1),0)-C1818)</f>
        <v>55800</v>
      </c>
    </row>
    <row r="1819" spans="2:14">
      <c r="B1819" s="67">
        <v>1758</v>
      </c>
      <c r="C1819" s="67">
        <f t="shared" si="164"/>
        <v>632880</v>
      </c>
      <c r="D1819" s="67">
        <f t="shared" si="167"/>
        <v>5</v>
      </c>
      <c r="E1819" s="67">
        <f ca="1" t="shared" si="168"/>
        <v>1788</v>
      </c>
      <c r="F1819" s="67">
        <f ca="1" t="shared" si="165"/>
        <v>0</v>
      </c>
      <c r="G1819" s="67">
        <f ca="1" t="shared" si="166"/>
        <v>0</v>
      </c>
      <c r="H1819" s="67" cm="1">
        <f ca="1" t="array" ref="H1819">MIN(30-SUM(I1819:L1819),_xlfn.XLOOKUP($D1819&amp;"_"&amp;H$61,$B$23:$B$45&amp;"_"&amp;$C$23:$C$45,$D$23:$D$45)*$E1819,18)</f>
        <v>8.791630911188</v>
      </c>
      <c r="I1819" s="67" cm="1">
        <f ca="1" t="array" ref="I1819">MIN(30-SUM(J1819:L1819),6-L1819,_xlfn.XLOOKUP($D1819&amp;"_"&amp;I$61,$B$23:$B$45&amp;"_"&amp;$C$23:$C$45,$D$23:$D$45)*$E1819)</f>
        <v>0</v>
      </c>
      <c r="J1819" s="67" cm="1">
        <f ca="1" t="array" ref="J1819">MIN(8,_xlfn.XLOOKUP($D1819&amp;"_"&amp;J$61,$B$23:$B$45&amp;"_"&amp;$C$23:$C$45,$D$23:$D$45)*$E1819)</f>
        <v>8</v>
      </c>
      <c r="K1819" s="67" cm="1">
        <f ca="1" t="array" ref="K1819">MIN(18,_xlfn.XLOOKUP($D1819&amp;"_"&amp;K$61,$B$23:$B$45&amp;"_"&amp;$C$23:$C$45,$D$23:$D$45)*$E1819)</f>
        <v>7.208369088812</v>
      </c>
      <c r="L1819" s="67" cm="1">
        <f ca="1" t="array" ref="L1819">MIN(6,_xlfn.XLOOKUP($D1819&amp;"_"&amp;L$61,$B$23:$B$45&amp;"_"&amp;$C$23:$C$45,$D$23:$D$45)*$E1819)</f>
        <v>6</v>
      </c>
      <c r="M1819" s="67" cm="1">
        <f ca="1" t="array" ref="M1819">(1+SUMPRODUCT(G1819:H1819,OFFSET($H$49:$I$49,D1819,0)))*(1+OFFSET($J$49,D1819,0))^I1819*(1+OFFSET($K$49,D1819,0))^J1819*(1+OFFSET($L$49,D1819,0))^K1819*(1+OFFSET($M$49,D1819,0))^L1819</f>
        <v>500.550967452683</v>
      </c>
      <c r="N1819" s="67">
        <f ca="1">MAX(MAX($N$62:N1818),OFFSET($C$61,MATCH(M1819*1.07,$M$62:$M$2061,1),0)-C1819)</f>
        <v>55800</v>
      </c>
    </row>
    <row r="1820" spans="2:14">
      <c r="B1820" s="67">
        <v>1759</v>
      </c>
      <c r="C1820" s="67">
        <f t="shared" si="164"/>
        <v>633240</v>
      </c>
      <c r="D1820" s="67">
        <f t="shared" si="167"/>
        <v>5</v>
      </c>
      <c r="E1820" s="67">
        <f ca="1" t="shared" si="168"/>
        <v>1789</v>
      </c>
      <c r="F1820" s="67">
        <f ca="1" t="shared" si="165"/>
        <v>0</v>
      </c>
      <c r="G1820" s="67">
        <f ca="1" t="shared" si="166"/>
        <v>0</v>
      </c>
      <c r="H1820" s="67" cm="1">
        <f ca="1" t="array" ref="H1820">MIN(30-SUM(I1820:L1820),_xlfn.XLOOKUP($D1820&amp;"_"&amp;H$61,$B$23:$B$45&amp;"_"&amp;$C$23:$C$45,$D$23:$D$45)*$E1820,18)</f>
        <v>8.78759938485197</v>
      </c>
      <c r="I1820" s="67" cm="1">
        <f ca="1" t="array" ref="I1820">MIN(30-SUM(J1820:L1820),6-L1820,_xlfn.XLOOKUP($D1820&amp;"_"&amp;I$61,$B$23:$B$45&amp;"_"&amp;$C$23:$C$45,$D$23:$D$45)*$E1820)</f>
        <v>0</v>
      </c>
      <c r="J1820" s="67" cm="1">
        <f ca="1" t="array" ref="J1820">MIN(8,_xlfn.XLOOKUP($D1820&amp;"_"&amp;J$61,$B$23:$B$45&amp;"_"&amp;$C$23:$C$45,$D$23:$D$45)*$E1820)</f>
        <v>8</v>
      </c>
      <c r="K1820" s="67" cm="1">
        <f ca="1" t="array" ref="K1820">MIN(18,_xlfn.XLOOKUP($D1820&amp;"_"&amp;K$61,$B$23:$B$45&amp;"_"&amp;$C$23:$C$45,$D$23:$D$45)*$E1820)</f>
        <v>7.21240061514803</v>
      </c>
      <c r="L1820" s="67" cm="1">
        <f ca="1" t="array" ref="L1820">MIN(6,_xlfn.XLOOKUP($D1820&amp;"_"&amp;L$61,$B$23:$B$45&amp;"_"&amp;$C$23:$C$45,$D$23:$D$45)*$E1820)</f>
        <v>6</v>
      </c>
      <c r="M1820" s="67" cm="1">
        <f ca="1" t="array" ref="M1820">(1+SUMPRODUCT(G1820:H1820,OFFSET($H$49:$I$49,D1820,0)))*(1+OFFSET($J$49,D1820,0))^I1820*(1+OFFSET($K$49,D1820,0))^J1820*(1+OFFSET($L$49,D1820,0))^K1820*(1+OFFSET($M$49,D1820,0))^L1820</f>
        <v>500.772597682438</v>
      </c>
      <c r="N1820" s="67">
        <f ca="1">MAX(MAX($N$62:N1819),OFFSET($C$61,MATCH(M1820*1.07,$M$62:$M$2061,1),0)-C1820)</f>
        <v>55800</v>
      </c>
    </row>
    <row r="1821" spans="2:14">
      <c r="B1821" s="67">
        <v>1760</v>
      </c>
      <c r="C1821" s="67">
        <f t="shared" si="164"/>
        <v>633600</v>
      </c>
      <c r="D1821" s="67">
        <f t="shared" si="167"/>
        <v>5</v>
      </c>
      <c r="E1821" s="67">
        <f ca="1" t="shared" si="168"/>
        <v>1790</v>
      </c>
      <c r="F1821" s="67">
        <f ca="1" t="shared" si="165"/>
        <v>0</v>
      </c>
      <c r="G1821" s="67">
        <f ca="1" t="shared" si="166"/>
        <v>0</v>
      </c>
      <c r="H1821" s="67" cm="1">
        <f ca="1" t="array" ref="H1821">MIN(30-SUM(I1821:L1821),_xlfn.XLOOKUP($D1821&amp;"_"&amp;H$61,$B$23:$B$45&amp;"_"&amp;$C$23:$C$45,$D$23:$D$45)*$E1821,18)</f>
        <v>8.78356785851595</v>
      </c>
      <c r="I1821" s="67" cm="1">
        <f ca="1" t="array" ref="I1821">MIN(30-SUM(J1821:L1821),6-L1821,_xlfn.XLOOKUP($D1821&amp;"_"&amp;I$61,$B$23:$B$45&amp;"_"&amp;$C$23:$C$45,$D$23:$D$45)*$E1821)</f>
        <v>0</v>
      </c>
      <c r="J1821" s="67" cm="1">
        <f ca="1" t="array" ref="J1821">MIN(8,_xlfn.XLOOKUP($D1821&amp;"_"&amp;J$61,$B$23:$B$45&amp;"_"&amp;$C$23:$C$45,$D$23:$D$45)*$E1821)</f>
        <v>8</v>
      </c>
      <c r="K1821" s="67" cm="1">
        <f ca="1" t="array" ref="K1821">MIN(18,_xlfn.XLOOKUP($D1821&amp;"_"&amp;K$61,$B$23:$B$45&amp;"_"&amp;$C$23:$C$45,$D$23:$D$45)*$E1821)</f>
        <v>7.21643214148405</v>
      </c>
      <c r="L1821" s="67" cm="1">
        <f ca="1" t="array" ref="L1821">MIN(6,_xlfn.XLOOKUP($D1821&amp;"_"&amp;L$61,$B$23:$B$45&amp;"_"&amp;$C$23:$C$45,$D$23:$D$45)*$E1821)</f>
        <v>6</v>
      </c>
      <c r="M1821" s="67" cm="1">
        <f ca="1" t="array" ref="M1821">(1+SUMPRODUCT(G1821:H1821,OFFSET($H$49:$I$49,D1821,0)))*(1+OFFSET($J$49,D1821,0))^I1821*(1+OFFSET($K$49,D1821,0))^J1821*(1+OFFSET($L$49,D1821,0))^K1821*(1+OFFSET($M$49,D1821,0))^L1821</f>
        <v>500.994283209396</v>
      </c>
      <c r="N1821" s="67">
        <f ca="1">MAX(MAX($N$62:N1820),OFFSET($C$61,MATCH(M1821*1.07,$M$62:$M$2061,1),0)-C1821)</f>
        <v>55800</v>
      </c>
    </row>
    <row r="1822" spans="2:14">
      <c r="B1822" s="67">
        <v>1761</v>
      </c>
      <c r="C1822" s="67">
        <f t="shared" si="164"/>
        <v>633960</v>
      </c>
      <c r="D1822" s="67">
        <f t="shared" si="167"/>
        <v>5</v>
      </c>
      <c r="E1822" s="67">
        <f ca="1" t="shared" si="168"/>
        <v>1791</v>
      </c>
      <c r="F1822" s="67">
        <f ca="1" t="shared" si="165"/>
        <v>0</v>
      </c>
      <c r="G1822" s="67">
        <f ca="1" t="shared" si="166"/>
        <v>0</v>
      </c>
      <c r="H1822" s="67" cm="1">
        <f ca="1" t="array" ref="H1822">MIN(30-SUM(I1822:L1822),_xlfn.XLOOKUP($D1822&amp;"_"&amp;H$61,$B$23:$B$45&amp;"_"&amp;$C$23:$C$45,$D$23:$D$45)*$E1822,18)</f>
        <v>8.77953633217992</v>
      </c>
      <c r="I1822" s="67" cm="1">
        <f ca="1" t="array" ref="I1822">MIN(30-SUM(J1822:L1822),6-L1822,_xlfn.XLOOKUP($D1822&amp;"_"&amp;I$61,$B$23:$B$45&amp;"_"&amp;$C$23:$C$45,$D$23:$D$45)*$E1822)</f>
        <v>0</v>
      </c>
      <c r="J1822" s="67" cm="1">
        <f ca="1" t="array" ref="J1822">MIN(8,_xlfn.XLOOKUP($D1822&amp;"_"&amp;J$61,$B$23:$B$45&amp;"_"&amp;$C$23:$C$45,$D$23:$D$45)*$E1822)</f>
        <v>8</v>
      </c>
      <c r="K1822" s="67" cm="1">
        <f ca="1" t="array" ref="K1822">MIN(18,_xlfn.XLOOKUP($D1822&amp;"_"&amp;K$61,$B$23:$B$45&amp;"_"&amp;$C$23:$C$45,$D$23:$D$45)*$E1822)</f>
        <v>7.22046366782008</v>
      </c>
      <c r="L1822" s="67" cm="1">
        <f ca="1" t="array" ref="L1822">MIN(6,_xlfn.XLOOKUP($D1822&amp;"_"&amp;L$61,$B$23:$B$45&amp;"_"&amp;$C$23:$C$45,$D$23:$D$45)*$E1822)</f>
        <v>6</v>
      </c>
      <c r="M1822" s="67" cm="1">
        <f ca="1" t="array" ref="M1822">(1+SUMPRODUCT(G1822:H1822,OFFSET($H$49:$I$49,D1822,0)))*(1+OFFSET($J$49,D1822,0))^I1822*(1+OFFSET($K$49,D1822,0))^J1822*(1+OFFSET($L$49,D1822,0))^K1822*(1+OFFSET($M$49,D1822,0))^L1822</f>
        <v>501.216023995051</v>
      </c>
      <c r="N1822" s="67">
        <f ca="1">MAX(MAX($N$62:N1821),OFFSET($C$61,MATCH(M1822*1.07,$M$62:$M$2061,1),0)-C1822)</f>
        <v>55800</v>
      </c>
    </row>
    <row r="1823" spans="2:14">
      <c r="B1823" s="67">
        <v>1762</v>
      </c>
      <c r="C1823" s="67">
        <f t="shared" si="164"/>
        <v>634320</v>
      </c>
      <c r="D1823" s="67">
        <f t="shared" si="167"/>
        <v>5</v>
      </c>
      <c r="E1823" s="67">
        <f ca="1" t="shared" si="168"/>
        <v>1792</v>
      </c>
      <c r="F1823" s="67">
        <f ca="1" t="shared" si="165"/>
        <v>0</v>
      </c>
      <c r="G1823" s="67">
        <f ca="1" t="shared" si="166"/>
        <v>0</v>
      </c>
      <c r="H1823" s="67" cm="1">
        <f ca="1" t="array" ref="H1823">MIN(30-SUM(I1823:L1823),_xlfn.XLOOKUP($D1823&amp;"_"&amp;H$61,$B$23:$B$45&amp;"_"&amp;$C$23:$C$45,$D$23:$D$45)*$E1823,18)</f>
        <v>8.7755048058439</v>
      </c>
      <c r="I1823" s="67" cm="1">
        <f ca="1" t="array" ref="I1823">MIN(30-SUM(J1823:L1823),6-L1823,_xlfn.XLOOKUP($D1823&amp;"_"&amp;I$61,$B$23:$B$45&amp;"_"&amp;$C$23:$C$45,$D$23:$D$45)*$E1823)</f>
        <v>0</v>
      </c>
      <c r="J1823" s="67" cm="1">
        <f ca="1" t="array" ref="J1823">MIN(8,_xlfn.XLOOKUP($D1823&amp;"_"&amp;J$61,$B$23:$B$45&amp;"_"&amp;$C$23:$C$45,$D$23:$D$45)*$E1823)</f>
        <v>8</v>
      </c>
      <c r="K1823" s="67" cm="1">
        <f ca="1" t="array" ref="K1823">MIN(18,_xlfn.XLOOKUP($D1823&amp;"_"&amp;K$61,$B$23:$B$45&amp;"_"&amp;$C$23:$C$45,$D$23:$D$45)*$E1823)</f>
        <v>7.2244951941561</v>
      </c>
      <c r="L1823" s="67" cm="1">
        <f ca="1" t="array" ref="L1823">MIN(6,_xlfn.XLOOKUP($D1823&amp;"_"&amp;L$61,$B$23:$B$45&amp;"_"&amp;$C$23:$C$45,$D$23:$D$45)*$E1823)</f>
        <v>6</v>
      </c>
      <c r="M1823" s="67" cm="1">
        <f ca="1" t="array" ref="M1823">(1+SUMPRODUCT(G1823:H1823,OFFSET($H$49:$I$49,D1823,0)))*(1+OFFSET($J$49,D1823,0))^I1823*(1+OFFSET($K$49,D1823,0))^J1823*(1+OFFSET($L$49,D1823,0))^K1823*(1+OFFSET($M$49,D1823,0))^L1823</f>
        <v>501.437820000805</v>
      </c>
      <c r="N1823" s="67">
        <f ca="1">MAX(MAX($N$62:N1822),OFFSET($C$61,MATCH(M1823*1.07,$M$62:$M$2061,1),0)-C1823)</f>
        <v>55800</v>
      </c>
    </row>
    <row r="1824" spans="2:14">
      <c r="B1824" s="67">
        <v>1763</v>
      </c>
      <c r="C1824" s="67">
        <f t="shared" si="164"/>
        <v>634680</v>
      </c>
      <c r="D1824" s="67">
        <f t="shared" si="167"/>
        <v>5</v>
      </c>
      <c r="E1824" s="67">
        <f ca="1" t="shared" si="168"/>
        <v>1793</v>
      </c>
      <c r="F1824" s="67">
        <f ca="1" t="shared" si="165"/>
        <v>0</v>
      </c>
      <c r="G1824" s="67">
        <f ca="1" t="shared" si="166"/>
        <v>0</v>
      </c>
      <c r="H1824" s="67" cm="1">
        <f ca="1" t="array" ref="H1824">MIN(30-SUM(I1824:L1824),_xlfn.XLOOKUP($D1824&amp;"_"&amp;H$61,$B$23:$B$45&amp;"_"&amp;$C$23:$C$45,$D$23:$D$45)*$E1824,18)</f>
        <v>8.77147327950787</v>
      </c>
      <c r="I1824" s="67" cm="1">
        <f ca="1" t="array" ref="I1824">MIN(30-SUM(J1824:L1824),6-L1824,_xlfn.XLOOKUP($D1824&amp;"_"&amp;I$61,$B$23:$B$45&amp;"_"&amp;$C$23:$C$45,$D$23:$D$45)*$E1824)</f>
        <v>0</v>
      </c>
      <c r="J1824" s="67" cm="1">
        <f ca="1" t="array" ref="J1824">MIN(8,_xlfn.XLOOKUP($D1824&amp;"_"&amp;J$61,$B$23:$B$45&amp;"_"&amp;$C$23:$C$45,$D$23:$D$45)*$E1824)</f>
        <v>8</v>
      </c>
      <c r="K1824" s="67" cm="1">
        <f ca="1" t="array" ref="K1824">MIN(18,_xlfn.XLOOKUP($D1824&amp;"_"&amp;K$61,$B$23:$B$45&amp;"_"&amp;$C$23:$C$45,$D$23:$D$45)*$E1824)</f>
        <v>7.22852672049213</v>
      </c>
      <c r="L1824" s="67" cm="1">
        <f ca="1" t="array" ref="L1824">MIN(6,_xlfn.XLOOKUP($D1824&amp;"_"&amp;L$61,$B$23:$B$45&amp;"_"&amp;$C$23:$C$45,$D$23:$D$45)*$E1824)</f>
        <v>6</v>
      </c>
      <c r="M1824" s="67" cm="1">
        <f ca="1" t="array" ref="M1824">(1+SUMPRODUCT(G1824:H1824,OFFSET($H$49:$I$49,D1824,0)))*(1+OFFSET($J$49,D1824,0))^I1824*(1+OFFSET($K$49,D1824,0))^J1824*(1+OFFSET($L$49,D1824,0))^K1824*(1+OFFSET($M$49,D1824,0))^L1824</f>
        <v>501.659671187977</v>
      </c>
      <c r="N1824" s="67">
        <f ca="1">MAX(MAX($N$62:N1823),OFFSET($C$61,MATCH(M1824*1.07,$M$62:$M$2061,1),0)-C1824)</f>
        <v>55800</v>
      </c>
    </row>
    <row r="1825" spans="2:14">
      <c r="B1825" s="67">
        <v>1764</v>
      </c>
      <c r="C1825" s="67">
        <f t="shared" si="164"/>
        <v>635040</v>
      </c>
      <c r="D1825" s="67">
        <f t="shared" si="167"/>
        <v>5</v>
      </c>
      <c r="E1825" s="67">
        <f ca="1" t="shared" si="168"/>
        <v>1794</v>
      </c>
      <c r="F1825" s="67">
        <f ca="1" t="shared" si="165"/>
        <v>0</v>
      </c>
      <c r="G1825" s="67">
        <f ca="1" t="shared" si="166"/>
        <v>0</v>
      </c>
      <c r="H1825" s="67" cm="1">
        <f ca="1" t="array" ref="H1825">MIN(30-SUM(I1825:L1825),_xlfn.XLOOKUP($D1825&amp;"_"&amp;H$61,$B$23:$B$45&amp;"_"&amp;$C$23:$C$45,$D$23:$D$45)*$E1825,18)</f>
        <v>8.76744175317185</v>
      </c>
      <c r="I1825" s="67" cm="1">
        <f ca="1" t="array" ref="I1825">MIN(30-SUM(J1825:L1825),6-L1825,_xlfn.XLOOKUP($D1825&amp;"_"&amp;I$61,$B$23:$B$45&amp;"_"&amp;$C$23:$C$45,$D$23:$D$45)*$E1825)</f>
        <v>0</v>
      </c>
      <c r="J1825" s="67" cm="1">
        <f ca="1" t="array" ref="J1825">MIN(8,_xlfn.XLOOKUP($D1825&amp;"_"&amp;J$61,$B$23:$B$45&amp;"_"&amp;$C$23:$C$45,$D$23:$D$45)*$E1825)</f>
        <v>8</v>
      </c>
      <c r="K1825" s="67" cm="1">
        <f ca="1" t="array" ref="K1825">MIN(18,_xlfn.XLOOKUP($D1825&amp;"_"&amp;K$61,$B$23:$B$45&amp;"_"&amp;$C$23:$C$45,$D$23:$D$45)*$E1825)</f>
        <v>7.23255824682815</v>
      </c>
      <c r="L1825" s="67" cm="1">
        <f ca="1" t="array" ref="L1825">MIN(6,_xlfn.XLOOKUP($D1825&amp;"_"&amp;L$61,$B$23:$B$45&amp;"_"&amp;$C$23:$C$45,$D$23:$D$45)*$E1825)</f>
        <v>6</v>
      </c>
      <c r="M1825" s="67" cm="1">
        <f ca="1" t="array" ref="M1825">(1+SUMPRODUCT(G1825:H1825,OFFSET($H$49:$I$49,D1825,0)))*(1+OFFSET($J$49,D1825,0))^I1825*(1+OFFSET($K$49,D1825,0))^J1825*(1+OFFSET($L$49,D1825,0))^K1825*(1+OFFSET($M$49,D1825,0))^L1825</f>
        <v>501.881577517798</v>
      </c>
      <c r="N1825" s="67">
        <f ca="1">MAX(MAX($N$62:N1824),OFFSET($C$61,MATCH(M1825*1.07,$M$62:$M$2061,1),0)-C1825)</f>
        <v>55800</v>
      </c>
    </row>
    <row r="1826" spans="2:14">
      <c r="B1826" s="67">
        <v>1765</v>
      </c>
      <c r="C1826" s="67">
        <f t="shared" si="164"/>
        <v>635400</v>
      </c>
      <c r="D1826" s="67">
        <f t="shared" si="167"/>
        <v>5</v>
      </c>
      <c r="E1826" s="67">
        <f ca="1" t="shared" si="168"/>
        <v>1795</v>
      </c>
      <c r="F1826" s="67">
        <f ca="1" t="shared" si="165"/>
        <v>0</v>
      </c>
      <c r="G1826" s="67">
        <f ca="1" t="shared" si="166"/>
        <v>0</v>
      </c>
      <c r="H1826" s="67" cm="1">
        <f ca="1" t="array" ref="H1826">MIN(30-SUM(I1826:L1826),_xlfn.XLOOKUP($D1826&amp;"_"&amp;H$61,$B$23:$B$45&amp;"_"&amp;$C$23:$C$45,$D$23:$D$45)*$E1826,18)</f>
        <v>8.76341022683582</v>
      </c>
      <c r="I1826" s="67" cm="1">
        <f ca="1" t="array" ref="I1826">MIN(30-SUM(J1826:L1826),6-L1826,_xlfn.XLOOKUP($D1826&amp;"_"&amp;I$61,$B$23:$B$45&amp;"_"&amp;$C$23:$C$45,$D$23:$D$45)*$E1826)</f>
        <v>0</v>
      </c>
      <c r="J1826" s="67" cm="1">
        <f ca="1" t="array" ref="J1826">MIN(8,_xlfn.XLOOKUP($D1826&amp;"_"&amp;J$61,$B$23:$B$45&amp;"_"&amp;$C$23:$C$45,$D$23:$D$45)*$E1826)</f>
        <v>8</v>
      </c>
      <c r="K1826" s="67" cm="1">
        <f ca="1" t="array" ref="K1826">MIN(18,_xlfn.XLOOKUP($D1826&amp;"_"&amp;K$61,$B$23:$B$45&amp;"_"&amp;$C$23:$C$45,$D$23:$D$45)*$E1826)</f>
        <v>7.23658977316417</v>
      </c>
      <c r="L1826" s="67" cm="1">
        <f ca="1" t="array" ref="L1826">MIN(6,_xlfn.XLOOKUP($D1826&amp;"_"&amp;L$61,$B$23:$B$45&amp;"_"&amp;$C$23:$C$45,$D$23:$D$45)*$E1826)</f>
        <v>6</v>
      </c>
      <c r="M1826" s="67" cm="1">
        <f ca="1" t="array" ref="M1826">(1+SUMPRODUCT(G1826:H1826,OFFSET($H$49:$I$49,D1826,0)))*(1+OFFSET($J$49,D1826,0))^I1826*(1+OFFSET($K$49,D1826,0))^J1826*(1+OFFSET($L$49,D1826,0))^K1826*(1+OFFSET($M$49,D1826,0))^L1826</f>
        <v>502.103538951413</v>
      </c>
      <c r="N1826" s="67">
        <f ca="1">MAX(MAX($N$62:N1825),OFFSET($C$61,MATCH(M1826*1.07,$M$62:$M$2061,1),0)-C1826)</f>
        <v>55800</v>
      </c>
    </row>
    <row r="1827" spans="2:14">
      <c r="B1827" s="67">
        <v>1766</v>
      </c>
      <c r="C1827" s="67">
        <f t="shared" si="164"/>
        <v>635760</v>
      </c>
      <c r="D1827" s="67">
        <f t="shared" si="167"/>
        <v>5</v>
      </c>
      <c r="E1827" s="67">
        <f ca="1" t="shared" si="168"/>
        <v>1796</v>
      </c>
      <c r="F1827" s="67">
        <f ca="1" t="shared" si="165"/>
        <v>0</v>
      </c>
      <c r="G1827" s="67">
        <f ca="1" t="shared" si="166"/>
        <v>0</v>
      </c>
      <c r="H1827" s="67" cm="1">
        <f ca="1" t="array" ref="H1827">MIN(30-SUM(I1827:L1827),_xlfn.XLOOKUP($D1827&amp;"_"&amp;H$61,$B$23:$B$45&amp;"_"&amp;$C$23:$C$45,$D$23:$D$45)*$E1827,18)</f>
        <v>8.7593787004998</v>
      </c>
      <c r="I1827" s="67" cm="1">
        <f ca="1" t="array" ref="I1827">MIN(30-SUM(J1827:L1827),6-L1827,_xlfn.XLOOKUP($D1827&amp;"_"&amp;I$61,$B$23:$B$45&amp;"_"&amp;$C$23:$C$45,$D$23:$D$45)*$E1827)</f>
        <v>0</v>
      </c>
      <c r="J1827" s="67" cm="1">
        <f ca="1" t="array" ref="J1827">MIN(8,_xlfn.XLOOKUP($D1827&amp;"_"&amp;J$61,$B$23:$B$45&amp;"_"&amp;$C$23:$C$45,$D$23:$D$45)*$E1827)</f>
        <v>8</v>
      </c>
      <c r="K1827" s="67" cm="1">
        <f ca="1" t="array" ref="K1827">MIN(18,_xlfn.XLOOKUP($D1827&amp;"_"&amp;K$61,$B$23:$B$45&amp;"_"&amp;$C$23:$C$45,$D$23:$D$45)*$E1827)</f>
        <v>7.2406212995002</v>
      </c>
      <c r="L1827" s="67" cm="1">
        <f ca="1" t="array" ref="L1827">MIN(6,_xlfn.XLOOKUP($D1827&amp;"_"&amp;L$61,$B$23:$B$45&amp;"_"&amp;$C$23:$C$45,$D$23:$D$45)*$E1827)</f>
        <v>6</v>
      </c>
      <c r="M1827" s="67" cm="1">
        <f ca="1" t="array" ref="M1827">(1+SUMPRODUCT(G1827:H1827,OFFSET($H$49:$I$49,D1827,0)))*(1+OFFSET($J$49,D1827,0))^I1827*(1+OFFSET($K$49,D1827,0))^J1827*(1+OFFSET($L$49,D1827,0))^K1827*(1+OFFSET($M$49,D1827,0))^L1827</f>
        <v>502.325555449879</v>
      </c>
      <c r="N1827" s="67">
        <f ca="1">MAX(MAX($N$62:N1826),OFFSET($C$61,MATCH(M1827*1.07,$M$62:$M$2061,1),0)-C1827)</f>
        <v>55800</v>
      </c>
    </row>
    <row r="1828" spans="2:14">
      <c r="B1828" s="67">
        <v>1767</v>
      </c>
      <c r="C1828" s="67">
        <f t="shared" si="164"/>
        <v>636120</v>
      </c>
      <c r="D1828" s="67">
        <f t="shared" si="167"/>
        <v>5</v>
      </c>
      <c r="E1828" s="67">
        <f ca="1" t="shared" si="168"/>
        <v>1797</v>
      </c>
      <c r="F1828" s="67">
        <f ca="1" t="shared" si="165"/>
        <v>0</v>
      </c>
      <c r="G1828" s="67">
        <f ca="1" t="shared" si="166"/>
        <v>0</v>
      </c>
      <c r="H1828" s="67" cm="1">
        <f ca="1" t="array" ref="H1828">MIN(30-SUM(I1828:L1828),_xlfn.XLOOKUP($D1828&amp;"_"&amp;H$61,$B$23:$B$45&amp;"_"&amp;$C$23:$C$45,$D$23:$D$45)*$E1828,18)</f>
        <v>8.75534717416378</v>
      </c>
      <c r="I1828" s="67" cm="1">
        <f ca="1" t="array" ref="I1828">MIN(30-SUM(J1828:L1828),6-L1828,_xlfn.XLOOKUP($D1828&amp;"_"&amp;I$61,$B$23:$B$45&amp;"_"&amp;$C$23:$C$45,$D$23:$D$45)*$E1828)</f>
        <v>0</v>
      </c>
      <c r="J1828" s="67" cm="1">
        <f ca="1" t="array" ref="J1828">MIN(8,_xlfn.XLOOKUP($D1828&amp;"_"&amp;J$61,$B$23:$B$45&amp;"_"&amp;$C$23:$C$45,$D$23:$D$45)*$E1828)</f>
        <v>8</v>
      </c>
      <c r="K1828" s="67" cm="1">
        <f ca="1" t="array" ref="K1828">MIN(18,_xlfn.XLOOKUP($D1828&amp;"_"&amp;K$61,$B$23:$B$45&amp;"_"&amp;$C$23:$C$45,$D$23:$D$45)*$E1828)</f>
        <v>7.24465282583622</v>
      </c>
      <c r="L1828" s="67" cm="1">
        <f ca="1" t="array" ref="L1828">MIN(6,_xlfn.XLOOKUP($D1828&amp;"_"&amp;L$61,$B$23:$B$45&amp;"_"&amp;$C$23:$C$45,$D$23:$D$45)*$E1828)</f>
        <v>6</v>
      </c>
      <c r="M1828" s="67" cm="1">
        <f ca="1" t="array" ref="M1828">(1+SUMPRODUCT(G1828:H1828,OFFSET($H$49:$I$49,D1828,0)))*(1+OFFSET($J$49,D1828,0))^I1828*(1+OFFSET($K$49,D1828,0))^J1828*(1+OFFSET($L$49,D1828,0))^K1828*(1+OFFSET($M$49,D1828,0))^L1828</f>
        <v>502.547626974167</v>
      </c>
      <c r="N1828" s="67">
        <f ca="1">MAX(MAX($N$62:N1827),OFFSET($C$61,MATCH(M1828*1.07,$M$62:$M$2061,1),0)-C1828)</f>
        <v>55800</v>
      </c>
    </row>
    <row r="1829" spans="2:14">
      <c r="B1829" s="67">
        <v>1768</v>
      </c>
      <c r="C1829" s="67">
        <f t="shared" si="164"/>
        <v>636480</v>
      </c>
      <c r="D1829" s="67">
        <f t="shared" si="167"/>
        <v>5</v>
      </c>
      <c r="E1829" s="67">
        <f ca="1" t="shared" si="168"/>
        <v>1798</v>
      </c>
      <c r="F1829" s="67">
        <f ca="1" t="shared" si="165"/>
        <v>0</v>
      </c>
      <c r="G1829" s="67">
        <f ca="1" t="shared" si="166"/>
        <v>0</v>
      </c>
      <c r="H1829" s="67" cm="1">
        <f ca="1" t="array" ref="H1829">MIN(30-SUM(I1829:L1829),_xlfn.XLOOKUP($D1829&amp;"_"&amp;H$61,$B$23:$B$45&amp;"_"&amp;$C$23:$C$45,$D$23:$D$45)*$E1829,18)</f>
        <v>8.75131564782775</v>
      </c>
      <c r="I1829" s="67" cm="1">
        <f ca="1" t="array" ref="I1829">MIN(30-SUM(J1829:L1829),6-L1829,_xlfn.XLOOKUP($D1829&amp;"_"&amp;I$61,$B$23:$B$45&amp;"_"&amp;$C$23:$C$45,$D$23:$D$45)*$E1829)</f>
        <v>0</v>
      </c>
      <c r="J1829" s="67" cm="1">
        <f ca="1" t="array" ref="J1829">MIN(8,_xlfn.XLOOKUP($D1829&amp;"_"&amp;J$61,$B$23:$B$45&amp;"_"&amp;$C$23:$C$45,$D$23:$D$45)*$E1829)</f>
        <v>8</v>
      </c>
      <c r="K1829" s="67" cm="1">
        <f ca="1" t="array" ref="K1829">MIN(18,_xlfn.XLOOKUP($D1829&amp;"_"&amp;K$61,$B$23:$B$45&amp;"_"&amp;$C$23:$C$45,$D$23:$D$45)*$E1829)</f>
        <v>7.24868435217225</v>
      </c>
      <c r="L1829" s="67" cm="1">
        <f ca="1" t="array" ref="L1829">MIN(6,_xlfn.XLOOKUP($D1829&amp;"_"&amp;L$61,$B$23:$B$45&amp;"_"&amp;$C$23:$C$45,$D$23:$D$45)*$E1829)</f>
        <v>6</v>
      </c>
      <c r="M1829" s="67" cm="1">
        <f ca="1" t="array" ref="M1829">(1+SUMPRODUCT(G1829:H1829,OFFSET($H$49:$I$49,D1829,0)))*(1+OFFSET($J$49,D1829,0))^I1829*(1+OFFSET($K$49,D1829,0))^J1829*(1+OFFSET($L$49,D1829,0))^K1829*(1+OFFSET($M$49,D1829,0))^L1829</f>
        <v>502.769753485159</v>
      </c>
      <c r="N1829" s="67">
        <f ca="1">MAX(MAX($N$62:N1828),OFFSET($C$61,MATCH(M1829*1.07,$M$62:$M$2061,1),0)-C1829)</f>
        <v>55800</v>
      </c>
    </row>
    <row r="1830" spans="2:14">
      <c r="B1830" s="67">
        <v>1769</v>
      </c>
      <c r="C1830" s="67">
        <f t="shared" si="164"/>
        <v>636840</v>
      </c>
      <c r="D1830" s="67">
        <f t="shared" si="167"/>
        <v>5</v>
      </c>
      <c r="E1830" s="67">
        <f ca="1" t="shared" si="168"/>
        <v>1799</v>
      </c>
      <c r="F1830" s="67">
        <f ca="1" t="shared" si="165"/>
        <v>0</v>
      </c>
      <c r="G1830" s="67">
        <f ca="1" t="shared" si="166"/>
        <v>0</v>
      </c>
      <c r="H1830" s="67" cm="1">
        <f ca="1" t="array" ref="H1830">MIN(30-SUM(I1830:L1830),_xlfn.XLOOKUP($D1830&amp;"_"&amp;H$61,$B$23:$B$45&amp;"_"&amp;$C$23:$C$45,$D$23:$D$45)*$E1830,18)</f>
        <v>8.74728412149173</v>
      </c>
      <c r="I1830" s="67" cm="1">
        <f ca="1" t="array" ref="I1830">MIN(30-SUM(J1830:L1830),6-L1830,_xlfn.XLOOKUP($D1830&amp;"_"&amp;I$61,$B$23:$B$45&amp;"_"&amp;$C$23:$C$45,$D$23:$D$45)*$E1830)</f>
        <v>0</v>
      </c>
      <c r="J1830" s="67" cm="1">
        <f ca="1" t="array" ref="J1830">MIN(8,_xlfn.XLOOKUP($D1830&amp;"_"&amp;J$61,$B$23:$B$45&amp;"_"&amp;$C$23:$C$45,$D$23:$D$45)*$E1830)</f>
        <v>8</v>
      </c>
      <c r="K1830" s="67" cm="1">
        <f ca="1" t="array" ref="K1830">MIN(18,_xlfn.XLOOKUP($D1830&amp;"_"&amp;K$61,$B$23:$B$45&amp;"_"&amp;$C$23:$C$45,$D$23:$D$45)*$E1830)</f>
        <v>7.25271587850827</v>
      </c>
      <c r="L1830" s="67" cm="1">
        <f ca="1" t="array" ref="L1830">MIN(6,_xlfn.XLOOKUP($D1830&amp;"_"&amp;L$61,$B$23:$B$45&amp;"_"&amp;$C$23:$C$45,$D$23:$D$45)*$E1830)</f>
        <v>6</v>
      </c>
      <c r="M1830" s="67" cm="1">
        <f ca="1" t="array" ref="M1830">(1+SUMPRODUCT(G1830:H1830,OFFSET($H$49:$I$49,D1830,0)))*(1+OFFSET($J$49,D1830,0))^I1830*(1+OFFSET($K$49,D1830,0))^J1830*(1+OFFSET($L$49,D1830,0))^K1830*(1+OFFSET($M$49,D1830,0))^L1830</f>
        <v>502.991934943652</v>
      </c>
      <c r="N1830" s="67">
        <f ca="1">MAX(MAX($N$62:N1829),OFFSET($C$61,MATCH(M1830*1.07,$M$62:$M$2061,1),0)-C1830)</f>
        <v>55800</v>
      </c>
    </row>
    <row r="1831" spans="2:14">
      <c r="B1831" s="67">
        <v>1770</v>
      </c>
      <c r="C1831" s="67">
        <f t="shared" si="164"/>
        <v>637200</v>
      </c>
      <c r="D1831" s="67">
        <f t="shared" si="167"/>
        <v>5</v>
      </c>
      <c r="E1831" s="67">
        <f ca="1" t="shared" si="168"/>
        <v>1800</v>
      </c>
      <c r="F1831" s="67">
        <f ca="1" t="shared" si="165"/>
        <v>0</v>
      </c>
      <c r="G1831" s="67">
        <f ca="1" t="shared" si="166"/>
        <v>0</v>
      </c>
      <c r="H1831" s="67" cm="1">
        <f ca="1" t="array" ref="H1831">MIN(30-SUM(I1831:L1831),_xlfn.XLOOKUP($D1831&amp;"_"&amp;H$61,$B$23:$B$45&amp;"_"&amp;$C$23:$C$45,$D$23:$D$45)*$E1831,18)</f>
        <v>8.7432525951557</v>
      </c>
      <c r="I1831" s="67" cm="1">
        <f ca="1" t="array" ref="I1831">MIN(30-SUM(J1831:L1831),6-L1831,_xlfn.XLOOKUP($D1831&amp;"_"&amp;I$61,$B$23:$B$45&amp;"_"&amp;$C$23:$C$45,$D$23:$D$45)*$E1831)</f>
        <v>0</v>
      </c>
      <c r="J1831" s="67" cm="1">
        <f ca="1" t="array" ref="J1831">MIN(8,_xlfn.XLOOKUP($D1831&amp;"_"&amp;J$61,$B$23:$B$45&amp;"_"&amp;$C$23:$C$45,$D$23:$D$45)*$E1831)</f>
        <v>8</v>
      </c>
      <c r="K1831" s="67" cm="1">
        <f ca="1" t="array" ref="K1831">MIN(18,_xlfn.XLOOKUP($D1831&amp;"_"&amp;K$61,$B$23:$B$45&amp;"_"&amp;$C$23:$C$45,$D$23:$D$45)*$E1831)</f>
        <v>7.2567474048443</v>
      </c>
      <c r="L1831" s="67" cm="1">
        <f ca="1" t="array" ref="L1831">MIN(6,_xlfn.XLOOKUP($D1831&amp;"_"&amp;L$61,$B$23:$B$45&amp;"_"&amp;$C$23:$C$45,$D$23:$D$45)*$E1831)</f>
        <v>6</v>
      </c>
      <c r="M1831" s="67" cm="1">
        <f ca="1" t="array" ref="M1831">(1+SUMPRODUCT(G1831:H1831,OFFSET($H$49:$I$49,D1831,0)))*(1+OFFSET($J$49,D1831,0))^I1831*(1+OFFSET($K$49,D1831,0))^J1831*(1+OFFSET($L$49,D1831,0))^K1831*(1+OFFSET($M$49,D1831,0))^L1831</f>
        <v>503.214171310355</v>
      </c>
      <c r="N1831" s="67">
        <f ca="1">MAX(MAX($N$62:N1830),OFFSET($C$61,MATCH(M1831*1.07,$M$62:$M$2061,1),0)-C1831)</f>
        <v>55800</v>
      </c>
    </row>
    <row r="1832" spans="2:14">
      <c r="B1832" s="67">
        <v>1771</v>
      </c>
      <c r="C1832" s="67">
        <f t="shared" si="164"/>
        <v>637560</v>
      </c>
      <c r="D1832" s="67">
        <f t="shared" si="167"/>
        <v>5</v>
      </c>
      <c r="E1832" s="67">
        <f ca="1" t="shared" si="168"/>
        <v>1801</v>
      </c>
      <c r="F1832" s="67">
        <f ca="1" t="shared" si="165"/>
        <v>0</v>
      </c>
      <c r="G1832" s="67">
        <f ca="1" t="shared" si="166"/>
        <v>0</v>
      </c>
      <c r="H1832" s="67" cm="1">
        <f ca="1" t="array" ref="H1832">MIN(30-SUM(I1832:L1832),_xlfn.XLOOKUP($D1832&amp;"_"&amp;H$61,$B$23:$B$45&amp;"_"&amp;$C$23:$C$45,$D$23:$D$45)*$E1832,18)</f>
        <v>8.73922106881968</v>
      </c>
      <c r="I1832" s="67" cm="1">
        <f ca="1" t="array" ref="I1832">MIN(30-SUM(J1832:L1832),6-L1832,_xlfn.XLOOKUP($D1832&amp;"_"&amp;I$61,$B$23:$B$45&amp;"_"&amp;$C$23:$C$45,$D$23:$D$45)*$E1832)</f>
        <v>0</v>
      </c>
      <c r="J1832" s="67" cm="1">
        <f ca="1" t="array" ref="J1832">MIN(8,_xlfn.XLOOKUP($D1832&amp;"_"&amp;J$61,$B$23:$B$45&amp;"_"&amp;$C$23:$C$45,$D$23:$D$45)*$E1832)</f>
        <v>8</v>
      </c>
      <c r="K1832" s="67" cm="1">
        <f ca="1" t="array" ref="K1832">MIN(18,_xlfn.XLOOKUP($D1832&amp;"_"&amp;K$61,$B$23:$B$45&amp;"_"&amp;$C$23:$C$45,$D$23:$D$45)*$E1832)</f>
        <v>7.26077893118032</v>
      </c>
      <c r="L1832" s="67" cm="1">
        <f ca="1" t="array" ref="L1832">MIN(6,_xlfn.XLOOKUP($D1832&amp;"_"&amp;L$61,$B$23:$B$45&amp;"_"&amp;$C$23:$C$45,$D$23:$D$45)*$E1832)</f>
        <v>6</v>
      </c>
      <c r="M1832" s="67" cm="1">
        <f ca="1" t="array" ref="M1832">(1+SUMPRODUCT(G1832:H1832,OFFSET($H$49:$I$49,D1832,0)))*(1+OFFSET($J$49,D1832,0))^I1832*(1+OFFSET($K$49,D1832,0))^J1832*(1+OFFSET($L$49,D1832,0))^K1832*(1+OFFSET($M$49,D1832,0))^L1832</f>
        <v>503.436462545888</v>
      </c>
      <c r="N1832" s="67">
        <f ca="1">MAX(MAX($N$62:N1831),OFFSET($C$61,MATCH(M1832*1.07,$M$62:$M$2061,1),0)-C1832)</f>
        <v>55800</v>
      </c>
    </row>
    <row r="1833" spans="2:14">
      <c r="B1833" s="67">
        <v>1772</v>
      </c>
      <c r="C1833" s="67">
        <f t="shared" si="164"/>
        <v>637920</v>
      </c>
      <c r="D1833" s="67">
        <f t="shared" si="167"/>
        <v>5</v>
      </c>
      <c r="E1833" s="67">
        <f ca="1" t="shared" si="168"/>
        <v>1802</v>
      </c>
      <c r="F1833" s="67">
        <f ca="1" t="shared" si="165"/>
        <v>0</v>
      </c>
      <c r="G1833" s="67">
        <f ca="1" t="shared" si="166"/>
        <v>0</v>
      </c>
      <c r="H1833" s="67" cm="1">
        <f ca="1" t="array" ref="H1833">MIN(30-SUM(I1833:L1833),_xlfn.XLOOKUP($D1833&amp;"_"&amp;H$61,$B$23:$B$45&amp;"_"&amp;$C$23:$C$45,$D$23:$D$45)*$E1833,18)</f>
        <v>8.73518954248365</v>
      </c>
      <c r="I1833" s="67" cm="1">
        <f ca="1" t="array" ref="I1833">MIN(30-SUM(J1833:L1833),6-L1833,_xlfn.XLOOKUP($D1833&amp;"_"&amp;I$61,$B$23:$B$45&amp;"_"&amp;$C$23:$C$45,$D$23:$D$45)*$E1833)</f>
        <v>0</v>
      </c>
      <c r="J1833" s="67" cm="1">
        <f ca="1" t="array" ref="J1833">MIN(8,_xlfn.XLOOKUP($D1833&amp;"_"&amp;J$61,$B$23:$B$45&amp;"_"&amp;$C$23:$C$45,$D$23:$D$45)*$E1833)</f>
        <v>8</v>
      </c>
      <c r="K1833" s="67" cm="1">
        <f ca="1" t="array" ref="K1833">MIN(18,_xlfn.XLOOKUP($D1833&amp;"_"&amp;K$61,$B$23:$B$45&amp;"_"&amp;$C$23:$C$45,$D$23:$D$45)*$E1833)</f>
        <v>7.26481045751635</v>
      </c>
      <c r="L1833" s="67" cm="1">
        <f ca="1" t="array" ref="L1833">MIN(6,_xlfn.XLOOKUP($D1833&amp;"_"&amp;L$61,$B$23:$B$45&amp;"_"&amp;$C$23:$C$45,$D$23:$D$45)*$E1833)</f>
        <v>6</v>
      </c>
      <c r="M1833" s="67" cm="1">
        <f ca="1" t="array" ref="M1833">(1+SUMPRODUCT(G1833:H1833,OFFSET($H$49:$I$49,D1833,0)))*(1+OFFSET($J$49,D1833,0))^I1833*(1+OFFSET($K$49,D1833,0))^J1833*(1+OFFSET($L$49,D1833,0))^K1833*(1+OFFSET($M$49,D1833,0))^L1833</f>
        <v>503.658808610785</v>
      </c>
      <c r="N1833" s="67">
        <f ca="1">MAX(MAX($N$62:N1832),OFFSET($C$61,MATCH(M1833*1.07,$M$62:$M$2061,1),0)-C1833)</f>
        <v>55800</v>
      </c>
    </row>
    <row r="1834" spans="2:14">
      <c r="B1834" s="67">
        <v>1773</v>
      </c>
      <c r="C1834" s="67">
        <f t="shared" si="164"/>
        <v>638280</v>
      </c>
      <c r="D1834" s="67">
        <f t="shared" si="167"/>
        <v>5</v>
      </c>
      <c r="E1834" s="67">
        <f ca="1" t="shared" si="168"/>
        <v>1803</v>
      </c>
      <c r="F1834" s="67">
        <f ca="1" t="shared" si="165"/>
        <v>0</v>
      </c>
      <c r="G1834" s="67">
        <f ca="1" t="shared" si="166"/>
        <v>0</v>
      </c>
      <c r="H1834" s="67" cm="1">
        <f ca="1" t="array" ref="H1834">MIN(30-SUM(I1834:L1834),_xlfn.XLOOKUP($D1834&amp;"_"&amp;H$61,$B$23:$B$45&amp;"_"&amp;$C$23:$C$45,$D$23:$D$45)*$E1834,18)</f>
        <v>8.73115801614763</v>
      </c>
      <c r="I1834" s="67" cm="1">
        <f ca="1" t="array" ref="I1834">MIN(30-SUM(J1834:L1834),6-L1834,_xlfn.XLOOKUP($D1834&amp;"_"&amp;I$61,$B$23:$B$45&amp;"_"&amp;$C$23:$C$45,$D$23:$D$45)*$E1834)</f>
        <v>0</v>
      </c>
      <c r="J1834" s="67" cm="1">
        <f ca="1" t="array" ref="J1834">MIN(8,_xlfn.XLOOKUP($D1834&amp;"_"&amp;J$61,$B$23:$B$45&amp;"_"&amp;$C$23:$C$45,$D$23:$D$45)*$E1834)</f>
        <v>8</v>
      </c>
      <c r="K1834" s="67" cm="1">
        <f ca="1" t="array" ref="K1834">MIN(18,_xlfn.XLOOKUP($D1834&amp;"_"&amp;K$61,$B$23:$B$45&amp;"_"&amp;$C$23:$C$45,$D$23:$D$45)*$E1834)</f>
        <v>7.26884198385237</v>
      </c>
      <c r="L1834" s="67" cm="1">
        <f ca="1" t="array" ref="L1834">MIN(6,_xlfn.XLOOKUP($D1834&amp;"_"&amp;L$61,$B$23:$B$45&amp;"_"&amp;$C$23:$C$45,$D$23:$D$45)*$E1834)</f>
        <v>6</v>
      </c>
      <c r="M1834" s="67" cm="1">
        <f ca="1" t="array" ref="M1834">(1+SUMPRODUCT(G1834:H1834,OFFSET($H$49:$I$49,D1834,0)))*(1+OFFSET($J$49,D1834,0))^I1834*(1+OFFSET($K$49,D1834,0))^J1834*(1+OFFSET($L$49,D1834,0))^K1834*(1+OFFSET($M$49,D1834,0))^L1834</f>
        <v>503.881209465491</v>
      </c>
      <c r="N1834" s="67">
        <f ca="1">MAX(MAX($N$62:N1833),OFFSET($C$61,MATCH(M1834*1.07,$M$62:$M$2061,1),0)-C1834)</f>
        <v>55800</v>
      </c>
    </row>
    <row r="1835" spans="2:14">
      <c r="B1835" s="67">
        <v>1774</v>
      </c>
      <c r="C1835" s="67">
        <f t="shared" si="164"/>
        <v>638640</v>
      </c>
      <c r="D1835" s="67">
        <f t="shared" si="167"/>
        <v>5</v>
      </c>
      <c r="E1835" s="67">
        <f ca="1" t="shared" si="168"/>
        <v>1804</v>
      </c>
      <c r="F1835" s="67">
        <f ca="1" t="shared" si="165"/>
        <v>0</v>
      </c>
      <c r="G1835" s="67">
        <f ca="1" t="shared" si="166"/>
        <v>0</v>
      </c>
      <c r="H1835" s="67" cm="1">
        <f ca="1" t="array" ref="H1835">MIN(30-SUM(I1835:L1835),_xlfn.XLOOKUP($D1835&amp;"_"&amp;H$61,$B$23:$B$45&amp;"_"&amp;$C$23:$C$45,$D$23:$D$45)*$E1835,18)</f>
        <v>8.7271264898116</v>
      </c>
      <c r="I1835" s="67" cm="1">
        <f ca="1" t="array" ref="I1835">MIN(30-SUM(J1835:L1835),6-L1835,_xlfn.XLOOKUP($D1835&amp;"_"&amp;I$61,$B$23:$B$45&amp;"_"&amp;$C$23:$C$45,$D$23:$D$45)*$E1835)</f>
        <v>0</v>
      </c>
      <c r="J1835" s="67" cm="1">
        <f ca="1" t="array" ref="J1835">MIN(8,_xlfn.XLOOKUP($D1835&amp;"_"&amp;J$61,$B$23:$B$45&amp;"_"&amp;$C$23:$C$45,$D$23:$D$45)*$E1835)</f>
        <v>8</v>
      </c>
      <c r="K1835" s="67" cm="1">
        <f ca="1" t="array" ref="K1835">MIN(18,_xlfn.XLOOKUP($D1835&amp;"_"&amp;K$61,$B$23:$B$45&amp;"_"&amp;$C$23:$C$45,$D$23:$D$45)*$E1835)</f>
        <v>7.2728735101884</v>
      </c>
      <c r="L1835" s="67" cm="1">
        <f ca="1" t="array" ref="L1835">MIN(6,_xlfn.XLOOKUP($D1835&amp;"_"&amp;L$61,$B$23:$B$45&amp;"_"&amp;$C$23:$C$45,$D$23:$D$45)*$E1835)</f>
        <v>6</v>
      </c>
      <c r="M1835" s="67" cm="1">
        <f ca="1" t="array" ref="M1835">(1+SUMPRODUCT(G1835:H1835,OFFSET($H$49:$I$49,D1835,0)))*(1+OFFSET($J$49,D1835,0))^I1835*(1+OFFSET($K$49,D1835,0))^J1835*(1+OFFSET($L$49,D1835,0))^K1835*(1+OFFSET($M$49,D1835,0))^L1835</f>
        <v>504.103665070366</v>
      </c>
      <c r="N1835" s="67">
        <f ca="1">MAX(MAX($N$62:N1834),OFFSET($C$61,MATCH(M1835*1.07,$M$62:$M$2061,1),0)-C1835)</f>
        <v>55800</v>
      </c>
    </row>
    <row r="1836" spans="2:14">
      <c r="B1836" s="67">
        <v>1775</v>
      </c>
      <c r="C1836" s="67">
        <f t="shared" si="164"/>
        <v>639000</v>
      </c>
      <c r="D1836" s="67">
        <f t="shared" si="167"/>
        <v>5</v>
      </c>
      <c r="E1836" s="67">
        <f ca="1" t="shared" si="168"/>
        <v>1805</v>
      </c>
      <c r="F1836" s="67">
        <f ca="1" t="shared" si="165"/>
        <v>0</v>
      </c>
      <c r="G1836" s="67">
        <f ca="1" t="shared" si="166"/>
        <v>0</v>
      </c>
      <c r="H1836" s="67" cm="1">
        <f ca="1" t="array" ref="H1836">MIN(30-SUM(I1836:L1836),_xlfn.XLOOKUP($D1836&amp;"_"&amp;H$61,$B$23:$B$45&amp;"_"&amp;$C$23:$C$45,$D$23:$D$45)*$E1836,18)</f>
        <v>8.72309496347558</v>
      </c>
      <c r="I1836" s="67" cm="1">
        <f ca="1" t="array" ref="I1836">MIN(30-SUM(J1836:L1836),6-L1836,_xlfn.XLOOKUP($D1836&amp;"_"&amp;I$61,$B$23:$B$45&amp;"_"&amp;$C$23:$C$45,$D$23:$D$45)*$E1836)</f>
        <v>0</v>
      </c>
      <c r="J1836" s="67" cm="1">
        <f ca="1" t="array" ref="J1836">MIN(8,_xlfn.XLOOKUP($D1836&amp;"_"&amp;J$61,$B$23:$B$45&amp;"_"&amp;$C$23:$C$45,$D$23:$D$45)*$E1836)</f>
        <v>8</v>
      </c>
      <c r="K1836" s="67" cm="1">
        <f ca="1" t="array" ref="K1836">MIN(18,_xlfn.XLOOKUP($D1836&amp;"_"&amp;K$61,$B$23:$B$45&amp;"_"&amp;$C$23:$C$45,$D$23:$D$45)*$E1836)</f>
        <v>7.27690503652442</v>
      </c>
      <c r="L1836" s="67" cm="1">
        <f ca="1" t="array" ref="L1836">MIN(6,_xlfn.XLOOKUP($D1836&amp;"_"&amp;L$61,$B$23:$B$45&amp;"_"&amp;$C$23:$C$45,$D$23:$D$45)*$E1836)</f>
        <v>6</v>
      </c>
      <c r="M1836" s="67" cm="1">
        <f ca="1" t="array" ref="M1836">(1+SUMPRODUCT(G1836:H1836,OFFSET($H$49:$I$49,D1836,0)))*(1+OFFSET($J$49,D1836,0))^I1836*(1+OFFSET($K$49,D1836,0))^J1836*(1+OFFSET($L$49,D1836,0))^K1836*(1+OFFSET($M$49,D1836,0))^L1836</f>
        <v>504.326175385678</v>
      </c>
      <c r="N1836" s="67">
        <f ca="1">MAX(MAX($N$62:N1835),OFFSET($C$61,MATCH(M1836*1.07,$M$62:$M$2061,1),0)-C1836)</f>
        <v>55800</v>
      </c>
    </row>
    <row r="1837" spans="2:14">
      <c r="B1837" s="67">
        <v>1776</v>
      </c>
      <c r="C1837" s="67">
        <f t="shared" si="164"/>
        <v>639360</v>
      </c>
      <c r="D1837" s="67">
        <f t="shared" si="167"/>
        <v>5</v>
      </c>
      <c r="E1837" s="67">
        <f ca="1" t="shared" si="168"/>
        <v>1806</v>
      </c>
      <c r="F1837" s="67">
        <f ca="1" t="shared" si="165"/>
        <v>0</v>
      </c>
      <c r="G1837" s="67">
        <f ca="1" t="shared" si="166"/>
        <v>0</v>
      </c>
      <c r="H1837" s="67" cm="1">
        <f ca="1" t="array" ref="H1837">MIN(30-SUM(I1837:L1837),_xlfn.XLOOKUP($D1837&amp;"_"&amp;H$61,$B$23:$B$45&amp;"_"&amp;$C$23:$C$45,$D$23:$D$45)*$E1837,18)</f>
        <v>8.71906343713955</v>
      </c>
      <c r="I1837" s="67" cm="1">
        <f ca="1" t="array" ref="I1837">MIN(30-SUM(J1837:L1837),6-L1837,_xlfn.XLOOKUP($D1837&amp;"_"&amp;I$61,$B$23:$B$45&amp;"_"&amp;$C$23:$C$45,$D$23:$D$45)*$E1837)</f>
        <v>0</v>
      </c>
      <c r="J1837" s="67" cm="1">
        <f ca="1" t="array" ref="J1837">MIN(8,_xlfn.XLOOKUP($D1837&amp;"_"&amp;J$61,$B$23:$B$45&amp;"_"&amp;$C$23:$C$45,$D$23:$D$45)*$E1837)</f>
        <v>8</v>
      </c>
      <c r="K1837" s="67" cm="1">
        <f ca="1" t="array" ref="K1837">MIN(18,_xlfn.XLOOKUP($D1837&amp;"_"&amp;K$61,$B$23:$B$45&amp;"_"&amp;$C$23:$C$45,$D$23:$D$45)*$E1837)</f>
        <v>7.28093656286044</v>
      </c>
      <c r="L1837" s="67" cm="1">
        <f ca="1" t="array" ref="L1837">MIN(6,_xlfn.XLOOKUP($D1837&amp;"_"&amp;L$61,$B$23:$B$45&amp;"_"&amp;$C$23:$C$45,$D$23:$D$45)*$E1837)</f>
        <v>6</v>
      </c>
      <c r="M1837" s="67" cm="1">
        <f ca="1" t="array" ref="M1837">(1+SUMPRODUCT(G1837:H1837,OFFSET($H$49:$I$49,D1837,0)))*(1+OFFSET($J$49,D1837,0))^I1837*(1+OFFSET($K$49,D1837,0))^J1837*(1+OFFSET($L$49,D1837,0))^K1837*(1+OFFSET($M$49,D1837,0))^L1837</f>
        <v>504.548740371609</v>
      </c>
      <c r="N1837" s="67">
        <f ca="1">MAX(MAX($N$62:N1836),OFFSET($C$61,MATCH(M1837*1.07,$M$62:$M$2061,1),0)-C1837)</f>
        <v>55800</v>
      </c>
    </row>
    <row r="1838" spans="2:14">
      <c r="B1838" s="67">
        <v>1777</v>
      </c>
      <c r="C1838" s="67">
        <f t="shared" ref="C1838:C1901" si="169">C1837+360</f>
        <v>639720</v>
      </c>
      <c r="D1838" s="67">
        <f t="shared" si="167"/>
        <v>5</v>
      </c>
      <c r="E1838" s="67">
        <f ca="1" t="shared" si="168"/>
        <v>1807</v>
      </c>
      <c r="F1838" s="67">
        <f ca="1" t="shared" ref="F1838:F1901" si="170">30-SUM(G1838:L1838)</f>
        <v>0</v>
      </c>
      <c r="G1838" s="67">
        <f ca="1" t="shared" ref="G1838:G1901" si="171">30-SUM(H1838:L1838)</f>
        <v>0</v>
      </c>
      <c r="H1838" s="67" cm="1">
        <f ca="1" t="array" ref="H1838">MIN(30-SUM(I1838:L1838),_xlfn.XLOOKUP($D1838&amp;"_"&amp;H$61,$B$23:$B$45&amp;"_"&amp;$C$23:$C$45,$D$23:$D$45)*$E1838,18)</f>
        <v>8.71503191080353</v>
      </c>
      <c r="I1838" s="67" cm="1">
        <f ca="1" t="array" ref="I1838">MIN(30-SUM(J1838:L1838),6-L1838,_xlfn.XLOOKUP($D1838&amp;"_"&amp;I$61,$B$23:$B$45&amp;"_"&amp;$C$23:$C$45,$D$23:$D$45)*$E1838)</f>
        <v>0</v>
      </c>
      <c r="J1838" s="67" cm="1">
        <f ca="1" t="array" ref="J1838">MIN(8,_xlfn.XLOOKUP($D1838&amp;"_"&amp;J$61,$B$23:$B$45&amp;"_"&amp;$C$23:$C$45,$D$23:$D$45)*$E1838)</f>
        <v>8</v>
      </c>
      <c r="K1838" s="67" cm="1">
        <f ca="1" t="array" ref="K1838">MIN(18,_xlfn.XLOOKUP($D1838&amp;"_"&amp;K$61,$B$23:$B$45&amp;"_"&amp;$C$23:$C$45,$D$23:$D$45)*$E1838)</f>
        <v>7.28496808919647</v>
      </c>
      <c r="L1838" s="67" cm="1">
        <f ca="1" t="array" ref="L1838">MIN(6,_xlfn.XLOOKUP($D1838&amp;"_"&amp;L$61,$B$23:$B$45&amp;"_"&amp;$C$23:$C$45,$D$23:$D$45)*$E1838)</f>
        <v>6</v>
      </c>
      <c r="M1838" s="67" cm="1">
        <f ca="1" t="array" ref="M1838">(1+SUMPRODUCT(G1838:H1838,OFFSET($H$49:$I$49,D1838,0)))*(1+OFFSET($J$49,D1838,0))^I1838*(1+OFFSET($K$49,D1838,0))^J1838*(1+OFFSET($L$49,D1838,0))^K1838*(1+OFFSET($M$49,D1838,0))^L1838</f>
        <v>504.771359988255</v>
      </c>
      <c r="N1838" s="67">
        <f ca="1">MAX(MAX($N$62:N1837),OFFSET($C$61,MATCH(M1838*1.07,$M$62:$M$2061,1),0)-C1838)</f>
        <v>55800</v>
      </c>
    </row>
    <row r="1839" spans="2:14">
      <c r="B1839" s="67">
        <v>1778</v>
      </c>
      <c r="C1839" s="67">
        <f t="shared" si="169"/>
        <v>640080</v>
      </c>
      <c r="D1839" s="67">
        <f t="shared" si="167"/>
        <v>5</v>
      </c>
      <c r="E1839" s="67">
        <f ca="1" t="shared" si="168"/>
        <v>1808</v>
      </c>
      <c r="F1839" s="67">
        <f ca="1" t="shared" si="170"/>
        <v>0</v>
      </c>
      <c r="G1839" s="67">
        <f ca="1" t="shared" si="171"/>
        <v>0</v>
      </c>
      <c r="H1839" s="67" cm="1">
        <f ca="1" t="array" ref="H1839">MIN(30-SUM(I1839:L1839),_xlfn.XLOOKUP($D1839&amp;"_"&amp;H$61,$B$23:$B$45&amp;"_"&amp;$C$23:$C$45,$D$23:$D$45)*$E1839,18)</f>
        <v>8.7110003844675</v>
      </c>
      <c r="I1839" s="67" cm="1">
        <f ca="1" t="array" ref="I1839">MIN(30-SUM(J1839:L1839),6-L1839,_xlfn.XLOOKUP($D1839&amp;"_"&amp;I$61,$B$23:$B$45&amp;"_"&amp;$C$23:$C$45,$D$23:$D$45)*$E1839)</f>
        <v>0</v>
      </c>
      <c r="J1839" s="67" cm="1">
        <f ca="1" t="array" ref="J1839">MIN(8,_xlfn.XLOOKUP($D1839&amp;"_"&amp;J$61,$B$23:$B$45&amp;"_"&amp;$C$23:$C$45,$D$23:$D$45)*$E1839)</f>
        <v>8</v>
      </c>
      <c r="K1839" s="67" cm="1">
        <f ca="1" t="array" ref="K1839">MIN(18,_xlfn.XLOOKUP($D1839&amp;"_"&amp;K$61,$B$23:$B$45&amp;"_"&amp;$C$23:$C$45,$D$23:$D$45)*$E1839)</f>
        <v>7.28899961553249</v>
      </c>
      <c r="L1839" s="67" cm="1">
        <f ca="1" t="array" ref="L1839">MIN(6,_xlfn.XLOOKUP($D1839&amp;"_"&amp;L$61,$B$23:$B$45&amp;"_"&amp;$C$23:$C$45,$D$23:$D$45)*$E1839)</f>
        <v>6</v>
      </c>
      <c r="M1839" s="67" cm="1">
        <f ca="1" t="array" ref="M1839">(1+SUMPRODUCT(G1839:H1839,OFFSET($H$49:$I$49,D1839,0)))*(1+OFFSET($J$49,D1839,0))^I1839*(1+OFFSET($K$49,D1839,0))^J1839*(1+OFFSET($L$49,D1839,0))^K1839*(1+OFFSET($M$49,D1839,0))^L1839</f>
        <v>504.994034195619</v>
      </c>
      <c r="N1839" s="67">
        <f ca="1">MAX(MAX($N$62:N1838),OFFSET($C$61,MATCH(M1839*1.07,$M$62:$M$2061,1),0)-C1839)</f>
        <v>55800</v>
      </c>
    </row>
    <row r="1840" spans="2:14">
      <c r="B1840" s="67">
        <v>1779</v>
      </c>
      <c r="C1840" s="67">
        <f t="shared" si="169"/>
        <v>640440</v>
      </c>
      <c r="D1840" s="67">
        <f t="shared" si="167"/>
        <v>5</v>
      </c>
      <c r="E1840" s="67">
        <f ca="1" t="shared" si="168"/>
        <v>1809</v>
      </c>
      <c r="F1840" s="67">
        <f ca="1" t="shared" si="170"/>
        <v>0</v>
      </c>
      <c r="G1840" s="67">
        <f ca="1" t="shared" si="171"/>
        <v>0</v>
      </c>
      <c r="H1840" s="67" cm="1">
        <f ca="1" t="array" ref="H1840">MIN(30-SUM(I1840:L1840),_xlfn.XLOOKUP($D1840&amp;"_"&amp;H$61,$B$23:$B$45&amp;"_"&amp;$C$23:$C$45,$D$23:$D$45)*$E1840,18)</f>
        <v>8.70696885813148</v>
      </c>
      <c r="I1840" s="67" cm="1">
        <f ca="1" t="array" ref="I1840">MIN(30-SUM(J1840:L1840),6-L1840,_xlfn.XLOOKUP($D1840&amp;"_"&amp;I$61,$B$23:$B$45&amp;"_"&amp;$C$23:$C$45,$D$23:$D$45)*$E1840)</f>
        <v>0</v>
      </c>
      <c r="J1840" s="67" cm="1">
        <f ca="1" t="array" ref="J1840">MIN(8,_xlfn.XLOOKUP($D1840&amp;"_"&amp;J$61,$B$23:$B$45&amp;"_"&amp;$C$23:$C$45,$D$23:$D$45)*$E1840)</f>
        <v>8</v>
      </c>
      <c r="K1840" s="67" cm="1">
        <f ca="1" t="array" ref="K1840">MIN(18,_xlfn.XLOOKUP($D1840&amp;"_"&amp;K$61,$B$23:$B$45&amp;"_"&amp;$C$23:$C$45,$D$23:$D$45)*$E1840)</f>
        <v>7.29303114186852</v>
      </c>
      <c r="L1840" s="67" cm="1">
        <f ca="1" t="array" ref="L1840">MIN(6,_xlfn.XLOOKUP($D1840&amp;"_"&amp;L$61,$B$23:$B$45&amp;"_"&amp;$C$23:$C$45,$D$23:$D$45)*$E1840)</f>
        <v>6</v>
      </c>
      <c r="M1840" s="67" cm="1">
        <f ca="1" t="array" ref="M1840">(1+SUMPRODUCT(G1840:H1840,OFFSET($H$49:$I$49,D1840,0)))*(1+OFFSET($J$49,D1840,0))^I1840*(1+OFFSET($K$49,D1840,0))^J1840*(1+OFFSET($L$49,D1840,0))^K1840*(1+OFFSET($M$49,D1840,0))^L1840</f>
        <v>505.21676295362</v>
      </c>
      <c r="N1840" s="67">
        <f ca="1">MAX(MAX($N$62:N1839),OFFSET($C$61,MATCH(M1840*1.07,$M$62:$M$2061,1),0)-C1840)</f>
        <v>55800</v>
      </c>
    </row>
    <row r="1841" spans="2:14">
      <c r="B1841" s="67">
        <v>1780</v>
      </c>
      <c r="C1841" s="67">
        <f t="shared" si="169"/>
        <v>640800</v>
      </c>
      <c r="D1841" s="67">
        <f t="shared" si="167"/>
        <v>5</v>
      </c>
      <c r="E1841" s="67">
        <f ca="1" t="shared" si="168"/>
        <v>1810</v>
      </c>
      <c r="F1841" s="67">
        <f ca="1" t="shared" si="170"/>
        <v>0</v>
      </c>
      <c r="G1841" s="67">
        <f ca="1" t="shared" si="171"/>
        <v>0</v>
      </c>
      <c r="H1841" s="67" cm="1">
        <f ca="1" t="array" ref="H1841">MIN(30-SUM(I1841:L1841),_xlfn.XLOOKUP($D1841&amp;"_"&amp;H$61,$B$23:$B$45&amp;"_"&amp;$C$23:$C$45,$D$23:$D$45)*$E1841,18)</f>
        <v>8.70293733179546</v>
      </c>
      <c r="I1841" s="67" cm="1">
        <f ca="1" t="array" ref="I1841">MIN(30-SUM(J1841:L1841),6-L1841,_xlfn.XLOOKUP($D1841&amp;"_"&amp;I$61,$B$23:$B$45&amp;"_"&amp;$C$23:$C$45,$D$23:$D$45)*$E1841)</f>
        <v>0</v>
      </c>
      <c r="J1841" s="67" cm="1">
        <f ca="1" t="array" ref="J1841">MIN(8,_xlfn.XLOOKUP($D1841&amp;"_"&amp;J$61,$B$23:$B$45&amp;"_"&amp;$C$23:$C$45,$D$23:$D$45)*$E1841)</f>
        <v>8</v>
      </c>
      <c r="K1841" s="67" cm="1">
        <f ca="1" t="array" ref="K1841">MIN(18,_xlfn.XLOOKUP($D1841&amp;"_"&amp;K$61,$B$23:$B$45&amp;"_"&amp;$C$23:$C$45,$D$23:$D$45)*$E1841)</f>
        <v>7.29706266820454</v>
      </c>
      <c r="L1841" s="67" cm="1">
        <f ca="1" t="array" ref="L1841">MIN(6,_xlfn.XLOOKUP($D1841&amp;"_"&amp;L$61,$B$23:$B$45&amp;"_"&amp;$C$23:$C$45,$D$23:$D$45)*$E1841)</f>
        <v>6</v>
      </c>
      <c r="M1841" s="67" cm="1">
        <f ca="1" t="array" ref="M1841">(1+SUMPRODUCT(G1841:H1841,OFFSET($H$49:$I$49,D1841,0)))*(1+OFFSET($J$49,D1841,0))^I1841*(1+OFFSET($K$49,D1841,0))^J1841*(1+OFFSET($L$49,D1841,0))^K1841*(1+OFFSET($M$49,D1841,0))^L1841</f>
        <v>505.439546222086</v>
      </c>
      <c r="N1841" s="67">
        <f ca="1">MAX(MAX($N$62:N1840),OFFSET($C$61,MATCH(M1841*1.07,$M$62:$M$2061,1),0)-C1841)</f>
        <v>55800</v>
      </c>
    </row>
    <row r="1842" spans="2:14">
      <c r="B1842" s="67">
        <v>1781</v>
      </c>
      <c r="C1842" s="67">
        <f t="shared" si="169"/>
        <v>641160</v>
      </c>
      <c r="D1842" s="67">
        <f t="shared" si="167"/>
        <v>5</v>
      </c>
      <c r="E1842" s="67">
        <f ca="1" t="shared" si="168"/>
        <v>1811</v>
      </c>
      <c r="F1842" s="67">
        <f ca="1" t="shared" si="170"/>
        <v>0</v>
      </c>
      <c r="G1842" s="67">
        <f ca="1" t="shared" si="171"/>
        <v>0</v>
      </c>
      <c r="H1842" s="67" cm="1">
        <f ca="1" t="array" ref="H1842">MIN(30-SUM(I1842:L1842),_xlfn.XLOOKUP($D1842&amp;"_"&amp;H$61,$B$23:$B$45&amp;"_"&amp;$C$23:$C$45,$D$23:$D$45)*$E1842,18)</f>
        <v>8.69890580545943</v>
      </c>
      <c r="I1842" s="67" cm="1">
        <f ca="1" t="array" ref="I1842">MIN(30-SUM(J1842:L1842),6-L1842,_xlfn.XLOOKUP($D1842&amp;"_"&amp;I$61,$B$23:$B$45&amp;"_"&amp;$C$23:$C$45,$D$23:$D$45)*$E1842)</f>
        <v>0</v>
      </c>
      <c r="J1842" s="67" cm="1">
        <f ca="1" t="array" ref="J1842">MIN(8,_xlfn.XLOOKUP($D1842&amp;"_"&amp;J$61,$B$23:$B$45&amp;"_"&amp;$C$23:$C$45,$D$23:$D$45)*$E1842)</f>
        <v>8</v>
      </c>
      <c r="K1842" s="67" cm="1">
        <f ca="1" t="array" ref="K1842">MIN(18,_xlfn.XLOOKUP($D1842&amp;"_"&amp;K$61,$B$23:$B$45&amp;"_"&amp;$C$23:$C$45,$D$23:$D$45)*$E1842)</f>
        <v>7.30109419454057</v>
      </c>
      <c r="L1842" s="67" cm="1">
        <f ca="1" t="array" ref="L1842">MIN(6,_xlfn.XLOOKUP($D1842&amp;"_"&amp;L$61,$B$23:$B$45&amp;"_"&amp;$C$23:$C$45,$D$23:$D$45)*$E1842)</f>
        <v>6</v>
      </c>
      <c r="M1842" s="67" cm="1">
        <f ca="1" t="array" ref="M1842">(1+SUMPRODUCT(G1842:H1842,OFFSET($H$49:$I$49,D1842,0)))*(1+OFFSET($J$49,D1842,0))^I1842*(1+OFFSET($K$49,D1842,0))^J1842*(1+OFFSET($L$49,D1842,0))^K1842*(1+OFFSET($M$49,D1842,0))^L1842</f>
        <v>505.662383960758</v>
      </c>
      <c r="N1842" s="67">
        <f ca="1">MAX(MAX($N$62:N1841),OFFSET($C$61,MATCH(M1842*1.07,$M$62:$M$2061,1),0)-C1842)</f>
        <v>55800</v>
      </c>
    </row>
    <row r="1843" spans="2:14">
      <c r="B1843" s="67">
        <v>1782</v>
      </c>
      <c r="C1843" s="67">
        <f t="shared" si="169"/>
        <v>641520</v>
      </c>
      <c r="D1843" s="67">
        <f t="shared" si="167"/>
        <v>5</v>
      </c>
      <c r="E1843" s="67">
        <f ca="1" t="shared" si="168"/>
        <v>1812</v>
      </c>
      <c r="F1843" s="67">
        <f ca="1" t="shared" si="170"/>
        <v>0</v>
      </c>
      <c r="G1843" s="67">
        <f ca="1" t="shared" si="171"/>
        <v>0</v>
      </c>
      <c r="H1843" s="67" cm="1">
        <f ca="1" t="array" ref="H1843">MIN(30-SUM(I1843:L1843),_xlfn.XLOOKUP($D1843&amp;"_"&amp;H$61,$B$23:$B$45&amp;"_"&amp;$C$23:$C$45,$D$23:$D$45)*$E1843,18)</f>
        <v>8.69487427912341</v>
      </c>
      <c r="I1843" s="67" cm="1">
        <f ca="1" t="array" ref="I1843">MIN(30-SUM(J1843:L1843),6-L1843,_xlfn.XLOOKUP($D1843&amp;"_"&amp;I$61,$B$23:$B$45&amp;"_"&amp;$C$23:$C$45,$D$23:$D$45)*$E1843)</f>
        <v>0</v>
      </c>
      <c r="J1843" s="67" cm="1">
        <f ca="1" t="array" ref="J1843">MIN(8,_xlfn.XLOOKUP($D1843&amp;"_"&amp;J$61,$B$23:$B$45&amp;"_"&amp;$C$23:$C$45,$D$23:$D$45)*$E1843)</f>
        <v>8</v>
      </c>
      <c r="K1843" s="67" cm="1">
        <f ca="1" t="array" ref="K1843">MIN(18,_xlfn.XLOOKUP($D1843&amp;"_"&amp;K$61,$B$23:$B$45&amp;"_"&amp;$C$23:$C$45,$D$23:$D$45)*$E1843)</f>
        <v>7.30512572087659</v>
      </c>
      <c r="L1843" s="67" cm="1">
        <f ca="1" t="array" ref="L1843">MIN(6,_xlfn.XLOOKUP($D1843&amp;"_"&amp;L$61,$B$23:$B$45&amp;"_"&amp;$C$23:$C$45,$D$23:$D$45)*$E1843)</f>
        <v>6</v>
      </c>
      <c r="M1843" s="67" cm="1">
        <f ca="1" t="array" ref="M1843">(1+SUMPRODUCT(G1843:H1843,OFFSET($H$49:$I$49,D1843,0)))*(1+OFFSET($J$49,D1843,0))^I1843*(1+OFFSET($K$49,D1843,0))^J1843*(1+OFFSET($L$49,D1843,0))^K1843*(1+OFFSET($M$49,D1843,0))^L1843</f>
        <v>505.885276129288</v>
      </c>
      <c r="N1843" s="67">
        <f ca="1">MAX(MAX($N$62:N1842),OFFSET($C$61,MATCH(M1843*1.07,$M$62:$M$2061,1),0)-C1843)</f>
        <v>56160</v>
      </c>
    </row>
    <row r="1844" spans="2:14">
      <c r="B1844" s="67">
        <v>1783</v>
      </c>
      <c r="C1844" s="67">
        <f t="shared" si="169"/>
        <v>641880</v>
      </c>
      <c r="D1844" s="67">
        <f t="shared" si="167"/>
        <v>5</v>
      </c>
      <c r="E1844" s="67">
        <f ca="1" t="shared" si="168"/>
        <v>1813</v>
      </c>
      <c r="F1844" s="67">
        <f ca="1" t="shared" si="170"/>
        <v>0</v>
      </c>
      <c r="G1844" s="67">
        <f ca="1" t="shared" si="171"/>
        <v>0</v>
      </c>
      <c r="H1844" s="67" cm="1">
        <f ca="1" t="array" ref="H1844">MIN(30-SUM(I1844:L1844),_xlfn.XLOOKUP($D1844&amp;"_"&amp;H$61,$B$23:$B$45&amp;"_"&amp;$C$23:$C$45,$D$23:$D$45)*$E1844,18)</f>
        <v>8.69084275278738</v>
      </c>
      <c r="I1844" s="67" cm="1">
        <f ca="1" t="array" ref="I1844">MIN(30-SUM(J1844:L1844),6-L1844,_xlfn.XLOOKUP($D1844&amp;"_"&amp;I$61,$B$23:$B$45&amp;"_"&amp;$C$23:$C$45,$D$23:$D$45)*$E1844)</f>
        <v>0</v>
      </c>
      <c r="J1844" s="67" cm="1">
        <f ca="1" t="array" ref="J1844">MIN(8,_xlfn.XLOOKUP($D1844&amp;"_"&amp;J$61,$B$23:$B$45&amp;"_"&amp;$C$23:$C$45,$D$23:$D$45)*$E1844)</f>
        <v>8</v>
      </c>
      <c r="K1844" s="67" cm="1">
        <f ca="1" t="array" ref="K1844">MIN(18,_xlfn.XLOOKUP($D1844&amp;"_"&amp;K$61,$B$23:$B$45&amp;"_"&amp;$C$23:$C$45,$D$23:$D$45)*$E1844)</f>
        <v>7.30915724721262</v>
      </c>
      <c r="L1844" s="67" cm="1">
        <f ca="1" t="array" ref="L1844">MIN(6,_xlfn.XLOOKUP($D1844&amp;"_"&amp;L$61,$B$23:$B$45&amp;"_"&amp;$C$23:$C$45,$D$23:$D$45)*$E1844)</f>
        <v>6</v>
      </c>
      <c r="M1844" s="67" cm="1">
        <f ca="1" t="array" ref="M1844">(1+SUMPRODUCT(G1844:H1844,OFFSET($H$49:$I$49,D1844,0)))*(1+OFFSET($J$49,D1844,0))^I1844*(1+OFFSET($K$49,D1844,0))^J1844*(1+OFFSET($L$49,D1844,0))^K1844*(1+OFFSET($M$49,D1844,0))^L1844</f>
        <v>506.108222687237</v>
      </c>
      <c r="N1844" s="67">
        <f ca="1">MAX(MAX($N$62:N1843),OFFSET($C$61,MATCH(M1844*1.07,$M$62:$M$2061,1),0)-C1844)</f>
        <v>56160</v>
      </c>
    </row>
    <row r="1845" spans="2:14">
      <c r="B1845" s="67">
        <v>1784</v>
      </c>
      <c r="C1845" s="67">
        <f t="shared" si="169"/>
        <v>642240</v>
      </c>
      <c r="D1845" s="67">
        <f t="shared" si="167"/>
        <v>5</v>
      </c>
      <c r="E1845" s="67">
        <f ca="1" t="shared" si="168"/>
        <v>1814</v>
      </c>
      <c r="F1845" s="67">
        <f ca="1" t="shared" si="170"/>
        <v>0</v>
      </c>
      <c r="G1845" s="67">
        <f ca="1" t="shared" si="171"/>
        <v>0</v>
      </c>
      <c r="H1845" s="67" cm="1">
        <f ca="1" t="array" ref="H1845">MIN(30-SUM(I1845:L1845),_xlfn.XLOOKUP($D1845&amp;"_"&amp;H$61,$B$23:$B$45&amp;"_"&amp;$C$23:$C$45,$D$23:$D$45)*$E1845,18)</f>
        <v>8.68681122645136</v>
      </c>
      <c r="I1845" s="67" cm="1">
        <f ca="1" t="array" ref="I1845">MIN(30-SUM(J1845:L1845),6-L1845,_xlfn.XLOOKUP($D1845&amp;"_"&amp;I$61,$B$23:$B$45&amp;"_"&amp;$C$23:$C$45,$D$23:$D$45)*$E1845)</f>
        <v>0</v>
      </c>
      <c r="J1845" s="67" cm="1">
        <f ca="1" t="array" ref="J1845">MIN(8,_xlfn.XLOOKUP($D1845&amp;"_"&amp;J$61,$B$23:$B$45&amp;"_"&amp;$C$23:$C$45,$D$23:$D$45)*$E1845)</f>
        <v>8</v>
      </c>
      <c r="K1845" s="67" cm="1">
        <f ca="1" t="array" ref="K1845">MIN(18,_xlfn.XLOOKUP($D1845&amp;"_"&amp;K$61,$B$23:$B$45&amp;"_"&amp;$C$23:$C$45,$D$23:$D$45)*$E1845)</f>
        <v>7.31318877354864</v>
      </c>
      <c r="L1845" s="67" cm="1">
        <f ca="1" t="array" ref="L1845">MIN(6,_xlfn.XLOOKUP($D1845&amp;"_"&amp;L$61,$B$23:$B$45&amp;"_"&amp;$C$23:$C$45,$D$23:$D$45)*$E1845)</f>
        <v>6</v>
      </c>
      <c r="M1845" s="67" cm="1">
        <f ca="1" t="array" ref="M1845">(1+SUMPRODUCT(G1845:H1845,OFFSET($H$49:$I$49,D1845,0)))*(1+OFFSET($J$49,D1845,0))^I1845*(1+OFFSET($K$49,D1845,0))^J1845*(1+OFFSET($L$49,D1845,0))^K1845*(1+OFFSET($M$49,D1845,0))^L1845</f>
        <v>506.33122359408</v>
      </c>
      <c r="N1845" s="67">
        <f ca="1">MAX(MAX($N$62:N1844),OFFSET($C$61,MATCH(M1845*1.07,$M$62:$M$2061,1),0)-C1845)</f>
        <v>56160</v>
      </c>
    </row>
    <row r="1846" spans="2:14">
      <c r="B1846" s="67">
        <v>1785</v>
      </c>
      <c r="C1846" s="67">
        <f t="shared" si="169"/>
        <v>642600</v>
      </c>
      <c r="D1846" s="67">
        <f t="shared" si="167"/>
        <v>5</v>
      </c>
      <c r="E1846" s="67">
        <f ca="1" t="shared" si="168"/>
        <v>1815</v>
      </c>
      <c r="F1846" s="67">
        <f ca="1" t="shared" si="170"/>
        <v>0</v>
      </c>
      <c r="G1846" s="67">
        <f ca="1" t="shared" si="171"/>
        <v>0</v>
      </c>
      <c r="H1846" s="67" cm="1">
        <f ca="1" t="array" ref="H1846">MIN(30-SUM(I1846:L1846),_xlfn.XLOOKUP($D1846&amp;"_"&amp;H$61,$B$23:$B$45&amp;"_"&amp;$C$23:$C$45,$D$23:$D$45)*$E1846,18)</f>
        <v>8.68277970011533</v>
      </c>
      <c r="I1846" s="67" cm="1">
        <f ca="1" t="array" ref="I1846">MIN(30-SUM(J1846:L1846),6-L1846,_xlfn.XLOOKUP($D1846&amp;"_"&amp;I$61,$B$23:$B$45&amp;"_"&amp;$C$23:$C$45,$D$23:$D$45)*$E1846)</f>
        <v>0</v>
      </c>
      <c r="J1846" s="67" cm="1">
        <f ca="1" t="array" ref="J1846">MIN(8,_xlfn.XLOOKUP($D1846&amp;"_"&amp;J$61,$B$23:$B$45&amp;"_"&amp;$C$23:$C$45,$D$23:$D$45)*$E1846)</f>
        <v>8</v>
      </c>
      <c r="K1846" s="67" cm="1">
        <f ca="1" t="array" ref="K1846">MIN(18,_xlfn.XLOOKUP($D1846&amp;"_"&amp;K$61,$B$23:$B$45&amp;"_"&amp;$C$23:$C$45,$D$23:$D$45)*$E1846)</f>
        <v>7.31722029988467</v>
      </c>
      <c r="L1846" s="67" cm="1">
        <f ca="1" t="array" ref="L1846">MIN(6,_xlfn.XLOOKUP($D1846&amp;"_"&amp;L$61,$B$23:$B$45&amp;"_"&amp;$C$23:$C$45,$D$23:$D$45)*$E1846)</f>
        <v>6</v>
      </c>
      <c r="M1846" s="67" cm="1">
        <f ca="1" t="array" ref="M1846">(1+SUMPRODUCT(G1846:H1846,OFFSET($H$49:$I$49,D1846,0)))*(1+OFFSET($J$49,D1846,0))^I1846*(1+OFFSET($K$49,D1846,0))^J1846*(1+OFFSET($L$49,D1846,0))^K1846*(1+OFFSET($M$49,D1846,0))^L1846</f>
        <v>506.554278809201</v>
      </c>
      <c r="N1846" s="67">
        <f ca="1">MAX(MAX($N$62:N1845),OFFSET($C$61,MATCH(M1846*1.07,$M$62:$M$2061,1),0)-C1846)</f>
        <v>56160</v>
      </c>
    </row>
    <row r="1847" spans="2:14">
      <c r="B1847" s="67">
        <v>1786</v>
      </c>
      <c r="C1847" s="67">
        <f t="shared" si="169"/>
        <v>642960</v>
      </c>
      <c r="D1847" s="67">
        <f t="shared" si="167"/>
        <v>5</v>
      </c>
      <c r="E1847" s="67">
        <f ca="1" t="shared" si="168"/>
        <v>1816</v>
      </c>
      <c r="F1847" s="67">
        <f ca="1" t="shared" si="170"/>
        <v>0</v>
      </c>
      <c r="G1847" s="67">
        <f ca="1" t="shared" si="171"/>
        <v>0</v>
      </c>
      <c r="H1847" s="67" cm="1">
        <f ca="1" t="array" ref="H1847">MIN(30-SUM(I1847:L1847),_xlfn.XLOOKUP($D1847&amp;"_"&amp;H$61,$B$23:$B$45&amp;"_"&amp;$C$23:$C$45,$D$23:$D$45)*$E1847,18)</f>
        <v>8.67874817377931</v>
      </c>
      <c r="I1847" s="67" cm="1">
        <f ca="1" t="array" ref="I1847">MIN(30-SUM(J1847:L1847),6-L1847,_xlfn.XLOOKUP($D1847&amp;"_"&amp;I$61,$B$23:$B$45&amp;"_"&amp;$C$23:$C$45,$D$23:$D$45)*$E1847)</f>
        <v>0</v>
      </c>
      <c r="J1847" s="67" cm="1">
        <f ca="1" t="array" ref="J1847">MIN(8,_xlfn.XLOOKUP($D1847&amp;"_"&amp;J$61,$B$23:$B$45&amp;"_"&amp;$C$23:$C$45,$D$23:$D$45)*$E1847)</f>
        <v>8</v>
      </c>
      <c r="K1847" s="67" cm="1">
        <f ca="1" t="array" ref="K1847">MIN(18,_xlfn.XLOOKUP($D1847&amp;"_"&amp;K$61,$B$23:$B$45&amp;"_"&amp;$C$23:$C$45,$D$23:$D$45)*$E1847)</f>
        <v>7.32125182622069</v>
      </c>
      <c r="L1847" s="67" cm="1">
        <f ca="1" t="array" ref="L1847">MIN(6,_xlfn.XLOOKUP($D1847&amp;"_"&amp;L$61,$B$23:$B$45&amp;"_"&amp;$C$23:$C$45,$D$23:$D$45)*$E1847)</f>
        <v>6</v>
      </c>
      <c r="M1847" s="67" cm="1">
        <f ca="1" t="array" ref="M1847">(1+SUMPRODUCT(G1847:H1847,OFFSET($H$49:$I$49,D1847,0)))*(1+OFFSET($J$49,D1847,0))^I1847*(1+OFFSET($K$49,D1847,0))^J1847*(1+OFFSET($L$49,D1847,0))^K1847*(1+OFFSET($M$49,D1847,0))^L1847</f>
        <v>506.777388291897</v>
      </c>
      <c r="N1847" s="67">
        <f ca="1">MAX(MAX($N$62:N1846),OFFSET($C$61,MATCH(M1847*1.07,$M$62:$M$2061,1),0)-C1847)</f>
        <v>56160</v>
      </c>
    </row>
    <row r="1848" spans="2:14">
      <c r="B1848" s="67">
        <v>1787</v>
      </c>
      <c r="C1848" s="67">
        <f t="shared" si="169"/>
        <v>643320</v>
      </c>
      <c r="D1848" s="67">
        <f t="shared" si="167"/>
        <v>5</v>
      </c>
      <c r="E1848" s="67">
        <f ca="1" t="shared" si="168"/>
        <v>1817</v>
      </c>
      <c r="F1848" s="67">
        <f ca="1" t="shared" si="170"/>
        <v>0</v>
      </c>
      <c r="G1848" s="67">
        <f ca="1" t="shared" si="171"/>
        <v>0</v>
      </c>
      <c r="H1848" s="67" cm="1">
        <f ca="1" t="array" ref="H1848">MIN(30-SUM(I1848:L1848),_xlfn.XLOOKUP($D1848&amp;"_"&amp;H$61,$B$23:$B$45&amp;"_"&amp;$C$23:$C$45,$D$23:$D$45)*$E1848,18)</f>
        <v>8.67471664744328</v>
      </c>
      <c r="I1848" s="67" cm="1">
        <f ca="1" t="array" ref="I1848">MIN(30-SUM(J1848:L1848),6-L1848,_xlfn.XLOOKUP($D1848&amp;"_"&amp;I$61,$B$23:$B$45&amp;"_"&amp;$C$23:$C$45,$D$23:$D$45)*$E1848)</f>
        <v>0</v>
      </c>
      <c r="J1848" s="67" cm="1">
        <f ca="1" t="array" ref="J1848">MIN(8,_xlfn.XLOOKUP($D1848&amp;"_"&amp;J$61,$B$23:$B$45&amp;"_"&amp;$C$23:$C$45,$D$23:$D$45)*$E1848)</f>
        <v>8</v>
      </c>
      <c r="K1848" s="67" cm="1">
        <f ca="1" t="array" ref="K1848">MIN(18,_xlfn.XLOOKUP($D1848&amp;"_"&amp;K$61,$B$23:$B$45&amp;"_"&amp;$C$23:$C$45,$D$23:$D$45)*$E1848)</f>
        <v>7.32528335255672</v>
      </c>
      <c r="L1848" s="67" cm="1">
        <f ca="1" t="array" ref="L1848">MIN(6,_xlfn.XLOOKUP($D1848&amp;"_"&amp;L$61,$B$23:$B$45&amp;"_"&amp;$C$23:$C$45,$D$23:$D$45)*$E1848)</f>
        <v>6</v>
      </c>
      <c r="M1848" s="67" cm="1">
        <f ca="1" t="array" ref="M1848">(1+SUMPRODUCT(G1848:H1848,OFFSET($H$49:$I$49,D1848,0)))*(1+OFFSET($J$49,D1848,0))^I1848*(1+OFFSET($K$49,D1848,0))^J1848*(1+OFFSET($L$49,D1848,0))^K1848*(1+OFFSET($M$49,D1848,0))^L1848</f>
        <v>507.000552001374</v>
      </c>
      <c r="N1848" s="67">
        <f ca="1">MAX(MAX($N$62:N1847),OFFSET($C$61,MATCH(M1848*1.07,$M$62:$M$2061,1),0)-C1848)</f>
        <v>56160</v>
      </c>
    </row>
    <row r="1849" spans="2:14">
      <c r="B1849" s="67">
        <v>1788</v>
      </c>
      <c r="C1849" s="67">
        <f t="shared" si="169"/>
        <v>643680</v>
      </c>
      <c r="D1849" s="67">
        <f t="shared" si="167"/>
        <v>5</v>
      </c>
      <c r="E1849" s="67">
        <f ca="1" t="shared" si="168"/>
        <v>1818</v>
      </c>
      <c r="F1849" s="67">
        <f ca="1" t="shared" si="170"/>
        <v>0</v>
      </c>
      <c r="G1849" s="67">
        <f ca="1" t="shared" si="171"/>
        <v>0</v>
      </c>
      <c r="H1849" s="67" cm="1">
        <f ca="1" t="array" ref="H1849">MIN(30-SUM(I1849:L1849),_xlfn.XLOOKUP($D1849&amp;"_"&amp;H$61,$B$23:$B$45&amp;"_"&amp;$C$23:$C$45,$D$23:$D$45)*$E1849,18)</f>
        <v>8.67068512110726</v>
      </c>
      <c r="I1849" s="67" cm="1">
        <f ca="1" t="array" ref="I1849">MIN(30-SUM(J1849:L1849),6-L1849,_xlfn.XLOOKUP($D1849&amp;"_"&amp;I$61,$B$23:$B$45&amp;"_"&amp;$C$23:$C$45,$D$23:$D$45)*$E1849)</f>
        <v>0</v>
      </c>
      <c r="J1849" s="67" cm="1">
        <f ca="1" t="array" ref="J1849">MIN(8,_xlfn.XLOOKUP($D1849&amp;"_"&amp;J$61,$B$23:$B$45&amp;"_"&amp;$C$23:$C$45,$D$23:$D$45)*$E1849)</f>
        <v>8</v>
      </c>
      <c r="K1849" s="67" cm="1">
        <f ca="1" t="array" ref="K1849">MIN(18,_xlfn.XLOOKUP($D1849&amp;"_"&amp;K$61,$B$23:$B$45&amp;"_"&amp;$C$23:$C$45,$D$23:$D$45)*$E1849)</f>
        <v>7.32931487889274</v>
      </c>
      <c r="L1849" s="67" cm="1">
        <f ca="1" t="array" ref="L1849">MIN(6,_xlfn.XLOOKUP($D1849&amp;"_"&amp;L$61,$B$23:$B$45&amp;"_"&amp;$C$23:$C$45,$D$23:$D$45)*$E1849)</f>
        <v>6</v>
      </c>
      <c r="M1849" s="67" cm="1">
        <f ca="1" t="array" ref="M1849">(1+SUMPRODUCT(G1849:H1849,OFFSET($H$49:$I$49,D1849,0)))*(1+OFFSET($J$49,D1849,0))^I1849*(1+OFFSET($K$49,D1849,0))^J1849*(1+OFFSET($L$49,D1849,0))^K1849*(1+OFFSET($M$49,D1849,0))^L1849</f>
        <v>507.22376989675</v>
      </c>
      <c r="N1849" s="67">
        <f ca="1">MAX(MAX($N$62:N1848),OFFSET($C$61,MATCH(M1849*1.07,$M$62:$M$2061,1),0)-C1849)</f>
        <v>56160</v>
      </c>
    </row>
    <row r="1850" spans="2:14">
      <c r="B1850" s="67">
        <v>1789</v>
      </c>
      <c r="C1850" s="67">
        <f t="shared" si="169"/>
        <v>644040</v>
      </c>
      <c r="D1850" s="67">
        <f t="shared" si="167"/>
        <v>5</v>
      </c>
      <c r="E1850" s="67">
        <f ca="1" t="shared" si="168"/>
        <v>1819</v>
      </c>
      <c r="F1850" s="67">
        <f ca="1" t="shared" si="170"/>
        <v>0</v>
      </c>
      <c r="G1850" s="67">
        <f ca="1" t="shared" si="171"/>
        <v>0</v>
      </c>
      <c r="H1850" s="67" cm="1">
        <f ca="1" t="array" ref="H1850">MIN(30-SUM(I1850:L1850),_xlfn.XLOOKUP($D1850&amp;"_"&amp;H$61,$B$23:$B$45&amp;"_"&amp;$C$23:$C$45,$D$23:$D$45)*$E1850,18)</f>
        <v>8.66665359477123</v>
      </c>
      <c r="I1850" s="67" cm="1">
        <f ca="1" t="array" ref="I1850">MIN(30-SUM(J1850:L1850),6-L1850,_xlfn.XLOOKUP($D1850&amp;"_"&amp;I$61,$B$23:$B$45&amp;"_"&amp;$C$23:$C$45,$D$23:$D$45)*$E1850)</f>
        <v>0</v>
      </c>
      <c r="J1850" s="67" cm="1">
        <f ca="1" t="array" ref="J1850">MIN(8,_xlfn.XLOOKUP($D1850&amp;"_"&amp;J$61,$B$23:$B$45&amp;"_"&amp;$C$23:$C$45,$D$23:$D$45)*$E1850)</f>
        <v>8</v>
      </c>
      <c r="K1850" s="67" cm="1">
        <f ca="1" t="array" ref="K1850">MIN(18,_xlfn.XLOOKUP($D1850&amp;"_"&amp;K$61,$B$23:$B$45&amp;"_"&amp;$C$23:$C$45,$D$23:$D$45)*$E1850)</f>
        <v>7.33334640522876</v>
      </c>
      <c r="L1850" s="67" cm="1">
        <f ca="1" t="array" ref="L1850">MIN(6,_xlfn.XLOOKUP($D1850&amp;"_"&amp;L$61,$B$23:$B$45&amp;"_"&amp;$C$23:$C$45,$D$23:$D$45)*$E1850)</f>
        <v>6</v>
      </c>
      <c r="M1850" s="67" cm="1">
        <f ca="1" t="array" ref="M1850">(1+SUMPRODUCT(G1850:H1850,OFFSET($H$49:$I$49,D1850,0)))*(1+OFFSET($J$49,D1850,0))^I1850*(1+OFFSET($K$49,D1850,0))^J1850*(1+OFFSET($L$49,D1850,0))^K1850*(1+OFFSET($M$49,D1850,0))^L1850</f>
        <v>507.447041937051</v>
      </c>
      <c r="N1850" s="67">
        <f ca="1">MAX(MAX($N$62:N1849),OFFSET($C$61,MATCH(M1850*1.07,$M$62:$M$2061,1),0)-C1850)</f>
        <v>56160</v>
      </c>
    </row>
    <row r="1851" spans="2:14">
      <c r="B1851" s="67">
        <v>1790</v>
      </c>
      <c r="C1851" s="67">
        <f t="shared" si="169"/>
        <v>644400</v>
      </c>
      <c r="D1851" s="67">
        <f t="shared" si="167"/>
        <v>5</v>
      </c>
      <c r="E1851" s="67">
        <f ca="1" t="shared" si="168"/>
        <v>1820</v>
      </c>
      <c r="F1851" s="67">
        <f ca="1" t="shared" si="170"/>
        <v>0</v>
      </c>
      <c r="G1851" s="67">
        <f ca="1" t="shared" si="171"/>
        <v>0</v>
      </c>
      <c r="H1851" s="67" cm="1">
        <f ca="1" t="array" ref="H1851">MIN(30-SUM(I1851:L1851),_xlfn.XLOOKUP($D1851&amp;"_"&amp;H$61,$B$23:$B$45&amp;"_"&amp;$C$23:$C$45,$D$23:$D$45)*$E1851,18)</f>
        <v>8.66262206843521</v>
      </c>
      <c r="I1851" s="67" cm="1">
        <f ca="1" t="array" ref="I1851">MIN(30-SUM(J1851:L1851),6-L1851,_xlfn.XLOOKUP($D1851&amp;"_"&amp;I$61,$B$23:$B$45&amp;"_"&amp;$C$23:$C$45,$D$23:$D$45)*$E1851)</f>
        <v>0</v>
      </c>
      <c r="J1851" s="67" cm="1">
        <f ca="1" t="array" ref="J1851">MIN(8,_xlfn.XLOOKUP($D1851&amp;"_"&amp;J$61,$B$23:$B$45&amp;"_"&amp;$C$23:$C$45,$D$23:$D$45)*$E1851)</f>
        <v>8</v>
      </c>
      <c r="K1851" s="67" cm="1">
        <f ca="1" t="array" ref="K1851">MIN(18,_xlfn.XLOOKUP($D1851&amp;"_"&amp;K$61,$B$23:$B$45&amp;"_"&amp;$C$23:$C$45,$D$23:$D$45)*$E1851)</f>
        <v>7.33737793156479</v>
      </c>
      <c r="L1851" s="67" cm="1">
        <f ca="1" t="array" ref="L1851">MIN(6,_xlfn.XLOOKUP($D1851&amp;"_"&amp;L$61,$B$23:$B$45&amp;"_"&amp;$C$23:$C$45,$D$23:$D$45)*$E1851)</f>
        <v>6</v>
      </c>
      <c r="M1851" s="67" cm="1">
        <f ca="1" t="array" ref="M1851">(1+SUMPRODUCT(G1851:H1851,OFFSET($H$49:$I$49,D1851,0)))*(1+OFFSET($J$49,D1851,0))^I1851*(1+OFFSET($K$49,D1851,0))^J1851*(1+OFFSET($L$49,D1851,0))^K1851*(1+OFFSET($M$49,D1851,0))^L1851</f>
        <v>507.670368081217</v>
      </c>
      <c r="N1851" s="67">
        <f ca="1">MAX(MAX($N$62:N1850),OFFSET($C$61,MATCH(M1851*1.07,$M$62:$M$2061,1),0)-C1851)</f>
        <v>56160</v>
      </c>
    </row>
    <row r="1852" spans="2:14">
      <c r="B1852" s="67">
        <v>1791</v>
      </c>
      <c r="C1852" s="67">
        <f t="shared" si="169"/>
        <v>644760</v>
      </c>
      <c r="D1852" s="67">
        <f t="shared" si="167"/>
        <v>5</v>
      </c>
      <c r="E1852" s="67">
        <f ca="1" t="shared" si="168"/>
        <v>1821</v>
      </c>
      <c r="F1852" s="67">
        <f ca="1" t="shared" si="170"/>
        <v>0</v>
      </c>
      <c r="G1852" s="67">
        <f ca="1" t="shared" si="171"/>
        <v>0</v>
      </c>
      <c r="H1852" s="67" cm="1">
        <f ca="1" t="array" ref="H1852">MIN(30-SUM(I1852:L1852),_xlfn.XLOOKUP($D1852&amp;"_"&amp;H$61,$B$23:$B$45&amp;"_"&amp;$C$23:$C$45,$D$23:$D$45)*$E1852,18)</f>
        <v>8.65859054209918</v>
      </c>
      <c r="I1852" s="67" cm="1">
        <f ca="1" t="array" ref="I1852">MIN(30-SUM(J1852:L1852),6-L1852,_xlfn.XLOOKUP($D1852&amp;"_"&amp;I$61,$B$23:$B$45&amp;"_"&amp;$C$23:$C$45,$D$23:$D$45)*$E1852)</f>
        <v>0</v>
      </c>
      <c r="J1852" s="67" cm="1">
        <f ca="1" t="array" ref="J1852">MIN(8,_xlfn.XLOOKUP($D1852&amp;"_"&amp;J$61,$B$23:$B$45&amp;"_"&amp;$C$23:$C$45,$D$23:$D$45)*$E1852)</f>
        <v>8</v>
      </c>
      <c r="K1852" s="67" cm="1">
        <f ca="1" t="array" ref="K1852">MIN(18,_xlfn.XLOOKUP($D1852&amp;"_"&amp;K$61,$B$23:$B$45&amp;"_"&amp;$C$23:$C$45,$D$23:$D$45)*$E1852)</f>
        <v>7.34140945790081</v>
      </c>
      <c r="L1852" s="67" cm="1">
        <f ca="1" t="array" ref="L1852">MIN(6,_xlfn.XLOOKUP($D1852&amp;"_"&amp;L$61,$B$23:$B$45&amp;"_"&amp;$C$23:$C$45,$D$23:$D$45)*$E1852)</f>
        <v>6</v>
      </c>
      <c r="M1852" s="67" cm="1">
        <f ca="1" t="array" ref="M1852">(1+SUMPRODUCT(G1852:H1852,OFFSET($H$49:$I$49,D1852,0)))*(1+OFFSET($J$49,D1852,0))^I1852*(1+OFFSET($K$49,D1852,0))^J1852*(1+OFFSET($L$49,D1852,0))^K1852*(1+OFFSET($M$49,D1852,0))^L1852</f>
        <v>507.893748288095</v>
      </c>
      <c r="N1852" s="67">
        <f ca="1">MAX(MAX($N$62:N1851),OFFSET($C$61,MATCH(M1852*1.07,$M$62:$M$2061,1),0)-C1852)</f>
        <v>56160</v>
      </c>
    </row>
    <row r="1853" spans="2:14">
      <c r="B1853" s="67">
        <v>1792</v>
      </c>
      <c r="C1853" s="67">
        <f t="shared" si="169"/>
        <v>645120</v>
      </c>
      <c r="D1853" s="67">
        <f t="shared" si="167"/>
        <v>5</v>
      </c>
      <c r="E1853" s="67">
        <f ca="1" t="shared" si="168"/>
        <v>1822</v>
      </c>
      <c r="F1853" s="67">
        <f ca="1" t="shared" si="170"/>
        <v>0</v>
      </c>
      <c r="G1853" s="67">
        <f ca="1" t="shared" si="171"/>
        <v>0</v>
      </c>
      <c r="H1853" s="67" cm="1">
        <f ca="1" t="array" ref="H1853">MIN(30-SUM(I1853:L1853),_xlfn.XLOOKUP($D1853&amp;"_"&amp;H$61,$B$23:$B$45&amp;"_"&amp;$C$23:$C$45,$D$23:$D$45)*$E1853,18)</f>
        <v>8.65455901576316</v>
      </c>
      <c r="I1853" s="67" cm="1">
        <f ca="1" t="array" ref="I1853">MIN(30-SUM(J1853:L1853),6-L1853,_xlfn.XLOOKUP($D1853&amp;"_"&amp;I$61,$B$23:$B$45&amp;"_"&amp;$C$23:$C$45,$D$23:$D$45)*$E1853)</f>
        <v>0</v>
      </c>
      <c r="J1853" s="67" cm="1">
        <f ca="1" t="array" ref="J1853">MIN(8,_xlfn.XLOOKUP($D1853&amp;"_"&amp;J$61,$B$23:$B$45&amp;"_"&amp;$C$23:$C$45,$D$23:$D$45)*$E1853)</f>
        <v>8</v>
      </c>
      <c r="K1853" s="67" cm="1">
        <f ca="1" t="array" ref="K1853">MIN(18,_xlfn.XLOOKUP($D1853&amp;"_"&amp;K$61,$B$23:$B$45&amp;"_"&amp;$C$23:$C$45,$D$23:$D$45)*$E1853)</f>
        <v>7.34544098423684</v>
      </c>
      <c r="L1853" s="67" cm="1">
        <f ca="1" t="array" ref="L1853">MIN(6,_xlfn.XLOOKUP($D1853&amp;"_"&amp;L$61,$B$23:$B$45&amp;"_"&amp;$C$23:$C$45,$D$23:$D$45)*$E1853)</f>
        <v>6</v>
      </c>
      <c r="M1853" s="67" cm="1">
        <f ca="1" t="array" ref="M1853">(1+SUMPRODUCT(G1853:H1853,OFFSET($H$49:$I$49,D1853,0)))*(1+OFFSET($J$49,D1853,0))^I1853*(1+OFFSET($K$49,D1853,0))^J1853*(1+OFFSET($L$49,D1853,0))^K1853*(1+OFFSET($M$49,D1853,0))^L1853</f>
        <v>508.117182516446</v>
      </c>
      <c r="N1853" s="67">
        <f ca="1">MAX(MAX($N$62:N1852),OFFSET($C$61,MATCH(M1853*1.07,$M$62:$M$2061,1),0)-C1853)</f>
        <v>56160</v>
      </c>
    </row>
    <row r="1854" spans="2:14">
      <c r="B1854" s="67">
        <v>1793</v>
      </c>
      <c r="C1854" s="67">
        <f t="shared" si="169"/>
        <v>645480</v>
      </c>
      <c r="D1854" s="67">
        <f t="shared" si="167"/>
        <v>5</v>
      </c>
      <c r="E1854" s="67">
        <f ca="1" t="shared" si="168"/>
        <v>1823</v>
      </c>
      <c r="F1854" s="67">
        <f ca="1" t="shared" si="170"/>
        <v>0</v>
      </c>
      <c r="G1854" s="67">
        <f ca="1" t="shared" si="171"/>
        <v>0</v>
      </c>
      <c r="H1854" s="67" cm="1">
        <f ca="1" t="array" ref="H1854">MIN(30-SUM(I1854:L1854),_xlfn.XLOOKUP($D1854&amp;"_"&amp;H$61,$B$23:$B$45&amp;"_"&amp;$C$23:$C$45,$D$23:$D$45)*$E1854,18)</f>
        <v>8.65052748942714</v>
      </c>
      <c r="I1854" s="67" cm="1">
        <f ca="1" t="array" ref="I1854">MIN(30-SUM(J1854:L1854),6-L1854,_xlfn.XLOOKUP($D1854&amp;"_"&amp;I$61,$B$23:$B$45&amp;"_"&amp;$C$23:$C$45,$D$23:$D$45)*$E1854)</f>
        <v>0</v>
      </c>
      <c r="J1854" s="67" cm="1">
        <f ca="1" t="array" ref="J1854">MIN(8,_xlfn.XLOOKUP($D1854&amp;"_"&amp;J$61,$B$23:$B$45&amp;"_"&amp;$C$23:$C$45,$D$23:$D$45)*$E1854)</f>
        <v>8</v>
      </c>
      <c r="K1854" s="67" cm="1">
        <f ca="1" t="array" ref="K1854">MIN(18,_xlfn.XLOOKUP($D1854&amp;"_"&amp;K$61,$B$23:$B$45&amp;"_"&amp;$C$23:$C$45,$D$23:$D$45)*$E1854)</f>
        <v>7.34947251057286</v>
      </c>
      <c r="L1854" s="67" cm="1">
        <f ca="1" t="array" ref="L1854">MIN(6,_xlfn.XLOOKUP($D1854&amp;"_"&amp;L$61,$B$23:$B$45&amp;"_"&amp;$C$23:$C$45,$D$23:$D$45)*$E1854)</f>
        <v>6</v>
      </c>
      <c r="M1854" s="67" cm="1">
        <f ca="1" t="array" ref="M1854">(1+SUMPRODUCT(G1854:H1854,OFFSET($H$49:$I$49,D1854,0)))*(1+OFFSET($J$49,D1854,0))^I1854*(1+OFFSET($K$49,D1854,0))^J1854*(1+OFFSET($L$49,D1854,0))^K1854*(1+OFFSET($M$49,D1854,0))^L1854</f>
        <v>508.340670724936</v>
      </c>
      <c r="N1854" s="67">
        <f ca="1">MAX(MAX($N$62:N1853),OFFSET($C$61,MATCH(M1854*1.07,$M$62:$M$2061,1),0)-C1854)</f>
        <v>56160</v>
      </c>
    </row>
    <row r="1855" spans="2:14">
      <c r="B1855" s="67">
        <v>1794</v>
      </c>
      <c r="C1855" s="67">
        <f t="shared" si="169"/>
        <v>645840</v>
      </c>
      <c r="D1855" s="67">
        <f t="shared" ref="D1855:D1918" si="172">_xlfn.XLOOKUP("非R",$B$49:$B$54,$C$49:$C$54)</f>
        <v>5</v>
      </c>
      <c r="E1855" s="67">
        <f ca="1" t="shared" ref="E1855:E1918" si="173">INT(C1855/_xlfn.XLOOKUP(D1855,$R$14:$R$21,$S$14:$S$21))+OFFSET($R$49,D1855,0)</f>
        <v>1824</v>
      </c>
      <c r="F1855" s="67">
        <f ca="1" t="shared" si="170"/>
        <v>0</v>
      </c>
      <c r="G1855" s="67">
        <f ca="1" t="shared" si="171"/>
        <v>0</v>
      </c>
      <c r="H1855" s="67" cm="1">
        <f ca="1" t="array" ref="H1855">MIN(30-SUM(I1855:L1855),_xlfn.XLOOKUP($D1855&amp;"_"&amp;H$61,$B$23:$B$45&amp;"_"&amp;$C$23:$C$45,$D$23:$D$45)*$E1855,18)</f>
        <v>8.64649596309111</v>
      </c>
      <c r="I1855" s="67" cm="1">
        <f ca="1" t="array" ref="I1855">MIN(30-SUM(J1855:L1855),6-L1855,_xlfn.XLOOKUP($D1855&amp;"_"&amp;I$61,$B$23:$B$45&amp;"_"&amp;$C$23:$C$45,$D$23:$D$45)*$E1855)</f>
        <v>0</v>
      </c>
      <c r="J1855" s="67" cm="1">
        <f ca="1" t="array" ref="J1855">MIN(8,_xlfn.XLOOKUP($D1855&amp;"_"&amp;J$61,$B$23:$B$45&amp;"_"&amp;$C$23:$C$45,$D$23:$D$45)*$E1855)</f>
        <v>8</v>
      </c>
      <c r="K1855" s="67" cm="1">
        <f ca="1" t="array" ref="K1855">MIN(18,_xlfn.XLOOKUP($D1855&amp;"_"&amp;K$61,$B$23:$B$45&amp;"_"&amp;$C$23:$C$45,$D$23:$D$45)*$E1855)</f>
        <v>7.35350403690889</v>
      </c>
      <c r="L1855" s="67" cm="1">
        <f ca="1" t="array" ref="L1855">MIN(6,_xlfn.XLOOKUP($D1855&amp;"_"&amp;L$61,$B$23:$B$45&amp;"_"&amp;$C$23:$C$45,$D$23:$D$45)*$E1855)</f>
        <v>6</v>
      </c>
      <c r="M1855" s="67" cm="1">
        <f ca="1" t="array" ref="M1855">(1+SUMPRODUCT(G1855:H1855,OFFSET($H$49:$I$49,D1855,0)))*(1+OFFSET($J$49,D1855,0))^I1855*(1+OFFSET($K$49,D1855,0))^J1855*(1+OFFSET($L$49,D1855,0))^K1855*(1+OFFSET($M$49,D1855,0))^L1855</f>
        <v>508.564212872146</v>
      </c>
      <c r="N1855" s="67">
        <f ca="1">MAX(MAX($N$62:N1854),OFFSET($C$61,MATCH(M1855*1.07,$M$62:$M$2061,1),0)-C1855)</f>
        <v>56160</v>
      </c>
    </row>
    <row r="1856" spans="2:14">
      <c r="B1856" s="67">
        <v>1795</v>
      </c>
      <c r="C1856" s="67">
        <f t="shared" si="169"/>
        <v>646200</v>
      </c>
      <c r="D1856" s="67">
        <f t="shared" si="172"/>
        <v>5</v>
      </c>
      <c r="E1856" s="67">
        <f ca="1" t="shared" si="173"/>
        <v>1825</v>
      </c>
      <c r="F1856" s="67">
        <f ca="1" t="shared" si="170"/>
        <v>0</v>
      </c>
      <c r="G1856" s="67">
        <f ca="1" t="shared" si="171"/>
        <v>0</v>
      </c>
      <c r="H1856" s="67" cm="1">
        <f ca="1" t="array" ref="H1856">MIN(30-SUM(I1856:L1856),_xlfn.XLOOKUP($D1856&amp;"_"&amp;H$61,$B$23:$B$45&amp;"_"&amp;$C$23:$C$45,$D$23:$D$45)*$E1856,18)</f>
        <v>8.64246443675509</v>
      </c>
      <c r="I1856" s="67" cm="1">
        <f ca="1" t="array" ref="I1856">MIN(30-SUM(J1856:L1856),6-L1856,_xlfn.XLOOKUP($D1856&amp;"_"&amp;I$61,$B$23:$B$45&amp;"_"&amp;$C$23:$C$45,$D$23:$D$45)*$E1856)</f>
        <v>0</v>
      </c>
      <c r="J1856" s="67" cm="1">
        <f ca="1" t="array" ref="J1856">MIN(8,_xlfn.XLOOKUP($D1856&amp;"_"&amp;J$61,$B$23:$B$45&amp;"_"&amp;$C$23:$C$45,$D$23:$D$45)*$E1856)</f>
        <v>8</v>
      </c>
      <c r="K1856" s="67" cm="1">
        <f ca="1" t="array" ref="K1856">MIN(18,_xlfn.XLOOKUP($D1856&amp;"_"&amp;K$61,$B$23:$B$45&amp;"_"&amp;$C$23:$C$45,$D$23:$D$45)*$E1856)</f>
        <v>7.35753556324491</v>
      </c>
      <c r="L1856" s="67" cm="1">
        <f ca="1" t="array" ref="L1856">MIN(6,_xlfn.XLOOKUP($D1856&amp;"_"&amp;L$61,$B$23:$B$45&amp;"_"&amp;$C$23:$C$45,$D$23:$D$45)*$E1856)</f>
        <v>6</v>
      </c>
      <c r="M1856" s="67" cm="1">
        <f ca="1" t="array" ref="M1856">(1+SUMPRODUCT(G1856:H1856,OFFSET($H$49:$I$49,D1856,0)))*(1+OFFSET($J$49,D1856,0))^I1856*(1+OFFSET($K$49,D1856,0))^J1856*(1+OFFSET($L$49,D1856,0))^K1856*(1+OFFSET($M$49,D1856,0))^L1856</f>
        <v>508.787808916565</v>
      </c>
      <c r="N1856" s="67">
        <f ca="1">MAX(MAX($N$62:N1855),OFFSET($C$61,MATCH(M1856*1.07,$M$62:$M$2061,1),0)-C1856)</f>
        <v>56160</v>
      </c>
    </row>
    <row r="1857" spans="2:14">
      <c r="B1857" s="67">
        <v>1796</v>
      </c>
      <c r="C1857" s="67">
        <f t="shared" si="169"/>
        <v>646560</v>
      </c>
      <c r="D1857" s="67">
        <f t="shared" si="172"/>
        <v>5</v>
      </c>
      <c r="E1857" s="67">
        <f ca="1" t="shared" si="173"/>
        <v>1826</v>
      </c>
      <c r="F1857" s="67">
        <f ca="1" t="shared" si="170"/>
        <v>0</v>
      </c>
      <c r="G1857" s="67">
        <f ca="1" t="shared" si="171"/>
        <v>0</v>
      </c>
      <c r="H1857" s="67" cm="1">
        <f ca="1" t="array" ref="H1857">MIN(30-SUM(I1857:L1857),_xlfn.XLOOKUP($D1857&amp;"_"&amp;H$61,$B$23:$B$45&amp;"_"&amp;$C$23:$C$45,$D$23:$D$45)*$E1857,18)</f>
        <v>8.63843291041906</v>
      </c>
      <c r="I1857" s="67" cm="1">
        <f ca="1" t="array" ref="I1857">MIN(30-SUM(J1857:L1857),6-L1857,_xlfn.XLOOKUP($D1857&amp;"_"&amp;I$61,$B$23:$B$45&amp;"_"&amp;$C$23:$C$45,$D$23:$D$45)*$E1857)</f>
        <v>0</v>
      </c>
      <c r="J1857" s="67" cm="1">
        <f ca="1" t="array" ref="J1857">MIN(8,_xlfn.XLOOKUP($D1857&amp;"_"&amp;J$61,$B$23:$B$45&amp;"_"&amp;$C$23:$C$45,$D$23:$D$45)*$E1857)</f>
        <v>8</v>
      </c>
      <c r="K1857" s="67" cm="1">
        <f ca="1" t="array" ref="K1857">MIN(18,_xlfn.XLOOKUP($D1857&amp;"_"&amp;K$61,$B$23:$B$45&amp;"_"&amp;$C$23:$C$45,$D$23:$D$45)*$E1857)</f>
        <v>7.36156708958094</v>
      </c>
      <c r="L1857" s="67" cm="1">
        <f ca="1" t="array" ref="L1857">MIN(6,_xlfn.XLOOKUP($D1857&amp;"_"&amp;L$61,$B$23:$B$45&amp;"_"&amp;$C$23:$C$45,$D$23:$D$45)*$E1857)</f>
        <v>6</v>
      </c>
      <c r="M1857" s="67" cm="1">
        <f ca="1" t="array" ref="M1857">(1+SUMPRODUCT(G1857:H1857,OFFSET($H$49:$I$49,D1857,0)))*(1+OFFSET($J$49,D1857,0))^I1857*(1+OFFSET($K$49,D1857,0))^J1857*(1+OFFSET($L$49,D1857,0))^K1857*(1+OFFSET($M$49,D1857,0))^L1857</f>
        <v>509.01145881659</v>
      </c>
      <c r="N1857" s="67">
        <f ca="1">MAX(MAX($N$62:N1856),OFFSET($C$61,MATCH(M1857*1.07,$M$62:$M$2061,1),0)-C1857)</f>
        <v>56160</v>
      </c>
    </row>
    <row r="1858" spans="2:14">
      <c r="B1858" s="67">
        <v>1797</v>
      </c>
      <c r="C1858" s="67">
        <f t="shared" si="169"/>
        <v>646920</v>
      </c>
      <c r="D1858" s="67">
        <f t="shared" si="172"/>
        <v>5</v>
      </c>
      <c r="E1858" s="67">
        <f ca="1" t="shared" si="173"/>
        <v>1827</v>
      </c>
      <c r="F1858" s="67">
        <f ca="1" t="shared" si="170"/>
        <v>0</v>
      </c>
      <c r="G1858" s="67">
        <f ca="1" t="shared" si="171"/>
        <v>0</v>
      </c>
      <c r="H1858" s="67" cm="1">
        <f ca="1" t="array" ref="H1858">MIN(30-SUM(I1858:L1858),_xlfn.XLOOKUP($D1858&amp;"_"&amp;H$61,$B$23:$B$45&amp;"_"&amp;$C$23:$C$45,$D$23:$D$45)*$E1858,18)</f>
        <v>8.63440138408304</v>
      </c>
      <c r="I1858" s="67" cm="1">
        <f ca="1" t="array" ref="I1858">MIN(30-SUM(J1858:L1858),6-L1858,_xlfn.XLOOKUP($D1858&amp;"_"&amp;I$61,$B$23:$B$45&amp;"_"&amp;$C$23:$C$45,$D$23:$D$45)*$E1858)</f>
        <v>0</v>
      </c>
      <c r="J1858" s="67" cm="1">
        <f ca="1" t="array" ref="J1858">MIN(8,_xlfn.XLOOKUP($D1858&amp;"_"&amp;J$61,$B$23:$B$45&amp;"_"&amp;$C$23:$C$45,$D$23:$D$45)*$E1858)</f>
        <v>8</v>
      </c>
      <c r="K1858" s="67" cm="1">
        <f ca="1" t="array" ref="K1858">MIN(18,_xlfn.XLOOKUP($D1858&amp;"_"&amp;K$61,$B$23:$B$45&amp;"_"&amp;$C$23:$C$45,$D$23:$D$45)*$E1858)</f>
        <v>7.36559861591696</v>
      </c>
      <c r="L1858" s="67" cm="1">
        <f ca="1" t="array" ref="L1858">MIN(6,_xlfn.XLOOKUP($D1858&amp;"_"&amp;L$61,$B$23:$B$45&amp;"_"&amp;$C$23:$C$45,$D$23:$D$45)*$E1858)</f>
        <v>6</v>
      </c>
      <c r="M1858" s="67" cm="1">
        <f ca="1" t="array" ref="M1858">(1+SUMPRODUCT(G1858:H1858,OFFSET($H$49:$I$49,D1858,0)))*(1+OFFSET($J$49,D1858,0))^I1858*(1+OFFSET($K$49,D1858,0))^J1858*(1+OFFSET($L$49,D1858,0))^K1858*(1+OFFSET($M$49,D1858,0))^L1858</f>
        <v>509.23516253053</v>
      </c>
      <c r="N1858" s="67">
        <f ca="1">MAX(MAX($N$62:N1857),OFFSET($C$61,MATCH(M1858*1.07,$M$62:$M$2061,1),0)-C1858)</f>
        <v>56160</v>
      </c>
    </row>
    <row r="1859" spans="2:14">
      <c r="B1859" s="67">
        <v>1798</v>
      </c>
      <c r="C1859" s="67">
        <f t="shared" si="169"/>
        <v>647280</v>
      </c>
      <c r="D1859" s="67">
        <f t="shared" si="172"/>
        <v>5</v>
      </c>
      <c r="E1859" s="67">
        <f ca="1" t="shared" si="173"/>
        <v>1828</v>
      </c>
      <c r="F1859" s="67">
        <f ca="1" t="shared" si="170"/>
        <v>0</v>
      </c>
      <c r="G1859" s="67">
        <f ca="1" t="shared" si="171"/>
        <v>0</v>
      </c>
      <c r="H1859" s="67" cm="1">
        <f ca="1" t="array" ref="H1859">MIN(30-SUM(I1859:L1859),_xlfn.XLOOKUP($D1859&amp;"_"&amp;H$61,$B$23:$B$45&amp;"_"&amp;$C$23:$C$45,$D$23:$D$45)*$E1859,18)</f>
        <v>8.63036985774701</v>
      </c>
      <c r="I1859" s="67" cm="1">
        <f ca="1" t="array" ref="I1859">MIN(30-SUM(J1859:L1859),6-L1859,_xlfn.XLOOKUP($D1859&amp;"_"&amp;I$61,$B$23:$B$45&amp;"_"&amp;$C$23:$C$45,$D$23:$D$45)*$E1859)</f>
        <v>0</v>
      </c>
      <c r="J1859" s="67" cm="1">
        <f ca="1" t="array" ref="J1859">MIN(8,_xlfn.XLOOKUP($D1859&amp;"_"&amp;J$61,$B$23:$B$45&amp;"_"&amp;$C$23:$C$45,$D$23:$D$45)*$E1859)</f>
        <v>8</v>
      </c>
      <c r="K1859" s="67" cm="1">
        <f ca="1" t="array" ref="K1859">MIN(18,_xlfn.XLOOKUP($D1859&amp;"_"&amp;K$61,$B$23:$B$45&amp;"_"&amp;$C$23:$C$45,$D$23:$D$45)*$E1859)</f>
        <v>7.36963014225299</v>
      </c>
      <c r="L1859" s="67" cm="1">
        <f ca="1" t="array" ref="L1859">MIN(6,_xlfn.XLOOKUP($D1859&amp;"_"&amp;L$61,$B$23:$B$45&amp;"_"&amp;$C$23:$C$45,$D$23:$D$45)*$E1859)</f>
        <v>6</v>
      </c>
      <c r="M1859" s="67" cm="1">
        <f ca="1" t="array" ref="M1859">(1+SUMPRODUCT(G1859:H1859,OFFSET($H$49:$I$49,D1859,0)))*(1+OFFSET($J$49,D1859,0))^I1859*(1+OFFSET($K$49,D1859,0))^J1859*(1+OFFSET($L$49,D1859,0))^K1859*(1+OFFSET($M$49,D1859,0))^L1859</f>
        <v>509.458920016603</v>
      </c>
      <c r="N1859" s="67">
        <f ca="1">MAX(MAX($N$62:N1858),OFFSET($C$61,MATCH(M1859*1.07,$M$62:$M$2061,1),0)-C1859)</f>
        <v>56160</v>
      </c>
    </row>
    <row r="1860" spans="2:14">
      <c r="B1860" s="67">
        <v>1799</v>
      </c>
      <c r="C1860" s="67">
        <f t="shared" si="169"/>
        <v>647640</v>
      </c>
      <c r="D1860" s="67">
        <f t="shared" si="172"/>
        <v>5</v>
      </c>
      <c r="E1860" s="67">
        <f ca="1" t="shared" si="173"/>
        <v>1829</v>
      </c>
      <c r="F1860" s="67">
        <f ca="1" t="shared" si="170"/>
        <v>0</v>
      </c>
      <c r="G1860" s="67">
        <f ca="1" t="shared" si="171"/>
        <v>0</v>
      </c>
      <c r="H1860" s="67" cm="1">
        <f ca="1" t="array" ref="H1860">MIN(30-SUM(I1860:L1860),_xlfn.XLOOKUP($D1860&amp;"_"&amp;H$61,$B$23:$B$45&amp;"_"&amp;$C$23:$C$45,$D$23:$D$45)*$E1860,18)</f>
        <v>8.62633833141099</v>
      </c>
      <c r="I1860" s="67" cm="1">
        <f ca="1" t="array" ref="I1860">MIN(30-SUM(J1860:L1860),6-L1860,_xlfn.XLOOKUP($D1860&amp;"_"&amp;I$61,$B$23:$B$45&amp;"_"&amp;$C$23:$C$45,$D$23:$D$45)*$E1860)</f>
        <v>0</v>
      </c>
      <c r="J1860" s="67" cm="1">
        <f ca="1" t="array" ref="J1860">MIN(8,_xlfn.XLOOKUP($D1860&amp;"_"&amp;J$61,$B$23:$B$45&amp;"_"&amp;$C$23:$C$45,$D$23:$D$45)*$E1860)</f>
        <v>8</v>
      </c>
      <c r="K1860" s="67" cm="1">
        <f ca="1" t="array" ref="K1860">MIN(18,_xlfn.XLOOKUP($D1860&amp;"_"&amp;K$61,$B$23:$B$45&amp;"_"&amp;$C$23:$C$45,$D$23:$D$45)*$E1860)</f>
        <v>7.37366166858901</v>
      </c>
      <c r="L1860" s="67" cm="1">
        <f ca="1" t="array" ref="L1860">MIN(6,_xlfn.XLOOKUP($D1860&amp;"_"&amp;L$61,$B$23:$B$45&amp;"_"&amp;$C$23:$C$45,$D$23:$D$45)*$E1860)</f>
        <v>6</v>
      </c>
      <c r="M1860" s="67" cm="1">
        <f ca="1" t="array" ref="M1860">(1+SUMPRODUCT(G1860:H1860,OFFSET($H$49:$I$49,D1860,0)))*(1+OFFSET($J$49,D1860,0))^I1860*(1+OFFSET($K$49,D1860,0))^J1860*(1+OFFSET($L$49,D1860,0))^K1860*(1+OFFSET($M$49,D1860,0))^L1860</f>
        <v>509.682731232937</v>
      </c>
      <c r="N1860" s="67">
        <f ca="1">MAX(MAX($N$62:N1859),OFFSET($C$61,MATCH(M1860*1.07,$M$62:$M$2061,1),0)-C1860)</f>
        <v>56160</v>
      </c>
    </row>
    <row r="1861" spans="2:14">
      <c r="B1861" s="67">
        <v>1800</v>
      </c>
      <c r="C1861" s="67">
        <f t="shared" si="169"/>
        <v>648000</v>
      </c>
      <c r="D1861" s="67">
        <f t="shared" si="172"/>
        <v>5</v>
      </c>
      <c r="E1861" s="67">
        <f ca="1" t="shared" si="173"/>
        <v>1830</v>
      </c>
      <c r="F1861" s="67">
        <f ca="1" t="shared" si="170"/>
        <v>0</v>
      </c>
      <c r="G1861" s="67">
        <f ca="1" t="shared" si="171"/>
        <v>0</v>
      </c>
      <c r="H1861" s="67" cm="1">
        <f ca="1" t="array" ref="H1861">MIN(30-SUM(I1861:L1861),_xlfn.XLOOKUP($D1861&amp;"_"&amp;H$61,$B$23:$B$45&amp;"_"&amp;$C$23:$C$45,$D$23:$D$45)*$E1861,18)</f>
        <v>8.62230680507496</v>
      </c>
      <c r="I1861" s="67" cm="1">
        <f ca="1" t="array" ref="I1861">MIN(30-SUM(J1861:L1861),6-L1861,_xlfn.XLOOKUP($D1861&amp;"_"&amp;I$61,$B$23:$B$45&amp;"_"&amp;$C$23:$C$45,$D$23:$D$45)*$E1861)</f>
        <v>0</v>
      </c>
      <c r="J1861" s="67" cm="1">
        <f ca="1" t="array" ref="J1861">MIN(8,_xlfn.XLOOKUP($D1861&amp;"_"&amp;J$61,$B$23:$B$45&amp;"_"&amp;$C$23:$C$45,$D$23:$D$45)*$E1861)</f>
        <v>8</v>
      </c>
      <c r="K1861" s="67" cm="1">
        <f ca="1" t="array" ref="K1861">MIN(18,_xlfn.XLOOKUP($D1861&amp;"_"&amp;K$61,$B$23:$B$45&amp;"_"&amp;$C$23:$C$45,$D$23:$D$45)*$E1861)</f>
        <v>7.37769319492504</v>
      </c>
      <c r="L1861" s="67" cm="1">
        <f ca="1" t="array" ref="L1861">MIN(6,_xlfn.XLOOKUP($D1861&amp;"_"&amp;L$61,$B$23:$B$45&amp;"_"&amp;$C$23:$C$45,$D$23:$D$45)*$E1861)</f>
        <v>6</v>
      </c>
      <c r="M1861" s="67" cm="1">
        <f ca="1" t="array" ref="M1861">(1+SUMPRODUCT(G1861:H1861,OFFSET($H$49:$I$49,D1861,0)))*(1+OFFSET($J$49,D1861,0))^I1861*(1+OFFSET($K$49,D1861,0))^J1861*(1+OFFSET($L$49,D1861,0))^K1861*(1+OFFSET($M$49,D1861,0))^L1861</f>
        <v>509.906596137568</v>
      </c>
      <c r="N1861" s="67">
        <f ca="1">MAX(MAX($N$62:N1860),OFFSET($C$61,MATCH(M1861*1.07,$M$62:$M$2061,1),0)-C1861)</f>
        <v>56160</v>
      </c>
    </row>
    <row r="1862" spans="2:14">
      <c r="B1862" s="67">
        <v>1801</v>
      </c>
      <c r="C1862" s="67">
        <f t="shared" si="169"/>
        <v>648360</v>
      </c>
      <c r="D1862" s="67">
        <f t="shared" si="172"/>
        <v>5</v>
      </c>
      <c r="E1862" s="67">
        <f ca="1" t="shared" si="173"/>
        <v>1831</v>
      </c>
      <c r="F1862" s="67">
        <f ca="1" t="shared" si="170"/>
        <v>0</v>
      </c>
      <c r="G1862" s="67">
        <f ca="1" t="shared" si="171"/>
        <v>0</v>
      </c>
      <c r="H1862" s="67" cm="1">
        <f ca="1" t="array" ref="H1862">MIN(30-SUM(I1862:L1862),_xlfn.XLOOKUP($D1862&amp;"_"&amp;H$61,$B$23:$B$45&amp;"_"&amp;$C$23:$C$45,$D$23:$D$45)*$E1862,18)</f>
        <v>8.61827527873894</v>
      </c>
      <c r="I1862" s="67" cm="1">
        <f ca="1" t="array" ref="I1862">MIN(30-SUM(J1862:L1862),6-L1862,_xlfn.XLOOKUP($D1862&amp;"_"&amp;I$61,$B$23:$B$45&amp;"_"&amp;$C$23:$C$45,$D$23:$D$45)*$E1862)</f>
        <v>0</v>
      </c>
      <c r="J1862" s="67" cm="1">
        <f ca="1" t="array" ref="J1862">MIN(8,_xlfn.XLOOKUP($D1862&amp;"_"&amp;J$61,$B$23:$B$45&amp;"_"&amp;$C$23:$C$45,$D$23:$D$45)*$E1862)</f>
        <v>8</v>
      </c>
      <c r="K1862" s="67" cm="1">
        <f ca="1" t="array" ref="K1862">MIN(18,_xlfn.XLOOKUP($D1862&amp;"_"&amp;K$61,$B$23:$B$45&amp;"_"&amp;$C$23:$C$45,$D$23:$D$45)*$E1862)</f>
        <v>7.38172472126106</v>
      </c>
      <c r="L1862" s="67" cm="1">
        <f ca="1" t="array" ref="L1862">MIN(6,_xlfn.XLOOKUP($D1862&amp;"_"&amp;L$61,$B$23:$B$45&amp;"_"&amp;$C$23:$C$45,$D$23:$D$45)*$E1862)</f>
        <v>6</v>
      </c>
      <c r="M1862" s="67" cm="1">
        <f ca="1" t="array" ref="M1862">(1+SUMPRODUCT(G1862:H1862,OFFSET($H$49:$I$49,D1862,0)))*(1+OFFSET($J$49,D1862,0))^I1862*(1+OFFSET($K$49,D1862,0))^J1862*(1+OFFSET($L$49,D1862,0))^K1862*(1+OFFSET($M$49,D1862,0))^L1862</f>
        <v>510.130514688441</v>
      </c>
      <c r="N1862" s="67">
        <f ca="1">MAX(MAX($N$62:N1861),OFFSET($C$61,MATCH(M1862*1.07,$M$62:$M$2061,1),0)-C1862)</f>
        <v>56160</v>
      </c>
    </row>
    <row r="1863" spans="2:14">
      <c r="B1863" s="67">
        <v>1802</v>
      </c>
      <c r="C1863" s="67">
        <f t="shared" si="169"/>
        <v>648720</v>
      </c>
      <c r="D1863" s="67">
        <f t="shared" si="172"/>
        <v>5</v>
      </c>
      <c r="E1863" s="67">
        <f ca="1" t="shared" si="173"/>
        <v>1832</v>
      </c>
      <c r="F1863" s="67">
        <f ca="1" t="shared" si="170"/>
        <v>0</v>
      </c>
      <c r="G1863" s="67">
        <f ca="1" t="shared" si="171"/>
        <v>0</v>
      </c>
      <c r="H1863" s="67" cm="1">
        <f ca="1" t="array" ref="H1863">MIN(30-SUM(I1863:L1863),_xlfn.XLOOKUP($D1863&amp;"_"&amp;H$61,$B$23:$B$45&amp;"_"&amp;$C$23:$C$45,$D$23:$D$45)*$E1863,18)</f>
        <v>8.61424375240291</v>
      </c>
      <c r="I1863" s="67" cm="1">
        <f ca="1" t="array" ref="I1863">MIN(30-SUM(J1863:L1863),6-L1863,_xlfn.XLOOKUP($D1863&amp;"_"&amp;I$61,$B$23:$B$45&amp;"_"&amp;$C$23:$C$45,$D$23:$D$45)*$E1863)</f>
        <v>0</v>
      </c>
      <c r="J1863" s="67" cm="1">
        <f ca="1" t="array" ref="J1863">MIN(8,_xlfn.XLOOKUP($D1863&amp;"_"&amp;J$61,$B$23:$B$45&amp;"_"&amp;$C$23:$C$45,$D$23:$D$45)*$E1863)</f>
        <v>8</v>
      </c>
      <c r="K1863" s="67" cm="1">
        <f ca="1" t="array" ref="K1863">MIN(18,_xlfn.XLOOKUP($D1863&amp;"_"&amp;K$61,$B$23:$B$45&amp;"_"&amp;$C$23:$C$45,$D$23:$D$45)*$E1863)</f>
        <v>7.38575624759708</v>
      </c>
      <c r="L1863" s="67" cm="1">
        <f ca="1" t="array" ref="L1863">MIN(6,_xlfn.XLOOKUP($D1863&amp;"_"&amp;L$61,$B$23:$B$45&amp;"_"&amp;$C$23:$C$45,$D$23:$D$45)*$E1863)</f>
        <v>6</v>
      </c>
      <c r="M1863" s="67" cm="1">
        <f ca="1" t="array" ref="M1863">(1+SUMPRODUCT(G1863:H1863,OFFSET($H$49:$I$49,D1863,0)))*(1+OFFSET($J$49,D1863,0))^I1863*(1+OFFSET($K$49,D1863,0))^J1863*(1+OFFSET($L$49,D1863,0))^K1863*(1+OFFSET($M$49,D1863,0))^L1863</f>
        <v>510.354486843413</v>
      </c>
      <c r="N1863" s="67">
        <f ca="1">MAX(MAX($N$62:N1862),OFFSET($C$61,MATCH(M1863*1.07,$M$62:$M$2061,1),0)-C1863)</f>
        <v>56160</v>
      </c>
    </row>
    <row r="1864" spans="2:14">
      <c r="B1864" s="67">
        <v>1803</v>
      </c>
      <c r="C1864" s="67">
        <f t="shared" si="169"/>
        <v>649080</v>
      </c>
      <c r="D1864" s="67">
        <f t="shared" si="172"/>
        <v>5</v>
      </c>
      <c r="E1864" s="67">
        <f ca="1" t="shared" si="173"/>
        <v>1833</v>
      </c>
      <c r="F1864" s="67">
        <f ca="1" t="shared" si="170"/>
        <v>0</v>
      </c>
      <c r="G1864" s="67">
        <f ca="1" t="shared" si="171"/>
        <v>0</v>
      </c>
      <c r="H1864" s="67" cm="1">
        <f ca="1" t="array" ref="H1864">MIN(30-SUM(I1864:L1864),_xlfn.XLOOKUP($D1864&amp;"_"&amp;H$61,$B$23:$B$45&amp;"_"&amp;$C$23:$C$45,$D$23:$D$45)*$E1864,18)</f>
        <v>8.61021222606689</v>
      </c>
      <c r="I1864" s="67" cm="1">
        <f ca="1" t="array" ref="I1864">MIN(30-SUM(J1864:L1864),6-L1864,_xlfn.XLOOKUP($D1864&amp;"_"&amp;I$61,$B$23:$B$45&amp;"_"&amp;$C$23:$C$45,$D$23:$D$45)*$E1864)</f>
        <v>0</v>
      </c>
      <c r="J1864" s="67" cm="1">
        <f ca="1" t="array" ref="J1864">MIN(8,_xlfn.XLOOKUP($D1864&amp;"_"&amp;J$61,$B$23:$B$45&amp;"_"&amp;$C$23:$C$45,$D$23:$D$45)*$E1864)</f>
        <v>8</v>
      </c>
      <c r="K1864" s="67" cm="1">
        <f ca="1" t="array" ref="K1864">MIN(18,_xlfn.XLOOKUP($D1864&amp;"_"&amp;K$61,$B$23:$B$45&amp;"_"&amp;$C$23:$C$45,$D$23:$D$45)*$E1864)</f>
        <v>7.38978777393311</v>
      </c>
      <c r="L1864" s="67" cm="1">
        <f ca="1" t="array" ref="L1864">MIN(6,_xlfn.XLOOKUP($D1864&amp;"_"&amp;L$61,$B$23:$B$45&amp;"_"&amp;$C$23:$C$45,$D$23:$D$45)*$E1864)</f>
        <v>6</v>
      </c>
      <c r="M1864" s="67" cm="1">
        <f ca="1" t="array" ref="M1864">(1+SUMPRODUCT(G1864:H1864,OFFSET($H$49:$I$49,D1864,0)))*(1+OFFSET($J$49,D1864,0))^I1864*(1+OFFSET($K$49,D1864,0))^J1864*(1+OFFSET($L$49,D1864,0))^K1864*(1+OFFSET($M$49,D1864,0))^L1864</f>
        <v>510.578512560247</v>
      </c>
      <c r="N1864" s="67">
        <f ca="1">MAX(MAX($N$62:N1863),OFFSET($C$61,MATCH(M1864*1.07,$M$62:$M$2061,1),0)-C1864)</f>
        <v>56160</v>
      </c>
    </row>
    <row r="1865" spans="2:14">
      <c r="B1865" s="67">
        <v>1804</v>
      </c>
      <c r="C1865" s="67">
        <f t="shared" si="169"/>
        <v>649440</v>
      </c>
      <c r="D1865" s="67">
        <f t="shared" si="172"/>
        <v>5</v>
      </c>
      <c r="E1865" s="67">
        <f ca="1" t="shared" si="173"/>
        <v>1834</v>
      </c>
      <c r="F1865" s="67">
        <f ca="1" t="shared" si="170"/>
        <v>0</v>
      </c>
      <c r="G1865" s="67">
        <f ca="1" t="shared" si="171"/>
        <v>0</v>
      </c>
      <c r="H1865" s="67" cm="1">
        <f ca="1" t="array" ref="H1865">MIN(30-SUM(I1865:L1865),_xlfn.XLOOKUP($D1865&amp;"_"&amp;H$61,$B$23:$B$45&amp;"_"&amp;$C$23:$C$45,$D$23:$D$45)*$E1865,18)</f>
        <v>8.60618069973086</v>
      </c>
      <c r="I1865" s="67" cm="1">
        <f ca="1" t="array" ref="I1865">MIN(30-SUM(J1865:L1865),6-L1865,_xlfn.XLOOKUP($D1865&amp;"_"&amp;I$61,$B$23:$B$45&amp;"_"&amp;$C$23:$C$45,$D$23:$D$45)*$E1865)</f>
        <v>0</v>
      </c>
      <c r="J1865" s="67" cm="1">
        <f ca="1" t="array" ref="J1865">MIN(8,_xlfn.XLOOKUP($D1865&amp;"_"&amp;J$61,$B$23:$B$45&amp;"_"&amp;$C$23:$C$45,$D$23:$D$45)*$E1865)</f>
        <v>8</v>
      </c>
      <c r="K1865" s="67" cm="1">
        <f ca="1" t="array" ref="K1865">MIN(18,_xlfn.XLOOKUP($D1865&amp;"_"&amp;K$61,$B$23:$B$45&amp;"_"&amp;$C$23:$C$45,$D$23:$D$45)*$E1865)</f>
        <v>7.39381930026913</v>
      </c>
      <c r="L1865" s="67" cm="1">
        <f ca="1" t="array" ref="L1865">MIN(6,_xlfn.XLOOKUP($D1865&amp;"_"&amp;L$61,$B$23:$B$45&amp;"_"&amp;$C$23:$C$45,$D$23:$D$45)*$E1865)</f>
        <v>6</v>
      </c>
      <c r="M1865" s="67" cm="1">
        <f ca="1" t="array" ref="M1865">(1+SUMPRODUCT(G1865:H1865,OFFSET($H$49:$I$49,D1865,0)))*(1+OFFSET($J$49,D1865,0))^I1865*(1+OFFSET($K$49,D1865,0))^J1865*(1+OFFSET($L$49,D1865,0))^K1865*(1+OFFSET($M$49,D1865,0))^L1865</f>
        <v>510.802591796615</v>
      </c>
      <c r="N1865" s="67">
        <f ca="1">MAX(MAX($N$62:N1864),OFFSET($C$61,MATCH(M1865*1.07,$M$62:$M$2061,1),0)-C1865)</f>
        <v>56160</v>
      </c>
    </row>
    <row r="1866" spans="2:14">
      <c r="B1866" s="67">
        <v>1805</v>
      </c>
      <c r="C1866" s="67">
        <f t="shared" si="169"/>
        <v>649800</v>
      </c>
      <c r="D1866" s="67">
        <f t="shared" si="172"/>
        <v>5</v>
      </c>
      <c r="E1866" s="67">
        <f ca="1" t="shared" si="173"/>
        <v>1835</v>
      </c>
      <c r="F1866" s="67">
        <f ca="1" t="shared" si="170"/>
        <v>0</v>
      </c>
      <c r="G1866" s="67">
        <f ca="1" t="shared" si="171"/>
        <v>0</v>
      </c>
      <c r="H1866" s="67" cm="1">
        <f ca="1" t="array" ref="H1866">MIN(30-SUM(I1866:L1866),_xlfn.XLOOKUP($D1866&amp;"_"&amp;H$61,$B$23:$B$45&amp;"_"&amp;$C$23:$C$45,$D$23:$D$45)*$E1866,18)</f>
        <v>8.60214917339484</v>
      </c>
      <c r="I1866" s="67" cm="1">
        <f ca="1" t="array" ref="I1866">MIN(30-SUM(J1866:L1866),6-L1866,_xlfn.XLOOKUP($D1866&amp;"_"&amp;I$61,$B$23:$B$45&amp;"_"&amp;$C$23:$C$45,$D$23:$D$45)*$E1866)</f>
        <v>0</v>
      </c>
      <c r="J1866" s="67" cm="1">
        <f ca="1" t="array" ref="J1866">MIN(8,_xlfn.XLOOKUP($D1866&amp;"_"&amp;J$61,$B$23:$B$45&amp;"_"&amp;$C$23:$C$45,$D$23:$D$45)*$E1866)</f>
        <v>8</v>
      </c>
      <c r="K1866" s="67" cm="1">
        <f ca="1" t="array" ref="K1866">MIN(18,_xlfn.XLOOKUP($D1866&amp;"_"&amp;K$61,$B$23:$B$45&amp;"_"&amp;$C$23:$C$45,$D$23:$D$45)*$E1866)</f>
        <v>7.39785082660516</v>
      </c>
      <c r="L1866" s="67" cm="1">
        <f ca="1" t="array" ref="L1866">MIN(6,_xlfn.XLOOKUP($D1866&amp;"_"&amp;L$61,$B$23:$B$45&amp;"_"&amp;$C$23:$C$45,$D$23:$D$45)*$E1866)</f>
        <v>6</v>
      </c>
      <c r="M1866" s="67" cm="1">
        <f ca="1" t="array" ref="M1866">(1+SUMPRODUCT(G1866:H1866,OFFSET($H$49:$I$49,D1866,0)))*(1+OFFSET($J$49,D1866,0))^I1866*(1+OFFSET($K$49,D1866,0))^J1866*(1+OFFSET($L$49,D1866,0))^K1866*(1+OFFSET($M$49,D1866,0))^L1866</f>
        <v>511.0267245101</v>
      </c>
      <c r="N1866" s="67">
        <f ca="1">MAX(MAX($N$62:N1865),OFFSET($C$61,MATCH(M1866*1.07,$M$62:$M$2061,1),0)-C1866)</f>
        <v>56160</v>
      </c>
    </row>
    <row r="1867" spans="2:14">
      <c r="B1867" s="67">
        <v>1806</v>
      </c>
      <c r="C1867" s="67">
        <f t="shared" si="169"/>
        <v>650160</v>
      </c>
      <c r="D1867" s="67">
        <f t="shared" si="172"/>
        <v>5</v>
      </c>
      <c r="E1867" s="67">
        <f ca="1" t="shared" si="173"/>
        <v>1836</v>
      </c>
      <c r="F1867" s="67">
        <f ca="1" t="shared" si="170"/>
        <v>0</v>
      </c>
      <c r="G1867" s="67">
        <f ca="1" t="shared" si="171"/>
        <v>0</v>
      </c>
      <c r="H1867" s="67" cm="1">
        <f ca="1" t="array" ref="H1867">MIN(30-SUM(I1867:L1867),_xlfn.XLOOKUP($D1867&amp;"_"&amp;H$61,$B$23:$B$45&amp;"_"&amp;$C$23:$C$45,$D$23:$D$45)*$E1867,18)</f>
        <v>8.59811764705882</v>
      </c>
      <c r="I1867" s="67" cm="1">
        <f ca="1" t="array" ref="I1867">MIN(30-SUM(J1867:L1867),6-L1867,_xlfn.XLOOKUP($D1867&amp;"_"&amp;I$61,$B$23:$B$45&amp;"_"&amp;$C$23:$C$45,$D$23:$D$45)*$E1867)</f>
        <v>0</v>
      </c>
      <c r="J1867" s="67" cm="1">
        <f ca="1" t="array" ref="J1867">MIN(8,_xlfn.XLOOKUP($D1867&amp;"_"&amp;J$61,$B$23:$B$45&amp;"_"&amp;$C$23:$C$45,$D$23:$D$45)*$E1867)</f>
        <v>8</v>
      </c>
      <c r="K1867" s="67" cm="1">
        <f ca="1" t="array" ref="K1867">MIN(18,_xlfn.XLOOKUP($D1867&amp;"_"&amp;K$61,$B$23:$B$45&amp;"_"&amp;$C$23:$C$45,$D$23:$D$45)*$E1867)</f>
        <v>7.40188235294118</v>
      </c>
      <c r="L1867" s="67" cm="1">
        <f ca="1" t="array" ref="L1867">MIN(6,_xlfn.XLOOKUP($D1867&amp;"_"&amp;L$61,$B$23:$B$45&amp;"_"&amp;$C$23:$C$45,$D$23:$D$45)*$E1867)</f>
        <v>6</v>
      </c>
      <c r="M1867" s="67" cm="1">
        <f ca="1" t="array" ref="M1867">(1+SUMPRODUCT(G1867:H1867,OFFSET($H$49:$I$49,D1867,0)))*(1+OFFSET($J$49,D1867,0))^I1867*(1+OFFSET($K$49,D1867,0))^J1867*(1+OFFSET($L$49,D1867,0))^K1867*(1+OFFSET($M$49,D1867,0))^L1867</f>
        <v>511.250910658193</v>
      </c>
      <c r="N1867" s="67">
        <f ca="1">MAX(MAX($N$62:N1866),OFFSET($C$61,MATCH(M1867*1.07,$M$62:$M$2061,1),0)-C1867)</f>
        <v>56160</v>
      </c>
    </row>
    <row r="1868" spans="2:14">
      <c r="B1868" s="67">
        <v>1807</v>
      </c>
      <c r="C1868" s="67">
        <f t="shared" si="169"/>
        <v>650520</v>
      </c>
      <c r="D1868" s="67">
        <f t="shared" si="172"/>
        <v>5</v>
      </c>
      <c r="E1868" s="67">
        <f ca="1" t="shared" si="173"/>
        <v>1837</v>
      </c>
      <c r="F1868" s="67">
        <f ca="1" t="shared" si="170"/>
        <v>0</v>
      </c>
      <c r="G1868" s="67">
        <f ca="1" t="shared" si="171"/>
        <v>0</v>
      </c>
      <c r="H1868" s="67" cm="1">
        <f ca="1" t="array" ref="H1868">MIN(30-SUM(I1868:L1868),_xlfn.XLOOKUP($D1868&amp;"_"&amp;H$61,$B$23:$B$45&amp;"_"&amp;$C$23:$C$45,$D$23:$D$45)*$E1868,18)</f>
        <v>8.59408612072279</v>
      </c>
      <c r="I1868" s="67" cm="1">
        <f ca="1" t="array" ref="I1868">MIN(30-SUM(J1868:L1868),6-L1868,_xlfn.XLOOKUP($D1868&amp;"_"&amp;I$61,$B$23:$B$45&amp;"_"&amp;$C$23:$C$45,$D$23:$D$45)*$E1868)</f>
        <v>0</v>
      </c>
      <c r="J1868" s="67" cm="1">
        <f ca="1" t="array" ref="J1868">MIN(8,_xlfn.XLOOKUP($D1868&amp;"_"&amp;J$61,$B$23:$B$45&amp;"_"&amp;$C$23:$C$45,$D$23:$D$45)*$E1868)</f>
        <v>8</v>
      </c>
      <c r="K1868" s="67" cm="1">
        <f ca="1" t="array" ref="K1868">MIN(18,_xlfn.XLOOKUP($D1868&amp;"_"&amp;K$61,$B$23:$B$45&amp;"_"&amp;$C$23:$C$45,$D$23:$D$45)*$E1868)</f>
        <v>7.40591387927721</v>
      </c>
      <c r="L1868" s="67" cm="1">
        <f ca="1" t="array" ref="L1868">MIN(6,_xlfn.XLOOKUP($D1868&amp;"_"&amp;L$61,$B$23:$B$45&amp;"_"&amp;$C$23:$C$45,$D$23:$D$45)*$E1868)</f>
        <v>6</v>
      </c>
      <c r="M1868" s="67" cm="1">
        <f ca="1" t="array" ref="M1868">(1+SUMPRODUCT(G1868:H1868,OFFSET($H$49:$I$49,D1868,0)))*(1+OFFSET($J$49,D1868,0))^I1868*(1+OFFSET($K$49,D1868,0))^J1868*(1+OFFSET($L$49,D1868,0))^K1868*(1+OFFSET($M$49,D1868,0))^L1868</f>
        <v>511.475150198291</v>
      </c>
      <c r="N1868" s="67">
        <f ca="1">MAX(MAX($N$62:N1867),OFFSET($C$61,MATCH(M1868*1.07,$M$62:$M$2061,1),0)-C1868)</f>
        <v>56160</v>
      </c>
    </row>
    <row r="1869" spans="2:14">
      <c r="B1869" s="67">
        <v>1808</v>
      </c>
      <c r="C1869" s="67">
        <f t="shared" si="169"/>
        <v>650880</v>
      </c>
      <c r="D1869" s="67">
        <f t="shared" si="172"/>
        <v>5</v>
      </c>
      <c r="E1869" s="67">
        <f ca="1" t="shared" si="173"/>
        <v>1838</v>
      </c>
      <c r="F1869" s="67">
        <f ca="1" t="shared" si="170"/>
        <v>0</v>
      </c>
      <c r="G1869" s="67">
        <f ca="1" t="shared" si="171"/>
        <v>0</v>
      </c>
      <c r="H1869" s="67" cm="1">
        <f ca="1" t="array" ref="H1869">MIN(30-SUM(I1869:L1869),_xlfn.XLOOKUP($D1869&amp;"_"&amp;H$61,$B$23:$B$45&amp;"_"&amp;$C$23:$C$45,$D$23:$D$45)*$E1869,18)</f>
        <v>8.59005459438677</v>
      </c>
      <c r="I1869" s="67" cm="1">
        <f ca="1" t="array" ref="I1869">MIN(30-SUM(J1869:L1869),6-L1869,_xlfn.XLOOKUP($D1869&amp;"_"&amp;I$61,$B$23:$B$45&amp;"_"&amp;$C$23:$C$45,$D$23:$D$45)*$E1869)</f>
        <v>0</v>
      </c>
      <c r="J1869" s="67" cm="1">
        <f ca="1" t="array" ref="J1869">MIN(8,_xlfn.XLOOKUP($D1869&amp;"_"&amp;J$61,$B$23:$B$45&amp;"_"&amp;$C$23:$C$45,$D$23:$D$45)*$E1869)</f>
        <v>8</v>
      </c>
      <c r="K1869" s="67" cm="1">
        <f ca="1" t="array" ref="K1869">MIN(18,_xlfn.XLOOKUP($D1869&amp;"_"&amp;K$61,$B$23:$B$45&amp;"_"&amp;$C$23:$C$45,$D$23:$D$45)*$E1869)</f>
        <v>7.40994540561323</v>
      </c>
      <c r="L1869" s="67" cm="1">
        <f ca="1" t="array" ref="L1869">MIN(6,_xlfn.XLOOKUP($D1869&amp;"_"&amp;L$61,$B$23:$B$45&amp;"_"&amp;$C$23:$C$45,$D$23:$D$45)*$E1869)</f>
        <v>6</v>
      </c>
      <c r="M1869" s="67" cm="1">
        <f ca="1" t="array" ref="M1869">(1+SUMPRODUCT(G1869:H1869,OFFSET($H$49:$I$49,D1869,0)))*(1+OFFSET($J$49,D1869,0))^I1869*(1+OFFSET($K$49,D1869,0))^J1869*(1+OFFSET($L$49,D1869,0))^K1869*(1+OFFSET($M$49,D1869,0))^L1869</f>
        <v>511.699443087703</v>
      </c>
      <c r="N1869" s="67">
        <f ca="1">MAX(MAX($N$62:N1868),OFFSET($C$61,MATCH(M1869*1.07,$M$62:$M$2061,1),0)-C1869)</f>
        <v>56160</v>
      </c>
    </row>
    <row r="1870" spans="2:14">
      <c r="B1870" s="67">
        <v>1809</v>
      </c>
      <c r="C1870" s="67">
        <f t="shared" si="169"/>
        <v>651240</v>
      </c>
      <c r="D1870" s="67">
        <f t="shared" si="172"/>
        <v>5</v>
      </c>
      <c r="E1870" s="67">
        <f ca="1" t="shared" si="173"/>
        <v>1839</v>
      </c>
      <c r="F1870" s="67">
        <f ca="1" t="shared" si="170"/>
        <v>0</v>
      </c>
      <c r="G1870" s="67">
        <f ca="1" t="shared" si="171"/>
        <v>0</v>
      </c>
      <c r="H1870" s="67" cm="1">
        <f ca="1" t="array" ref="H1870">MIN(30-SUM(I1870:L1870),_xlfn.XLOOKUP($D1870&amp;"_"&amp;H$61,$B$23:$B$45&amp;"_"&amp;$C$23:$C$45,$D$23:$D$45)*$E1870,18)</f>
        <v>8.58602306805074</v>
      </c>
      <c r="I1870" s="67" cm="1">
        <f ca="1" t="array" ref="I1870">MIN(30-SUM(J1870:L1870),6-L1870,_xlfn.XLOOKUP($D1870&amp;"_"&amp;I$61,$B$23:$B$45&amp;"_"&amp;$C$23:$C$45,$D$23:$D$45)*$E1870)</f>
        <v>0</v>
      </c>
      <c r="J1870" s="67" cm="1">
        <f ca="1" t="array" ref="J1870">MIN(8,_xlfn.XLOOKUP($D1870&amp;"_"&amp;J$61,$B$23:$B$45&amp;"_"&amp;$C$23:$C$45,$D$23:$D$45)*$E1870)</f>
        <v>8</v>
      </c>
      <c r="K1870" s="67" cm="1">
        <f ca="1" t="array" ref="K1870">MIN(18,_xlfn.XLOOKUP($D1870&amp;"_"&amp;K$61,$B$23:$B$45&amp;"_"&amp;$C$23:$C$45,$D$23:$D$45)*$E1870)</f>
        <v>7.41397693194926</v>
      </c>
      <c r="L1870" s="67" cm="1">
        <f ca="1" t="array" ref="L1870">MIN(6,_xlfn.XLOOKUP($D1870&amp;"_"&amp;L$61,$B$23:$B$45&amp;"_"&amp;$C$23:$C$45,$D$23:$D$45)*$E1870)</f>
        <v>6</v>
      </c>
      <c r="M1870" s="67" cm="1">
        <f ca="1" t="array" ref="M1870">(1+SUMPRODUCT(G1870:H1870,OFFSET($H$49:$I$49,D1870,0)))*(1+OFFSET($J$49,D1870,0))^I1870*(1+OFFSET($K$49,D1870,0))^J1870*(1+OFFSET($L$49,D1870,0))^K1870*(1+OFFSET($M$49,D1870,0))^L1870</f>
        <v>511.923789283645</v>
      </c>
      <c r="N1870" s="67">
        <f ca="1">MAX(MAX($N$62:N1869),OFFSET($C$61,MATCH(M1870*1.07,$M$62:$M$2061,1),0)-C1870)</f>
        <v>56160</v>
      </c>
    </row>
    <row r="1871" spans="2:14">
      <c r="B1871" s="67">
        <v>1810</v>
      </c>
      <c r="C1871" s="67">
        <f t="shared" si="169"/>
        <v>651600</v>
      </c>
      <c r="D1871" s="67">
        <f t="shared" si="172"/>
        <v>5</v>
      </c>
      <c r="E1871" s="67">
        <f ca="1" t="shared" si="173"/>
        <v>1840</v>
      </c>
      <c r="F1871" s="67">
        <f ca="1" t="shared" si="170"/>
        <v>0</v>
      </c>
      <c r="G1871" s="67">
        <f ca="1" t="shared" si="171"/>
        <v>0</v>
      </c>
      <c r="H1871" s="67" cm="1">
        <f ca="1" t="array" ref="H1871">MIN(30-SUM(I1871:L1871),_xlfn.XLOOKUP($D1871&amp;"_"&amp;H$61,$B$23:$B$45&amp;"_"&amp;$C$23:$C$45,$D$23:$D$45)*$E1871,18)</f>
        <v>8.58199154171472</v>
      </c>
      <c r="I1871" s="67" cm="1">
        <f ca="1" t="array" ref="I1871">MIN(30-SUM(J1871:L1871),6-L1871,_xlfn.XLOOKUP($D1871&amp;"_"&amp;I$61,$B$23:$B$45&amp;"_"&amp;$C$23:$C$45,$D$23:$D$45)*$E1871)</f>
        <v>0</v>
      </c>
      <c r="J1871" s="67" cm="1">
        <f ca="1" t="array" ref="J1871">MIN(8,_xlfn.XLOOKUP($D1871&amp;"_"&amp;J$61,$B$23:$B$45&amp;"_"&amp;$C$23:$C$45,$D$23:$D$45)*$E1871)</f>
        <v>8</v>
      </c>
      <c r="K1871" s="67" cm="1">
        <f ca="1" t="array" ref="K1871">MIN(18,_xlfn.XLOOKUP($D1871&amp;"_"&amp;K$61,$B$23:$B$45&amp;"_"&amp;$C$23:$C$45,$D$23:$D$45)*$E1871)</f>
        <v>7.41800845828528</v>
      </c>
      <c r="L1871" s="67" cm="1">
        <f ca="1" t="array" ref="L1871">MIN(6,_xlfn.XLOOKUP($D1871&amp;"_"&amp;L$61,$B$23:$B$45&amp;"_"&amp;$C$23:$C$45,$D$23:$D$45)*$E1871)</f>
        <v>6</v>
      </c>
      <c r="M1871" s="67" cm="1">
        <f ca="1" t="array" ref="M1871">(1+SUMPRODUCT(G1871:H1871,OFFSET($H$49:$I$49,D1871,0)))*(1+OFFSET($J$49,D1871,0))^I1871*(1+OFFSET($K$49,D1871,0))^J1871*(1+OFFSET($L$49,D1871,0))^K1871*(1+OFFSET($M$49,D1871,0))^L1871</f>
        <v>512.14818874324</v>
      </c>
      <c r="N1871" s="67">
        <f ca="1">MAX(MAX($N$62:N1870),OFFSET($C$61,MATCH(M1871*1.07,$M$62:$M$2061,1),0)-C1871)</f>
        <v>56160</v>
      </c>
    </row>
    <row r="1872" spans="2:14">
      <c r="B1872" s="67">
        <v>1811</v>
      </c>
      <c r="C1872" s="67">
        <f t="shared" si="169"/>
        <v>651960</v>
      </c>
      <c r="D1872" s="67">
        <f t="shared" si="172"/>
        <v>5</v>
      </c>
      <c r="E1872" s="67">
        <f ca="1" t="shared" si="173"/>
        <v>1841</v>
      </c>
      <c r="F1872" s="67">
        <f ca="1" t="shared" si="170"/>
        <v>0</v>
      </c>
      <c r="G1872" s="67">
        <f ca="1" t="shared" si="171"/>
        <v>0</v>
      </c>
      <c r="H1872" s="67" cm="1">
        <f ca="1" t="array" ref="H1872">MIN(30-SUM(I1872:L1872),_xlfn.XLOOKUP($D1872&amp;"_"&amp;H$61,$B$23:$B$45&amp;"_"&amp;$C$23:$C$45,$D$23:$D$45)*$E1872,18)</f>
        <v>8.57796001537869</v>
      </c>
      <c r="I1872" s="67" cm="1">
        <f ca="1" t="array" ref="I1872">MIN(30-SUM(J1872:L1872),6-L1872,_xlfn.XLOOKUP($D1872&amp;"_"&amp;I$61,$B$23:$B$45&amp;"_"&amp;$C$23:$C$45,$D$23:$D$45)*$E1872)</f>
        <v>0</v>
      </c>
      <c r="J1872" s="67" cm="1">
        <f ca="1" t="array" ref="J1872">MIN(8,_xlfn.XLOOKUP($D1872&amp;"_"&amp;J$61,$B$23:$B$45&amp;"_"&amp;$C$23:$C$45,$D$23:$D$45)*$E1872)</f>
        <v>8</v>
      </c>
      <c r="K1872" s="67" cm="1">
        <f ca="1" t="array" ref="K1872">MIN(18,_xlfn.XLOOKUP($D1872&amp;"_"&amp;K$61,$B$23:$B$45&amp;"_"&amp;$C$23:$C$45,$D$23:$D$45)*$E1872)</f>
        <v>7.42203998462131</v>
      </c>
      <c r="L1872" s="67" cm="1">
        <f ca="1" t="array" ref="L1872">MIN(6,_xlfn.XLOOKUP($D1872&amp;"_"&amp;L$61,$B$23:$B$45&amp;"_"&amp;$C$23:$C$45,$D$23:$D$45)*$E1872)</f>
        <v>6</v>
      </c>
      <c r="M1872" s="67" cm="1">
        <f ca="1" t="array" ref="M1872">(1+SUMPRODUCT(G1872:H1872,OFFSET($H$49:$I$49,D1872,0)))*(1+OFFSET($J$49,D1872,0))^I1872*(1+OFFSET($K$49,D1872,0))^J1872*(1+OFFSET($L$49,D1872,0))^K1872*(1+OFFSET($M$49,D1872,0))^L1872</f>
        <v>512.37264142352</v>
      </c>
      <c r="N1872" s="67">
        <f ca="1">MAX(MAX($N$62:N1871),OFFSET($C$61,MATCH(M1872*1.07,$M$62:$M$2061,1),0)-C1872)</f>
        <v>56160</v>
      </c>
    </row>
    <row r="1873" spans="2:14">
      <c r="B1873" s="67">
        <v>1812</v>
      </c>
      <c r="C1873" s="67">
        <f t="shared" si="169"/>
        <v>652320</v>
      </c>
      <c r="D1873" s="67">
        <f t="shared" si="172"/>
        <v>5</v>
      </c>
      <c r="E1873" s="67">
        <f ca="1" t="shared" si="173"/>
        <v>1842</v>
      </c>
      <c r="F1873" s="67">
        <f ca="1" t="shared" si="170"/>
        <v>0</v>
      </c>
      <c r="G1873" s="67">
        <f ca="1" t="shared" si="171"/>
        <v>0</v>
      </c>
      <c r="H1873" s="67" cm="1">
        <f ca="1" t="array" ref="H1873">MIN(30-SUM(I1873:L1873),_xlfn.XLOOKUP($D1873&amp;"_"&amp;H$61,$B$23:$B$45&amp;"_"&amp;$C$23:$C$45,$D$23:$D$45)*$E1873,18)</f>
        <v>8.57392848904267</v>
      </c>
      <c r="I1873" s="67" cm="1">
        <f ca="1" t="array" ref="I1873">MIN(30-SUM(J1873:L1873),6-L1873,_xlfn.XLOOKUP($D1873&amp;"_"&amp;I$61,$B$23:$B$45&amp;"_"&amp;$C$23:$C$45,$D$23:$D$45)*$E1873)</f>
        <v>0</v>
      </c>
      <c r="J1873" s="67" cm="1">
        <f ca="1" t="array" ref="J1873">MIN(8,_xlfn.XLOOKUP($D1873&amp;"_"&amp;J$61,$B$23:$B$45&amp;"_"&amp;$C$23:$C$45,$D$23:$D$45)*$E1873)</f>
        <v>8</v>
      </c>
      <c r="K1873" s="67" cm="1">
        <f ca="1" t="array" ref="K1873">MIN(18,_xlfn.XLOOKUP($D1873&amp;"_"&amp;K$61,$B$23:$B$45&amp;"_"&amp;$C$23:$C$45,$D$23:$D$45)*$E1873)</f>
        <v>7.42607151095733</v>
      </c>
      <c r="L1873" s="67" cm="1">
        <f ca="1" t="array" ref="L1873">MIN(6,_xlfn.XLOOKUP($D1873&amp;"_"&amp;L$61,$B$23:$B$45&amp;"_"&amp;$C$23:$C$45,$D$23:$D$45)*$E1873)</f>
        <v>6</v>
      </c>
      <c r="M1873" s="67" cm="1">
        <f ca="1" t="array" ref="M1873">(1+SUMPRODUCT(G1873:H1873,OFFSET($H$49:$I$49,D1873,0)))*(1+OFFSET($J$49,D1873,0))^I1873*(1+OFFSET($K$49,D1873,0))^J1873*(1+OFFSET($L$49,D1873,0))^K1873*(1+OFFSET($M$49,D1873,0))^L1873</f>
        <v>512.597147281427</v>
      </c>
      <c r="N1873" s="67">
        <f ca="1">MAX(MAX($N$62:N1872),OFFSET($C$61,MATCH(M1873*1.07,$M$62:$M$2061,1),0)-C1873)</f>
        <v>56520</v>
      </c>
    </row>
    <row r="1874" spans="2:14">
      <c r="B1874" s="67">
        <v>1813</v>
      </c>
      <c r="C1874" s="67">
        <f t="shared" si="169"/>
        <v>652680</v>
      </c>
      <c r="D1874" s="67">
        <f t="shared" si="172"/>
        <v>5</v>
      </c>
      <c r="E1874" s="67">
        <f ca="1" t="shared" si="173"/>
        <v>1843</v>
      </c>
      <c r="F1874" s="67">
        <f ca="1" t="shared" si="170"/>
        <v>0</v>
      </c>
      <c r="G1874" s="67">
        <f ca="1" t="shared" si="171"/>
        <v>0</v>
      </c>
      <c r="H1874" s="67" cm="1">
        <f ca="1" t="array" ref="H1874">MIN(30-SUM(I1874:L1874),_xlfn.XLOOKUP($D1874&amp;"_"&amp;H$61,$B$23:$B$45&amp;"_"&amp;$C$23:$C$45,$D$23:$D$45)*$E1874,18)</f>
        <v>8.56989696270664</v>
      </c>
      <c r="I1874" s="67" cm="1">
        <f ca="1" t="array" ref="I1874">MIN(30-SUM(J1874:L1874),6-L1874,_xlfn.XLOOKUP($D1874&amp;"_"&amp;I$61,$B$23:$B$45&amp;"_"&amp;$C$23:$C$45,$D$23:$D$45)*$E1874)</f>
        <v>0</v>
      </c>
      <c r="J1874" s="67" cm="1">
        <f ca="1" t="array" ref="J1874">MIN(8,_xlfn.XLOOKUP($D1874&amp;"_"&amp;J$61,$B$23:$B$45&amp;"_"&amp;$C$23:$C$45,$D$23:$D$45)*$E1874)</f>
        <v>8</v>
      </c>
      <c r="K1874" s="67" cm="1">
        <f ca="1" t="array" ref="K1874">MIN(18,_xlfn.XLOOKUP($D1874&amp;"_"&amp;K$61,$B$23:$B$45&amp;"_"&amp;$C$23:$C$45,$D$23:$D$45)*$E1874)</f>
        <v>7.43010303729336</v>
      </c>
      <c r="L1874" s="67" cm="1">
        <f ca="1" t="array" ref="L1874">MIN(6,_xlfn.XLOOKUP($D1874&amp;"_"&amp;L$61,$B$23:$B$45&amp;"_"&amp;$C$23:$C$45,$D$23:$D$45)*$E1874)</f>
        <v>6</v>
      </c>
      <c r="M1874" s="67" cm="1">
        <f ca="1" t="array" ref="M1874">(1+SUMPRODUCT(G1874:H1874,OFFSET($H$49:$I$49,D1874,0)))*(1+OFFSET($J$49,D1874,0))^I1874*(1+OFFSET($K$49,D1874,0))^J1874*(1+OFFSET($L$49,D1874,0))^K1874*(1+OFFSET($M$49,D1874,0))^L1874</f>
        <v>512.821706273807</v>
      </c>
      <c r="N1874" s="67">
        <f ca="1">MAX(MAX($N$62:N1873),OFFSET($C$61,MATCH(M1874*1.07,$M$62:$M$2061,1),0)-C1874)</f>
        <v>56520</v>
      </c>
    </row>
    <row r="1875" spans="2:14">
      <c r="B1875" s="67">
        <v>1814</v>
      </c>
      <c r="C1875" s="67">
        <f t="shared" si="169"/>
        <v>653040</v>
      </c>
      <c r="D1875" s="67">
        <f t="shared" si="172"/>
        <v>5</v>
      </c>
      <c r="E1875" s="67">
        <f ca="1" t="shared" si="173"/>
        <v>1844</v>
      </c>
      <c r="F1875" s="67">
        <f ca="1" t="shared" si="170"/>
        <v>0</v>
      </c>
      <c r="G1875" s="67">
        <f ca="1" t="shared" si="171"/>
        <v>0</v>
      </c>
      <c r="H1875" s="67" cm="1">
        <f ca="1" t="array" ref="H1875">MIN(30-SUM(I1875:L1875),_xlfn.XLOOKUP($D1875&amp;"_"&amp;H$61,$B$23:$B$45&amp;"_"&amp;$C$23:$C$45,$D$23:$D$45)*$E1875,18)</f>
        <v>8.56586543637062</v>
      </c>
      <c r="I1875" s="67" cm="1">
        <f ca="1" t="array" ref="I1875">MIN(30-SUM(J1875:L1875),6-L1875,_xlfn.XLOOKUP($D1875&amp;"_"&amp;I$61,$B$23:$B$45&amp;"_"&amp;$C$23:$C$45,$D$23:$D$45)*$E1875)</f>
        <v>0</v>
      </c>
      <c r="J1875" s="67" cm="1">
        <f ca="1" t="array" ref="J1875">MIN(8,_xlfn.XLOOKUP($D1875&amp;"_"&amp;J$61,$B$23:$B$45&amp;"_"&amp;$C$23:$C$45,$D$23:$D$45)*$E1875)</f>
        <v>8</v>
      </c>
      <c r="K1875" s="67" cm="1">
        <f ca="1" t="array" ref="K1875">MIN(18,_xlfn.XLOOKUP($D1875&amp;"_"&amp;K$61,$B$23:$B$45&amp;"_"&amp;$C$23:$C$45,$D$23:$D$45)*$E1875)</f>
        <v>7.43413456362938</v>
      </c>
      <c r="L1875" s="67" cm="1">
        <f ca="1" t="array" ref="L1875">MIN(6,_xlfn.XLOOKUP($D1875&amp;"_"&amp;L$61,$B$23:$B$45&amp;"_"&amp;$C$23:$C$45,$D$23:$D$45)*$E1875)</f>
        <v>6</v>
      </c>
      <c r="M1875" s="67" cm="1">
        <f ca="1" t="array" ref="M1875">(1+SUMPRODUCT(G1875:H1875,OFFSET($H$49:$I$49,D1875,0)))*(1+OFFSET($J$49,D1875,0))^I1875*(1+OFFSET($K$49,D1875,0))^J1875*(1+OFFSET($L$49,D1875,0))^K1875*(1+OFFSET($M$49,D1875,0))^L1875</f>
        <v>513.046318357417</v>
      </c>
      <c r="N1875" s="67">
        <f ca="1">MAX(MAX($N$62:N1874),OFFSET($C$61,MATCH(M1875*1.07,$M$62:$M$2061,1),0)-C1875)</f>
        <v>56520</v>
      </c>
    </row>
    <row r="1876" spans="2:14">
      <c r="B1876" s="67">
        <v>1815</v>
      </c>
      <c r="C1876" s="67">
        <f t="shared" si="169"/>
        <v>653400</v>
      </c>
      <c r="D1876" s="67">
        <f t="shared" si="172"/>
        <v>5</v>
      </c>
      <c r="E1876" s="67">
        <f ca="1" t="shared" si="173"/>
        <v>1845</v>
      </c>
      <c r="F1876" s="67">
        <f ca="1" t="shared" si="170"/>
        <v>0</v>
      </c>
      <c r="G1876" s="67">
        <f ca="1" t="shared" si="171"/>
        <v>0</v>
      </c>
      <c r="H1876" s="67" cm="1">
        <f ca="1" t="array" ref="H1876">MIN(30-SUM(I1876:L1876),_xlfn.XLOOKUP($D1876&amp;"_"&amp;H$61,$B$23:$B$45&amp;"_"&amp;$C$23:$C$45,$D$23:$D$45)*$E1876,18)</f>
        <v>8.56183391003459</v>
      </c>
      <c r="I1876" s="67" cm="1">
        <f ca="1" t="array" ref="I1876">MIN(30-SUM(J1876:L1876),6-L1876,_xlfn.XLOOKUP($D1876&amp;"_"&amp;I$61,$B$23:$B$45&amp;"_"&amp;$C$23:$C$45,$D$23:$D$45)*$E1876)</f>
        <v>0</v>
      </c>
      <c r="J1876" s="67" cm="1">
        <f ca="1" t="array" ref="J1876">MIN(8,_xlfn.XLOOKUP($D1876&amp;"_"&amp;J$61,$B$23:$B$45&amp;"_"&amp;$C$23:$C$45,$D$23:$D$45)*$E1876)</f>
        <v>8</v>
      </c>
      <c r="K1876" s="67" cm="1">
        <f ca="1" t="array" ref="K1876">MIN(18,_xlfn.XLOOKUP($D1876&amp;"_"&amp;K$61,$B$23:$B$45&amp;"_"&amp;$C$23:$C$45,$D$23:$D$45)*$E1876)</f>
        <v>7.4381660899654</v>
      </c>
      <c r="L1876" s="67" cm="1">
        <f ca="1" t="array" ref="L1876">MIN(6,_xlfn.XLOOKUP($D1876&amp;"_"&amp;L$61,$B$23:$B$45&amp;"_"&amp;$C$23:$C$45,$D$23:$D$45)*$E1876)</f>
        <v>6</v>
      </c>
      <c r="M1876" s="67" cm="1">
        <f ca="1" t="array" ref="M1876">(1+SUMPRODUCT(G1876:H1876,OFFSET($H$49:$I$49,D1876,0)))*(1+OFFSET($J$49,D1876,0))^I1876*(1+OFFSET($K$49,D1876,0))^J1876*(1+OFFSET($L$49,D1876,0))^K1876*(1+OFFSET($M$49,D1876,0))^L1876</f>
        <v>513.270983488921</v>
      </c>
      <c r="N1876" s="67">
        <f ca="1">MAX(MAX($N$62:N1875),OFFSET($C$61,MATCH(M1876*1.07,$M$62:$M$2061,1),0)-C1876)</f>
        <v>56520</v>
      </c>
    </row>
    <row r="1877" spans="2:14">
      <c r="B1877" s="67">
        <v>1816</v>
      </c>
      <c r="C1877" s="67">
        <f t="shared" si="169"/>
        <v>653760</v>
      </c>
      <c r="D1877" s="67">
        <f t="shared" si="172"/>
        <v>5</v>
      </c>
      <c r="E1877" s="67">
        <f ca="1" t="shared" si="173"/>
        <v>1846</v>
      </c>
      <c r="F1877" s="67">
        <f ca="1" t="shared" si="170"/>
        <v>0</v>
      </c>
      <c r="G1877" s="67">
        <f ca="1" t="shared" si="171"/>
        <v>0</v>
      </c>
      <c r="H1877" s="67" cm="1">
        <f ca="1" t="array" ref="H1877">MIN(30-SUM(I1877:L1877),_xlfn.XLOOKUP($D1877&amp;"_"&amp;H$61,$B$23:$B$45&amp;"_"&amp;$C$23:$C$45,$D$23:$D$45)*$E1877,18)</f>
        <v>8.55780238369857</v>
      </c>
      <c r="I1877" s="67" cm="1">
        <f ca="1" t="array" ref="I1877">MIN(30-SUM(J1877:L1877),6-L1877,_xlfn.XLOOKUP($D1877&amp;"_"&amp;I$61,$B$23:$B$45&amp;"_"&amp;$C$23:$C$45,$D$23:$D$45)*$E1877)</f>
        <v>0</v>
      </c>
      <c r="J1877" s="67" cm="1">
        <f ca="1" t="array" ref="J1877">MIN(8,_xlfn.XLOOKUP($D1877&amp;"_"&amp;J$61,$B$23:$B$45&amp;"_"&amp;$C$23:$C$45,$D$23:$D$45)*$E1877)</f>
        <v>8</v>
      </c>
      <c r="K1877" s="67" cm="1">
        <f ca="1" t="array" ref="K1877">MIN(18,_xlfn.XLOOKUP($D1877&amp;"_"&amp;K$61,$B$23:$B$45&amp;"_"&amp;$C$23:$C$45,$D$23:$D$45)*$E1877)</f>
        <v>7.44219761630143</v>
      </c>
      <c r="L1877" s="67" cm="1">
        <f ca="1" t="array" ref="L1877">MIN(6,_xlfn.XLOOKUP($D1877&amp;"_"&amp;L$61,$B$23:$B$45&amp;"_"&amp;$C$23:$C$45,$D$23:$D$45)*$E1877)</f>
        <v>6</v>
      </c>
      <c r="M1877" s="67" cm="1">
        <f ca="1" t="array" ref="M1877">(1+SUMPRODUCT(G1877:H1877,OFFSET($H$49:$I$49,D1877,0)))*(1+OFFSET($J$49,D1877,0))^I1877*(1+OFFSET($K$49,D1877,0))^J1877*(1+OFFSET($L$49,D1877,0))^K1877*(1+OFFSET($M$49,D1877,0))^L1877</f>
        <v>513.495701624889</v>
      </c>
      <c r="N1877" s="67">
        <f ca="1">MAX(MAX($N$62:N1876),OFFSET($C$61,MATCH(M1877*1.07,$M$62:$M$2061,1),0)-C1877)</f>
        <v>56520</v>
      </c>
    </row>
    <row r="1878" spans="2:14">
      <c r="B1878" s="67">
        <v>1817</v>
      </c>
      <c r="C1878" s="67">
        <f t="shared" si="169"/>
        <v>654120</v>
      </c>
      <c r="D1878" s="67">
        <f t="shared" si="172"/>
        <v>5</v>
      </c>
      <c r="E1878" s="67">
        <f ca="1" t="shared" si="173"/>
        <v>1847</v>
      </c>
      <c r="F1878" s="67">
        <f ca="1" t="shared" si="170"/>
        <v>0</v>
      </c>
      <c r="G1878" s="67">
        <f ca="1" t="shared" si="171"/>
        <v>0</v>
      </c>
      <c r="H1878" s="67" cm="1">
        <f ca="1" t="array" ref="H1878">MIN(30-SUM(I1878:L1878),_xlfn.XLOOKUP($D1878&amp;"_"&amp;H$61,$B$23:$B$45&amp;"_"&amp;$C$23:$C$45,$D$23:$D$45)*$E1878,18)</f>
        <v>8.55377085736254</v>
      </c>
      <c r="I1878" s="67" cm="1">
        <f ca="1" t="array" ref="I1878">MIN(30-SUM(J1878:L1878),6-L1878,_xlfn.XLOOKUP($D1878&amp;"_"&amp;I$61,$B$23:$B$45&amp;"_"&amp;$C$23:$C$45,$D$23:$D$45)*$E1878)</f>
        <v>0</v>
      </c>
      <c r="J1878" s="67" cm="1">
        <f ca="1" t="array" ref="J1878">MIN(8,_xlfn.XLOOKUP($D1878&amp;"_"&amp;J$61,$B$23:$B$45&amp;"_"&amp;$C$23:$C$45,$D$23:$D$45)*$E1878)</f>
        <v>8</v>
      </c>
      <c r="K1878" s="67" cm="1">
        <f ca="1" t="array" ref="K1878">MIN(18,_xlfn.XLOOKUP($D1878&amp;"_"&amp;K$61,$B$23:$B$45&amp;"_"&amp;$C$23:$C$45,$D$23:$D$45)*$E1878)</f>
        <v>7.44622914263745</v>
      </c>
      <c r="L1878" s="67" cm="1">
        <f ca="1" t="array" ref="L1878">MIN(6,_xlfn.XLOOKUP($D1878&amp;"_"&amp;L$61,$B$23:$B$45&amp;"_"&amp;$C$23:$C$45,$D$23:$D$45)*$E1878)</f>
        <v>6</v>
      </c>
      <c r="M1878" s="67" cm="1">
        <f ca="1" t="array" ref="M1878">(1+SUMPRODUCT(G1878:H1878,OFFSET($H$49:$I$49,D1878,0)))*(1+OFFSET($J$49,D1878,0))^I1878*(1+OFFSET($K$49,D1878,0))^J1878*(1+OFFSET($L$49,D1878,0))^K1878*(1+OFFSET($M$49,D1878,0))^L1878</f>
        <v>513.7204727218</v>
      </c>
      <c r="N1878" s="67">
        <f ca="1">MAX(MAX($N$62:N1877),OFFSET($C$61,MATCH(M1878*1.07,$M$62:$M$2061,1),0)-C1878)</f>
        <v>56520</v>
      </c>
    </row>
    <row r="1879" spans="2:14">
      <c r="B1879" s="67">
        <v>1818</v>
      </c>
      <c r="C1879" s="67">
        <f t="shared" si="169"/>
        <v>654480</v>
      </c>
      <c r="D1879" s="67">
        <f t="shared" si="172"/>
        <v>5</v>
      </c>
      <c r="E1879" s="67">
        <f ca="1" t="shared" si="173"/>
        <v>1848</v>
      </c>
      <c r="F1879" s="67">
        <f ca="1" t="shared" si="170"/>
        <v>0</v>
      </c>
      <c r="G1879" s="67">
        <f ca="1" t="shared" si="171"/>
        <v>0</v>
      </c>
      <c r="H1879" s="67" cm="1">
        <f ca="1" t="array" ref="H1879">MIN(30-SUM(I1879:L1879),_xlfn.XLOOKUP($D1879&amp;"_"&amp;H$61,$B$23:$B$45&amp;"_"&amp;$C$23:$C$45,$D$23:$D$45)*$E1879,18)</f>
        <v>8.54973933102652</v>
      </c>
      <c r="I1879" s="67" cm="1">
        <f ca="1" t="array" ref="I1879">MIN(30-SUM(J1879:L1879),6-L1879,_xlfn.XLOOKUP($D1879&amp;"_"&amp;I$61,$B$23:$B$45&amp;"_"&amp;$C$23:$C$45,$D$23:$D$45)*$E1879)</f>
        <v>0</v>
      </c>
      <c r="J1879" s="67" cm="1">
        <f ca="1" t="array" ref="J1879">MIN(8,_xlfn.XLOOKUP($D1879&amp;"_"&amp;J$61,$B$23:$B$45&amp;"_"&amp;$C$23:$C$45,$D$23:$D$45)*$E1879)</f>
        <v>8</v>
      </c>
      <c r="K1879" s="67" cm="1">
        <f ca="1" t="array" ref="K1879">MIN(18,_xlfn.XLOOKUP($D1879&amp;"_"&amp;K$61,$B$23:$B$45&amp;"_"&amp;$C$23:$C$45,$D$23:$D$45)*$E1879)</f>
        <v>7.45026066897348</v>
      </c>
      <c r="L1879" s="67" cm="1">
        <f ca="1" t="array" ref="L1879">MIN(6,_xlfn.XLOOKUP($D1879&amp;"_"&amp;L$61,$B$23:$B$45&amp;"_"&amp;$C$23:$C$45,$D$23:$D$45)*$E1879)</f>
        <v>6</v>
      </c>
      <c r="M1879" s="67" cm="1">
        <f ca="1" t="array" ref="M1879">(1+SUMPRODUCT(G1879:H1879,OFFSET($H$49:$I$49,D1879,0)))*(1+OFFSET($J$49,D1879,0))^I1879*(1+OFFSET($K$49,D1879,0))^J1879*(1+OFFSET($L$49,D1879,0))^K1879*(1+OFFSET($M$49,D1879,0))^L1879</f>
        <v>513.94529673604</v>
      </c>
      <c r="N1879" s="67">
        <f ca="1">MAX(MAX($N$62:N1878),OFFSET($C$61,MATCH(M1879*1.07,$M$62:$M$2061,1),0)-C1879)</f>
        <v>56520</v>
      </c>
    </row>
    <row r="1880" spans="2:14">
      <c r="B1880" s="67">
        <v>1819</v>
      </c>
      <c r="C1880" s="67">
        <f t="shared" si="169"/>
        <v>654840</v>
      </c>
      <c r="D1880" s="67">
        <f t="shared" si="172"/>
        <v>5</v>
      </c>
      <c r="E1880" s="67">
        <f ca="1" t="shared" si="173"/>
        <v>1849</v>
      </c>
      <c r="F1880" s="67">
        <f ca="1" t="shared" si="170"/>
        <v>0</v>
      </c>
      <c r="G1880" s="67">
        <f ca="1" t="shared" si="171"/>
        <v>0</v>
      </c>
      <c r="H1880" s="67" cm="1">
        <f ca="1" t="array" ref="H1880">MIN(30-SUM(I1880:L1880),_xlfn.XLOOKUP($D1880&amp;"_"&amp;H$61,$B$23:$B$45&amp;"_"&amp;$C$23:$C$45,$D$23:$D$45)*$E1880,18)</f>
        <v>8.5457078046905</v>
      </c>
      <c r="I1880" s="67" cm="1">
        <f ca="1" t="array" ref="I1880">MIN(30-SUM(J1880:L1880),6-L1880,_xlfn.XLOOKUP($D1880&amp;"_"&amp;I$61,$B$23:$B$45&amp;"_"&amp;$C$23:$C$45,$D$23:$D$45)*$E1880)</f>
        <v>0</v>
      </c>
      <c r="J1880" s="67" cm="1">
        <f ca="1" t="array" ref="J1880">MIN(8,_xlfn.XLOOKUP($D1880&amp;"_"&amp;J$61,$B$23:$B$45&amp;"_"&amp;$C$23:$C$45,$D$23:$D$45)*$E1880)</f>
        <v>8</v>
      </c>
      <c r="K1880" s="67" cm="1">
        <f ca="1" t="array" ref="K1880">MIN(18,_xlfn.XLOOKUP($D1880&amp;"_"&amp;K$61,$B$23:$B$45&amp;"_"&amp;$C$23:$C$45,$D$23:$D$45)*$E1880)</f>
        <v>7.4542921953095</v>
      </c>
      <c r="L1880" s="67" cm="1">
        <f ca="1" t="array" ref="L1880">MIN(6,_xlfn.XLOOKUP($D1880&amp;"_"&amp;L$61,$B$23:$B$45&amp;"_"&amp;$C$23:$C$45,$D$23:$D$45)*$E1880)</f>
        <v>6</v>
      </c>
      <c r="M1880" s="67" cm="1">
        <f ca="1" t="array" ref="M1880">(1+SUMPRODUCT(G1880:H1880,OFFSET($H$49:$I$49,D1880,0)))*(1+OFFSET($J$49,D1880,0))^I1880*(1+OFFSET($K$49,D1880,0))^J1880*(1+OFFSET($L$49,D1880,0))^K1880*(1+OFFSET($M$49,D1880,0))^L1880</f>
        <v>514.170173623902</v>
      </c>
      <c r="N1880" s="67">
        <f ca="1">MAX(MAX($N$62:N1879),OFFSET($C$61,MATCH(M1880*1.07,$M$62:$M$2061,1),0)-C1880)</f>
        <v>56520</v>
      </c>
    </row>
    <row r="1881" spans="2:14">
      <c r="B1881" s="67">
        <v>1820</v>
      </c>
      <c r="C1881" s="67">
        <f t="shared" si="169"/>
        <v>655200</v>
      </c>
      <c r="D1881" s="67">
        <f t="shared" si="172"/>
        <v>5</v>
      </c>
      <c r="E1881" s="67">
        <f ca="1" t="shared" si="173"/>
        <v>1850</v>
      </c>
      <c r="F1881" s="67">
        <f ca="1" t="shared" si="170"/>
        <v>0</v>
      </c>
      <c r="G1881" s="67">
        <f ca="1" t="shared" si="171"/>
        <v>0</v>
      </c>
      <c r="H1881" s="67" cm="1">
        <f ca="1" t="array" ref="H1881">MIN(30-SUM(I1881:L1881),_xlfn.XLOOKUP($D1881&amp;"_"&amp;H$61,$B$23:$B$45&amp;"_"&amp;$C$23:$C$45,$D$23:$D$45)*$E1881,18)</f>
        <v>8.54167627835447</v>
      </c>
      <c r="I1881" s="67" cm="1">
        <f ca="1" t="array" ref="I1881">MIN(30-SUM(J1881:L1881),6-L1881,_xlfn.XLOOKUP($D1881&amp;"_"&amp;I$61,$B$23:$B$45&amp;"_"&amp;$C$23:$C$45,$D$23:$D$45)*$E1881)</f>
        <v>0</v>
      </c>
      <c r="J1881" s="67" cm="1">
        <f ca="1" t="array" ref="J1881">MIN(8,_xlfn.XLOOKUP($D1881&amp;"_"&amp;J$61,$B$23:$B$45&amp;"_"&amp;$C$23:$C$45,$D$23:$D$45)*$E1881)</f>
        <v>8</v>
      </c>
      <c r="K1881" s="67" cm="1">
        <f ca="1" t="array" ref="K1881">MIN(18,_xlfn.XLOOKUP($D1881&amp;"_"&amp;K$61,$B$23:$B$45&amp;"_"&amp;$C$23:$C$45,$D$23:$D$45)*$E1881)</f>
        <v>7.45832372164553</v>
      </c>
      <c r="L1881" s="67" cm="1">
        <f ca="1" t="array" ref="L1881">MIN(6,_xlfn.XLOOKUP($D1881&amp;"_"&amp;L$61,$B$23:$B$45&amp;"_"&amp;$C$23:$C$45,$D$23:$D$45)*$E1881)</f>
        <v>6</v>
      </c>
      <c r="M1881" s="67" cm="1">
        <f ca="1" t="array" ref="M1881">(1+SUMPRODUCT(G1881:H1881,OFFSET($H$49:$I$49,D1881,0)))*(1+OFFSET($J$49,D1881,0))^I1881*(1+OFFSET($K$49,D1881,0))^J1881*(1+OFFSET($L$49,D1881,0))^K1881*(1+OFFSET($M$49,D1881,0))^L1881</f>
        <v>514.395103341586</v>
      </c>
      <c r="N1881" s="67">
        <f ca="1">MAX(MAX($N$62:N1880),OFFSET($C$61,MATCH(M1881*1.07,$M$62:$M$2061,1),0)-C1881)</f>
        <v>56520</v>
      </c>
    </row>
    <row r="1882" spans="2:14">
      <c r="B1882" s="67">
        <v>1821</v>
      </c>
      <c r="C1882" s="67">
        <f t="shared" si="169"/>
        <v>655560</v>
      </c>
      <c r="D1882" s="67">
        <f t="shared" si="172"/>
        <v>5</v>
      </c>
      <c r="E1882" s="67">
        <f ca="1" t="shared" si="173"/>
        <v>1851</v>
      </c>
      <c r="F1882" s="67">
        <f ca="1" t="shared" si="170"/>
        <v>0</v>
      </c>
      <c r="G1882" s="67">
        <f ca="1" t="shared" si="171"/>
        <v>0</v>
      </c>
      <c r="H1882" s="67" cm="1">
        <f ca="1" t="array" ref="H1882">MIN(30-SUM(I1882:L1882),_xlfn.XLOOKUP($D1882&amp;"_"&amp;H$61,$B$23:$B$45&amp;"_"&amp;$C$23:$C$45,$D$23:$D$45)*$E1882,18)</f>
        <v>8.53764475201845</v>
      </c>
      <c r="I1882" s="67" cm="1">
        <f ca="1" t="array" ref="I1882">MIN(30-SUM(J1882:L1882),6-L1882,_xlfn.XLOOKUP($D1882&amp;"_"&amp;I$61,$B$23:$B$45&amp;"_"&amp;$C$23:$C$45,$D$23:$D$45)*$E1882)</f>
        <v>0</v>
      </c>
      <c r="J1882" s="67" cm="1">
        <f ca="1" t="array" ref="J1882">MIN(8,_xlfn.XLOOKUP($D1882&amp;"_"&amp;J$61,$B$23:$B$45&amp;"_"&amp;$C$23:$C$45,$D$23:$D$45)*$E1882)</f>
        <v>8</v>
      </c>
      <c r="K1882" s="67" cm="1">
        <f ca="1" t="array" ref="K1882">MIN(18,_xlfn.XLOOKUP($D1882&amp;"_"&amp;K$61,$B$23:$B$45&amp;"_"&amp;$C$23:$C$45,$D$23:$D$45)*$E1882)</f>
        <v>7.46235524798155</v>
      </c>
      <c r="L1882" s="67" cm="1">
        <f ca="1" t="array" ref="L1882">MIN(6,_xlfn.XLOOKUP($D1882&amp;"_"&amp;L$61,$B$23:$B$45&amp;"_"&amp;$C$23:$C$45,$D$23:$D$45)*$E1882)</f>
        <v>6</v>
      </c>
      <c r="M1882" s="67" cm="1">
        <f ca="1" t="array" ref="M1882">(1+SUMPRODUCT(G1882:H1882,OFFSET($H$49:$I$49,D1882,0)))*(1+OFFSET($J$49,D1882,0))^I1882*(1+OFFSET($K$49,D1882,0))^J1882*(1+OFFSET($L$49,D1882,0))^K1882*(1+OFFSET($M$49,D1882,0))^L1882</f>
        <v>514.6200858452</v>
      </c>
      <c r="N1882" s="67">
        <f ca="1">MAX(MAX($N$62:N1881),OFFSET($C$61,MATCH(M1882*1.07,$M$62:$M$2061,1),0)-C1882)</f>
        <v>56520</v>
      </c>
    </row>
    <row r="1883" spans="2:14">
      <c r="B1883" s="67">
        <v>1822</v>
      </c>
      <c r="C1883" s="67">
        <f t="shared" si="169"/>
        <v>655920</v>
      </c>
      <c r="D1883" s="67">
        <f t="shared" si="172"/>
        <v>5</v>
      </c>
      <c r="E1883" s="67">
        <f ca="1" t="shared" si="173"/>
        <v>1852</v>
      </c>
      <c r="F1883" s="67">
        <f ca="1" t="shared" si="170"/>
        <v>0</v>
      </c>
      <c r="G1883" s="67">
        <f ca="1" t="shared" si="171"/>
        <v>0</v>
      </c>
      <c r="H1883" s="67" cm="1">
        <f ca="1" t="array" ref="H1883">MIN(30-SUM(I1883:L1883),_xlfn.XLOOKUP($D1883&amp;"_"&amp;H$61,$B$23:$B$45&amp;"_"&amp;$C$23:$C$45,$D$23:$D$45)*$E1883,18)</f>
        <v>8.53361322568242</v>
      </c>
      <c r="I1883" s="67" cm="1">
        <f ca="1" t="array" ref="I1883">MIN(30-SUM(J1883:L1883),6-L1883,_xlfn.XLOOKUP($D1883&amp;"_"&amp;I$61,$B$23:$B$45&amp;"_"&amp;$C$23:$C$45,$D$23:$D$45)*$E1883)</f>
        <v>0</v>
      </c>
      <c r="J1883" s="67" cm="1">
        <f ca="1" t="array" ref="J1883">MIN(8,_xlfn.XLOOKUP($D1883&amp;"_"&amp;J$61,$B$23:$B$45&amp;"_"&amp;$C$23:$C$45,$D$23:$D$45)*$E1883)</f>
        <v>8</v>
      </c>
      <c r="K1883" s="67" cm="1">
        <f ca="1" t="array" ref="K1883">MIN(18,_xlfn.XLOOKUP($D1883&amp;"_"&amp;K$61,$B$23:$B$45&amp;"_"&amp;$C$23:$C$45,$D$23:$D$45)*$E1883)</f>
        <v>7.46638677431758</v>
      </c>
      <c r="L1883" s="67" cm="1">
        <f ca="1" t="array" ref="L1883">MIN(6,_xlfn.XLOOKUP($D1883&amp;"_"&amp;L$61,$B$23:$B$45&amp;"_"&amp;$C$23:$C$45,$D$23:$D$45)*$E1883)</f>
        <v>6</v>
      </c>
      <c r="M1883" s="67" cm="1">
        <f ca="1" t="array" ref="M1883">(1+SUMPRODUCT(G1883:H1883,OFFSET($H$49:$I$49,D1883,0)))*(1+OFFSET($J$49,D1883,0))^I1883*(1+OFFSET($K$49,D1883,0))^J1883*(1+OFFSET($L$49,D1883,0))^K1883*(1+OFFSET($M$49,D1883,0))^L1883</f>
        <v>514.845121090758</v>
      </c>
      <c r="N1883" s="67">
        <f ca="1">MAX(MAX($N$62:N1882),OFFSET($C$61,MATCH(M1883*1.07,$M$62:$M$2061,1),0)-C1883)</f>
        <v>56520</v>
      </c>
    </row>
    <row r="1884" spans="2:14">
      <c r="B1884" s="67">
        <v>1823</v>
      </c>
      <c r="C1884" s="67">
        <f t="shared" si="169"/>
        <v>656280</v>
      </c>
      <c r="D1884" s="67">
        <f t="shared" si="172"/>
        <v>5</v>
      </c>
      <c r="E1884" s="67">
        <f ca="1" t="shared" si="173"/>
        <v>1853</v>
      </c>
      <c r="F1884" s="67">
        <f ca="1" t="shared" si="170"/>
        <v>0</v>
      </c>
      <c r="G1884" s="67">
        <f ca="1" t="shared" si="171"/>
        <v>0</v>
      </c>
      <c r="H1884" s="67" cm="1">
        <f ca="1" t="array" ref="H1884">MIN(30-SUM(I1884:L1884),_xlfn.XLOOKUP($D1884&amp;"_"&amp;H$61,$B$23:$B$45&amp;"_"&amp;$C$23:$C$45,$D$23:$D$45)*$E1884,18)</f>
        <v>8.5295816993464</v>
      </c>
      <c r="I1884" s="67" cm="1">
        <f ca="1" t="array" ref="I1884">MIN(30-SUM(J1884:L1884),6-L1884,_xlfn.XLOOKUP($D1884&amp;"_"&amp;I$61,$B$23:$B$45&amp;"_"&amp;$C$23:$C$45,$D$23:$D$45)*$E1884)</f>
        <v>0</v>
      </c>
      <c r="J1884" s="67" cm="1">
        <f ca="1" t="array" ref="J1884">MIN(8,_xlfn.XLOOKUP($D1884&amp;"_"&amp;J$61,$B$23:$B$45&amp;"_"&amp;$C$23:$C$45,$D$23:$D$45)*$E1884)</f>
        <v>8</v>
      </c>
      <c r="K1884" s="67" cm="1">
        <f ca="1" t="array" ref="K1884">MIN(18,_xlfn.XLOOKUP($D1884&amp;"_"&amp;K$61,$B$23:$B$45&amp;"_"&amp;$C$23:$C$45,$D$23:$D$45)*$E1884)</f>
        <v>7.4704183006536</v>
      </c>
      <c r="L1884" s="67" cm="1">
        <f ca="1" t="array" ref="L1884">MIN(6,_xlfn.XLOOKUP($D1884&amp;"_"&amp;L$61,$B$23:$B$45&amp;"_"&amp;$C$23:$C$45,$D$23:$D$45)*$E1884)</f>
        <v>6</v>
      </c>
      <c r="M1884" s="67" cm="1">
        <f ca="1" t="array" ref="M1884">(1+SUMPRODUCT(G1884:H1884,OFFSET($H$49:$I$49,D1884,0)))*(1+OFFSET($J$49,D1884,0))^I1884*(1+OFFSET($K$49,D1884,0))^J1884*(1+OFFSET($L$49,D1884,0))^K1884*(1+OFFSET($M$49,D1884,0))^L1884</f>
        <v>515.07020903418</v>
      </c>
      <c r="N1884" s="67">
        <f ca="1">MAX(MAX($N$62:N1883),OFFSET($C$61,MATCH(M1884*1.07,$M$62:$M$2061,1),0)-C1884)</f>
        <v>56520</v>
      </c>
    </row>
    <row r="1885" spans="2:14">
      <c r="B1885" s="67">
        <v>1824</v>
      </c>
      <c r="C1885" s="67">
        <f t="shared" si="169"/>
        <v>656640</v>
      </c>
      <c r="D1885" s="67">
        <f t="shared" si="172"/>
        <v>5</v>
      </c>
      <c r="E1885" s="67">
        <f ca="1" t="shared" si="173"/>
        <v>1854</v>
      </c>
      <c r="F1885" s="67">
        <f ca="1" t="shared" si="170"/>
        <v>0</v>
      </c>
      <c r="G1885" s="67">
        <f ca="1" t="shared" si="171"/>
        <v>0</v>
      </c>
      <c r="H1885" s="67" cm="1">
        <f ca="1" t="array" ref="H1885">MIN(30-SUM(I1885:L1885),_xlfn.XLOOKUP($D1885&amp;"_"&amp;H$61,$B$23:$B$45&amp;"_"&amp;$C$23:$C$45,$D$23:$D$45)*$E1885,18)</f>
        <v>8.52555017301037</v>
      </c>
      <c r="I1885" s="67" cm="1">
        <f ca="1" t="array" ref="I1885">MIN(30-SUM(J1885:L1885),6-L1885,_xlfn.XLOOKUP($D1885&amp;"_"&amp;I$61,$B$23:$B$45&amp;"_"&amp;$C$23:$C$45,$D$23:$D$45)*$E1885)</f>
        <v>0</v>
      </c>
      <c r="J1885" s="67" cm="1">
        <f ca="1" t="array" ref="J1885">MIN(8,_xlfn.XLOOKUP($D1885&amp;"_"&amp;J$61,$B$23:$B$45&amp;"_"&amp;$C$23:$C$45,$D$23:$D$45)*$E1885)</f>
        <v>8</v>
      </c>
      <c r="K1885" s="67" cm="1">
        <f ca="1" t="array" ref="K1885">MIN(18,_xlfn.XLOOKUP($D1885&amp;"_"&amp;K$61,$B$23:$B$45&amp;"_"&amp;$C$23:$C$45,$D$23:$D$45)*$E1885)</f>
        <v>7.47444982698963</v>
      </c>
      <c r="L1885" s="67" cm="1">
        <f ca="1" t="array" ref="L1885">MIN(6,_xlfn.XLOOKUP($D1885&amp;"_"&amp;L$61,$B$23:$B$45&amp;"_"&amp;$C$23:$C$45,$D$23:$D$45)*$E1885)</f>
        <v>6</v>
      </c>
      <c r="M1885" s="67" cm="1">
        <f ca="1" t="array" ref="M1885">(1+SUMPRODUCT(G1885:H1885,OFFSET($H$49:$I$49,D1885,0)))*(1+OFFSET($J$49,D1885,0))^I1885*(1+OFFSET($K$49,D1885,0))^J1885*(1+OFFSET($L$49,D1885,0))^K1885*(1+OFFSET($M$49,D1885,0))^L1885</f>
        <v>515.295349631295</v>
      </c>
      <c r="N1885" s="67">
        <f ca="1">MAX(MAX($N$62:N1884),OFFSET($C$61,MATCH(M1885*1.07,$M$62:$M$2061,1),0)-C1885)</f>
        <v>56520</v>
      </c>
    </row>
    <row r="1886" spans="2:14">
      <c r="B1886" s="67">
        <v>1825</v>
      </c>
      <c r="C1886" s="67">
        <f t="shared" si="169"/>
        <v>657000</v>
      </c>
      <c r="D1886" s="67">
        <f t="shared" si="172"/>
        <v>5</v>
      </c>
      <c r="E1886" s="67">
        <f ca="1" t="shared" si="173"/>
        <v>1855</v>
      </c>
      <c r="F1886" s="67">
        <f ca="1" t="shared" si="170"/>
        <v>0</v>
      </c>
      <c r="G1886" s="67">
        <f ca="1" t="shared" si="171"/>
        <v>0</v>
      </c>
      <c r="H1886" s="67" cm="1">
        <f ca="1" t="array" ref="H1886">MIN(30-SUM(I1886:L1886),_xlfn.XLOOKUP($D1886&amp;"_"&amp;H$61,$B$23:$B$45&amp;"_"&amp;$C$23:$C$45,$D$23:$D$45)*$E1886,18)</f>
        <v>8.52151864667435</v>
      </c>
      <c r="I1886" s="67" cm="1">
        <f ca="1" t="array" ref="I1886">MIN(30-SUM(J1886:L1886),6-L1886,_xlfn.XLOOKUP($D1886&amp;"_"&amp;I$61,$B$23:$B$45&amp;"_"&amp;$C$23:$C$45,$D$23:$D$45)*$E1886)</f>
        <v>0</v>
      </c>
      <c r="J1886" s="67" cm="1">
        <f ca="1" t="array" ref="J1886">MIN(8,_xlfn.XLOOKUP($D1886&amp;"_"&amp;J$61,$B$23:$B$45&amp;"_"&amp;$C$23:$C$45,$D$23:$D$45)*$E1886)</f>
        <v>8</v>
      </c>
      <c r="K1886" s="67" cm="1">
        <f ca="1" t="array" ref="K1886">MIN(18,_xlfn.XLOOKUP($D1886&amp;"_"&amp;K$61,$B$23:$B$45&amp;"_"&amp;$C$23:$C$45,$D$23:$D$45)*$E1886)</f>
        <v>7.47848135332565</v>
      </c>
      <c r="L1886" s="67" cm="1">
        <f ca="1" t="array" ref="L1886">MIN(6,_xlfn.XLOOKUP($D1886&amp;"_"&amp;L$61,$B$23:$B$45&amp;"_"&amp;$C$23:$C$45,$D$23:$D$45)*$E1886)</f>
        <v>6</v>
      </c>
      <c r="M1886" s="67" cm="1">
        <f ca="1" t="array" ref="M1886">(1+SUMPRODUCT(G1886:H1886,OFFSET($H$49:$I$49,D1886,0)))*(1+OFFSET($J$49,D1886,0))^I1886*(1+OFFSET($K$49,D1886,0))^J1886*(1+OFFSET($L$49,D1886,0))^K1886*(1+OFFSET($M$49,D1886,0))^L1886</f>
        <v>515.520542837835</v>
      </c>
      <c r="N1886" s="67">
        <f ca="1">MAX(MAX($N$62:N1885),OFFSET($C$61,MATCH(M1886*1.07,$M$62:$M$2061,1),0)-C1886)</f>
        <v>56520</v>
      </c>
    </row>
    <row r="1887" spans="2:14">
      <c r="B1887" s="67">
        <v>1826</v>
      </c>
      <c r="C1887" s="67">
        <f t="shared" si="169"/>
        <v>657360</v>
      </c>
      <c r="D1887" s="67">
        <f t="shared" si="172"/>
        <v>5</v>
      </c>
      <c r="E1887" s="67">
        <f ca="1" t="shared" si="173"/>
        <v>1856</v>
      </c>
      <c r="F1887" s="67">
        <f ca="1" t="shared" si="170"/>
        <v>0</v>
      </c>
      <c r="G1887" s="67">
        <f ca="1" t="shared" si="171"/>
        <v>0</v>
      </c>
      <c r="H1887" s="67" cm="1">
        <f ca="1" t="array" ref="H1887">MIN(30-SUM(I1887:L1887),_xlfn.XLOOKUP($D1887&amp;"_"&amp;H$61,$B$23:$B$45&amp;"_"&amp;$C$23:$C$45,$D$23:$D$45)*$E1887,18)</f>
        <v>8.51748712033832</v>
      </c>
      <c r="I1887" s="67" cm="1">
        <f ca="1" t="array" ref="I1887">MIN(30-SUM(J1887:L1887),6-L1887,_xlfn.XLOOKUP($D1887&amp;"_"&amp;I$61,$B$23:$B$45&amp;"_"&amp;$C$23:$C$45,$D$23:$D$45)*$E1887)</f>
        <v>0</v>
      </c>
      <c r="J1887" s="67" cm="1">
        <f ca="1" t="array" ref="J1887">MIN(8,_xlfn.XLOOKUP($D1887&amp;"_"&amp;J$61,$B$23:$B$45&amp;"_"&amp;$C$23:$C$45,$D$23:$D$45)*$E1887)</f>
        <v>8</v>
      </c>
      <c r="K1887" s="67" cm="1">
        <f ca="1" t="array" ref="K1887">MIN(18,_xlfn.XLOOKUP($D1887&amp;"_"&amp;K$61,$B$23:$B$45&amp;"_"&amp;$C$23:$C$45,$D$23:$D$45)*$E1887)</f>
        <v>7.48251287966168</v>
      </c>
      <c r="L1887" s="67" cm="1">
        <f ca="1" t="array" ref="L1887">MIN(6,_xlfn.XLOOKUP($D1887&amp;"_"&amp;L$61,$B$23:$B$45&amp;"_"&amp;$C$23:$C$45,$D$23:$D$45)*$E1887)</f>
        <v>6</v>
      </c>
      <c r="M1887" s="67" cm="1">
        <f ca="1" t="array" ref="M1887">(1+SUMPRODUCT(G1887:H1887,OFFSET($H$49:$I$49,D1887,0)))*(1+OFFSET($J$49,D1887,0))^I1887*(1+OFFSET($K$49,D1887,0))^J1887*(1+OFFSET($L$49,D1887,0))^K1887*(1+OFFSET($M$49,D1887,0))^L1887</f>
        <v>515.745788609443</v>
      </c>
      <c r="N1887" s="67">
        <f ca="1">MAX(MAX($N$62:N1886),OFFSET($C$61,MATCH(M1887*1.07,$M$62:$M$2061,1),0)-C1887)</f>
        <v>56520</v>
      </c>
    </row>
    <row r="1888" spans="2:14">
      <c r="B1888" s="67">
        <v>1827</v>
      </c>
      <c r="C1888" s="67">
        <f t="shared" si="169"/>
        <v>657720</v>
      </c>
      <c r="D1888" s="67">
        <f t="shared" si="172"/>
        <v>5</v>
      </c>
      <c r="E1888" s="67">
        <f ca="1" t="shared" si="173"/>
        <v>1857</v>
      </c>
      <c r="F1888" s="67">
        <f ca="1" t="shared" si="170"/>
        <v>0</v>
      </c>
      <c r="G1888" s="67">
        <f ca="1" t="shared" si="171"/>
        <v>0</v>
      </c>
      <c r="H1888" s="67" cm="1">
        <f ca="1" t="array" ref="H1888">MIN(30-SUM(I1888:L1888),_xlfn.XLOOKUP($D1888&amp;"_"&amp;H$61,$B$23:$B$45&amp;"_"&amp;$C$23:$C$45,$D$23:$D$45)*$E1888,18)</f>
        <v>8.5134555940023</v>
      </c>
      <c r="I1888" s="67" cm="1">
        <f ca="1" t="array" ref="I1888">MIN(30-SUM(J1888:L1888),6-L1888,_xlfn.XLOOKUP($D1888&amp;"_"&amp;I$61,$B$23:$B$45&amp;"_"&amp;$C$23:$C$45,$D$23:$D$45)*$E1888)</f>
        <v>0</v>
      </c>
      <c r="J1888" s="67" cm="1">
        <f ca="1" t="array" ref="J1888">MIN(8,_xlfn.XLOOKUP($D1888&amp;"_"&amp;J$61,$B$23:$B$45&amp;"_"&amp;$C$23:$C$45,$D$23:$D$45)*$E1888)</f>
        <v>8</v>
      </c>
      <c r="K1888" s="67" cm="1">
        <f ca="1" t="array" ref="K1888">MIN(18,_xlfn.XLOOKUP($D1888&amp;"_"&amp;K$61,$B$23:$B$45&amp;"_"&amp;$C$23:$C$45,$D$23:$D$45)*$E1888)</f>
        <v>7.4865444059977</v>
      </c>
      <c r="L1888" s="67" cm="1">
        <f ca="1" t="array" ref="L1888">MIN(6,_xlfn.XLOOKUP($D1888&amp;"_"&amp;L$61,$B$23:$B$45&amp;"_"&amp;$C$23:$C$45,$D$23:$D$45)*$E1888)</f>
        <v>6</v>
      </c>
      <c r="M1888" s="67" cm="1">
        <f ca="1" t="array" ref="M1888">(1+SUMPRODUCT(G1888:H1888,OFFSET($H$49:$I$49,D1888,0)))*(1+OFFSET($J$49,D1888,0))^I1888*(1+OFFSET($K$49,D1888,0))^J1888*(1+OFFSET($L$49,D1888,0))^K1888*(1+OFFSET($M$49,D1888,0))^L1888</f>
        <v>515.971086901664</v>
      </c>
      <c r="N1888" s="67">
        <f ca="1">MAX(MAX($N$62:N1887),OFFSET($C$61,MATCH(M1888*1.07,$M$62:$M$2061,1),0)-C1888)</f>
        <v>56520</v>
      </c>
    </row>
    <row r="1889" spans="2:14">
      <c r="B1889" s="67">
        <v>1828</v>
      </c>
      <c r="C1889" s="67">
        <f t="shared" si="169"/>
        <v>658080</v>
      </c>
      <c r="D1889" s="67">
        <f t="shared" si="172"/>
        <v>5</v>
      </c>
      <c r="E1889" s="67">
        <f ca="1" t="shared" si="173"/>
        <v>1858</v>
      </c>
      <c r="F1889" s="67">
        <f ca="1" t="shared" si="170"/>
        <v>0</v>
      </c>
      <c r="G1889" s="67">
        <f ca="1" t="shared" si="171"/>
        <v>0</v>
      </c>
      <c r="H1889" s="67" cm="1">
        <f ca="1" t="array" ref="H1889">MIN(30-SUM(I1889:L1889),_xlfn.XLOOKUP($D1889&amp;"_"&amp;H$61,$B$23:$B$45&amp;"_"&amp;$C$23:$C$45,$D$23:$D$45)*$E1889,18)</f>
        <v>8.50942406766627</v>
      </c>
      <c r="I1889" s="67" cm="1">
        <f ca="1" t="array" ref="I1889">MIN(30-SUM(J1889:L1889),6-L1889,_xlfn.XLOOKUP($D1889&amp;"_"&amp;I$61,$B$23:$B$45&amp;"_"&amp;$C$23:$C$45,$D$23:$D$45)*$E1889)</f>
        <v>0</v>
      </c>
      <c r="J1889" s="67" cm="1">
        <f ca="1" t="array" ref="J1889">MIN(8,_xlfn.XLOOKUP($D1889&amp;"_"&amp;J$61,$B$23:$B$45&amp;"_"&amp;$C$23:$C$45,$D$23:$D$45)*$E1889)</f>
        <v>8</v>
      </c>
      <c r="K1889" s="67" cm="1">
        <f ca="1" t="array" ref="K1889">MIN(18,_xlfn.XLOOKUP($D1889&amp;"_"&amp;K$61,$B$23:$B$45&amp;"_"&amp;$C$23:$C$45,$D$23:$D$45)*$E1889)</f>
        <v>7.49057593233372</v>
      </c>
      <c r="L1889" s="67" cm="1">
        <f ca="1" t="array" ref="L1889">MIN(6,_xlfn.XLOOKUP($D1889&amp;"_"&amp;L$61,$B$23:$B$45&amp;"_"&amp;$C$23:$C$45,$D$23:$D$45)*$E1889)</f>
        <v>6</v>
      </c>
      <c r="M1889" s="67" cm="1">
        <f ca="1" t="array" ref="M1889">(1+SUMPRODUCT(G1889:H1889,OFFSET($H$49:$I$49,D1889,0)))*(1+OFFSET($J$49,D1889,0))^I1889*(1+OFFSET($K$49,D1889,0))^J1889*(1+OFFSET($L$49,D1889,0))^K1889*(1+OFFSET($M$49,D1889,0))^L1889</f>
        <v>516.196437669952</v>
      </c>
      <c r="N1889" s="67">
        <f ca="1">MAX(MAX($N$62:N1888),OFFSET($C$61,MATCH(M1889*1.07,$M$62:$M$2061,1),0)-C1889)</f>
        <v>56520</v>
      </c>
    </row>
    <row r="1890" spans="2:14">
      <c r="B1890" s="67">
        <v>1829</v>
      </c>
      <c r="C1890" s="67">
        <f t="shared" si="169"/>
        <v>658440</v>
      </c>
      <c r="D1890" s="67">
        <f t="shared" si="172"/>
        <v>5</v>
      </c>
      <c r="E1890" s="67">
        <f ca="1" t="shared" si="173"/>
        <v>1859</v>
      </c>
      <c r="F1890" s="67">
        <f ca="1" t="shared" si="170"/>
        <v>0</v>
      </c>
      <c r="G1890" s="67">
        <f ca="1" t="shared" si="171"/>
        <v>0</v>
      </c>
      <c r="H1890" s="67" cm="1">
        <f ca="1" t="array" ref="H1890">MIN(30-SUM(I1890:L1890),_xlfn.XLOOKUP($D1890&amp;"_"&amp;H$61,$B$23:$B$45&amp;"_"&amp;$C$23:$C$45,$D$23:$D$45)*$E1890,18)</f>
        <v>8.50539254133025</v>
      </c>
      <c r="I1890" s="67" cm="1">
        <f ca="1" t="array" ref="I1890">MIN(30-SUM(J1890:L1890),6-L1890,_xlfn.XLOOKUP($D1890&amp;"_"&amp;I$61,$B$23:$B$45&amp;"_"&amp;$C$23:$C$45,$D$23:$D$45)*$E1890)</f>
        <v>0</v>
      </c>
      <c r="J1890" s="67" cm="1">
        <f ca="1" t="array" ref="J1890">MIN(8,_xlfn.XLOOKUP($D1890&amp;"_"&amp;J$61,$B$23:$B$45&amp;"_"&amp;$C$23:$C$45,$D$23:$D$45)*$E1890)</f>
        <v>8</v>
      </c>
      <c r="K1890" s="67" cm="1">
        <f ca="1" t="array" ref="K1890">MIN(18,_xlfn.XLOOKUP($D1890&amp;"_"&amp;K$61,$B$23:$B$45&amp;"_"&amp;$C$23:$C$45,$D$23:$D$45)*$E1890)</f>
        <v>7.49460745866975</v>
      </c>
      <c r="L1890" s="67" cm="1">
        <f ca="1" t="array" ref="L1890">MIN(6,_xlfn.XLOOKUP($D1890&amp;"_"&amp;L$61,$B$23:$B$45&amp;"_"&amp;$C$23:$C$45,$D$23:$D$45)*$E1890)</f>
        <v>6</v>
      </c>
      <c r="M1890" s="67" cm="1">
        <f ca="1" t="array" ref="M1890">(1+SUMPRODUCT(G1890:H1890,OFFSET($H$49:$I$49,D1890,0)))*(1+OFFSET($J$49,D1890,0))^I1890*(1+OFFSET($K$49,D1890,0))^J1890*(1+OFFSET($L$49,D1890,0))^K1890*(1+OFFSET($M$49,D1890,0))^L1890</f>
        <v>516.421840869666</v>
      </c>
      <c r="N1890" s="67">
        <f ca="1">MAX(MAX($N$62:N1889),OFFSET($C$61,MATCH(M1890*1.07,$M$62:$M$2061,1),0)-C1890)</f>
        <v>56520</v>
      </c>
    </row>
    <row r="1891" spans="2:14">
      <c r="B1891" s="67">
        <v>1830</v>
      </c>
      <c r="C1891" s="67">
        <f t="shared" si="169"/>
        <v>658800</v>
      </c>
      <c r="D1891" s="67">
        <f t="shared" si="172"/>
        <v>5</v>
      </c>
      <c r="E1891" s="67">
        <f ca="1" t="shared" si="173"/>
        <v>1860</v>
      </c>
      <c r="F1891" s="67">
        <f ca="1" t="shared" si="170"/>
        <v>0</v>
      </c>
      <c r="G1891" s="67">
        <f ca="1" t="shared" si="171"/>
        <v>0</v>
      </c>
      <c r="H1891" s="67" cm="1">
        <f ca="1" t="array" ref="H1891">MIN(30-SUM(I1891:L1891),_xlfn.XLOOKUP($D1891&amp;"_"&amp;H$61,$B$23:$B$45&amp;"_"&amp;$C$23:$C$45,$D$23:$D$45)*$E1891,18)</f>
        <v>8.50136101499422</v>
      </c>
      <c r="I1891" s="67" cm="1">
        <f ca="1" t="array" ref="I1891">MIN(30-SUM(J1891:L1891),6-L1891,_xlfn.XLOOKUP($D1891&amp;"_"&amp;I$61,$B$23:$B$45&amp;"_"&amp;$C$23:$C$45,$D$23:$D$45)*$E1891)</f>
        <v>0</v>
      </c>
      <c r="J1891" s="67" cm="1">
        <f ca="1" t="array" ref="J1891">MIN(8,_xlfn.XLOOKUP($D1891&amp;"_"&amp;J$61,$B$23:$B$45&amp;"_"&amp;$C$23:$C$45,$D$23:$D$45)*$E1891)</f>
        <v>8</v>
      </c>
      <c r="K1891" s="67" cm="1">
        <f ca="1" t="array" ref="K1891">MIN(18,_xlfn.XLOOKUP($D1891&amp;"_"&amp;K$61,$B$23:$B$45&amp;"_"&amp;$C$23:$C$45,$D$23:$D$45)*$E1891)</f>
        <v>7.49863898500577</v>
      </c>
      <c r="L1891" s="67" cm="1">
        <f ca="1" t="array" ref="L1891">MIN(6,_xlfn.XLOOKUP($D1891&amp;"_"&amp;L$61,$B$23:$B$45&amp;"_"&amp;$C$23:$C$45,$D$23:$D$45)*$E1891)</f>
        <v>6</v>
      </c>
      <c r="M1891" s="67" cm="1">
        <f ca="1" t="array" ref="M1891">(1+SUMPRODUCT(G1891:H1891,OFFSET($H$49:$I$49,D1891,0)))*(1+OFFSET($J$49,D1891,0))^I1891*(1+OFFSET($K$49,D1891,0))^J1891*(1+OFFSET($L$49,D1891,0))^K1891*(1+OFFSET($M$49,D1891,0))^L1891</f>
        <v>516.647296456071</v>
      </c>
      <c r="N1891" s="67">
        <f ca="1">MAX(MAX($N$62:N1890),OFFSET($C$61,MATCH(M1891*1.07,$M$62:$M$2061,1),0)-C1891)</f>
        <v>56520</v>
      </c>
    </row>
    <row r="1892" spans="2:14">
      <c r="B1892" s="67">
        <v>1831</v>
      </c>
      <c r="C1892" s="67">
        <f t="shared" si="169"/>
        <v>659160</v>
      </c>
      <c r="D1892" s="67">
        <f t="shared" si="172"/>
        <v>5</v>
      </c>
      <c r="E1892" s="67">
        <f ca="1" t="shared" si="173"/>
        <v>1861</v>
      </c>
      <c r="F1892" s="67">
        <f ca="1" t="shared" si="170"/>
        <v>0</v>
      </c>
      <c r="G1892" s="67">
        <f ca="1" t="shared" si="171"/>
        <v>0</v>
      </c>
      <c r="H1892" s="67" cm="1">
        <f ca="1" t="array" ref="H1892">MIN(30-SUM(I1892:L1892),_xlfn.XLOOKUP($D1892&amp;"_"&amp;H$61,$B$23:$B$45&amp;"_"&amp;$C$23:$C$45,$D$23:$D$45)*$E1892,18)</f>
        <v>8.4973294886582</v>
      </c>
      <c r="I1892" s="67" cm="1">
        <f ca="1" t="array" ref="I1892">MIN(30-SUM(J1892:L1892),6-L1892,_xlfn.XLOOKUP($D1892&amp;"_"&amp;I$61,$B$23:$B$45&amp;"_"&amp;$C$23:$C$45,$D$23:$D$45)*$E1892)</f>
        <v>0</v>
      </c>
      <c r="J1892" s="67" cm="1">
        <f ca="1" t="array" ref="J1892">MIN(8,_xlfn.XLOOKUP($D1892&amp;"_"&amp;J$61,$B$23:$B$45&amp;"_"&amp;$C$23:$C$45,$D$23:$D$45)*$E1892)</f>
        <v>8</v>
      </c>
      <c r="K1892" s="67" cm="1">
        <f ca="1" t="array" ref="K1892">MIN(18,_xlfn.XLOOKUP($D1892&amp;"_"&amp;K$61,$B$23:$B$45&amp;"_"&amp;$C$23:$C$45,$D$23:$D$45)*$E1892)</f>
        <v>7.5026705113418</v>
      </c>
      <c r="L1892" s="67" cm="1">
        <f ca="1" t="array" ref="L1892">MIN(6,_xlfn.XLOOKUP($D1892&amp;"_"&amp;L$61,$B$23:$B$45&amp;"_"&amp;$C$23:$C$45,$D$23:$D$45)*$E1892)</f>
        <v>6</v>
      </c>
      <c r="M1892" s="67" cm="1">
        <f ca="1" t="array" ref="M1892">(1+SUMPRODUCT(G1892:H1892,OFFSET($H$49:$I$49,D1892,0)))*(1+OFFSET($J$49,D1892,0))^I1892*(1+OFFSET($K$49,D1892,0))^J1892*(1+OFFSET($L$49,D1892,0))^K1892*(1+OFFSET($M$49,D1892,0))^L1892</f>
        <v>516.872804384339</v>
      </c>
      <c r="N1892" s="67">
        <f ca="1">MAX(MAX($N$62:N1891),OFFSET($C$61,MATCH(M1892*1.07,$M$62:$M$2061,1),0)-C1892)</f>
        <v>56520</v>
      </c>
    </row>
    <row r="1893" spans="2:14">
      <c r="B1893" s="67">
        <v>1832</v>
      </c>
      <c r="C1893" s="67">
        <f t="shared" si="169"/>
        <v>659520</v>
      </c>
      <c r="D1893" s="67">
        <f t="shared" si="172"/>
        <v>5</v>
      </c>
      <c r="E1893" s="67">
        <f ca="1" t="shared" si="173"/>
        <v>1862</v>
      </c>
      <c r="F1893" s="67">
        <f ca="1" t="shared" si="170"/>
        <v>0</v>
      </c>
      <c r="G1893" s="67">
        <f ca="1" t="shared" si="171"/>
        <v>0</v>
      </c>
      <c r="H1893" s="67" cm="1">
        <f ca="1" t="array" ref="H1893">MIN(30-SUM(I1893:L1893),_xlfn.XLOOKUP($D1893&amp;"_"&amp;H$61,$B$23:$B$45&amp;"_"&amp;$C$23:$C$45,$D$23:$D$45)*$E1893,18)</f>
        <v>8.49329796232218</v>
      </c>
      <c r="I1893" s="67" cm="1">
        <f ca="1" t="array" ref="I1893">MIN(30-SUM(J1893:L1893),6-L1893,_xlfn.XLOOKUP($D1893&amp;"_"&amp;I$61,$B$23:$B$45&amp;"_"&amp;$C$23:$C$45,$D$23:$D$45)*$E1893)</f>
        <v>0</v>
      </c>
      <c r="J1893" s="67" cm="1">
        <f ca="1" t="array" ref="J1893">MIN(8,_xlfn.XLOOKUP($D1893&amp;"_"&amp;J$61,$B$23:$B$45&amp;"_"&amp;$C$23:$C$45,$D$23:$D$45)*$E1893)</f>
        <v>8</v>
      </c>
      <c r="K1893" s="67" cm="1">
        <f ca="1" t="array" ref="K1893">MIN(18,_xlfn.XLOOKUP($D1893&amp;"_"&amp;K$61,$B$23:$B$45&amp;"_"&amp;$C$23:$C$45,$D$23:$D$45)*$E1893)</f>
        <v>7.50670203767782</v>
      </c>
      <c r="L1893" s="67" cm="1">
        <f ca="1" t="array" ref="L1893">MIN(6,_xlfn.XLOOKUP($D1893&amp;"_"&amp;L$61,$B$23:$B$45&amp;"_"&amp;$C$23:$C$45,$D$23:$D$45)*$E1893)</f>
        <v>6</v>
      </c>
      <c r="M1893" s="67" cm="1">
        <f ca="1" t="array" ref="M1893">(1+SUMPRODUCT(G1893:H1893,OFFSET($H$49:$I$49,D1893,0)))*(1+OFFSET($J$49,D1893,0))^I1893*(1+OFFSET($K$49,D1893,0))^J1893*(1+OFFSET($L$49,D1893,0))^K1893*(1+OFFSET($M$49,D1893,0))^L1893</f>
        <v>517.098364609545</v>
      </c>
      <c r="N1893" s="67">
        <f ca="1">MAX(MAX($N$62:N1892),OFFSET($C$61,MATCH(M1893*1.07,$M$62:$M$2061,1),0)-C1893)</f>
        <v>56520</v>
      </c>
    </row>
    <row r="1894" spans="2:14">
      <c r="B1894" s="67">
        <v>1833</v>
      </c>
      <c r="C1894" s="67">
        <f t="shared" si="169"/>
        <v>659880</v>
      </c>
      <c r="D1894" s="67">
        <f t="shared" si="172"/>
        <v>5</v>
      </c>
      <c r="E1894" s="67">
        <f ca="1" t="shared" si="173"/>
        <v>1863</v>
      </c>
      <c r="F1894" s="67">
        <f ca="1" t="shared" si="170"/>
        <v>0</v>
      </c>
      <c r="G1894" s="67">
        <f ca="1" t="shared" si="171"/>
        <v>0</v>
      </c>
      <c r="H1894" s="67" cm="1">
        <f ca="1" t="array" ref="H1894">MIN(30-SUM(I1894:L1894),_xlfn.XLOOKUP($D1894&amp;"_"&amp;H$61,$B$23:$B$45&amp;"_"&amp;$C$23:$C$45,$D$23:$D$45)*$E1894,18)</f>
        <v>8.48926643598615</v>
      </c>
      <c r="I1894" s="67" cm="1">
        <f ca="1" t="array" ref="I1894">MIN(30-SUM(J1894:L1894),6-L1894,_xlfn.XLOOKUP($D1894&amp;"_"&amp;I$61,$B$23:$B$45&amp;"_"&amp;$C$23:$C$45,$D$23:$D$45)*$E1894)</f>
        <v>0</v>
      </c>
      <c r="J1894" s="67" cm="1">
        <f ca="1" t="array" ref="J1894">MIN(8,_xlfn.XLOOKUP($D1894&amp;"_"&amp;J$61,$B$23:$B$45&amp;"_"&amp;$C$23:$C$45,$D$23:$D$45)*$E1894)</f>
        <v>8</v>
      </c>
      <c r="K1894" s="67" cm="1">
        <f ca="1" t="array" ref="K1894">MIN(18,_xlfn.XLOOKUP($D1894&amp;"_"&amp;K$61,$B$23:$B$45&amp;"_"&amp;$C$23:$C$45,$D$23:$D$45)*$E1894)</f>
        <v>7.51073356401385</v>
      </c>
      <c r="L1894" s="67" cm="1">
        <f ca="1" t="array" ref="L1894">MIN(6,_xlfn.XLOOKUP($D1894&amp;"_"&amp;L$61,$B$23:$B$45&amp;"_"&amp;$C$23:$C$45,$D$23:$D$45)*$E1894)</f>
        <v>6</v>
      </c>
      <c r="M1894" s="67" cm="1">
        <f ca="1" t="array" ref="M1894">(1+SUMPRODUCT(G1894:H1894,OFFSET($H$49:$I$49,D1894,0)))*(1+OFFSET($J$49,D1894,0))^I1894*(1+OFFSET($K$49,D1894,0))^J1894*(1+OFFSET($L$49,D1894,0))^K1894*(1+OFFSET($M$49,D1894,0))^L1894</f>
        <v>517.323977086672</v>
      </c>
      <c r="N1894" s="67">
        <f ca="1">MAX(MAX($N$62:N1893),OFFSET($C$61,MATCH(M1894*1.07,$M$62:$M$2061,1),0)-C1894)</f>
        <v>56520</v>
      </c>
    </row>
    <row r="1895" spans="2:14">
      <c r="B1895" s="67">
        <v>1834</v>
      </c>
      <c r="C1895" s="67">
        <f t="shared" si="169"/>
        <v>660240</v>
      </c>
      <c r="D1895" s="67">
        <f t="shared" si="172"/>
        <v>5</v>
      </c>
      <c r="E1895" s="67">
        <f ca="1" t="shared" si="173"/>
        <v>1864</v>
      </c>
      <c r="F1895" s="67">
        <f ca="1" t="shared" si="170"/>
        <v>0</v>
      </c>
      <c r="G1895" s="67">
        <f ca="1" t="shared" si="171"/>
        <v>0</v>
      </c>
      <c r="H1895" s="67" cm="1">
        <f ca="1" t="array" ref="H1895">MIN(30-SUM(I1895:L1895),_xlfn.XLOOKUP($D1895&amp;"_"&amp;H$61,$B$23:$B$45&amp;"_"&amp;$C$23:$C$45,$D$23:$D$45)*$E1895,18)</f>
        <v>8.48523490965013</v>
      </c>
      <c r="I1895" s="67" cm="1">
        <f ca="1" t="array" ref="I1895">MIN(30-SUM(J1895:L1895),6-L1895,_xlfn.XLOOKUP($D1895&amp;"_"&amp;I$61,$B$23:$B$45&amp;"_"&amp;$C$23:$C$45,$D$23:$D$45)*$E1895)</f>
        <v>0</v>
      </c>
      <c r="J1895" s="67" cm="1">
        <f ca="1" t="array" ref="J1895">MIN(8,_xlfn.XLOOKUP($D1895&amp;"_"&amp;J$61,$B$23:$B$45&amp;"_"&amp;$C$23:$C$45,$D$23:$D$45)*$E1895)</f>
        <v>8</v>
      </c>
      <c r="K1895" s="67" cm="1">
        <f ca="1" t="array" ref="K1895">MIN(18,_xlfn.XLOOKUP($D1895&amp;"_"&amp;K$61,$B$23:$B$45&amp;"_"&amp;$C$23:$C$45,$D$23:$D$45)*$E1895)</f>
        <v>7.51476509034987</v>
      </c>
      <c r="L1895" s="67" cm="1">
        <f ca="1" t="array" ref="L1895">MIN(6,_xlfn.XLOOKUP($D1895&amp;"_"&amp;L$61,$B$23:$B$45&amp;"_"&amp;$C$23:$C$45,$D$23:$D$45)*$E1895)</f>
        <v>6</v>
      </c>
      <c r="M1895" s="67" cm="1">
        <f ca="1" t="array" ref="M1895">(1+SUMPRODUCT(G1895:H1895,OFFSET($H$49:$I$49,D1895,0)))*(1+OFFSET($J$49,D1895,0))^I1895*(1+OFFSET($K$49,D1895,0))^J1895*(1+OFFSET($L$49,D1895,0))^K1895*(1+OFFSET($M$49,D1895,0))^L1895</f>
        <v>517.549641770609</v>
      </c>
      <c r="N1895" s="67">
        <f ca="1">MAX(MAX($N$62:N1894),OFFSET($C$61,MATCH(M1895*1.07,$M$62:$M$2061,1),0)-C1895)</f>
        <v>56520</v>
      </c>
    </row>
    <row r="1896" spans="2:14">
      <c r="B1896" s="67">
        <v>1835</v>
      </c>
      <c r="C1896" s="67">
        <f t="shared" si="169"/>
        <v>660600</v>
      </c>
      <c r="D1896" s="67">
        <f t="shared" si="172"/>
        <v>5</v>
      </c>
      <c r="E1896" s="67">
        <f ca="1" t="shared" si="173"/>
        <v>1865</v>
      </c>
      <c r="F1896" s="67">
        <f ca="1" t="shared" si="170"/>
        <v>0</v>
      </c>
      <c r="G1896" s="67">
        <f ca="1" t="shared" si="171"/>
        <v>0</v>
      </c>
      <c r="H1896" s="67" cm="1">
        <f ca="1" t="array" ref="H1896">MIN(30-SUM(I1896:L1896),_xlfn.XLOOKUP($D1896&amp;"_"&amp;H$61,$B$23:$B$45&amp;"_"&amp;$C$23:$C$45,$D$23:$D$45)*$E1896,18)</f>
        <v>8.4812033833141</v>
      </c>
      <c r="I1896" s="67" cm="1">
        <f ca="1" t="array" ref="I1896">MIN(30-SUM(J1896:L1896),6-L1896,_xlfn.XLOOKUP($D1896&amp;"_"&amp;I$61,$B$23:$B$45&amp;"_"&amp;$C$23:$C$45,$D$23:$D$45)*$E1896)</f>
        <v>0</v>
      </c>
      <c r="J1896" s="67" cm="1">
        <f ca="1" t="array" ref="J1896">MIN(8,_xlfn.XLOOKUP($D1896&amp;"_"&amp;J$61,$B$23:$B$45&amp;"_"&amp;$C$23:$C$45,$D$23:$D$45)*$E1896)</f>
        <v>8</v>
      </c>
      <c r="K1896" s="67" cm="1">
        <f ca="1" t="array" ref="K1896">MIN(18,_xlfn.XLOOKUP($D1896&amp;"_"&amp;K$61,$B$23:$B$45&amp;"_"&amp;$C$23:$C$45,$D$23:$D$45)*$E1896)</f>
        <v>7.5187966166859</v>
      </c>
      <c r="L1896" s="67" cm="1">
        <f ca="1" t="array" ref="L1896">MIN(6,_xlfn.XLOOKUP($D1896&amp;"_"&amp;L$61,$B$23:$B$45&amp;"_"&amp;$C$23:$C$45,$D$23:$D$45)*$E1896)</f>
        <v>6</v>
      </c>
      <c r="M1896" s="67" cm="1">
        <f ca="1" t="array" ref="M1896">(1+SUMPRODUCT(G1896:H1896,OFFSET($H$49:$I$49,D1896,0)))*(1+OFFSET($J$49,D1896,0))^I1896*(1+OFFSET($K$49,D1896,0))^J1896*(1+OFFSET($L$49,D1896,0))^K1896*(1+OFFSET($M$49,D1896,0))^L1896</f>
        <v>517.775358616148</v>
      </c>
      <c r="N1896" s="67">
        <f ca="1">MAX(MAX($N$62:N1895),OFFSET($C$61,MATCH(M1896*1.07,$M$62:$M$2061,1),0)-C1896)</f>
        <v>56520</v>
      </c>
    </row>
    <row r="1897" spans="2:14">
      <c r="B1897" s="67">
        <v>1836</v>
      </c>
      <c r="C1897" s="67">
        <f t="shared" si="169"/>
        <v>660960</v>
      </c>
      <c r="D1897" s="67">
        <f t="shared" si="172"/>
        <v>5</v>
      </c>
      <c r="E1897" s="67">
        <f ca="1" t="shared" si="173"/>
        <v>1866</v>
      </c>
      <c r="F1897" s="67">
        <f ca="1" t="shared" si="170"/>
        <v>0</v>
      </c>
      <c r="G1897" s="67">
        <f ca="1" t="shared" si="171"/>
        <v>0</v>
      </c>
      <c r="H1897" s="67" cm="1">
        <f ca="1" t="array" ref="H1897">MIN(30-SUM(I1897:L1897),_xlfn.XLOOKUP($D1897&amp;"_"&amp;H$61,$B$23:$B$45&amp;"_"&amp;$C$23:$C$45,$D$23:$D$45)*$E1897,18)</f>
        <v>8.47717185697808</v>
      </c>
      <c r="I1897" s="67" cm="1">
        <f ca="1" t="array" ref="I1897">MIN(30-SUM(J1897:L1897),6-L1897,_xlfn.XLOOKUP($D1897&amp;"_"&amp;I$61,$B$23:$B$45&amp;"_"&amp;$C$23:$C$45,$D$23:$D$45)*$E1897)</f>
        <v>0</v>
      </c>
      <c r="J1897" s="67" cm="1">
        <f ca="1" t="array" ref="J1897">MIN(8,_xlfn.XLOOKUP($D1897&amp;"_"&amp;J$61,$B$23:$B$45&amp;"_"&amp;$C$23:$C$45,$D$23:$D$45)*$E1897)</f>
        <v>8</v>
      </c>
      <c r="K1897" s="67" cm="1">
        <f ca="1" t="array" ref="K1897">MIN(18,_xlfn.XLOOKUP($D1897&amp;"_"&amp;K$61,$B$23:$B$45&amp;"_"&amp;$C$23:$C$45,$D$23:$D$45)*$E1897)</f>
        <v>7.52282814302192</v>
      </c>
      <c r="L1897" s="67" cm="1">
        <f ca="1" t="array" ref="L1897">MIN(6,_xlfn.XLOOKUP($D1897&amp;"_"&amp;L$61,$B$23:$B$45&amp;"_"&amp;$C$23:$C$45,$D$23:$D$45)*$E1897)</f>
        <v>6</v>
      </c>
      <c r="M1897" s="67" cm="1">
        <f ca="1" t="array" ref="M1897">(1+SUMPRODUCT(G1897:H1897,OFFSET($H$49:$I$49,D1897,0)))*(1+OFFSET($J$49,D1897,0))^I1897*(1+OFFSET($K$49,D1897,0))^J1897*(1+OFFSET($L$49,D1897,0))^K1897*(1+OFFSET($M$49,D1897,0))^L1897</f>
        <v>518.001127577989</v>
      </c>
      <c r="N1897" s="67">
        <f ca="1">MAX(MAX($N$62:N1896),OFFSET($C$61,MATCH(M1897*1.07,$M$62:$M$2061,1),0)-C1897)</f>
        <v>56520</v>
      </c>
    </row>
    <row r="1898" spans="2:14">
      <c r="B1898" s="67">
        <v>1837</v>
      </c>
      <c r="C1898" s="67">
        <f t="shared" si="169"/>
        <v>661320</v>
      </c>
      <c r="D1898" s="67">
        <f t="shared" si="172"/>
        <v>5</v>
      </c>
      <c r="E1898" s="67">
        <f ca="1" t="shared" si="173"/>
        <v>1867</v>
      </c>
      <c r="F1898" s="67">
        <f ca="1" t="shared" si="170"/>
        <v>0</v>
      </c>
      <c r="G1898" s="67">
        <f ca="1" t="shared" si="171"/>
        <v>0</v>
      </c>
      <c r="H1898" s="67" cm="1">
        <f ca="1" t="array" ref="H1898">MIN(30-SUM(I1898:L1898),_xlfn.XLOOKUP($D1898&amp;"_"&amp;H$61,$B$23:$B$45&amp;"_"&amp;$C$23:$C$45,$D$23:$D$45)*$E1898,18)</f>
        <v>8.47314033064205</v>
      </c>
      <c r="I1898" s="67" cm="1">
        <f ca="1" t="array" ref="I1898">MIN(30-SUM(J1898:L1898),6-L1898,_xlfn.XLOOKUP($D1898&amp;"_"&amp;I$61,$B$23:$B$45&amp;"_"&amp;$C$23:$C$45,$D$23:$D$45)*$E1898)</f>
        <v>0</v>
      </c>
      <c r="J1898" s="67" cm="1">
        <f ca="1" t="array" ref="J1898">MIN(8,_xlfn.XLOOKUP($D1898&amp;"_"&amp;J$61,$B$23:$B$45&amp;"_"&amp;$C$23:$C$45,$D$23:$D$45)*$E1898)</f>
        <v>8</v>
      </c>
      <c r="K1898" s="67" cm="1">
        <f ca="1" t="array" ref="K1898">MIN(18,_xlfn.XLOOKUP($D1898&amp;"_"&amp;K$61,$B$23:$B$45&amp;"_"&amp;$C$23:$C$45,$D$23:$D$45)*$E1898)</f>
        <v>7.52685966935795</v>
      </c>
      <c r="L1898" s="67" cm="1">
        <f ca="1" t="array" ref="L1898">MIN(6,_xlfn.XLOOKUP($D1898&amp;"_"&amp;L$61,$B$23:$B$45&amp;"_"&amp;$C$23:$C$45,$D$23:$D$45)*$E1898)</f>
        <v>6</v>
      </c>
      <c r="M1898" s="67" cm="1">
        <f ca="1" t="array" ref="M1898">(1+SUMPRODUCT(G1898:H1898,OFFSET($H$49:$I$49,D1898,0)))*(1+OFFSET($J$49,D1898,0))^I1898*(1+OFFSET($K$49,D1898,0))^J1898*(1+OFFSET($L$49,D1898,0))^K1898*(1+OFFSET($M$49,D1898,0))^L1898</f>
        <v>518.226948610734</v>
      </c>
      <c r="N1898" s="67">
        <f ca="1">MAX(MAX($N$62:N1897),OFFSET($C$61,MATCH(M1898*1.07,$M$62:$M$2061,1),0)-C1898)</f>
        <v>56520</v>
      </c>
    </row>
    <row r="1899" spans="2:14">
      <c r="B1899" s="67">
        <v>1838</v>
      </c>
      <c r="C1899" s="67">
        <f t="shared" si="169"/>
        <v>661680</v>
      </c>
      <c r="D1899" s="67">
        <f t="shared" si="172"/>
        <v>5</v>
      </c>
      <c r="E1899" s="67">
        <f ca="1" t="shared" si="173"/>
        <v>1868</v>
      </c>
      <c r="F1899" s="67">
        <f ca="1" t="shared" si="170"/>
        <v>0</v>
      </c>
      <c r="G1899" s="67">
        <f ca="1" t="shared" si="171"/>
        <v>0</v>
      </c>
      <c r="H1899" s="67" cm="1">
        <f ca="1" t="array" ref="H1899">MIN(30-SUM(I1899:L1899),_xlfn.XLOOKUP($D1899&amp;"_"&amp;H$61,$B$23:$B$45&amp;"_"&amp;$C$23:$C$45,$D$23:$D$45)*$E1899,18)</f>
        <v>8.46910880430603</v>
      </c>
      <c r="I1899" s="67" cm="1">
        <f ca="1" t="array" ref="I1899">MIN(30-SUM(J1899:L1899),6-L1899,_xlfn.XLOOKUP($D1899&amp;"_"&amp;I$61,$B$23:$B$45&amp;"_"&amp;$C$23:$C$45,$D$23:$D$45)*$E1899)</f>
        <v>0</v>
      </c>
      <c r="J1899" s="67" cm="1">
        <f ca="1" t="array" ref="J1899">MIN(8,_xlfn.XLOOKUP($D1899&amp;"_"&amp;J$61,$B$23:$B$45&amp;"_"&amp;$C$23:$C$45,$D$23:$D$45)*$E1899)</f>
        <v>8</v>
      </c>
      <c r="K1899" s="67" cm="1">
        <f ca="1" t="array" ref="K1899">MIN(18,_xlfn.XLOOKUP($D1899&amp;"_"&amp;K$61,$B$23:$B$45&amp;"_"&amp;$C$23:$C$45,$D$23:$D$45)*$E1899)</f>
        <v>7.53089119569397</v>
      </c>
      <c r="L1899" s="67" cm="1">
        <f ca="1" t="array" ref="L1899">MIN(6,_xlfn.XLOOKUP($D1899&amp;"_"&amp;L$61,$B$23:$B$45&amp;"_"&amp;$C$23:$C$45,$D$23:$D$45)*$E1899)</f>
        <v>6</v>
      </c>
      <c r="M1899" s="67" cm="1">
        <f ca="1" t="array" ref="M1899">(1+SUMPRODUCT(G1899:H1899,OFFSET($H$49:$I$49,D1899,0)))*(1+OFFSET($J$49,D1899,0))^I1899*(1+OFFSET($K$49,D1899,0))^J1899*(1+OFFSET($L$49,D1899,0))^K1899*(1+OFFSET($M$49,D1899,0))^L1899</f>
        <v>518.452821668893</v>
      </c>
      <c r="N1899" s="67">
        <f ca="1">MAX(MAX($N$62:N1898),OFFSET($C$61,MATCH(M1899*1.07,$M$62:$M$2061,1),0)-C1899)</f>
        <v>56520</v>
      </c>
    </row>
    <row r="1900" spans="2:14">
      <c r="B1900" s="67">
        <v>1839</v>
      </c>
      <c r="C1900" s="67">
        <f t="shared" si="169"/>
        <v>662040</v>
      </c>
      <c r="D1900" s="67">
        <f t="shared" si="172"/>
        <v>5</v>
      </c>
      <c r="E1900" s="67">
        <f ca="1" t="shared" si="173"/>
        <v>1869</v>
      </c>
      <c r="F1900" s="67">
        <f ca="1" t="shared" si="170"/>
        <v>0</v>
      </c>
      <c r="G1900" s="67">
        <f ca="1" t="shared" si="171"/>
        <v>0</v>
      </c>
      <c r="H1900" s="67" cm="1">
        <f ca="1" t="array" ref="H1900">MIN(30-SUM(I1900:L1900),_xlfn.XLOOKUP($D1900&amp;"_"&amp;H$61,$B$23:$B$45&amp;"_"&amp;$C$23:$C$45,$D$23:$D$45)*$E1900,18)</f>
        <v>8.46507727797</v>
      </c>
      <c r="I1900" s="67" cm="1">
        <f ca="1" t="array" ref="I1900">MIN(30-SUM(J1900:L1900),6-L1900,_xlfn.XLOOKUP($D1900&amp;"_"&amp;I$61,$B$23:$B$45&amp;"_"&amp;$C$23:$C$45,$D$23:$D$45)*$E1900)</f>
        <v>0</v>
      </c>
      <c r="J1900" s="67" cm="1">
        <f ca="1" t="array" ref="J1900">MIN(8,_xlfn.XLOOKUP($D1900&amp;"_"&amp;J$61,$B$23:$B$45&amp;"_"&amp;$C$23:$C$45,$D$23:$D$45)*$E1900)</f>
        <v>8</v>
      </c>
      <c r="K1900" s="67" cm="1">
        <f ca="1" t="array" ref="K1900">MIN(18,_xlfn.XLOOKUP($D1900&amp;"_"&amp;K$61,$B$23:$B$45&amp;"_"&amp;$C$23:$C$45,$D$23:$D$45)*$E1900)</f>
        <v>7.53492272203</v>
      </c>
      <c r="L1900" s="67" cm="1">
        <f ca="1" t="array" ref="L1900">MIN(6,_xlfn.XLOOKUP($D1900&amp;"_"&amp;L$61,$B$23:$B$45&amp;"_"&amp;$C$23:$C$45,$D$23:$D$45)*$E1900)</f>
        <v>6</v>
      </c>
      <c r="M1900" s="67" cm="1">
        <f ca="1" t="array" ref="M1900">(1+SUMPRODUCT(G1900:H1900,OFFSET($H$49:$I$49,D1900,0)))*(1+OFFSET($J$49,D1900,0))^I1900*(1+OFFSET($K$49,D1900,0))^J1900*(1+OFFSET($L$49,D1900,0))^K1900*(1+OFFSET($M$49,D1900,0))^L1900</f>
        <v>518.67874670688</v>
      </c>
      <c r="N1900" s="67">
        <f ca="1">MAX(MAX($N$62:N1899),OFFSET($C$61,MATCH(M1900*1.07,$M$62:$M$2061,1),0)-C1900)</f>
        <v>56520</v>
      </c>
    </row>
    <row r="1901" spans="2:14">
      <c r="B1901" s="67">
        <v>1840</v>
      </c>
      <c r="C1901" s="67">
        <f t="shared" si="169"/>
        <v>662400</v>
      </c>
      <c r="D1901" s="67">
        <f t="shared" si="172"/>
        <v>5</v>
      </c>
      <c r="E1901" s="67">
        <f ca="1" t="shared" si="173"/>
        <v>1870</v>
      </c>
      <c r="F1901" s="67">
        <f ca="1" t="shared" si="170"/>
        <v>0</v>
      </c>
      <c r="G1901" s="67">
        <f ca="1" t="shared" si="171"/>
        <v>0</v>
      </c>
      <c r="H1901" s="67" cm="1">
        <f ca="1" t="array" ref="H1901">MIN(30-SUM(I1901:L1901),_xlfn.XLOOKUP($D1901&amp;"_"&amp;H$61,$B$23:$B$45&amp;"_"&amp;$C$23:$C$45,$D$23:$D$45)*$E1901,18)</f>
        <v>8.46104575163398</v>
      </c>
      <c r="I1901" s="67" cm="1">
        <f ca="1" t="array" ref="I1901">MIN(30-SUM(J1901:L1901),6-L1901,_xlfn.XLOOKUP($D1901&amp;"_"&amp;I$61,$B$23:$B$45&amp;"_"&amp;$C$23:$C$45,$D$23:$D$45)*$E1901)</f>
        <v>0</v>
      </c>
      <c r="J1901" s="67" cm="1">
        <f ca="1" t="array" ref="J1901">MIN(8,_xlfn.XLOOKUP($D1901&amp;"_"&amp;J$61,$B$23:$B$45&amp;"_"&amp;$C$23:$C$45,$D$23:$D$45)*$E1901)</f>
        <v>8</v>
      </c>
      <c r="K1901" s="67" cm="1">
        <f ca="1" t="array" ref="K1901">MIN(18,_xlfn.XLOOKUP($D1901&amp;"_"&amp;K$61,$B$23:$B$45&amp;"_"&amp;$C$23:$C$45,$D$23:$D$45)*$E1901)</f>
        <v>7.53895424836602</v>
      </c>
      <c r="L1901" s="67" cm="1">
        <f ca="1" t="array" ref="L1901">MIN(6,_xlfn.XLOOKUP($D1901&amp;"_"&amp;L$61,$B$23:$B$45&amp;"_"&amp;$C$23:$C$45,$D$23:$D$45)*$E1901)</f>
        <v>6</v>
      </c>
      <c r="M1901" s="67" cm="1">
        <f ca="1" t="array" ref="M1901">(1+SUMPRODUCT(G1901:H1901,OFFSET($H$49:$I$49,D1901,0)))*(1+OFFSET($J$49,D1901,0))^I1901*(1+OFFSET($K$49,D1901,0))^J1901*(1+OFFSET($L$49,D1901,0))^K1901*(1+OFFSET($M$49,D1901,0))^L1901</f>
        <v>518.904723679013</v>
      </c>
      <c r="N1901" s="67">
        <f ca="1">MAX(MAX($N$62:N1900),OFFSET($C$61,MATCH(M1901*1.07,$M$62:$M$2061,1),0)-C1901)</f>
        <v>56520</v>
      </c>
    </row>
    <row r="1902" spans="2:14">
      <c r="B1902" s="67">
        <v>1841</v>
      </c>
      <c r="C1902" s="67">
        <f t="shared" ref="C1902:C1965" si="174">C1901+360</f>
        <v>662760</v>
      </c>
      <c r="D1902" s="67">
        <f t="shared" si="172"/>
        <v>5</v>
      </c>
      <c r="E1902" s="67">
        <f ca="1" t="shared" si="173"/>
        <v>1871</v>
      </c>
      <c r="F1902" s="67">
        <f ca="1" t="shared" ref="F1902:F1965" si="175">30-SUM(G1902:L1902)</f>
        <v>0</v>
      </c>
      <c r="G1902" s="67">
        <f ca="1" t="shared" ref="G1902:G1965" si="176">30-SUM(H1902:L1902)</f>
        <v>0</v>
      </c>
      <c r="H1902" s="67" cm="1">
        <f ca="1" t="array" ref="H1902">MIN(30-SUM(I1902:L1902),_xlfn.XLOOKUP($D1902&amp;"_"&amp;H$61,$B$23:$B$45&amp;"_"&amp;$C$23:$C$45,$D$23:$D$45)*$E1902,18)</f>
        <v>8.45701422529795</v>
      </c>
      <c r="I1902" s="67" cm="1">
        <f ca="1" t="array" ref="I1902">MIN(30-SUM(J1902:L1902),6-L1902,_xlfn.XLOOKUP($D1902&amp;"_"&amp;I$61,$B$23:$B$45&amp;"_"&amp;$C$23:$C$45,$D$23:$D$45)*$E1902)</f>
        <v>0</v>
      </c>
      <c r="J1902" s="67" cm="1">
        <f ca="1" t="array" ref="J1902">MIN(8,_xlfn.XLOOKUP($D1902&amp;"_"&amp;J$61,$B$23:$B$45&amp;"_"&amp;$C$23:$C$45,$D$23:$D$45)*$E1902)</f>
        <v>8</v>
      </c>
      <c r="K1902" s="67" cm="1">
        <f ca="1" t="array" ref="K1902">MIN(18,_xlfn.XLOOKUP($D1902&amp;"_"&amp;K$61,$B$23:$B$45&amp;"_"&amp;$C$23:$C$45,$D$23:$D$45)*$E1902)</f>
        <v>7.54298577470204</v>
      </c>
      <c r="L1902" s="67" cm="1">
        <f ca="1" t="array" ref="L1902">MIN(6,_xlfn.XLOOKUP($D1902&amp;"_"&amp;L$61,$B$23:$B$45&amp;"_"&amp;$C$23:$C$45,$D$23:$D$45)*$E1902)</f>
        <v>6</v>
      </c>
      <c r="M1902" s="67" cm="1">
        <f ca="1" t="array" ref="M1902">(1+SUMPRODUCT(G1902:H1902,OFFSET($H$49:$I$49,D1902,0)))*(1+OFFSET($J$49,D1902,0))^I1902*(1+OFFSET($K$49,D1902,0))^J1902*(1+OFFSET($L$49,D1902,0))^K1902*(1+OFFSET($M$49,D1902,0))^L1902</f>
        <v>519.130752539515</v>
      </c>
      <c r="N1902" s="67">
        <f ca="1">MAX(MAX($N$62:N1901),OFFSET($C$61,MATCH(M1902*1.07,$M$62:$M$2061,1),0)-C1902)</f>
        <v>56880</v>
      </c>
    </row>
    <row r="1903" spans="2:14">
      <c r="B1903" s="67">
        <v>1842</v>
      </c>
      <c r="C1903" s="67">
        <f t="shared" si="174"/>
        <v>663120</v>
      </c>
      <c r="D1903" s="67">
        <f t="shared" si="172"/>
        <v>5</v>
      </c>
      <c r="E1903" s="67">
        <f ca="1" t="shared" si="173"/>
        <v>1872</v>
      </c>
      <c r="F1903" s="67">
        <f ca="1" t="shared" si="175"/>
        <v>0</v>
      </c>
      <c r="G1903" s="67">
        <f ca="1" t="shared" si="176"/>
        <v>0</v>
      </c>
      <c r="H1903" s="67" cm="1">
        <f ca="1" t="array" ref="H1903">MIN(30-SUM(I1903:L1903),_xlfn.XLOOKUP($D1903&amp;"_"&amp;H$61,$B$23:$B$45&amp;"_"&amp;$C$23:$C$45,$D$23:$D$45)*$E1903,18)</f>
        <v>8.45298269896193</v>
      </c>
      <c r="I1903" s="67" cm="1">
        <f ca="1" t="array" ref="I1903">MIN(30-SUM(J1903:L1903),6-L1903,_xlfn.XLOOKUP($D1903&amp;"_"&amp;I$61,$B$23:$B$45&amp;"_"&amp;$C$23:$C$45,$D$23:$D$45)*$E1903)</f>
        <v>0</v>
      </c>
      <c r="J1903" s="67" cm="1">
        <f ca="1" t="array" ref="J1903">MIN(8,_xlfn.XLOOKUP($D1903&amp;"_"&amp;J$61,$B$23:$B$45&amp;"_"&amp;$C$23:$C$45,$D$23:$D$45)*$E1903)</f>
        <v>8</v>
      </c>
      <c r="K1903" s="67" cm="1">
        <f ca="1" t="array" ref="K1903">MIN(18,_xlfn.XLOOKUP($D1903&amp;"_"&amp;K$61,$B$23:$B$45&amp;"_"&amp;$C$23:$C$45,$D$23:$D$45)*$E1903)</f>
        <v>7.54701730103807</v>
      </c>
      <c r="L1903" s="67" cm="1">
        <f ca="1" t="array" ref="L1903">MIN(6,_xlfn.XLOOKUP($D1903&amp;"_"&amp;L$61,$B$23:$B$45&amp;"_"&amp;$C$23:$C$45,$D$23:$D$45)*$E1903)</f>
        <v>6</v>
      </c>
      <c r="M1903" s="67" cm="1">
        <f ca="1" t="array" ref="M1903">(1+SUMPRODUCT(G1903:H1903,OFFSET($H$49:$I$49,D1903,0)))*(1+OFFSET($J$49,D1903,0))^I1903*(1+OFFSET($K$49,D1903,0))^J1903*(1+OFFSET($L$49,D1903,0))^K1903*(1+OFFSET($M$49,D1903,0))^L1903</f>
        <v>519.356833242516</v>
      </c>
      <c r="N1903" s="67">
        <f ca="1">MAX(MAX($N$62:N1902),OFFSET($C$61,MATCH(M1903*1.07,$M$62:$M$2061,1),0)-C1903)</f>
        <v>56880</v>
      </c>
    </row>
    <row r="1904" spans="2:14">
      <c r="B1904" s="67">
        <v>1843</v>
      </c>
      <c r="C1904" s="67">
        <f t="shared" si="174"/>
        <v>663480</v>
      </c>
      <c r="D1904" s="67">
        <f t="shared" si="172"/>
        <v>5</v>
      </c>
      <c r="E1904" s="67">
        <f ca="1" t="shared" si="173"/>
        <v>1873</v>
      </c>
      <c r="F1904" s="67">
        <f ca="1" t="shared" si="175"/>
        <v>0</v>
      </c>
      <c r="G1904" s="67">
        <f ca="1" t="shared" si="176"/>
        <v>0</v>
      </c>
      <c r="H1904" s="67" cm="1">
        <f ca="1" t="array" ref="H1904">MIN(30-SUM(I1904:L1904),_xlfn.XLOOKUP($D1904&amp;"_"&amp;H$61,$B$23:$B$45&amp;"_"&amp;$C$23:$C$45,$D$23:$D$45)*$E1904,18)</f>
        <v>8.4489511726259</v>
      </c>
      <c r="I1904" s="67" cm="1">
        <f ca="1" t="array" ref="I1904">MIN(30-SUM(J1904:L1904),6-L1904,_xlfn.XLOOKUP($D1904&amp;"_"&amp;I$61,$B$23:$B$45&amp;"_"&amp;$C$23:$C$45,$D$23:$D$45)*$E1904)</f>
        <v>0</v>
      </c>
      <c r="J1904" s="67" cm="1">
        <f ca="1" t="array" ref="J1904">MIN(8,_xlfn.XLOOKUP($D1904&amp;"_"&amp;J$61,$B$23:$B$45&amp;"_"&amp;$C$23:$C$45,$D$23:$D$45)*$E1904)</f>
        <v>8</v>
      </c>
      <c r="K1904" s="67" cm="1">
        <f ca="1" t="array" ref="K1904">MIN(18,_xlfn.XLOOKUP($D1904&amp;"_"&amp;K$61,$B$23:$B$45&amp;"_"&amp;$C$23:$C$45,$D$23:$D$45)*$E1904)</f>
        <v>7.55104882737409</v>
      </c>
      <c r="L1904" s="67" cm="1">
        <f ca="1" t="array" ref="L1904">MIN(6,_xlfn.XLOOKUP($D1904&amp;"_"&amp;L$61,$B$23:$B$45&amp;"_"&amp;$C$23:$C$45,$D$23:$D$45)*$E1904)</f>
        <v>6</v>
      </c>
      <c r="M1904" s="67" cm="1">
        <f ca="1" t="array" ref="M1904">(1+SUMPRODUCT(G1904:H1904,OFFSET($H$49:$I$49,D1904,0)))*(1+OFFSET($J$49,D1904,0))^I1904*(1+OFFSET($K$49,D1904,0))^J1904*(1+OFFSET($L$49,D1904,0))^K1904*(1+OFFSET($M$49,D1904,0))^L1904</f>
        <v>519.582965742046</v>
      </c>
      <c r="N1904" s="67">
        <f ca="1">MAX(MAX($N$62:N1903),OFFSET($C$61,MATCH(M1904*1.07,$M$62:$M$2061,1),0)-C1904)</f>
        <v>56880</v>
      </c>
    </row>
    <row r="1905" spans="2:14">
      <c r="B1905" s="67">
        <v>1844</v>
      </c>
      <c r="C1905" s="67">
        <f t="shared" si="174"/>
        <v>663840</v>
      </c>
      <c r="D1905" s="67">
        <f t="shared" si="172"/>
        <v>5</v>
      </c>
      <c r="E1905" s="67">
        <f ca="1" t="shared" si="173"/>
        <v>1874</v>
      </c>
      <c r="F1905" s="67">
        <f ca="1" t="shared" si="175"/>
        <v>0</v>
      </c>
      <c r="G1905" s="67">
        <f ca="1" t="shared" si="176"/>
        <v>0</v>
      </c>
      <c r="H1905" s="67" cm="1">
        <f ca="1" t="array" ref="H1905">MIN(30-SUM(I1905:L1905),_xlfn.XLOOKUP($D1905&amp;"_"&amp;H$61,$B$23:$B$45&amp;"_"&amp;$C$23:$C$45,$D$23:$D$45)*$E1905,18)</f>
        <v>8.44491964628988</v>
      </c>
      <c r="I1905" s="67" cm="1">
        <f ca="1" t="array" ref="I1905">MIN(30-SUM(J1905:L1905),6-L1905,_xlfn.XLOOKUP($D1905&amp;"_"&amp;I$61,$B$23:$B$45&amp;"_"&amp;$C$23:$C$45,$D$23:$D$45)*$E1905)</f>
        <v>0</v>
      </c>
      <c r="J1905" s="67" cm="1">
        <f ca="1" t="array" ref="J1905">MIN(8,_xlfn.XLOOKUP($D1905&amp;"_"&amp;J$61,$B$23:$B$45&amp;"_"&amp;$C$23:$C$45,$D$23:$D$45)*$E1905)</f>
        <v>8</v>
      </c>
      <c r="K1905" s="67" cm="1">
        <f ca="1" t="array" ref="K1905">MIN(18,_xlfn.XLOOKUP($D1905&amp;"_"&amp;K$61,$B$23:$B$45&amp;"_"&amp;$C$23:$C$45,$D$23:$D$45)*$E1905)</f>
        <v>7.55508035371012</v>
      </c>
      <c r="L1905" s="67" cm="1">
        <f ca="1" t="array" ref="L1905">MIN(6,_xlfn.XLOOKUP($D1905&amp;"_"&amp;L$61,$B$23:$B$45&amp;"_"&amp;$C$23:$C$45,$D$23:$D$45)*$E1905)</f>
        <v>6</v>
      </c>
      <c r="M1905" s="67" cm="1">
        <f ca="1" t="array" ref="M1905">(1+SUMPRODUCT(G1905:H1905,OFFSET($H$49:$I$49,D1905,0)))*(1+OFFSET($J$49,D1905,0))^I1905*(1+OFFSET($K$49,D1905,0))^J1905*(1+OFFSET($L$49,D1905,0))^K1905*(1+OFFSET($M$49,D1905,0))^L1905</f>
        <v>519.809149992043</v>
      </c>
      <c r="N1905" s="67">
        <f ca="1">MAX(MAX($N$62:N1904),OFFSET($C$61,MATCH(M1905*1.07,$M$62:$M$2061,1),0)-C1905)</f>
        <v>56880</v>
      </c>
    </row>
    <row r="1906" spans="2:14">
      <c r="B1906" s="67">
        <v>1845</v>
      </c>
      <c r="C1906" s="67">
        <f t="shared" si="174"/>
        <v>664200</v>
      </c>
      <c r="D1906" s="67">
        <f t="shared" si="172"/>
        <v>5</v>
      </c>
      <c r="E1906" s="67">
        <f ca="1" t="shared" si="173"/>
        <v>1875</v>
      </c>
      <c r="F1906" s="67">
        <f ca="1" t="shared" si="175"/>
        <v>0</v>
      </c>
      <c r="G1906" s="67">
        <f ca="1" t="shared" si="176"/>
        <v>0</v>
      </c>
      <c r="H1906" s="67" cm="1">
        <f ca="1" t="array" ref="H1906">MIN(30-SUM(I1906:L1906),_xlfn.XLOOKUP($D1906&amp;"_"&amp;H$61,$B$23:$B$45&amp;"_"&amp;$C$23:$C$45,$D$23:$D$45)*$E1906,18)</f>
        <v>8.44088811995386</v>
      </c>
      <c r="I1906" s="67" cm="1">
        <f ca="1" t="array" ref="I1906">MIN(30-SUM(J1906:L1906),6-L1906,_xlfn.XLOOKUP($D1906&amp;"_"&amp;I$61,$B$23:$B$45&amp;"_"&amp;$C$23:$C$45,$D$23:$D$45)*$E1906)</f>
        <v>0</v>
      </c>
      <c r="J1906" s="67" cm="1">
        <f ca="1" t="array" ref="J1906">MIN(8,_xlfn.XLOOKUP($D1906&amp;"_"&amp;J$61,$B$23:$B$45&amp;"_"&amp;$C$23:$C$45,$D$23:$D$45)*$E1906)</f>
        <v>8</v>
      </c>
      <c r="K1906" s="67" cm="1">
        <f ca="1" t="array" ref="K1906">MIN(18,_xlfn.XLOOKUP($D1906&amp;"_"&amp;K$61,$B$23:$B$45&amp;"_"&amp;$C$23:$C$45,$D$23:$D$45)*$E1906)</f>
        <v>7.55911188004614</v>
      </c>
      <c r="L1906" s="67" cm="1">
        <f ca="1" t="array" ref="L1906">MIN(6,_xlfn.XLOOKUP($D1906&amp;"_"&amp;L$61,$B$23:$B$45&amp;"_"&amp;$C$23:$C$45,$D$23:$D$45)*$E1906)</f>
        <v>6</v>
      </c>
      <c r="M1906" s="67" cm="1">
        <f ca="1" t="array" ref="M1906">(1+SUMPRODUCT(G1906:H1906,OFFSET($H$49:$I$49,D1906,0)))*(1+OFFSET($J$49,D1906,0))^I1906*(1+OFFSET($K$49,D1906,0))^J1906*(1+OFFSET($L$49,D1906,0))^K1906*(1+OFFSET($M$49,D1906,0))^L1906</f>
        <v>520.035385946347</v>
      </c>
      <c r="N1906" s="67">
        <f ca="1">MAX(MAX($N$62:N1905),OFFSET($C$61,MATCH(M1906*1.07,$M$62:$M$2061,1),0)-C1906)</f>
        <v>56880</v>
      </c>
    </row>
    <row r="1907" spans="2:14">
      <c r="B1907" s="67">
        <v>1846</v>
      </c>
      <c r="C1907" s="67">
        <f t="shared" si="174"/>
        <v>664560</v>
      </c>
      <c r="D1907" s="67">
        <f t="shared" si="172"/>
        <v>5</v>
      </c>
      <c r="E1907" s="67">
        <f ca="1" t="shared" si="173"/>
        <v>1876</v>
      </c>
      <c r="F1907" s="67">
        <f ca="1" t="shared" si="175"/>
        <v>0</v>
      </c>
      <c r="G1907" s="67">
        <f ca="1" t="shared" si="176"/>
        <v>0</v>
      </c>
      <c r="H1907" s="67" cm="1">
        <f ca="1" t="array" ref="H1907">MIN(30-SUM(I1907:L1907),_xlfn.XLOOKUP($D1907&amp;"_"&amp;H$61,$B$23:$B$45&amp;"_"&amp;$C$23:$C$45,$D$23:$D$45)*$E1907,18)</f>
        <v>8.43685659361783</v>
      </c>
      <c r="I1907" s="67" cm="1">
        <f ca="1" t="array" ref="I1907">MIN(30-SUM(J1907:L1907),6-L1907,_xlfn.XLOOKUP($D1907&amp;"_"&amp;I$61,$B$23:$B$45&amp;"_"&amp;$C$23:$C$45,$D$23:$D$45)*$E1907)</f>
        <v>0</v>
      </c>
      <c r="J1907" s="67" cm="1">
        <f ca="1" t="array" ref="J1907">MIN(8,_xlfn.XLOOKUP($D1907&amp;"_"&amp;J$61,$B$23:$B$45&amp;"_"&amp;$C$23:$C$45,$D$23:$D$45)*$E1907)</f>
        <v>8</v>
      </c>
      <c r="K1907" s="67" cm="1">
        <f ca="1" t="array" ref="K1907">MIN(18,_xlfn.XLOOKUP($D1907&amp;"_"&amp;K$61,$B$23:$B$45&amp;"_"&amp;$C$23:$C$45,$D$23:$D$45)*$E1907)</f>
        <v>7.56314340638217</v>
      </c>
      <c r="L1907" s="67" cm="1">
        <f ca="1" t="array" ref="L1907">MIN(6,_xlfn.XLOOKUP($D1907&amp;"_"&amp;L$61,$B$23:$B$45&amp;"_"&amp;$C$23:$C$45,$D$23:$D$45)*$E1907)</f>
        <v>6</v>
      </c>
      <c r="M1907" s="67" cm="1">
        <f ca="1" t="array" ref="M1907">(1+SUMPRODUCT(G1907:H1907,OFFSET($H$49:$I$49,D1907,0)))*(1+OFFSET($J$49,D1907,0))^I1907*(1+OFFSET($K$49,D1907,0))^J1907*(1+OFFSET($L$49,D1907,0))^K1907*(1+OFFSET($M$49,D1907,0))^L1907</f>
        <v>520.261673558705</v>
      </c>
      <c r="N1907" s="67">
        <f ca="1">MAX(MAX($N$62:N1906),OFFSET($C$61,MATCH(M1907*1.07,$M$62:$M$2061,1),0)-C1907)</f>
        <v>56880</v>
      </c>
    </row>
    <row r="1908" spans="2:14">
      <c r="B1908" s="67">
        <v>1847</v>
      </c>
      <c r="C1908" s="67">
        <f t="shared" si="174"/>
        <v>664920</v>
      </c>
      <c r="D1908" s="67">
        <f t="shared" si="172"/>
        <v>5</v>
      </c>
      <c r="E1908" s="67">
        <f ca="1" t="shared" si="173"/>
        <v>1877</v>
      </c>
      <c r="F1908" s="67">
        <f ca="1" t="shared" si="175"/>
        <v>0</v>
      </c>
      <c r="G1908" s="67">
        <f ca="1" t="shared" si="176"/>
        <v>0</v>
      </c>
      <c r="H1908" s="67" cm="1">
        <f ca="1" t="array" ref="H1908">MIN(30-SUM(I1908:L1908),_xlfn.XLOOKUP($D1908&amp;"_"&amp;H$61,$B$23:$B$45&amp;"_"&amp;$C$23:$C$45,$D$23:$D$45)*$E1908,18)</f>
        <v>8.43282506728181</v>
      </c>
      <c r="I1908" s="67" cm="1">
        <f ca="1" t="array" ref="I1908">MIN(30-SUM(J1908:L1908),6-L1908,_xlfn.XLOOKUP($D1908&amp;"_"&amp;I$61,$B$23:$B$45&amp;"_"&amp;$C$23:$C$45,$D$23:$D$45)*$E1908)</f>
        <v>0</v>
      </c>
      <c r="J1908" s="67" cm="1">
        <f ca="1" t="array" ref="J1908">MIN(8,_xlfn.XLOOKUP($D1908&amp;"_"&amp;J$61,$B$23:$B$45&amp;"_"&amp;$C$23:$C$45,$D$23:$D$45)*$E1908)</f>
        <v>8</v>
      </c>
      <c r="K1908" s="67" cm="1">
        <f ca="1" t="array" ref="K1908">MIN(18,_xlfn.XLOOKUP($D1908&amp;"_"&amp;K$61,$B$23:$B$45&amp;"_"&amp;$C$23:$C$45,$D$23:$D$45)*$E1908)</f>
        <v>7.56717493271819</v>
      </c>
      <c r="L1908" s="67" cm="1">
        <f ca="1" t="array" ref="L1908">MIN(6,_xlfn.XLOOKUP($D1908&amp;"_"&amp;L$61,$B$23:$B$45&amp;"_"&amp;$C$23:$C$45,$D$23:$D$45)*$E1908)</f>
        <v>6</v>
      </c>
      <c r="M1908" s="67" cm="1">
        <f ca="1" t="array" ref="M1908">(1+SUMPRODUCT(G1908:H1908,OFFSET($H$49:$I$49,D1908,0)))*(1+OFFSET($J$49,D1908,0))^I1908*(1+OFFSET($K$49,D1908,0))^J1908*(1+OFFSET($L$49,D1908,0))^K1908*(1+OFFSET($M$49,D1908,0))^L1908</f>
        <v>520.488012782765</v>
      </c>
      <c r="N1908" s="67">
        <f ca="1">MAX(MAX($N$62:N1907),OFFSET($C$61,MATCH(M1908*1.07,$M$62:$M$2061,1),0)-C1908)</f>
        <v>56880</v>
      </c>
    </row>
    <row r="1909" spans="2:14">
      <c r="B1909" s="67">
        <v>1848</v>
      </c>
      <c r="C1909" s="67">
        <f t="shared" si="174"/>
        <v>665280</v>
      </c>
      <c r="D1909" s="67">
        <f t="shared" si="172"/>
        <v>5</v>
      </c>
      <c r="E1909" s="67">
        <f ca="1" t="shared" si="173"/>
        <v>1878</v>
      </c>
      <c r="F1909" s="67">
        <f ca="1" t="shared" si="175"/>
        <v>0</v>
      </c>
      <c r="G1909" s="67">
        <f ca="1" t="shared" si="176"/>
        <v>0</v>
      </c>
      <c r="H1909" s="67" cm="1">
        <f ca="1" t="array" ref="H1909">MIN(30-SUM(I1909:L1909),_xlfn.XLOOKUP($D1909&amp;"_"&amp;H$61,$B$23:$B$45&amp;"_"&amp;$C$23:$C$45,$D$23:$D$45)*$E1909,18)</f>
        <v>8.42879354094578</v>
      </c>
      <c r="I1909" s="67" cm="1">
        <f ca="1" t="array" ref="I1909">MIN(30-SUM(J1909:L1909),6-L1909,_xlfn.XLOOKUP($D1909&amp;"_"&amp;I$61,$B$23:$B$45&amp;"_"&amp;$C$23:$C$45,$D$23:$D$45)*$E1909)</f>
        <v>0</v>
      </c>
      <c r="J1909" s="67" cm="1">
        <f ca="1" t="array" ref="J1909">MIN(8,_xlfn.XLOOKUP($D1909&amp;"_"&amp;J$61,$B$23:$B$45&amp;"_"&amp;$C$23:$C$45,$D$23:$D$45)*$E1909)</f>
        <v>8</v>
      </c>
      <c r="K1909" s="67" cm="1">
        <f ca="1" t="array" ref="K1909">MIN(18,_xlfn.XLOOKUP($D1909&amp;"_"&amp;K$61,$B$23:$B$45&amp;"_"&amp;$C$23:$C$45,$D$23:$D$45)*$E1909)</f>
        <v>7.57120645905422</v>
      </c>
      <c r="L1909" s="67" cm="1">
        <f ca="1" t="array" ref="L1909">MIN(6,_xlfn.XLOOKUP($D1909&amp;"_"&amp;L$61,$B$23:$B$45&amp;"_"&amp;$C$23:$C$45,$D$23:$D$45)*$E1909)</f>
        <v>6</v>
      </c>
      <c r="M1909" s="67" cm="1">
        <f ca="1" t="array" ref="M1909">(1+SUMPRODUCT(G1909:H1909,OFFSET($H$49:$I$49,D1909,0)))*(1+OFFSET($J$49,D1909,0))^I1909*(1+OFFSET($K$49,D1909,0))^J1909*(1+OFFSET($L$49,D1909,0))^K1909*(1+OFFSET($M$49,D1909,0))^L1909</f>
        <v>520.714403572081</v>
      </c>
      <c r="N1909" s="67">
        <f ca="1">MAX(MAX($N$62:N1908),OFFSET($C$61,MATCH(M1909*1.07,$M$62:$M$2061,1),0)-C1909)</f>
        <v>56880</v>
      </c>
    </row>
    <row r="1910" spans="2:14">
      <c r="B1910" s="67">
        <v>1849</v>
      </c>
      <c r="C1910" s="67">
        <f t="shared" si="174"/>
        <v>665640</v>
      </c>
      <c r="D1910" s="67">
        <f t="shared" si="172"/>
        <v>5</v>
      </c>
      <c r="E1910" s="67">
        <f ca="1" t="shared" si="173"/>
        <v>1879</v>
      </c>
      <c r="F1910" s="67">
        <f ca="1" t="shared" si="175"/>
        <v>0</v>
      </c>
      <c r="G1910" s="67">
        <f ca="1" t="shared" si="176"/>
        <v>0</v>
      </c>
      <c r="H1910" s="67" cm="1">
        <f ca="1" t="array" ref="H1910">MIN(30-SUM(I1910:L1910),_xlfn.XLOOKUP($D1910&amp;"_"&amp;H$61,$B$23:$B$45&amp;"_"&amp;$C$23:$C$45,$D$23:$D$45)*$E1910,18)</f>
        <v>8.42476201460976</v>
      </c>
      <c r="I1910" s="67" cm="1">
        <f ca="1" t="array" ref="I1910">MIN(30-SUM(J1910:L1910),6-L1910,_xlfn.XLOOKUP($D1910&amp;"_"&amp;I$61,$B$23:$B$45&amp;"_"&amp;$C$23:$C$45,$D$23:$D$45)*$E1910)</f>
        <v>0</v>
      </c>
      <c r="J1910" s="67" cm="1">
        <f ca="1" t="array" ref="J1910">MIN(8,_xlfn.XLOOKUP($D1910&amp;"_"&amp;J$61,$B$23:$B$45&amp;"_"&amp;$C$23:$C$45,$D$23:$D$45)*$E1910)</f>
        <v>8</v>
      </c>
      <c r="K1910" s="67" cm="1">
        <f ca="1" t="array" ref="K1910">MIN(18,_xlfn.XLOOKUP($D1910&amp;"_"&amp;K$61,$B$23:$B$45&amp;"_"&amp;$C$23:$C$45,$D$23:$D$45)*$E1910)</f>
        <v>7.57523798539024</v>
      </c>
      <c r="L1910" s="67" cm="1">
        <f ca="1" t="array" ref="L1910">MIN(6,_xlfn.XLOOKUP($D1910&amp;"_"&amp;L$61,$B$23:$B$45&amp;"_"&amp;$C$23:$C$45,$D$23:$D$45)*$E1910)</f>
        <v>6</v>
      </c>
      <c r="M1910" s="67" cm="1">
        <f ca="1" t="array" ref="M1910">(1+SUMPRODUCT(G1910:H1910,OFFSET($H$49:$I$49,D1910,0)))*(1+OFFSET($J$49,D1910,0))^I1910*(1+OFFSET($K$49,D1910,0))^J1910*(1+OFFSET($L$49,D1910,0))^K1910*(1+OFFSET($M$49,D1910,0))^L1910</f>
        <v>520.940845880109</v>
      </c>
      <c r="N1910" s="67">
        <f ca="1">MAX(MAX($N$62:N1909),OFFSET($C$61,MATCH(M1910*1.07,$M$62:$M$2061,1),0)-C1910)</f>
        <v>56880</v>
      </c>
    </row>
    <row r="1911" spans="2:14">
      <c r="B1911" s="67">
        <v>1850</v>
      </c>
      <c r="C1911" s="67">
        <f t="shared" si="174"/>
        <v>666000</v>
      </c>
      <c r="D1911" s="67">
        <f t="shared" si="172"/>
        <v>5</v>
      </c>
      <c r="E1911" s="67">
        <f ca="1" t="shared" si="173"/>
        <v>1880</v>
      </c>
      <c r="F1911" s="67">
        <f ca="1" t="shared" si="175"/>
        <v>0</v>
      </c>
      <c r="G1911" s="67">
        <f ca="1" t="shared" si="176"/>
        <v>0</v>
      </c>
      <c r="H1911" s="67" cm="1">
        <f ca="1" t="array" ref="H1911">MIN(30-SUM(I1911:L1911),_xlfn.XLOOKUP($D1911&amp;"_"&amp;H$61,$B$23:$B$45&amp;"_"&amp;$C$23:$C$45,$D$23:$D$45)*$E1911,18)</f>
        <v>8.42073048827373</v>
      </c>
      <c r="I1911" s="67" cm="1">
        <f ca="1" t="array" ref="I1911">MIN(30-SUM(J1911:L1911),6-L1911,_xlfn.XLOOKUP($D1911&amp;"_"&amp;I$61,$B$23:$B$45&amp;"_"&amp;$C$23:$C$45,$D$23:$D$45)*$E1911)</f>
        <v>0</v>
      </c>
      <c r="J1911" s="67" cm="1">
        <f ca="1" t="array" ref="J1911">MIN(8,_xlfn.XLOOKUP($D1911&amp;"_"&amp;J$61,$B$23:$B$45&amp;"_"&amp;$C$23:$C$45,$D$23:$D$45)*$E1911)</f>
        <v>8</v>
      </c>
      <c r="K1911" s="67" cm="1">
        <f ca="1" t="array" ref="K1911">MIN(18,_xlfn.XLOOKUP($D1911&amp;"_"&amp;K$61,$B$23:$B$45&amp;"_"&amp;$C$23:$C$45,$D$23:$D$45)*$E1911)</f>
        <v>7.57926951172627</v>
      </c>
      <c r="L1911" s="67" cm="1">
        <f ca="1" t="array" ref="L1911">MIN(6,_xlfn.XLOOKUP($D1911&amp;"_"&amp;L$61,$B$23:$B$45&amp;"_"&amp;$C$23:$C$45,$D$23:$D$45)*$E1911)</f>
        <v>6</v>
      </c>
      <c r="M1911" s="67" cm="1">
        <f ca="1" t="array" ref="M1911">(1+SUMPRODUCT(G1911:H1911,OFFSET($H$49:$I$49,D1911,0)))*(1+OFFSET($J$49,D1911,0))^I1911*(1+OFFSET($K$49,D1911,0))^J1911*(1+OFFSET($L$49,D1911,0))^K1911*(1+OFFSET($M$49,D1911,0))^L1911</f>
        <v>521.167339660209</v>
      </c>
      <c r="N1911" s="67">
        <f ca="1">MAX(MAX($N$62:N1910),OFFSET($C$61,MATCH(M1911*1.07,$M$62:$M$2061,1),0)-C1911)</f>
        <v>56880</v>
      </c>
    </row>
    <row r="1912" spans="2:14">
      <c r="B1912" s="67">
        <v>1851</v>
      </c>
      <c r="C1912" s="67">
        <f t="shared" si="174"/>
        <v>666360</v>
      </c>
      <c r="D1912" s="67">
        <f t="shared" si="172"/>
        <v>5</v>
      </c>
      <c r="E1912" s="67">
        <f ca="1" t="shared" si="173"/>
        <v>1881</v>
      </c>
      <c r="F1912" s="67">
        <f ca="1" t="shared" si="175"/>
        <v>0</v>
      </c>
      <c r="G1912" s="67">
        <f ca="1" t="shared" si="176"/>
        <v>0</v>
      </c>
      <c r="H1912" s="67" cm="1">
        <f ca="1" t="array" ref="H1912">MIN(30-SUM(I1912:L1912),_xlfn.XLOOKUP($D1912&amp;"_"&amp;H$61,$B$23:$B$45&amp;"_"&amp;$C$23:$C$45,$D$23:$D$45)*$E1912,18)</f>
        <v>8.41669896193771</v>
      </c>
      <c r="I1912" s="67" cm="1">
        <f ca="1" t="array" ref="I1912">MIN(30-SUM(J1912:L1912),6-L1912,_xlfn.XLOOKUP($D1912&amp;"_"&amp;I$61,$B$23:$B$45&amp;"_"&amp;$C$23:$C$45,$D$23:$D$45)*$E1912)</f>
        <v>0</v>
      </c>
      <c r="J1912" s="67" cm="1">
        <f ca="1" t="array" ref="J1912">MIN(8,_xlfn.XLOOKUP($D1912&amp;"_"&amp;J$61,$B$23:$B$45&amp;"_"&amp;$C$23:$C$45,$D$23:$D$45)*$E1912)</f>
        <v>8</v>
      </c>
      <c r="K1912" s="67" cm="1">
        <f ca="1" t="array" ref="K1912">MIN(18,_xlfn.XLOOKUP($D1912&amp;"_"&amp;K$61,$B$23:$B$45&amp;"_"&amp;$C$23:$C$45,$D$23:$D$45)*$E1912)</f>
        <v>7.58330103806229</v>
      </c>
      <c r="L1912" s="67" cm="1">
        <f ca="1" t="array" ref="L1912">MIN(6,_xlfn.XLOOKUP($D1912&amp;"_"&amp;L$61,$B$23:$B$45&amp;"_"&amp;$C$23:$C$45,$D$23:$D$45)*$E1912)</f>
        <v>6</v>
      </c>
      <c r="M1912" s="67" cm="1">
        <f ca="1" t="array" ref="M1912">(1+SUMPRODUCT(G1912:H1912,OFFSET($H$49:$I$49,D1912,0)))*(1+OFFSET($J$49,D1912,0))^I1912*(1+OFFSET($K$49,D1912,0))^J1912*(1+OFFSET($L$49,D1912,0))^K1912*(1+OFFSET($M$49,D1912,0))^L1912</f>
        <v>521.393884865647</v>
      </c>
      <c r="N1912" s="67">
        <f ca="1">MAX(MAX($N$62:N1911),OFFSET($C$61,MATCH(M1912*1.07,$M$62:$M$2061,1),0)-C1912)</f>
        <v>56880</v>
      </c>
    </row>
    <row r="1913" spans="2:14">
      <c r="B1913" s="67">
        <v>1852</v>
      </c>
      <c r="C1913" s="67">
        <f t="shared" si="174"/>
        <v>666720</v>
      </c>
      <c r="D1913" s="67">
        <f t="shared" si="172"/>
        <v>5</v>
      </c>
      <c r="E1913" s="67">
        <f ca="1" t="shared" si="173"/>
        <v>1882</v>
      </c>
      <c r="F1913" s="67">
        <f ca="1" t="shared" si="175"/>
        <v>0</v>
      </c>
      <c r="G1913" s="67">
        <f ca="1" t="shared" si="176"/>
        <v>0</v>
      </c>
      <c r="H1913" s="67" cm="1">
        <f ca="1" t="array" ref="H1913">MIN(30-SUM(I1913:L1913),_xlfn.XLOOKUP($D1913&amp;"_"&amp;H$61,$B$23:$B$45&amp;"_"&amp;$C$23:$C$45,$D$23:$D$45)*$E1913,18)</f>
        <v>8.41266743560168</v>
      </c>
      <c r="I1913" s="67" cm="1">
        <f ca="1" t="array" ref="I1913">MIN(30-SUM(J1913:L1913),6-L1913,_xlfn.XLOOKUP($D1913&amp;"_"&amp;I$61,$B$23:$B$45&amp;"_"&amp;$C$23:$C$45,$D$23:$D$45)*$E1913)</f>
        <v>0</v>
      </c>
      <c r="J1913" s="67" cm="1">
        <f ca="1" t="array" ref="J1913">MIN(8,_xlfn.XLOOKUP($D1913&amp;"_"&amp;J$61,$B$23:$B$45&amp;"_"&amp;$C$23:$C$45,$D$23:$D$45)*$E1913)</f>
        <v>8</v>
      </c>
      <c r="K1913" s="67" cm="1">
        <f ca="1" t="array" ref="K1913">MIN(18,_xlfn.XLOOKUP($D1913&amp;"_"&amp;K$61,$B$23:$B$45&amp;"_"&amp;$C$23:$C$45,$D$23:$D$45)*$E1913)</f>
        <v>7.58733256439832</v>
      </c>
      <c r="L1913" s="67" cm="1">
        <f ca="1" t="array" ref="L1913">MIN(6,_xlfn.XLOOKUP($D1913&amp;"_"&amp;L$61,$B$23:$B$45&amp;"_"&amp;$C$23:$C$45,$D$23:$D$45)*$E1913)</f>
        <v>6</v>
      </c>
      <c r="M1913" s="67" cm="1">
        <f ca="1" t="array" ref="M1913">(1+SUMPRODUCT(G1913:H1913,OFFSET($H$49:$I$49,D1913,0)))*(1+OFFSET($J$49,D1913,0))^I1913*(1+OFFSET($K$49,D1913,0))^J1913*(1+OFFSET($L$49,D1913,0))^K1913*(1+OFFSET($M$49,D1913,0))^L1913</f>
        <v>521.62048144959</v>
      </c>
      <c r="N1913" s="67">
        <f ca="1">MAX(MAX($N$62:N1912),OFFSET($C$61,MATCH(M1913*1.07,$M$62:$M$2061,1),0)-C1913)</f>
        <v>56880</v>
      </c>
    </row>
    <row r="1914" spans="2:14">
      <c r="B1914" s="67">
        <v>1853</v>
      </c>
      <c r="C1914" s="67">
        <f t="shared" si="174"/>
        <v>667080</v>
      </c>
      <c r="D1914" s="67">
        <f t="shared" si="172"/>
        <v>5</v>
      </c>
      <c r="E1914" s="67">
        <f ca="1" t="shared" si="173"/>
        <v>1883</v>
      </c>
      <c r="F1914" s="67">
        <f ca="1" t="shared" si="175"/>
        <v>0</v>
      </c>
      <c r="G1914" s="67">
        <f ca="1" t="shared" si="176"/>
        <v>0</v>
      </c>
      <c r="H1914" s="67" cm="1">
        <f ca="1" t="array" ref="H1914">MIN(30-SUM(I1914:L1914),_xlfn.XLOOKUP($D1914&amp;"_"&amp;H$61,$B$23:$B$45&amp;"_"&amp;$C$23:$C$45,$D$23:$D$45)*$E1914,18)</f>
        <v>8.40863590926566</v>
      </c>
      <c r="I1914" s="67" cm="1">
        <f ca="1" t="array" ref="I1914">MIN(30-SUM(J1914:L1914),6-L1914,_xlfn.XLOOKUP($D1914&amp;"_"&amp;I$61,$B$23:$B$45&amp;"_"&amp;$C$23:$C$45,$D$23:$D$45)*$E1914)</f>
        <v>0</v>
      </c>
      <c r="J1914" s="67" cm="1">
        <f ca="1" t="array" ref="J1914">MIN(8,_xlfn.XLOOKUP($D1914&amp;"_"&amp;J$61,$B$23:$B$45&amp;"_"&amp;$C$23:$C$45,$D$23:$D$45)*$E1914)</f>
        <v>8</v>
      </c>
      <c r="K1914" s="67" cm="1">
        <f ca="1" t="array" ref="K1914">MIN(18,_xlfn.XLOOKUP($D1914&amp;"_"&amp;K$61,$B$23:$B$45&amp;"_"&amp;$C$23:$C$45,$D$23:$D$45)*$E1914)</f>
        <v>7.59136409073434</v>
      </c>
      <c r="L1914" s="67" cm="1">
        <f ca="1" t="array" ref="L1914">MIN(6,_xlfn.XLOOKUP($D1914&amp;"_"&amp;L$61,$B$23:$B$45&amp;"_"&amp;$C$23:$C$45,$D$23:$D$45)*$E1914)</f>
        <v>6</v>
      </c>
      <c r="M1914" s="67" cm="1">
        <f ca="1" t="array" ref="M1914">(1+SUMPRODUCT(G1914:H1914,OFFSET($H$49:$I$49,D1914,0)))*(1+OFFSET($J$49,D1914,0))^I1914*(1+OFFSET($K$49,D1914,0))^J1914*(1+OFFSET($L$49,D1914,0))^K1914*(1+OFFSET($M$49,D1914,0))^L1914</f>
        <v>521.847129365108</v>
      </c>
      <c r="N1914" s="67">
        <f ca="1">MAX(MAX($N$62:N1913),OFFSET($C$61,MATCH(M1914*1.07,$M$62:$M$2061,1),0)-C1914)</f>
        <v>56880</v>
      </c>
    </row>
    <row r="1915" spans="2:14">
      <c r="B1915" s="67">
        <v>1854</v>
      </c>
      <c r="C1915" s="67">
        <f t="shared" si="174"/>
        <v>667440</v>
      </c>
      <c r="D1915" s="67">
        <f t="shared" si="172"/>
        <v>5</v>
      </c>
      <c r="E1915" s="67">
        <f ca="1" t="shared" si="173"/>
        <v>1884</v>
      </c>
      <c r="F1915" s="67">
        <f ca="1" t="shared" si="175"/>
        <v>0</v>
      </c>
      <c r="G1915" s="67">
        <f ca="1" t="shared" si="176"/>
        <v>0</v>
      </c>
      <c r="H1915" s="67" cm="1">
        <f ca="1" t="array" ref="H1915">MIN(30-SUM(I1915:L1915),_xlfn.XLOOKUP($D1915&amp;"_"&amp;H$61,$B$23:$B$45&amp;"_"&amp;$C$23:$C$45,$D$23:$D$45)*$E1915,18)</f>
        <v>8.40460438292963</v>
      </c>
      <c r="I1915" s="67" cm="1">
        <f ca="1" t="array" ref="I1915">MIN(30-SUM(J1915:L1915),6-L1915,_xlfn.XLOOKUP($D1915&amp;"_"&amp;I$61,$B$23:$B$45&amp;"_"&amp;$C$23:$C$45,$D$23:$D$45)*$E1915)</f>
        <v>0</v>
      </c>
      <c r="J1915" s="67" cm="1">
        <f ca="1" t="array" ref="J1915">MIN(8,_xlfn.XLOOKUP($D1915&amp;"_"&amp;J$61,$B$23:$B$45&amp;"_"&amp;$C$23:$C$45,$D$23:$D$45)*$E1915)</f>
        <v>8</v>
      </c>
      <c r="K1915" s="67" cm="1">
        <f ca="1" t="array" ref="K1915">MIN(18,_xlfn.XLOOKUP($D1915&amp;"_"&amp;K$61,$B$23:$B$45&amp;"_"&amp;$C$23:$C$45,$D$23:$D$45)*$E1915)</f>
        <v>7.59539561707036</v>
      </c>
      <c r="L1915" s="67" cm="1">
        <f ca="1" t="array" ref="L1915">MIN(6,_xlfn.XLOOKUP($D1915&amp;"_"&amp;L$61,$B$23:$B$45&amp;"_"&amp;$C$23:$C$45,$D$23:$D$45)*$E1915)</f>
        <v>6</v>
      </c>
      <c r="M1915" s="67" cm="1">
        <f ca="1" t="array" ref="M1915">(1+SUMPRODUCT(G1915:H1915,OFFSET($H$49:$I$49,D1915,0)))*(1+OFFSET($J$49,D1915,0))^I1915*(1+OFFSET($K$49,D1915,0))^J1915*(1+OFFSET($L$49,D1915,0))^K1915*(1+OFFSET($M$49,D1915,0))^L1915</f>
        <v>522.073828565176</v>
      </c>
      <c r="N1915" s="67">
        <f ca="1">MAX(MAX($N$62:N1914),OFFSET($C$61,MATCH(M1915*1.07,$M$62:$M$2061,1),0)-C1915)</f>
        <v>56880</v>
      </c>
    </row>
    <row r="1916" spans="2:14">
      <c r="B1916" s="67">
        <v>1855</v>
      </c>
      <c r="C1916" s="67">
        <f t="shared" si="174"/>
        <v>667800</v>
      </c>
      <c r="D1916" s="67">
        <f t="shared" si="172"/>
        <v>5</v>
      </c>
      <c r="E1916" s="67">
        <f ca="1" t="shared" si="173"/>
        <v>1885</v>
      </c>
      <c r="F1916" s="67">
        <f ca="1" t="shared" si="175"/>
        <v>0</v>
      </c>
      <c r="G1916" s="67">
        <f ca="1" t="shared" si="176"/>
        <v>0</v>
      </c>
      <c r="H1916" s="67" cm="1">
        <f ca="1" t="array" ref="H1916">MIN(30-SUM(I1916:L1916),_xlfn.XLOOKUP($D1916&amp;"_"&amp;H$61,$B$23:$B$45&amp;"_"&amp;$C$23:$C$45,$D$23:$D$45)*$E1916,18)</f>
        <v>8.40057285659361</v>
      </c>
      <c r="I1916" s="67" cm="1">
        <f ca="1" t="array" ref="I1916">MIN(30-SUM(J1916:L1916),6-L1916,_xlfn.XLOOKUP($D1916&amp;"_"&amp;I$61,$B$23:$B$45&amp;"_"&amp;$C$23:$C$45,$D$23:$D$45)*$E1916)</f>
        <v>0</v>
      </c>
      <c r="J1916" s="67" cm="1">
        <f ca="1" t="array" ref="J1916">MIN(8,_xlfn.XLOOKUP($D1916&amp;"_"&amp;J$61,$B$23:$B$45&amp;"_"&amp;$C$23:$C$45,$D$23:$D$45)*$E1916)</f>
        <v>8</v>
      </c>
      <c r="K1916" s="67" cm="1">
        <f ca="1" t="array" ref="K1916">MIN(18,_xlfn.XLOOKUP($D1916&amp;"_"&amp;K$61,$B$23:$B$45&amp;"_"&amp;$C$23:$C$45,$D$23:$D$45)*$E1916)</f>
        <v>7.59942714340639</v>
      </c>
      <c r="L1916" s="67" cm="1">
        <f ca="1" t="array" ref="L1916">MIN(6,_xlfn.XLOOKUP($D1916&amp;"_"&amp;L$61,$B$23:$B$45&amp;"_"&amp;$C$23:$C$45,$D$23:$D$45)*$E1916)</f>
        <v>6</v>
      </c>
      <c r="M1916" s="67" cm="1">
        <f ca="1" t="array" ref="M1916">(1+SUMPRODUCT(G1916:H1916,OFFSET($H$49:$I$49,D1916,0)))*(1+OFFSET($J$49,D1916,0))^I1916*(1+OFFSET($K$49,D1916,0))^J1916*(1+OFFSET($L$49,D1916,0))^K1916*(1+OFFSET($M$49,D1916,0))^L1916</f>
        <v>522.30057900267</v>
      </c>
      <c r="N1916" s="67">
        <f ca="1">MAX(MAX($N$62:N1915),OFFSET($C$61,MATCH(M1916*1.07,$M$62:$M$2061,1),0)-C1916)</f>
        <v>56880</v>
      </c>
    </row>
    <row r="1917" spans="2:14">
      <c r="B1917" s="67">
        <v>1856</v>
      </c>
      <c r="C1917" s="67">
        <f t="shared" si="174"/>
        <v>668160</v>
      </c>
      <c r="D1917" s="67">
        <f t="shared" si="172"/>
        <v>5</v>
      </c>
      <c r="E1917" s="67">
        <f ca="1" t="shared" si="173"/>
        <v>1886</v>
      </c>
      <c r="F1917" s="67">
        <f ca="1" t="shared" si="175"/>
        <v>0</v>
      </c>
      <c r="G1917" s="67">
        <f ca="1" t="shared" si="176"/>
        <v>0</v>
      </c>
      <c r="H1917" s="67" cm="1">
        <f ca="1" t="array" ref="H1917">MIN(30-SUM(I1917:L1917),_xlfn.XLOOKUP($D1917&amp;"_"&amp;H$61,$B$23:$B$45&amp;"_"&amp;$C$23:$C$45,$D$23:$D$45)*$E1917,18)</f>
        <v>8.39654133025758</v>
      </c>
      <c r="I1917" s="67" cm="1">
        <f ca="1" t="array" ref="I1917">MIN(30-SUM(J1917:L1917),6-L1917,_xlfn.XLOOKUP($D1917&amp;"_"&amp;I$61,$B$23:$B$45&amp;"_"&amp;$C$23:$C$45,$D$23:$D$45)*$E1917)</f>
        <v>0</v>
      </c>
      <c r="J1917" s="67" cm="1">
        <f ca="1" t="array" ref="J1917">MIN(8,_xlfn.XLOOKUP($D1917&amp;"_"&amp;J$61,$B$23:$B$45&amp;"_"&amp;$C$23:$C$45,$D$23:$D$45)*$E1917)</f>
        <v>8</v>
      </c>
      <c r="K1917" s="67" cm="1">
        <f ca="1" t="array" ref="K1917">MIN(18,_xlfn.XLOOKUP($D1917&amp;"_"&amp;K$61,$B$23:$B$45&amp;"_"&amp;$C$23:$C$45,$D$23:$D$45)*$E1917)</f>
        <v>7.60345866974241</v>
      </c>
      <c r="L1917" s="67" cm="1">
        <f ca="1" t="array" ref="L1917">MIN(6,_xlfn.XLOOKUP($D1917&amp;"_"&amp;L$61,$B$23:$B$45&amp;"_"&amp;$C$23:$C$45,$D$23:$D$45)*$E1917)</f>
        <v>6</v>
      </c>
      <c r="M1917" s="67" cm="1">
        <f ca="1" t="array" ref="M1917">(1+SUMPRODUCT(G1917:H1917,OFFSET($H$49:$I$49,D1917,0)))*(1+OFFSET($J$49,D1917,0))^I1917*(1+OFFSET($K$49,D1917,0))^J1917*(1+OFFSET($L$49,D1917,0))^K1917*(1+OFFSET($M$49,D1917,0))^L1917</f>
        <v>522.527380630372</v>
      </c>
      <c r="N1917" s="67">
        <f ca="1">MAX(MAX($N$62:N1916),OFFSET($C$61,MATCH(M1917*1.07,$M$62:$M$2061,1),0)-C1917)</f>
        <v>56880</v>
      </c>
    </row>
    <row r="1918" spans="2:14">
      <c r="B1918" s="67">
        <v>1857</v>
      </c>
      <c r="C1918" s="67">
        <f t="shared" si="174"/>
        <v>668520</v>
      </c>
      <c r="D1918" s="67">
        <f t="shared" si="172"/>
        <v>5</v>
      </c>
      <c r="E1918" s="67">
        <f ca="1" t="shared" si="173"/>
        <v>1887</v>
      </c>
      <c r="F1918" s="67">
        <f ca="1" t="shared" si="175"/>
        <v>0</v>
      </c>
      <c r="G1918" s="67">
        <f ca="1" t="shared" si="176"/>
        <v>0</v>
      </c>
      <c r="H1918" s="67" cm="1">
        <f ca="1" t="array" ref="H1918">MIN(30-SUM(I1918:L1918),_xlfn.XLOOKUP($D1918&amp;"_"&amp;H$61,$B$23:$B$45&amp;"_"&amp;$C$23:$C$45,$D$23:$D$45)*$E1918,18)</f>
        <v>8.39250980392156</v>
      </c>
      <c r="I1918" s="67" cm="1">
        <f ca="1" t="array" ref="I1918">MIN(30-SUM(J1918:L1918),6-L1918,_xlfn.XLOOKUP($D1918&amp;"_"&amp;I$61,$B$23:$B$45&amp;"_"&amp;$C$23:$C$45,$D$23:$D$45)*$E1918)</f>
        <v>0</v>
      </c>
      <c r="J1918" s="67" cm="1">
        <f ca="1" t="array" ref="J1918">MIN(8,_xlfn.XLOOKUP($D1918&amp;"_"&amp;J$61,$B$23:$B$45&amp;"_"&amp;$C$23:$C$45,$D$23:$D$45)*$E1918)</f>
        <v>8</v>
      </c>
      <c r="K1918" s="67" cm="1">
        <f ca="1" t="array" ref="K1918">MIN(18,_xlfn.XLOOKUP($D1918&amp;"_"&amp;K$61,$B$23:$B$45&amp;"_"&amp;$C$23:$C$45,$D$23:$D$45)*$E1918)</f>
        <v>7.60749019607844</v>
      </c>
      <c r="L1918" s="67" cm="1">
        <f ca="1" t="array" ref="L1918">MIN(6,_xlfn.XLOOKUP($D1918&amp;"_"&amp;L$61,$B$23:$B$45&amp;"_"&amp;$C$23:$C$45,$D$23:$D$45)*$E1918)</f>
        <v>6</v>
      </c>
      <c r="M1918" s="67" cm="1">
        <f ca="1" t="array" ref="M1918">(1+SUMPRODUCT(G1918:H1918,OFFSET($H$49:$I$49,D1918,0)))*(1+OFFSET($J$49,D1918,0))^I1918*(1+OFFSET($K$49,D1918,0))^J1918*(1+OFFSET($L$49,D1918,0))^K1918*(1+OFFSET($M$49,D1918,0))^L1918</f>
        <v>522.754233400964</v>
      </c>
      <c r="N1918" s="67">
        <f ca="1">MAX(MAX($N$62:N1917),OFFSET($C$61,MATCH(M1918*1.07,$M$62:$M$2061,1),0)-C1918)</f>
        <v>56880</v>
      </c>
    </row>
    <row r="1919" spans="2:14">
      <c r="B1919" s="67">
        <v>1858</v>
      </c>
      <c r="C1919" s="67">
        <f t="shared" si="174"/>
        <v>668880</v>
      </c>
      <c r="D1919" s="67">
        <f t="shared" ref="D1919:D1982" si="177">_xlfn.XLOOKUP("非R",$B$49:$B$54,$C$49:$C$54)</f>
        <v>5</v>
      </c>
      <c r="E1919" s="67">
        <f ca="1" t="shared" ref="E1919:E1982" si="178">INT(C1919/_xlfn.XLOOKUP(D1919,$R$14:$R$21,$S$14:$S$21))+OFFSET($R$49,D1919,0)</f>
        <v>1888</v>
      </c>
      <c r="F1919" s="67">
        <f ca="1" t="shared" si="175"/>
        <v>0</v>
      </c>
      <c r="G1919" s="67">
        <f ca="1" t="shared" si="176"/>
        <v>0</v>
      </c>
      <c r="H1919" s="67" cm="1">
        <f ca="1" t="array" ref="H1919">MIN(30-SUM(I1919:L1919),_xlfn.XLOOKUP($D1919&amp;"_"&amp;H$61,$B$23:$B$45&amp;"_"&amp;$C$23:$C$45,$D$23:$D$45)*$E1919,18)</f>
        <v>8.38847827758554</v>
      </c>
      <c r="I1919" s="67" cm="1">
        <f ca="1" t="array" ref="I1919">MIN(30-SUM(J1919:L1919),6-L1919,_xlfn.XLOOKUP($D1919&amp;"_"&amp;I$61,$B$23:$B$45&amp;"_"&amp;$C$23:$C$45,$D$23:$D$45)*$E1919)</f>
        <v>0</v>
      </c>
      <c r="J1919" s="67" cm="1">
        <f ca="1" t="array" ref="J1919">MIN(8,_xlfn.XLOOKUP($D1919&amp;"_"&amp;J$61,$B$23:$B$45&amp;"_"&amp;$C$23:$C$45,$D$23:$D$45)*$E1919)</f>
        <v>8</v>
      </c>
      <c r="K1919" s="67" cm="1">
        <f ca="1" t="array" ref="K1919">MIN(18,_xlfn.XLOOKUP($D1919&amp;"_"&amp;K$61,$B$23:$B$45&amp;"_"&amp;$C$23:$C$45,$D$23:$D$45)*$E1919)</f>
        <v>7.61152172241446</v>
      </c>
      <c r="L1919" s="67" cm="1">
        <f ca="1" t="array" ref="L1919">MIN(6,_xlfn.XLOOKUP($D1919&amp;"_"&amp;L$61,$B$23:$B$45&amp;"_"&amp;$C$23:$C$45,$D$23:$D$45)*$E1919)</f>
        <v>6</v>
      </c>
      <c r="M1919" s="67" cm="1">
        <f ca="1" t="array" ref="M1919">(1+SUMPRODUCT(G1919:H1919,OFFSET($H$49:$I$49,D1919,0)))*(1+OFFSET($J$49,D1919,0))^I1919*(1+OFFSET($K$49,D1919,0))^J1919*(1+OFFSET($L$49,D1919,0))^K1919*(1+OFFSET($M$49,D1919,0))^L1919</f>
        <v>522.981137267032</v>
      </c>
      <c r="N1919" s="67">
        <f ca="1">MAX(MAX($N$62:N1918),OFFSET($C$61,MATCH(M1919*1.07,$M$62:$M$2061,1),0)-C1919)</f>
        <v>56880</v>
      </c>
    </row>
    <row r="1920" spans="2:14">
      <c r="B1920" s="67">
        <v>1859</v>
      </c>
      <c r="C1920" s="67">
        <f t="shared" si="174"/>
        <v>669240</v>
      </c>
      <c r="D1920" s="67">
        <f t="shared" si="177"/>
        <v>5</v>
      </c>
      <c r="E1920" s="67">
        <f ca="1" t="shared" si="178"/>
        <v>1889</v>
      </c>
      <c r="F1920" s="67">
        <f ca="1" t="shared" si="175"/>
        <v>0</v>
      </c>
      <c r="G1920" s="67">
        <f ca="1" t="shared" si="176"/>
        <v>0</v>
      </c>
      <c r="H1920" s="67" cm="1">
        <f ca="1" t="array" ref="H1920">MIN(30-SUM(I1920:L1920),_xlfn.XLOOKUP($D1920&amp;"_"&amp;H$61,$B$23:$B$45&amp;"_"&amp;$C$23:$C$45,$D$23:$D$45)*$E1920,18)</f>
        <v>8.38444675124951</v>
      </c>
      <c r="I1920" s="67" cm="1">
        <f ca="1" t="array" ref="I1920">MIN(30-SUM(J1920:L1920),6-L1920,_xlfn.XLOOKUP($D1920&amp;"_"&amp;I$61,$B$23:$B$45&amp;"_"&amp;$C$23:$C$45,$D$23:$D$45)*$E1920)</f>
        <v>0</v>
      </c>
      <c r="J1920" s="67" cm="1">
        <f ca="1" t="array" ref="J1920">MIN(8,_xlfn.XLOOKUP($D1920&amp;"_"&amp;J$61,$B$23:$B$45&amp;"_"&amp;$C$23:$C$45,$D$23:$D$45)*$E1920)</f>
        <v>8</v>
      </c>
      <c r="K1920" s="67" cm="1">
        <f ca="1" t="array" ref="K1920">MIN(18,_xlfn.XLOOKUP($D1920&amp;"_"&amp;K$61,$B$23:$B$45&amp;"_"&amp;$C$23:$C$45,$D$23:$D$45)*$E1920)</f>
        <v>7.61555324875049</v>
      </c>
      <c r="L1920" s="67" cm="1">
        <f ca="1" t="array" ref="L1920">MIN(6,_xlfn.XLOOKUP($D1920&amp;"_"&amp;L$61,$B$23:$B$45&amp;"_"&amp;$C$23:$C$45,$D$23:$D$45)*$E1920)</f>
        <v>6</v>
      </c>
      <c r="M1920" s="67" cm="1">
        <f ca="1" t="array" ref="M1920">(1+SUMPRODUCT(G1920:H1920,OFFSET($H$49:$I$49,D1920,0)))*(1+OFFSET($J$49,D1920,0))^I1920*(1+OFFSET($K$49,D1920,0))^J1920*(1+OFFSET($L$49,D1920,0))^K1920*(1+OFFSET($M$49,D1920,0))^L1920</f>
        <v>523.208092181064</v>
      </c>
      <c r="N1920" s="67">
        <f ca="1">MAX(MAX($N$62:N1919),OFFSET($C$61,MATCH(M1920*1.07,$M$62:$M$2061,1),0)-C1920)</f>
        <v>56880</v>
      </c>
    </row>
    <row r="1921" spans="2:14">
      <c r="B1921" s="67">
        <v>1860</v>
      </c>
      <c r="C1921" s="67">
        <f t="shared" si="174"/>
        <v>669600</v>
      </c>
      <c r="D1921" s="67">
        <f t="shared" si="177"/>
        <v>5</v>
      </c>
      <c r="E1921" s="67">
        <f ca="1" t="shared" si="178"/>
        <v>1890</v>
      </c>
      <c r="F1921" s="67">
        <f ca="1" t="shared" si="175"/>
        <v>0</v>
      </c>
      <c r="G1921" s="67">
        <f ca="1" t="shared" si="176"/>
        <v>0</v>
      </c>
      <c r="H1921" s="67" cm="1">
        <f ca="1" t="array" ref="H1921">MIN(30-SUM(I1921:L1921),_xlfn.XLOOKUP($D1921&amp;"_"&amp;H$61,$B$23:$B$45&amp;"_"&amp;$C$23:$C$45,$D$23:$D$45)*$E1921,18)</f>
        <v>8.38041522491349</v>
      </c>
      <c r="I1921" s="67" cm="1">
        <f ca="1" t="array" ref="I1921">MIN(30-SUM(J1921:L1921),6-L1921,_xlfn.XLOOKUP($D1921&amp;"_"&amp;I$61,$B$23:$B$45&amp;"_"&amp;$C$23:$C$45,$D$23:$D$45)*$E1921)</f>
        <v>0</v>
      </c>
      <c r="J1921" s="67" cm="1">
        <f ca="1" t="array" ref="J1921">MIN(8,_xlfn.XLOOKUP($D1921&amp;"_"&amp;J$61,$B$23:$B$45&amp;"_"&amp;$C$23:$C$45,$D$23:$D$45)*$E1921)</f>
        <v>8</v>
      </c>
      <c r="K1921" s="67" cm="1">
        <f ca="1" t="array" ref="K1921">MIN(18,_xlfn.XLOOKUP($D1921&amp;"_"&amp;K$61,$B$23:$B$45&amp;"_"&amp;$C$23:$C$45,$D$23:$D$45)*$E1921)</f>
        <v>7.61958477508651</v>
      </c>
      <c r="L1921" s="67" cm="1">
        <f ca="1" t="array" ref="L1921">MIN(6,_xlfn.XLOOKUP($D1921&amp;"_"&amp;L$61,$B$23:$B$45&amp;"_"&amp;$C$23:$C$45,$D$23:$D$45)*$E1921)</f>
        <v>6</v>
      </c>
      <c r="M1921" s="67" cm="1">
        <f ca="1" t="array" ref="M1921">(1+SUMPRODUCT(G1921:H1921,OFFSET($H$49:$I$49,D1921,0)))*(1+OFFSET($J$49,D1921,0))^I1921*(1+OFFSET($K$49,D1921,0))^J1921*(1+OFFSET($L$49,D1921,0))^K1921*(1+OFFSET($M$49,D1921,0))^L1921</f>
        <v>523.435098095452</v>
      </c>
      <c r="N1921" s="67">
        <f ca="1">MAX(MAX($N$62:N1920),OFFSET($C$61,MATCH(M1921*1.07,$M$62:$M$2061,1),0)-C1921)</f>
        <v>56880</v>
      </c>
    </row>
    <row r="1922" spans="2:14">
      <c r="B1922" s="67">
        <v>1861</v>
      </c>
      <c r="C1922" s="67">
        <f t="shared" si="174"/>
        <v>669960</v>
      </c>
      <c r="D1922" s="67">
        <f t="shared" si="177"/>
        <v>5</v>
      </c>
      <c r="E1922" s="67">
        <f ca="1" t="shared" si="178"/>
        <v>1891</v>
      </c>
      <c r="F1922" s="67">
        <f ca="1" t="shared" si="175"/>
        <v>0</v>
      </c>
      <c r="G1922" s="67">
        <f ca="1" t="shared" si="176"/>
        <v>0</v>
      </c>
      <c r="H1922" s="67" cm="1">
        <f ca="1" t="array" ref="H1922">MIN(30-SUM(I1922:L1922),_xlfn.XLOOKUP($D1922&amp;"_"&amp;H$61,$B$23:$B$45&amp;"_"&amp;$C$23:$C$45,$D$23:$D$45)*$E1922,18)</f>
        <v>8.37638369857746</v>
      </c>
      <c r="I1922" s="67" cm="1">
        <f ca="1" t="array" ref="I1922">MIN(30-SUM(J1922:L1922),6-L1922,_xlfn.XLOOKUP($D1922&amp;"_"&amp;I$61,$B$23:$B$45&amp;"_"&amp;$C$23:$C$45,$D$23:$D$45)*$E1922)</f>
        <v>0</v>
      </c>
      <c r="J1922" s="67" cm="1">
        <f ca="1" t="array" ref="J1922">MIN(8,_xlfn.XLOOKUP($D1922&amp;"_"&amp;J$61,$B$23:$B$45&amp;"_"&amp;$C$23:$C$45,$D$23:$D$45)*$E1922)</f>
        <v>8</v>
      </c>
      <c r="K1922" s="67" cm="1">
        <f ca="1" t="array" ref="K1922">MIN(18,_xlfn.XLOOKUP($D1922&amp;"_"&amp;K$61,$B$23:$B$45&amp;"_"&amp;$C$23:$C$45,$D$23:$D$45)*$E1922)</f>
        <v>7.62361630142254</v>
      </c>
      <c r="L1922" s="67" cm="1">
        <f ca="1" t="array" ref="L1922">MIN(6,_xlfn.XLOOKUP($D1922&amp;"_"&amp;L$61,$B$23:$B$45&amp;"_"&amp;$C$23:$C$45,$D$23:$D$45)*$E1922)</f>
        <v>6</v>
      </c>
      <c r="M1922" s="67" cm="1">
        <f ca="1" t="array" ref="M1922">(1+SUMPRODUCT(G1922:H1922,OFFSET($H$49:$I$49,D1922,0)))*(1+OFFSET($J$49,D1922,0))^I1922*(1+OFFSET($K$49,D1922,0))^J1922*(1+OFFSET($L$49,D1922,0))^K1922*(1+OFFSET($M$49,D1922,0))^L1922</f>
        <v>523.662154962487</v>
      </c>
      <c r="N1922" s="67">
        <f ca="1">MAX(MAX($N$62:N1921),OFFSET($C$61,MATCH(M1922*1.07,$M$62:$M$2061,1),0)-C1922)</f>
        <v>56880</v>
      </c>
    </row>
    <row r="1923" spans="2:14">
      <c r="B1923" s="67">
        <v>1862</v>
      </c>
      <c r="C1923" s="67">
        <f t="shared" si="174"/>
        <v>670320</v>
      </c>
      <c r="D1923" s="67">
        <f t="shared" si="177"/>
        <v>5</v>
      </c>
      <c r="E1923" s="67">
        <f ca="1" t="shared" si="178"/>
        <v>1892</v>
      </c>
      <c r="F1923" s="67">
        <f ca="1" t="shared" si="175"/>
        <v>0</v>
      </c>
      <c r="G1923" s="67">
        <f ca="1" t="shared" si="176"/>
        <v>0</v>
      </c>
      <c r="H1923" s="67" cm="1">
        <f ca="1" t="array" ref="H1923">MIN(30-SUM(I1923:L1923),_xlfn.XLOOKUP($D1923&amp;"_"&amp;H$61,$B$23:$B$45&amp;"_"&amp;$C$23:$C$45,$D$23:$D$45)*$E1923,18)</f>
        <v>8.37235217224144</v>
      </c>
      <c r="I1923" s="67" cm="1">
        <f ca="1" t="array" ref="I1923">MIN(30-SUM(J1923:L1923),6-L1923,_xlfn.XLOOKUP($D1923&amp;"_"&amp;I$61,$B$23:$B$45&amp;"_"&amp;$C$23:$C$45,$D$23:$D$45)*$E1923)</f>
        <v>0</v>
      </c>
      <c r="J1923" s="67" cm="1">
        <f ca="1" t="array" ref="J1923">MIN(8,_xlfn.XLOOKUP($D1923&amp;"_"&amp;J$61,$B$23:$B$45&amp;"_"&amp;$C$23:$C$45,$D$23:$D$45)*$E1923)</f>
        <v>8</v>
      </c>
      <c r="K1923" s="67" cm="1">
        <f ca="1" t="array" ref="K1923">MIN(18,_xlfn.XLOOKUP($D1923&amp;"_"&amp;K$61,$B$23:$B$45&amp;"_"&amp;$C$23:$C$45,$D$23:$D$45)*$E1923)</f>
        <v>7.62764782775856</v>
      </c>
      <c r="L1923" s="67" cm="1">
        <f ca="1" t="array" ref="L1923">MIN(6,_xlfn.XLOOKUP($D1923&amp;"_"&amp;L$61,$B$23:$B$45&amp;"_"&amp;$C$23:$C$45,$D$23:$D$45)*$E1923)</f>
        <v>6</v>
      </c>
      <c r="M1923" s="67" cm="1">
        <f ca="1" t="array" ref="M1923">(1+SUMPRODUCT(G1923:H1923,OFFSET($H$49:$I$49,D1923,0)))*(1+OFFSET($J$49,D1923,0))^I1923*(1+OFFSET($K$49,D1923,0))^J1923*(1+OFFSET($L$49,D1923,0))^K1923*(1+OFFSET($M$49,D1923,0))^L1923</f>
        <v>523.889262734367</v>
      </c>
      <c r="N1923" s="67">
        <f ca="1">MAX(MAX($N$62:N1922),OFFSET($C$61,MATCH(M1923*1.07,$M$62:$M$2061,1),0)-C1923)</f>
        <v>56880</v>
      </c>
    </row>
    <row r="1924" spans="2:14">
      <c r="B1924" s="67">
        <v>1863</v>
      </c>
      <c r="C1924" s="67">
        <f t="shared" si="174"/>
        <v>670680</v>
      </c>
      <c r="D1924" s="67">
        <f t="shared" si="177"/>
        <v>5</v>
      </c>
      <c r="E1924" s="67">
        <f ca="1" t="shared" si="178"/>
        <v>1893</v>
      </c>
      <c r="F1924" s="67">
        <f ca="1" t="shared" si="175"/>
        <v>0</v>
      </c>
      <c r="G1924" s="67">
        <f ca="1" t="shared" si="176"/>
        <v>0</v>
      </c>
      <c r="H1924" s="67" cm="1">
        <f ca="1" t="array" ref="H1924">MIN(30-SUM(I1924:L1924),_xlfn.XLOOKUP($D1924&amp;"_"&amp;H$61,$B$23:$B$45&amp;"_"&amp;$C$23:$C$45,$D$23:$D$45)*$E1924,18)</f>
        <v>8.36832064590541</v>
      </c>
      <c r="I1924" s="67" cm="1">
        <f ca="1" t="array" ref="I1924">MIN(30-SUM(J1924:L1924),6-L1924,_xlfn.XLOOKUP($D1924&amp;"_"&amp;I$61,$B$23:$B$45&amp;"_"&amp;$C$23:$C$45,$D$23:$D$45)*$E1924)</f>
        <v>0</v>
      </c>
      <c r="J1924" s="67" cm="1">
        <f ca="1" t="array" ref="J1924">MIN(8,_xlfn.XLOOKUP($D1924&amp;"_"&amp;J$61,$B$23:$B$45&amp;"_"&amp;$C$23:$C$45,$D$23:$D$45)*$E1924)</f>
        <v>8</v>
      </c>
      <c r="K1924" s="67" cm="1">
        <f ca="1" t="array" ref="K1924">MIN(18,_xlfn.XLOOKUP($D1924&amp;"_"&amp;K$61,$B$23:$B$45&amp;"_"&amp;$C$23:$C$45,$D$23:$D$45)*$E1924)</f>
        <v>7.63167935409459</v>
      </c>
      <c r="L1924" s="67" cm="1">
        <f ca="1" t="array" ref="L1924">MIN(6,_xlfn.XLOOKUP($D1924&amp;"_"&amp;L$61,$B$23:$B$45&amp;"_"&amp;$C$23:$C$45,$D$23:$D$45)*$E1924)</f>
        <v>6</v>
      </c>
      <c r="M1924" s="67" cm="1">
        <f ca="1" t="array" ref="M1924">(1+SUMPRODUCT(G1924:H1924,OFFSET($H$49:$I$49,D1924,0)))*(1+OFFSET($J$49,D1924,0))^I1924*(1+OFFSET($K$49,D1924,0))^J1924*(1+OFFSET($L$49,D1924,0))^K1924*(1+OFFSET($M$49,D1924,0))^L1924</f>
        <v>524.116421363189</v>
      </c>
      <c r="N1924" s="67">
        <f ca="1">MAX(MAX($N$62:N1923),OFFSET($C$61,MATCH(M1924*1.07,$M$62:$M$2061,1),0)-C1924)</f>
        <v>56880</v>
      </c>
    </row>
    <row r="1925" spans="2:14">
      <c r="B1925" s="67">
        <v>1864</v>
      </c>
      <c r="C1925" s="67">
        <f t="shared" si="174"/>
        <v>671040</v>
      </c>
      <c r="D1925" s="67">
        <f t="shared" si="177"/>
        <v>5</v>
      </c>
      <c r="E1925" s="67">
        <f ca="1" t="shared" si="178"/>
        <v>1894</v>
      </c>
      <c r="F1925" s="67">
        <f ca="1" t="shared" si="175"/>
        <v>0</v>
      </c>
      <c r="G1925" s="67">
        <f ca="1" t="shared" si="176"/>
        <v>0</v>
      </c>
      <c r="H1925" s="67" cm="1">
        <f ca="1" t="array" ref="H1925">MIN(30-SUM(I1925:L1925),_xlfn.XLOOKUP($D1925&amp;"_"&amp;H$61,$B$23:$B$45&amp;"_"&amp;$C$23:$C$45,$D$23:$D$45)*$E1925,18)</f>
        <v>8.36428911956939</v>
      </c>
      <c r="I1925" s="67" cm="1">
        <f ca="1" t="array" ref="I1925">MIN(30-SUM(J1925:L1925),6-L1925,_xlfn.XLOOKUP($D1925&amp;"_"&amp;I$61,$B$23:$B$45&amp;"_"&amp;$C$23:$C$45,$D$23:$D$45)*$E1925)</f>
        <v>0</v>
      </c>
      <c r="J1925" s="67" cm="1">
        <f ca="1" t="array" ref="J1925">MIN(8,_xlfn.XLOOKUP($D1925&amp;"_"&amp;J$61,$B$23:$B$45&amp;"_"&amp;$C$23:$C$45,$D$23:$D$45)*$E1925)</f>
        <v>8</v>
      </c>
      <c r="K1925" s="67" cm="1">
        <f ca="1" t="array" ref="K1925">MIN(18,_xlfn.XLOOKUP($D1925&amp;"_"&amp;K$61,$B$23:$B$45&amp;"_"&amp;$C$23:$C$45,$D$23:$D$45)*$E1925)</f>
        <v>7.63571088043061</v>
      </c>
      <c r="L1925" s="67" cm="1">
        <f ca="1" t="array" ref="L1925">MIN(6,_xlfn.XLOOKUP($D1925&amp;"_"&amp;L$61,$B$23:$B$45&amp;"_"&amp;$C$23:$C$45,$D$23:$D$45)*$E1925)</f>
        <v>6</v>
      </c>
      <c r="M1925" s="67" cm="1">
        <f ca="1" t="array" ref="M1925">(1+SUMPRODUCT(G1925:H1925,OFFSET($H$49:$I$49,D1925,0)))*(1+OFFSET($J$49,D1925,0))^I1925*(1+OFFSET($K$49,D1925,0))^J1925*(1+OFFSET($L$49,D1925,0))^K1925*(1+OFFSET($M$49,D1925,0))^L1925</f>
        <v>524.343630800952</v>
      </c>
      <c r="N1925" s="67">
        <f ca="1">MAX(MAX($N$62:N1924),OFFSET($C$61,MATCH(M1925*1.07,$M$62:$M$2061,1),0)-C1925)</f>
        <v>56880</v>
      </c>
    </row>
    <row r="1926" spans="2:14">
      <c r="B1926" s="67">
        <v>1865</v>
      </c>
      <c r="C1926" s="67">
        <f t="shared" si="174"/>
        <v>671400</v>
      </c>
      <c r="D1926" s="67">
        <f t="shared" si="177"/>
        <v>5</v>
      </c>
      <c r="E1926" s="67">
        <f ca="1" t="shared" si="178"/>
        <v>1895</v>
      </c>
      <c r="F1926" s="67">
        <f ca="1" t="shared" si="175"/>
        <v>0</v>
      </c>
      <c r="G1926" s="67">
        <f ca="1" t="shared" si="176"/>
        <v>0</v>
      </c>
      <c r="H1926" s="67" cm="1">
        <f ca="1" t="array" ref="H1926">MIN(30-SUM(I1926:L1926),_xlfn.XLOOKUP($D1926&amp;"_"&amp;H$61,$B$23:$B$45&amp;"_"&amp;$C$23:$C$45,$D$23:$D$45)*$E1926,18)</f>
        <v>8.36025759323336</v>
      </c>
      <c r="I1926" s="67" cm="1">
        <f ca="1" t="array" ref="I1926">MIN(30-SUM(J1926:L1926),6-L1926,_xlfn.XLOOKUP($D1926&amp;"_"&amp;I$61,$B$23:$B$45&amp;"_"&amp;$C$23:$C$45,$D$23:$D$45)*$E1926)</f>
        <v>0</v>
      </c>
      <c r="J1926" s="67" cm="1">
        <f ca="1" t="array" ref="J1926">MIN(8,_xlfn.XLOOKUP($D1926&amp;"_"&amp;J$61,$B$23:$B$45&amp;"_"&amp;$C$23:$C$45,$D$23:$D$45)*$E1926)</f>
        <v>8</v>
      </c>
      <c r="K1926" s="67" cm="1">
        <f ca="1" t="array" ref="K1926">MIN(18,_xlfn.XLOOKUP($D1926&amp;"_"&amp;K$61,$B$23:$B$45&amp;"_"&amp;$C$23:$C$45,$D$23:$D$45)*$E1926)</f>
        <v>7.63974240676664</v>
      </c>
      <c r="L1926" s="67" cm="1">
        <f ca="1" t="array" ref="L1926">MIN(6,_xlfn.XLOOKUP($D1926&amp;"_"&amp;L$61,$B$23:$B$45&amp;"_"&amp;$C$23:$C$45,$D$23:$D$45)*$E1926)</f>
        <v>6</v>
      </c>
      <c r="M1926" s="67" cm="1">
        <f ca="1" t="array" ref="M1926">(1+SUMPRODUCT(G1926:H1926,OFFSET($H$49:$I$49,D1926,0)))*(1+OFFSET($J$49,D1926,0))^I1926*(1+OFFSET($K$49,D1926,0))^J1926*(1+OFFSET($L$49,D1926,0))^K1926*(1+OFFSET($M$49,D1926,0))^L1926</f>
        <v>524.570890999558</v>
      </c>
      <c r="N1926" s="67">
        <f ca="1">MAX(MAX($N$62:N1925),OFFSET($C$61,MATCH(M1926*1.07,$M$62:$M$2061,1),0)-C1926)</f>
        <v>56880</v>
      </c>
    </row>
    <row r="1927" spans="2:14">
      <c r="B1927" s="67">
        <v>1866</v>
      </c>
      <c r="C1927" s="67">
        <f t="shared" si="174"/>
        <v>671760</v>
      </c>
      <c r="D1927" s="67">
        <f t="shared" si="177"/>
        <v>5</v>
      </c>
      <c r="E1927" s="67">
        <f ca="1" t="shared" si="178"/>
        <v>1896</v>
      </c>
      <c r="F1927" s="67">
        <f ca="1" t="shared" si="175"/>
        <v>0</v>
      </c>
      <c r="G1927" s="67">
        <f ca="1" t="shared" si="176"/>
        <v>0</v>
      </c>
      <c r="H1927" s="67" cm="1">
        <f ca="1" t="array" ref="H1927">MIN(30-SUM(I1927:L1927),_xlfn.XLOOKUP($D1927&amp;"_"&amp;H$61,$B$23:$B$45&amp;"_"&amp;$C$23:$C$45,$D$23:$D$45)*$E1927,18)</f>
        <v>8.35622606689734</v>
      </c>
      <c r="I1927" s="67" cm="1">
        <f ca="1" t="array" ref="I1927">MIN(30-SUM(J1927:L1927),6-L1927,_xlfn.XLOOKUP($D1927&amp;"_"&amp;I$61,$B$23:$B$45&amp;"_"&amp;$C$23:$C$45,$D$23:$D$45)*$E1927)</f>
        <v>0</v>
      </c>
      <c r="J1927" s="67" cm="1">
        <f ca="1" t="array" ref="J1927">MIN(8,_xlfn.XLOOKUP($D1927&amp;"_"&amp;J$61,$B$23:$B$45&amp;"_"&amp;$C$23:$C$45,$D$23:$D$45)*$E1927)</f>
        <v>8</v>
      </c>
      <c r="K1927" s="67" cm="1">
        <f ca="1" t="array" ref="K1927">MIN(18,_xlfn.XLOOKUP($D1927&amp;"_"&amp;K$61,$B$23:$B$45&amp;"_"&amp;$C$23:$C$45,$D$23:$D$45)*$E1927)</f>
        <v>7.64377393310266</v>
      </c>
      <c r="L1927" s="67" cm="1">
        <f ca="1" t="array" ref="L1927">MIN(6,_xlfn.XLOOKUP($D1927&amp;"_"&amp;L$61,$B$23:$B$45&amp;"_"&amp;$C$23:$C$45,$D$23:$D$45)*$E1927)</f>
        <v>6</v>
      </c>
      <c r="M1927" s="67" cm="1">
        <f ca="1" t="array" ref="M1927">(1+SUMPRODUCT(G1927:H1927,OFFSET($H$49:$I$49,D1927,0)))*(1+OFFSET($J$49,D1927,0))^I1927*(1+OFFSET($K$49,D1927,0))^J1927*(1+OFFSET($L$49,D1927,0))^K1927*(1+OFFSET($M$49,D1927,0))^L1927</f>
        <v>524.798201910811</v>
      </c>
      <c r="N1927" s="67">
        <f ca="1">MAX(MAX($N$62:N1926),OFFSET($C$61,MATCH(M1927*1.07,$M$62:$M$2061,1),0)-C1927)</f>
        <v>56880</v>
      </c>
    </row>
    <row r="1928" spans="2:14">
      <c r="B1928" s="67">
        <v>1867</v>
      </c>
      <c r="C1928" s="67">
        <f t="shared" si="174"/>
        <v>672120</v>
      </c>
      <c r="D1928" s="67">
        <f t="shared" si="177"/>
        <v>5</v>
      </c>
      <c r="E1928" s="67">
        <f ca="1" t="shared" si="178"/>
        <v>1897</v>
      </c>
      <c r="F1928" s="67">
        <f ca="1" t="shared" si="175"/>
        <v>0</v>
      </c>
      <c r="G1928" s="67">
        <f ca="1" t="shared" si="176"/>
        <v>0</v>
      </c>
      <c r="H1928" s="67" cm="1">
        <f ca="1" t="array" ref="H1928">MIN(30-SUM(I1928:L1928),_xlfn.XLOOKUP($D1928&amp;"_"&amp;H$61,$B$23:$B$45&amp;"_"&amp;$C$23:$C$45,$D$23:$D$45)*$E1928,18)</f>
        <v>8.35219454056131</v>
      </c>
      <c r="I1928" s="67" cm="1">
        <f ca="1" t="array" ref="I1928">MIN(30-SUM(J1928:L1928),6-L1928,_xlfn.XLOOKUP($D1928&amp;"_"&amp;I$61,$B$23:$B$45&amp;"_"&amp;$C$23:$C$45,$D$23:$D$45)*$E1928)</f>
        <v>0</v>
      </c>
      <c r="J1928" s="67" cm="1">
        <f ca="1" t="array" ref="J1928">MIN(8,_xlfn.XLOOKUP($D1928&amp;"_"&amp;J$61,$B$23:$B$45&amp;"_"&amp;$C$23:$C$45,$D$23:$D$45)*$E1928)</f>
        <v>8</v>
      </c>
      <c r="K1928" s="67" cm="1">
        <f ca="1" t="array" ref="K1928">MIN(18,_xlfn.XLOOKUP($D1928&amp;"_"&amp;K$61,$B$23:$B$45&amp;"_"&amp;$C$23:$C$45,$D$23:$D$45)*$E1928)</f>
        <v>7.64780545943868</v>
      </c>
      <c r="L1928" s="67" cm="1">
        <f ca="1" t="array" ref="L1928">MIN(6,_xlfn.XLOOKUP($D1928&amp;"_"&amp;L$61,$B$23:$B$45&amp;"_"&amp;$C$23:$C$45,$D$23:$D$45)*$E1928)</f>
        <v>6</v>
      </c>
      <c r="M1928" s="67" cm="1">
        <f ca="1" t="array" ref="M1928">(1+SUMPRODUCT(G1928:H1928,OFFSET($H$49:$I$49,D1928,0)))*(1+OFFSET($J$49,D1928,0))^I1928*(1+OFFSET($K$49,D1928,0))^J1928*(1+OFFSET($L$49,D1928,0))^K1928*(1+OFFSET($M$49,D1928,0))^L1928</f>
        <v>525.025563486415</v>
      </c>
      <c r="N1928" s="67">
        <f ca="1">MAX(MAX($N$62:N1927),OFFSET($C$61,MATCH(M1928*1.07,$M$62:$M$2061,1),0)-C1928)</f>
        <v>56880</v>
      </c>
    </row>
    <row r="1929" spans="2:14">
      <c r="B1929" s="67">
        <v>1868</v>
      </c>
      <c r="C1929" s="67">
        <f t="shared" si="174"/>
        <v>672480</v>
      </c>
      <c r="D1929" s="67">
        <f t="shared" si="177"/>
        <v>5</v>
      </c>
      <c r="E1929" s="67">
        <f ca="1" t="shared" si="178"/>
        <v>1898</v>
      </c>
      <c r="F1929" s="67">
        <f ca="1" t="shared" si="175"/>
        <v>0</v>
      </c>
      <c r="G1929" s="67">
        <f ca="1" t="shared" si="176"/>
        <v>0</v>
      </c>
      <c r="H1929" s="67" cm="1">
        <f ca="1" t="array" ref="H1929">MIN(30-SUM(I1929:L1929),_xlfn.XLOOKUP($D1929&amp;"_"&amp;H$61,$B$23:$B$45&amp;"_"&amp;$C$23:$C$45,$D$23:$D$45)*$E1929,18)</f>
        <v>8.34816301422529</v>
      </c>
      <c r="I1929" s="67" cm="1">
        <f ca="1" t="array" ref="I1929">MIN(30-SUM(J1929:L1929),6-L1929,_xlfn.XLOOKUP($D1929&amp;"_"&amp;I$61,$B$23:$B$45&amp;"_"&amp;$C$23:$C$45,$D$23:$D$45)*$E1929)</f>
        <v>0</v>
      </c>
      <c r="J1929" s="67" cm="1">
        <f ca="1" t="array" ref="J1929">MIN(8,_xlfn.XLOOKUP($D1929&amp;"_"&amp;J$61,$B$23:$B$45&amp;"_"&amp;$C$23:$C$45,$D$23:$D$45)*$E1929)</f>
        <v>8</v>
      </c>
      <c r="K1929" s="67" cm="1">
        <f ca="1" t="array" ref="K1929">MIN(18,_xlfn.XLOOKUP($D1929&amp;"_"&amp;K$61,$B$23:$B$45&amp;"_"&amp;$C$23:$C$45,$D$23:$D$45)*$E1929)</f>
        <v>7.65183698577471</v>
      </c>
      <c r="L1929" s="67" cm="1">
        <f ca="1" t="array" ref="L1929">MIN(6,_xlfn.XLOOKUP($D1929&amp;"_"&amp;L$61,$B$23:$B$45&amp;"_"&amp;$C$23:$C$45,$D$23:$D$45)*$E1929)</f>
        <v>6</v>
      </c>
      <c r="M1929" s="67" cm="1">
        <f ca="1" t="array" ref="M1929">(1+SUMPRODUCT(G1929:H1929,OFFSET($H$49:$I$49,D1929,0)))*(1+OFFSET($J$49,D1929,0))^I1929*(1+OFFSET($K$49,D1929,0))^J1929*(1+OFFSET($L$49,D1929,0))^K1929*(1+OFFSET($M$49,D1929,0))^L1929</f>
        <v>525.252975677979</v>
      </c>
      <c r="N1929" s="67">
        <f ca="1">MAX(MAX($N$62:N1928),OFFSET($C$61,MATCH(M1929*1.07,$M$62:$M$2061,1),0)-C1929)</f>
        <v>56880</v>
      </c>
    </row>
    <row r="1930" spans="2:14">
      <c r="B1930" s="67">
        <v>1869</v>
      </c>
      <c r="C1930" s="67">
        <f t="shared" si="174"/>
        <v>672840</v>
      </c>
      <c r="D1930" s="67">
        <f t="shared" si="177"/>
        <v>5</v>
      </c>
      <c r="E1930" s="67">
        <f ca="1" t="shared" si="178"/>
        <v>1899</v>
      </c>
      <c r="F1930" s="67">
        <f ca="1" t="shared" si="175"/>
        <v>0</v>
      </c>
      <c r="G1930" s="67">
        <f ca="1" t="shared" si="176"/>
        <v>0</v>
      </c>
      <c r="H1930" s="67" cm="1">
        <f ca="1" t="array" ref="H1930">MIN(30-SUM(I1930:L1930),_xlfn.XLOOKUP($D1930&amp;"_"&amp;H$61,$B$23:$B$45&amp;"_"&amp;$C$23:$C$45,$D$23:$D$45)*$E1930,18)</f>
        <v>8.34413148788926</v>
      </c>
      <c r="I1930" s="67" cm="1">
        <f ca="1" t="array" ref="I1930">MIN(30-SUM(J1930:L1930),6-L1930,_xlfn.XLOOKUP($D1930&amp;"_"&amp;I$61,$B$23:$B$45&amp;"_"&amp;$C$23:$C$45,$D$23:$D$45)*$E1930)</f>
        <v>0</v>
      </c>
      <c r="J1930" s="67" cm="1">
        <f ca="1" t="array" ref="J1930">MIN(8,_xlfn.XLOOKUP($D1930&amp;"_"&amp;J$61,$B$23:$B$45&amp;"_"&amp;$C$23:$C$45,$D$23:$D$45)*$E1930)</f>
        <v>8</v>
      </c>
      <c r="K1930" s="67" cm="1">
        <f ca="1" t="array" ref="K1930">MIN(18,_xlfn.XLOOKUP($D1930&amp;"_"&amp;K$61,$B$23:$B$45&amp;"_"&amp;$C$23:$C$45,$D$23:$D$45)*$E1930)</f>
        <v>7.65586851211073</v>
      </c>
      <c r="L1930" s="67" cm="1">
        <f ca="1" t="array" ref="L1930">MIN(6,_xlfn.XLOOKUP($D1930&amp;"_"&amp;L$61,$B$23:$B$45&amp;"_"&amp;$C$23:$C$45,$D$23:$D$45)*$E1930)</f>
        <v>6</v>
      </c>
      <c r="M1930" s="67" cm="1">
        <f ca="1" t="array" ref="M1930">(1+SUMPRODUCT(G1930:H1930,OFFSET($H$49:$I$49,D1930,0)))*(1+OFFSET($J$49,D1930,0))^I1930*(1+OFFSET($K$49,D1930,0))^J1930*(1+OFFSET($L$49,D1930,0))^K1930*(1+OFFSET($M$49,D1930,0))^L1930</f>
        <v>525.480438437008</v>
      </c>
      <c r="N1930" s="67">
        <f ca="1">MAX(MAX($N$62:N1929),OFFSET($C$61,MATCH(M1930*1.07,$M$62:$M$2061,1),0)-C1930)</f>
        <v>56880</v>
      </c>
    </row>
    <row r="1931" spans="2:14">
      <c r="B1931" s="67">
        <v>1870</v>
      </c>
      <c r="C1931" s="67">
        <f t="shared" si="174"/>
        <v>673200</v>
      </c>
      <c r="D1931" s="67">
        <f t="shared" si="177"/>
        <v>5</v>
      </c>
      <c r="E1931" s="67">
        <f ca="1" t="shared" si="178"/>
        <v>1900</v>
      </c>
      <c r="F1931" s="67">
        <f ca="1" t="shared" si="175"/>
        <v>0</v>
      </c>
      <c r="G1931" s="67">
        <f ca="1" t="shared" si="176"/>
        <v>0</v>
      </c>
      <c r="H1931" s="67" cm="1">
        <f ca="1" t="array" ref="H1931">MIN(30-SUM(I1931:L1931),_xlfn.XLOOKUP($D1931&amp;"_"&amp;H$61,$B$23:$B$45&amp;"_"&amp;$C$23:$C$45,$D$23:$D$45)*$E1931,18)</f>
        <v>8.34009996155324</v>
      </c>
      <c r="I1931" s="67" cm="1">
        <f ca="1" t="array" ref="I1931">MIN(30-SUM(J1931:L1931),6-L1931,_xlfn.XLOOKUP($D1931&amp;"_"&amp;I$61,$B$23:$B$45&amp;"_"&amp;$C$23:$C$45,$D$23:$D$45)*$E1931)</f>
        <v>0</v>
      </c>
      <c r="J1931" s="67" cm="1">
        <f ca="1" t="array" ref="J1931">MIN(8,_xlfn.XLOOKUP($D1931&amp;"_"&amp;J$61,$B$23:$B$45&amp;"_"&amp;$C$23:$C$45,$D$23:$D$45)*$E1931)</f>
        <v>8</v>
      </c>
      <c r="K1931" s="67" cm="1">
        <f ca="1" t="array" ref="K1931">MIN(18,_xlfn.XLOOKUP($D1931&amp;"_"&amp;K$61,$B$23:$B$45&amp;"_"&amp;$C$23:$C$45,$D$23:$D$45)*$E1931)</f>
        <v>7.65990003844676</v>
      </c>
      <c r="L1931" s="67" cm="1">
        <f ca="1" t="array" ref="L1931">MIN(6,_xlfn.XLOOKUP($D1931&amp;"_"&amp;L$61,$B$23:$B$45&amp;"_"&amp;$C$23:$C$45,$D$23:$D$45)*$E1931)</f>
        <v>6</v>
      </c>
      <c r="M1931" s="67" cm="1">
        <f ca="1" t="array" ref="M1931">(1+SUMPRODUCT(G1931:H1931,OFFSET($H$49:$I$49,D1931,0)))*(1+OFFSET($J$49,D1931,0))^I1931*(1+OFFSET($K$49,D1931,0))^J1931*(1+OFFSET($L$49,D1931,0))^K1931*(1+OFFSET($M$49,D1931,0))^L1931</f>
        <v>525.707951714913</v>
      </c>
      <c r="N1931" s="67">
        <f ca="1">MAX(MAX($N$62:N1930),OFFSET($C$61,MATCH(M1931*1.07,$M$62:$M$2061,1),0)-C1931)</f>
        <v>56880</v>
      </c>
    </row>
    <row r="1932" spans="2:14">
      <c r="B1932" s="67">
        <v>1871</v>
      </c>
      <c r="C1932" s="67">
        <f t="shared" si="174"/>
        <v>673560</v>
      </c>
      <c r="D1932" s="67">
        <f t="shared" si="177"/>
        <v>5</v>
      </c>
      <c r="E1932" s="67">
        <f ca="1" t="shared" si="178"/>
        <v>1901</v>
      </c>
      <c r="F1932" s="67">
        <f ca="1" t="shared" si="175"/>
        <v>0</v>
      </c>
      <c r="G1932" s="67">
        <f ca="1" t="shared" si="176"/>
        <v>0</v>
      </c>
      <c r="H1932" s="67" cm="1">
        <f ca="1" t="array" ref="H1932">MIN(30-SUM(I1932:L1932),_xlfn.XLOOKUP($D1932&amp;"_"&amp;H$61,$B$23:$B$45&amp;"_"&amp;$C$23:$C$45,$D$23:$D$45)*$E1932,18)</f>
        <v>8.33606843521722</v>
      </c>
      <c r="I1932" s="67" cm="1">
        <f ca="1" t="array" ref="I1932">MIN(30-SUM(J1932:L1932),6-L1932,_xlfn.XLOOKUP($D1932&amp;"_"&amp;I$61,$B$23:$B$45&amp;"_"&amp;$C$23:$C$45,$D$23:$D$45)*$E1932)</f>
        <v>0</v>
      </c>
      <c r="J1932" s="67" cm="1">
        <f ca="1" t="array" ref="J1932">MIN(8,_xlfn.XLOOKUP($D1932&amp;"_"&amp;J$61,$B$23:$B$45&amp;"_"&amp;$C$23:$C$45,$D$23:$D$45)*$E1932)</f>
        <v>8</v>
      </c>
      <c r="K1932" s="67" cm="1">
        <f ca="1" t="array" ref="K1932">MIN(18,_xlfn.XLOOKUP($D1932&amp;"_"&amp;K$61,$B$23:$B$45&amp;"_"&amp;$C$23:$C$45,$D$23:$D$45)*$E1932)</f>
        <v>7.66393156478278</v>
      </c>
      <c r="L1932" s="67" cm="1">
        <f ca="1" t="array" ref="L1932">MIN(6,_xlfn.XLOOKUP($D1932&amp;"_"&amp;L$61,$B$23:$B$45&amp;"_"&amp;$C$23:$C$45,$D$23:$D$45)*$E1932)</f>
        <v>6</v>
      </c>
      <c r="M1932" s="67" cm="1">
        <f ca="1" t="array" ref="M1932">(1+SUMPRODUCT(G1932:H1932,OFFSET($H$49:$I$49,D1932,0)))*(1+OFFSET($J$49,D1932,0))^I1932*(1+OFFSET($K$49,D1932,0))^J1932*(1+OFFSET($L$49,D1932,0))^K1932*(1+OFFSET($M$49,D1932,0))^L1932</f>
        <v>525.935515463005</v>
      </c>
      <c r="N1932" s="67">
        <f ca="1">MAX(MAX($N$62:N1931),OFFSET($C$61,MATCH(M1932*1.07,$M$62:$M$2061,1),0)-C1932)</f>
        <v>56880</v>
      </c>
    </row>
    <row r="1933" spans="2:14">
      <c r="B1933" s="67">
        <v>1872</v>
      </c>
      <c r="C1933" s="67">
        <f t="shared" si="174"/>
        <v>673920</v>
      </c>
      <c r="D1933" s="67">
        <f t="shared" si="177"/>
        <v>5</v>
      </c>
      <c r="E1933" s="67">
        <f ca="1" t="shared" si="178"/>
        <v>1902</v>
      </c>
      <c r="F1933" s="67">
        <f ca="1" t="shared" si="175"/>
        <v>0</v>
      </c>
      <c r="G1933" s="67">
        <f ca="1" t="shared" si="176"/>
        <v>0</v>
      </c>
      <c r="H1933" s="67" cm="1">
        <f ca="1" t="array" ref="H1933">MIN(30-SUM(I1933:L1933),_xlfn.XLOOKUP($D1933&amp;"_"&amp;H$61,$B$23:$B$45&amp;"_"&amp;$C$23:$C$45,$D$23:$D$45)*$E1933,18)</f>
        <v>8.33203690888119</v>
      </c>
      <c r="I1933" s="67" cm="1">
        <f ca="1" t="array" ref="I1933">MIN(30-SUM(J1933:L1933),6-L1933,_xlfn.XLOOKUP($D1933&amp;"_"&amp;I$61,$B$23:$B$45&amp;"_"&amp;$C$23:$C$45,$D$23:$D$45)*$E1933)</f>
        <v>0</v>
      </c>
      <c r="J1933" s="67" cm="1">
        <f ca="1" t="array" ref="J1933">MIN(8,_xlfn.XLOOKUP($D1933&amp;"_"&amp;J$61,$B$23:$B$45&amp;"_"&amp;$C$23:$C$45,$D$23:$D$45)*$E1933)</f>
        <v>8</v>
      </c>
      <c r="K1933" s="67" cm="1">
        <f ca="1" t="array" ref="K1933">MIN(18,_xlfn.XLOOKUP($D1933&amp;"_"&amp;K$61,$B$23:$B$45&amp;"_"&amp;$C$23:$C$45,$D$23:$D$45)*$E1933)</f>
        <v>7.66796309111881</v>
      </c>
      <c r="L1933" s="67" cm="1">
        <f ca="1" t="array" ref="L1933">MIN(6,_xlfn.XLOOKUP($D1933&amp;"_"&amp;L$61,$B$23:$B$45&amp;"_"&amp;$C$23:$C$45,$D$23:$D$45)*$E1933)</f>
        <v>6</v>
      </c>
      <c r="M1933" s="67" cm="1">
        <f ca="1" t="array" ref="M1933">(1+SUMPRODUCT(G1933:H1933,OFFSET($H$49:$I$49,D1933,0)))*(1+OFFSET($J$49,D1933,0))^I1933*(1+OFFSET($K$49,D1933,0))^J1933*(1+OFFSET($L$49,D1933,0))^K1933*(1+OFFSET($M$49,D1933,0))^L1933</f>
        <v>526.163129632495</v>
      </c>
      <c r="N1933" s="67">
        <f ca="1">MAX(MAX($N$62:N1932),OFFSET($C$61,MATCH(M1933*1.07,$M$62:$M$2061,1),0)-C1933)</f>
        <v>56880</v>
      </c>
    </row>
    <row r="1934" spans="2:14">
      <c r="B1934" s="67">
        <v>1873</v>
      </c>
      <c r="C1934" s="67">
        <f t="shared" si="174"/>
        <v>674280</v>
      </c>
      <c r="D1934" s="67">
        <f t="shared" si="177"/>
        <v>5</v>
      </c>
      <c r="E1934" s="67">
        <f ca="1" t="shared" si="178"/>
        <v>1903</v>
      </c>
      <c r="F1934" s="67">
        <f ca="1" t="shared" si="175"/>
        <v>0</v>
      </c>
      <c r="G1934" s="67">
        <f ca="1" t="shared" si="176"/>
        <v>0</v>
      </c>
      <c r="H1934" s="67" cm="1">
        <f ca="1" t="array" ref="H1934">MIN(30-SUM(I1934:L1934),_xlfn.XLOOKUP($D1934&amp;"_"&amp;H$61,$B$23:$B$45&amp;"_"&amp;$C$23:$C$45,$D$23:$D$45)*$E1934,18)</f>
        <v>8.32800538254517</v>
      </c>
      <c r="I1934" s="67" cm="1">
        <f ca="1" t="array" ref="I1934">MIN(30-SUM(J1934:L1934),6-L1934,_xlfn.XLOOKUP($D1934&amp;"_"&amp;I$61,$B$23:$B$45&amp;"_"&amp;$C$23:$C$45,$D$23:$D$45)*$E1934)</f>
        <v>0</v>
      </c>
      <c r="J1934" s="67" cm="1">
        <f ca="1" t="array" ref="J1934">MIN(8,_xlfn.XLOOKUP($D1934&amp;"_"&amp;J$61,$B$23:$B$45&amp;"_"&amp;$C$23:$C$45,$D$23:$D$45)*$E1934)</f>
        <v>8</v>
      </c>
      <c r="K1934" s="67" cm="1">
        <f ca="1" t="array" ref="K1934">MIN(18,_xlfn.XLOOKUP($D1934&amp;"_"&amp;K$61,$B$23:$B$45&amp;"_"&amp;$C$23:$C$45,$D$23:$D$45)*$E1934)</f>
        <v>7.67199461745483</v>
      </c>
      <c r="L1934" s="67" cm="1">
        <f ca="1" t="array" ref="L1934">MIN(6,_xlfn.XLOOKUP($D1934&amp;"_"&amp;L$61,$B$23:$B$45&amp;"_"&amp;$C$23:$C$45,$D$23:$D$45)*$E1934)</f>
        <v>6</v>
      </c>
      <c r="M1934" s="67" cm="1">
        <f ca="1" t="array" ref="M1934">(1+SUMPRODUCT(G1934:H1934,OFFSET($H$49:$I$49,D1934,0)))*(1+OFFSET($J$49,D1934,0))^I1934*(1+OFFSET($K$49,D1934,0))^J1934*(1+OFFSET($L$49,D1934,0))^K1934*(1+OFFSET($M$49,D1934,0))^L1934</f>
        <v>526.390794174496</v>
      </c>
      <c r="N1934" s="67">
        <f ca="1">MAX(MAX($N$62:N1933),OFFSET($C$61,MATCH(M1934*1.07,$M$62:$M$2061,1),0)-C1934)</f>
        <v>56880</v>
      </c>
    </row>
    <row r="1935" spans="2:14">
      <c r="B1935" s="67">
        <v>1874</v>
      </c>
      <c r="C1935" s="67">
        <f t="shared" si="174"/>
        <v>674640</v>
      </c>
      <c r="D1935" s="67">
        <f t="shared" si="177"/>
        <v>5</v>
      </c>
      <c r="E1935" s="67">
        <f ca="1" t="shared" si="178"/>
        <v>1904</v>
      </c>
      <c r="F1935" s="67">
        <f ca="1" t="shared" si="175"/>
        <v>0</v>
      </c>
      <c r="G1935" s="67">
        <f ca="1" t="shared" si="176"/>
        <v>0</v>
      </c>
      <c r="H1935" s="67" cm="1">
        <f ca="1" t="array" ref="H1935">MIN(30-SUM(I1935:L1935),_xlfn.XLOOKUP($D1935&amp;"_"&amp;H$61,$B$23:$B$45&amp;"_"&amp;$C$23:$C$45,$D$23:$D$45)*$E1935,18)</f>
        <v>8.32397385620914</v>
      </c>
      <c r="I1935" s="67" cm="1">
        <f ca="1" t="array" ref="I1935">MIN(30-SUM(J1935:L1935),6-L1935,_xlfn.XLOOKUP($D1935&amp;"_"&amp;I$61,$B$23:$B$45&amp;"_"&amp;$C$23:$C$45,$D$23:$D$45)*$E1935)</f>
        <v>0</v>
      </c>
      <c r="J1935" s="67" cm="1">
        <f ca="1" t="array" ref="J1935">MIN(8,_xlfn.XLOOKUP($D1935&amp;"_"&amp;J$61,$B$23:$B$45&amp;"_"&amp;$C$23:$C$45,$D$23:$D$45)*$E1935)</f>
        <v>8</v>
      </c>
      <c r="K1935" s="67" cm="1">
        <f ca="1" t="array" ref="K1935">MIN(18,_xlfn.XLOOKUP($D1935&amp;"_"&amp;K$61,$B$23:$B$45&amp;"_"&amp;$C$23:$C$45,$D$23:$D$45)*$E1935)</f>
        <v>7.67602614379086</v>
      </c>
      <c r="L1935" s="67" cm="1">
        <f ca="1" t="array" ref="L1935">MIN(6,_xlfn.XLOOKUP($D1935&amp;"_"&amp;L$61,$B$23:$B$45&amp;"_"&amp;$C$23:$C$45,$D$23:$D$45)*$E1935)</f>
        <v>6</v>
      </c>
      <c r="M1935" s="67" cm="1">
        <f ca="1" t="array" ref="M1935">(1+SUMPRODUCT(G1935:H1935,OFFSET($H$49:$I$49,D1935,0)))*(1+OFFSET($J$49,D1935,0))^I1935*(1+OFFSET($K$49,D1935,0))^J1935*(1+OFFSET($L$49,D1935,0))^K1935*(1+OFFSET($M$49,D1935,0))^L1935</f>
        <v>526.618509040022</v>
      </c>
      <c r="N1935" s="67">
        <f ca="1">MAX(MAX($N$62:N1934),OFFSET($C$61,MATCH(M1935*1.07,$M$62:$M$2061,1),0)-C1935)</f>
        <v>56880</v>
      </c>
    </row>
    <row r="1936" spans="2:14">
      <c r="B1936" s="67">
        <v>1875</v>
      </c>
      <c r="C1936" s="67">
        <f t="shared" si="174"/>
        <v>675000</v>
      </c>
      <c r="D1936" s="67">
        <f t="shared" si="177"/>
        <v>5</v>
      </c>
      <c r="E1936" s="67">
        <f ca="1" t="shared" si="178"/>
        <v>1905</v>
      </c>
      <c r="F1936" s="67">
        <f ca="1" t="shared" si="175"/>
        <v>0</v>
      </c>
      <c r="G1936" s="67">
        <f ca="1" t="shared" si="176"/>
        <v>0</v>
      </c>
      <c r="H1936" s="67" cm="1">
        <f ca="1" t="array" ref="H1936">MIN(30-SUM(I1936:L1936),_xlfn.XLOOKUP($D1936&amp;"_"&amp;H$61,$B$23:$B$45&amp;"_"&amp;$C$23:$C$45,$D$23:$D$45)*$E1936,18)</f>
        <v>8.31994232987312</v>
      </c>
      <c r="I1936" s="67" cm="1">
        <f ca="1" t="array" ref="I1936">MIN(30-SUM(J1936:L1936),6-L1936,_xlfn.XLOOKUP($D1936&amp;"_"&amp;I$61,$B$23:$B$45&amp;"_"&amp;$C$23:$C$45,$D$23:$D$45)*$E1936)</f>
        <v>0</v>
      </c>
      <c r="J1936" s="67" cm="1">
        <f ca="1" t="array" ref="J1936">MIN(8,_xlfn.XLOOKUP($D1936&amp;"_"&amp;J$61,$B$23:$B$45&amp;"_"&amp;$C$23:$C$45,$D$23:$D$45)*$E1936)</f>
        <v>8</v>
      </c>
      <c r="K1936" s="67" cm="1">
        <f ca="1" t="array" ref="K1936">MIN(18,_xlfn.XLOOKUP($D1936&amp;"_"&amp;K$61,$B$23:$B$45&amp;"_"&amp;$C$23:$C$45,$D$23:$D$45)*$E1936)</f>
        <v>7.68005767012688</v>
      </c>
      <c r="L1936" s="67" cm="1">
        <f ca="1" t="array" ref="L1936">MIN(6,_xlfn.XLOOKUP($D1936&amp;"_"&amp;L$61,$B$23:$B$45&amp;"_"&amp;$C$23:$C$45,$D$23:$D$45)*$E1936)</f>
        <v>6</v>
      </c>
      <c r="M1936" s="67" cm="1">
        <f ca="1" t="array" ref="M1936">(1+SUMPRODUCT(G1936:H1936,OFFSET($H$49:$I$49,D1936,0)))*(1+OFFSET($J$49,D1936,0))^I1936*(1+OFFSET($K$49,D1936,0))^J1936*(1+OFFSET($L$49,D1936,0))^K1936*(1+OFFSET($M$49,D1936,0))^L1936</f>
        <v>526.846274179986</v>
      </c>
      <c r="N1936" s="67">
        <f ca="1">MAX(MAX($N$62:N1935),OFFSET($C$61,MATCH(M1936*1.07,$M$62:$M$2061,1),0)-C1936)</f>
        <v>56880</v>
      </c>
    </row>
    <row r="1937" spans="2:16">
      <c r="B1937" s="67">
        <v>1876</v>
      </c>
      <c r="C1937" s="67">
        <f t="shared" si="174"/>
        <v>675360</v>
      </c>
      <c r="D1937" s="67">
        <f t="shared" si="177"/>
        <v>5</v>
      </c>
      <c r="E1937" s="67">
        <f ca="1" t="shared" si="178"/>
        <v>1906</v>
      </c>
      <c r="F1937" s="67">
        <f ca="1" t="shared" si="175"/>
        <v>0</v>
      </c>
      <c r="G1937" s="67">
        <f ca="1" t="shared" si="176"/>
        <v>0</v>
      </c>
      <c r="H1937" s="67" cm="1">
        <f ca="1" t="array" ref="H1937">MIN(30-SUM(I1937:L1937),_xlfn.XLOOKUP($D1937&amp;"_"&amp;H$61,$B$23:$B$45&amp;"_"&amp;$C$23:$C$45,$D$23:$D$45)*$E1937,18)</f>
        <v>8.31591080353709</v>
      </c>
      <c r="I1937" s="67" cm="1">
        <f ca="1" t="array" ref="I1937">MIN(30-SUM(J1937:L1937),6-L1937,_xlfn.XLOOKUP($D1937&amp;"_"&amp;I$61,$B$23:$B$45&amp;"_"&amp;$C$23:$C$45,$D$23:$D$45)*$E1937)</f>
        <v>0</v>
      </c>
      <c r="J1937" s="67" cm="1">
        <f ca="1" t="array" ref="J1937">MIN(8,_xlfn.XLOOKUP($D1937&amp;"_"&amp;J$61,$B$23:$B$45&amp;"_"&amp;$C$23:$C$45,$D$23:$D$45)*$E1937)</f>
        <v>8</v>
      </c>
      <c r="K1937" s="67" cm="1">
        <f ca="1" t="array" ref="K1937">MIN(18,_xlfn.XLOOKUP($D1937&amp;"_"&amp;K$61,$B$23:$B$45&amp;"_"&amp;$C$23:$C$45,$D$23:$D$45)*$E1937)</f>
        <v>7.68408919646291</v>
      </c>
      <c r="L1937" s="67" cm="1">
        <f ca="1" t="array" ref="L1937">MIN(6,_xlfn.XLOOKUP($D1937&amp;"_"&amp;L$61,$B$23:$B$45&amp;"_"&amp;$C$23:$C$45,$D$23:$D$45)*$E1937)</f>
        <v>6</v>
      </c>
      <c r="M1937" s="67" cm="1">
        <f ca="1" t="array" ref="M1937">(1+SUMPRODUCT(G1937:H1937,OFFSET($H$49:$I$49,D1937,0)))*(1+OFFSET($J$49,D1937,0))^I1937*(1+OFFSET($K$49,D1937,0))^J1937*(1+OFFSET($L$49,D1937,0))^K1937*(1+OFFSET($M$49,D1937,0))^L1937</f>
        <v>527.074089545204</v>
      </c>
      <c r="N1937" s="67">
        <f ca="1">MAX(MAX($N$62:N1936),OFFSET($C$61,MATCH(M1937*1.07,$M$62:$M$2061,1),0)-C1937)</f>
        <v>56880</v>
      </c>
    </row>
    <row r="1938" spans="2:16">
      <c r="B1938" s="67">
        <v>1877</v>
      </c>
      <c r="C1938" s="67">
        <f t="shared" si="174"/>
        <v>675720</v>
      </c>
      <c r="D1938" s="67">
        <f t="shared" si="177"/>
        <v>5</v>
      </c>
      <c r="E1938" s="67">
        <f ca="1" t="shared" si="178"/>
        <v>1907</v>
      </c>
      <c r="F1938" s="67">
        <f ca="1" t="shared" si="175"/>
        <v>0</v>
      </c>
      <c r="G1938" s="67">
        <f ca="1" t="shared" si="176"/>
        <v>0</v>
      </c>
      <c r="H1938" s="67" cm="1">
        <f ca="1" t="array" ref="H1938">MIN(30-SUM(I1938:L1938),_xlfn.XLOOKUP($D1938&amp;"_"&amp;H$61,$B$23:$B$45&amp;"_"&amp;$C$23:$C$45,$D$23:$D$45)*$E1938,18)</f>
        <v>8.31187927720107</v>
      </c>
      <c r="I1938" s="67" cm="1">
        <f ca="1" t="array" ref="I1938">MIN(30-SUM(J1938:L1938),6-L1938,_xlfn.XLOOKUP($D1938&amp;"_"&amp;I$61,$B$23:$B$45&amp;"_"&amp;$C$23:$C$45,$D$23:$D$45)*$E1938)</f>
        <v>0</v>
      </c>
      <c r="J1938" s="67" cm="1">
        <f ca="1" t="array" ref="J1938">MIN(8,_xlfn.XLOOKUP($D1938&amp;"_"&amp;J$61,$B$23:$B$45&amp;"_"&amp;$C$23:$C$45,$D$23:$D$45)*$E1938)</f>
        <v>8</v>
      </c>
      <c r="K1938" s="67" cm="1">
        <f ca="1" t="array" ref="K1938">MIN(18,_xlfn.XLOOKUP($D1938&amp;"_"&amp;K$61,$B$23:$B$45&amp;"_"&amp;$C$23:$C$45,$D$23:$D$45)*$E1938)</f>
        <v>7.68812072279893</v>
      </c>
      <c r="L1938" s="67" cm="1">
        <f ca="1" t="array" ref="L1938">MIN(6,_xlfn.XLOOKUP($D1938&amp;"_"&amp;L$61,$B$23:$B$45&amp;"_"&amp;$C$23:$C$45,$D$23:$D$45)*$E1938)</f>
        <v>6</v>
      </c>
      <c r="M1938" s="67" cm="1">
        <f ca="1" t="array" ref="M1938">(1+SUMPRODUCT(G1938:H1938,OFFSET($H$49:$I$49,D1938,0)))*(1+OFFSET($J$49,D1938,0))^I1938*(1+OFFSET($K$49,D1938,0))^J1938*(1+OFFSET($L$49,D1938,0))^K1938*(1+OFFSET($M$49,D1938,0))^L1938</f>
        <v>527.301955086391</v>
      </c>
      <c r="N1938" s="67">
        <f ca="1">MAX(MAX($N$62:N1937),OFFSET($C$61,MATCH(M1938*1.07,$M$62:$M$2061,1),0)-C1938)</f>
        <v>56880</v>
      </c>
    </row>
    <row r="1939" spans="2:16">
      <c r="B1939" s="67">
        <v>1878</v>
      </c>
      <c r="C1939" s="67">
        <f t="shared" si="174"/>
        <v>676080</v>
      </c>
      <c r="D1939" s="67">
        <f t="shared" si="177"/>
        <v>5</v>
      </c>
      <c r="E1939" s="67">
        <f ca="1" t="shared" si="178"/>
        <v>1908</v>
      </c>
      <c r="F1939" s="67">
        <f ca="1" t="shared" si="175"/>
        <v>0</v>
      </c>
      <c r="G1939" s="67">
        <f ca="1" t="shared" si="176"/>
        <v>0</v>
      </c>
      <c r="H1939" s="67" cm="1">
        <f ca="1" t="array" ref="H1939">MIN(30-SUM(I1939:L1939),_xlfn.XLOOKUP($D1939&amp;"_"&amp;H$61,$B$23:$B$45&amp;"_"&amp;$C$23:$C$45,$D$23:$D$45)*$E1939,18)</f>
        <v>8.30784775086504</v>
      </c>
      <c r="I1939" s="67" cm="1">
        <f ca="1" t="array" ref="I1939">MIN(30-SUM(J1939:L1939),6-L1939,_xlfn.XLOOKUP($D1939&amp;"_"&amp;I$61,$B$23:$B$45&amp;"_"&amp;$C$23:$C$45,$D$23:$D$45)*$E1939)</f>
        <v>0</v>
      </c>
      <c r="J1939" s="67" cm="1">
        <f ca="1" t="array" ref="J1939">MIN(8,_xlfn.XLOOKUP($D1939&amp;"_"&amp;J$61,$B$23:$B$45&amp;"_"&amp;$C$23:$C$45,$D$23:$D$45)*$E1939)</f>
        <v>8</v>
      </c>
      <c r="K1939" s="67" cm="1">
        <f ca="1" t="array" ref="K1939">MIN(18,_xlfn.XLOOKUP($D1939&amp;"_"&amp;K$61,$B$23:$B$45&amp;"_"&amp;$C$23:$C$45,$D$23:$D$45)*$E1939)</f>
        <v>7.69215224913496</v>
      </c>
      <c r="L1939" s="67" cm="1">
        <f ca="1" t="array" ref="L1939">MIN(6,_xlfn.XLOOKUP($D1939&amp;"_"&amp;L$61,$B$23:$B$45&amp;"_"&amp;$C$23:$C$45,$D$23:$D$45)*$E1939)</f>
        <v>6</v>
      </c>
      <c r="M1939" s="67" cm="1">
        <f ca="1" t="array" ref="M1939">(1+SUMPRODUCT(G1939:H1939,OFFSET($H$49:$I$49,D1939,0)))*(1+OFFSET($J$49,D1939,0))^I1939*(1+OFFSET($K$49,D1939,0))^J1939*(1+OFFSET($L$49,D1939,0))^K1939*(1+OFFSET($M$49,D1939,0))^L1939</f>
        <v>527.529870754163</v>
      </c>
      <c r="N1939" s="67">
        <f ca="1">MAX(MAX($N$62:N1938),OFFSET($C$61,MATCH(M1939*1.07,$M$62:$M$2061,1),0)-C1939)</f>
        <v>56880</v>
      </c>
    </row>
    <row r="1940" spans="2:16">
      <c r="B1940" s="67">
        <v>1879</v>
      </c>
      <c r="C1940" s="67">
        <f t="shared" si="174"/>
        <v>676440</v>
      </c>
      <c r="D1940" s="67">
        <f t="shared" si="177"/>
        <v>5</v>
      </c>
      <c r="E1940" s="67">
        <f ca="1" t="shared" si="178"/>
        <v>1909</v>
      </c>
      <c r="F1940" s="67">
        <f ca="1" t="shared" si="175"/>
        <v>0</v>
      </c>
      <c r="G1940" s="67">
        <f ca="1" t="shared" si="176"/>
        <v>0</v>
      </c>
      <c r="H1940" s="67" cm="1">
        <f ca="1" t="array" ref="H1940">MIN(30-SUM(I1940:L1940),_xlfn.XLOOKUP($D1940&amp;"_"&amp;H$61,$B$23:$B$45&amp;"_"&amp;$C$23:$C$45,$D$23:$D$45)*$E1940,18)</f>
        <v>8.30381622452902</v>
      </c>
      <c r="I1940" s="67" cm="1">
        <f ca="1" t="array" ref="I1940">MIN(30-SUM(J1940:L1940),6-L1940,_xlfn.XLOOKUP($D1940&amp;"_"&amp;I$61,$B$23:$B$45&amp;"_"&amp;$C$23:$C$45,$D$23:$D$45)*$E1940)</f>
        <v>0</v>
      </c>
      <c r="J1940" s="67" cm="1">
        <f ca="1" t="array" ref="J1940">MIN(8,_xlfn.XLOOKUP($D1940&amp;"_"&amp;J$61,$B$23:$B$45&amp;"_"&amp;$C$23:$C$45,$D$23:$D$45)*$E1940)</f>
        <v>8</v>
      </c>
      <c r="K1940" s="67" cm="1">
        <f ca="1" t="array" ref="K1940">MIN(18,_xlfn.XLOOKUP($D1940&amp;"_"&amp;K$61,$B$23:$B$45&amp;"_"&amp;$C$23:$C$45,$D$23:$D$45)*$E1940)</f>
        <v>7.69618377547098</v>
      </c>
      <c r="L1940" s="67" cm="1">
        <f ca="1" t="array" ref="L1940">MIN(6,_xlfn.XLOOKUP($D1940&amp;"_"&amp;L$61,$B$23:$B$45&amp;"_"&amp;$C$23:$C$45,$D$23:$D$45)*$E1940)</f>
        <v>6</v>
      </c>
      <c r="M1940" s="67" cm="1">
        <f ca="1" t="array" ref="M1940">(1+SUMPRODUCT(G1940:H1940,OFFSET($H$49:$I$49,D1940,0)))*(1+OFFSET($J$49,D1940,0))^I1940*(1+OFFSET($K$49,D1940,0))^J1940*(1+OFFSET($L$49,D1940,0))^K1940*(1+OFFSET($M$49,D1940,0))^L1940</f>
        <v>527.757836499035</v>
      </c>
      <c r="N1940" s="67">
        <f ca="1">MAX(MAX($N$62:N1939),OFFSET($C$61,MATCH(M1940*1.07,$M$62:$M$2061,1),0)-C1940)</f>
        <v>56880</v>
      </c>
    </row>
    <row r="1941" spans="2:16">
      <c r="B1941" s="67">
        <v>1880</v>
      </c>
      <c r="C1941" s="67">
        <f t="shared" si="174"/>
        <v>676800</v>
      </c>
      <c r="D1941" s="67">
        <f t="shared" si="177"/>
        <v>5</v>
      </c>
      <c r="E1941" s="67">
        <f ca="1" t="shared" si="178"/>
        <v>1910</v>
      </c>
      <c r="F1941" s="67">
        <f ca="1" t="shared" si="175"/>
        <v>0</v>
      </c>
      <c r="G1941" s="67">
        <f ca="1" t="shared" si="176"/>
        <v>0</v>
      </c>
      <c r="H1941" s="67" cm="1">
        <f ca="1" t="array" ref="H1941">MIN(30-SUM(I1941:L1941),_xlfn.XLOOKUP($D1941&amp;"_"&amp;H$61,$B$23:$B$45&amp;"_"&amp;$C$23:$C$45,$D$23:$D$45)*$E1941,18)</f>
        <v>8.29978469819299</v>
      </c>
      <c r="I1941" s="67" cm="1">
        <f ca="1" t="array" ref="I1941">MIN(30-SUM(J1941:L1941),6-L1941,_xlfn.XLOOKUP($D1941&amp;"_"&amp;I$61,$B$23:$B$45&amp;"_"&amp;$C$23:$C$45,$D$23:$D$45)*$E1941)</f>
        <v>0</v>
      </c>
      <c r="J1941" s="67" cm="1">
        <f ca="1" t="array" ref="J1941">MIN(8,_xlfn.XLOOKUP($D1941&amp;"_"&amp;J$61,$B$23:$B$45&amp;"_"&amp;$C$23:$C$45,$D$23:$D$45)*$E1941)</f>
        <v>8</v>
      </c>
      <c r="K1941" s="67" cm="1">
        <f ca="1" t="array" ref="K1941">MIN(18,_xlfn.XLOOKUP($D1941&amp;"_"&amp;K$61,$B$23:$B$45&amp;"_"&amp;$C$23:$C$45,$D$23:$D$45)*$E1941)</f>
        <v>7.700215301807</v>
      </c>
      <c r="L1941" s="67" cm="1">
        <f ca="1" t="array" ref="L1941">MIN(6,_xlfn.XLOOKUP($D1941&amp;"_"&amp;L$61,$B$23:$B$45&amp;"_"&amp;$C$23:$C$45,$D$23:$D$45)*$E1941)</f>
        <v>6</v>
      </c>
      <c r="M1941" s="67" cm="1">
        <f ca="1" t="array" ref="M1941">(1+SUMPRODUCT(G1941:H1941,OFFSET($H$49:$I$49,D1941,0)))*(1+OFFSET($J$49,D1941,0))^I1941*(1+OFFSET($K$49,D1941,0))^J1941*(1+OFFSET($L$49,D1941,0))^K1941*(1+OFFSET($M$49,D1941,0))^L1941</f>
        <v>527.985852271424</v>
      </c>
      <c r="N1941" s="67">
        <f ca="1">MAX(MAX($N$62:N1940),OFFSET($C$61,MATCH(M1941*1.07,$M$62:$M$2061,1),0)-C1941)</f>
        <v>56880</v>
      </c>
    </row>
    <row r="1942" spans="2:16">
      <c r="B1942" s="67">
        <v>1881</v>
      </c>
      <c r="C1942" s="67">
        <f t="shared" si="174"/>
        <v>677160</v>
      </c>
      <c r="D1942" s="67">
        <f t="shared" si="177"/>
        <v>5</v>
      </c>
      <c r="E1942" s="67">
        <f ca="1" t="shared" si="178"/>
        <v>1911</v>
      </c>
      <c r="F1942" s="67">
        <f ca="1" t="shared" si="175"/>
        <v>0</v>
      </c>
      <c r="G1942" s="67">
        <f ca="1" t="shared" si="176"/>
        <v>0</v>
      </c>
      <c r="H1942" s="67" cm="1">
        <f ca="1" t="array" ref="H1942">MIN(30-SUM(I1942:L1942),_xlfn.XLOOKUP($D1942&amp;"_"&amp;H$61,$B$23:$B$45&amp;"_"&amp;$C$23:$C$45,$D$23:$D$45)*$E1942,18)</f>
        <v>8.29575317185697</v>
      </c>
      <c r="I1942" s="67" cm="1">
        <f ca="1" t="array" ref="I1942">MIN(30-SUM(J1942:L1942),6-L1942,_xlfn.XLOOKUP($D1942&amp;"_"&amp;I$61,$B$23:$B$45&amp;"_"&amp;$C$23:$C$45,$D$23:$D$45)*$E1942)</f>
        <v>0</v>
      </c>
      <c r="J1942" s="67" cm="1">
        <f ca="1" t="array" ref="J1942">MIN(8,_xlfn.XLOOKUP($D1942&amp;"_"&amp;J$61,$B$23:$B$45&amp;"_"&amp;$C$23:$C$45,$D$23:$D$45)*$E1942)</f>
        <v>8</v>
      </c>
      <c r="K1942" s="67" cm="1">
        <f ca="1" t="array" ref="K1942">MIN(18,_xlfn.XLOOKUP($D1942&amp;"_"&amp;K$61,$B$23:$B$45&amp;"_"&amp;$C$23:$C$45,$D$23:$D$45)*$E1942)</f>
        <v>7.70424682814303</v>
      </c>
      <c r="L1942" s="67" cm="1">
        <f ca="1" t="array" ref="L1942">MIN(6,_xlfn.XLOOKUP($D1942&amp;"_"&amp;L$61,$B$23:$B$45&amp;"_"&amp;$C$23:$C$45,$D$23:$D$45)*$E1942)</f>
        <v>6</v>
      </c>
      <c r="M1942" s="67" cm="1">
        <f ca="1" t="array" ref="M1942">(1+SUMPRODUCT(G1942:H1942,OFFSET($H$49:$I$49,D1942,0)))*(1+OFFSET($J$49,D1942,0))^I1942*(1+OFFSET($K$49,D1942,0))^J1942*(1+OFFSET($L$49,D1942,0))^K1942*(1+OFFSET($M$49,D1942,0))^L1942</f>
        <v>528.213918021646</v>
      </c>
      <c r="N1942" s="67">
        <f ca="1">MAX(MAX($N$62:N1941),OFFSET($C$61,MATCH(M1942*1.07,$M$62:$M$2061,1),0)-C1942)</f>
        <v>56880</v>
      </c>
    </row>
    <row r="1943" spans="2:16">
      <c r="B1943" s="67">
        <v>1882</v>
      </c>
      <c r="C1943" s="67">
        <f t="shared" si="174"/>
        <v>677520</v>
      </c>
      <c r="D1943" s="67">
        <f t="shared" si="177"/>
        <v>5</v>
      </c>
      <c r="E1943" s="67">
        <f ca="1" t="shared" si="178"/>
        <v>1912</v>
      </c>
      <c r="F1943" s="67">
        <f ca="1" t="shared" si="175"/>
        <v>0</v>
      </c>
      <c r="G1943" s="67">
        <f ca="1" t="shared" si="176"/>
        <v>0</v>
      </c>
      <c r="H1943" s="67" cm="1">
        <f ca="1" t="array" ref="H1943">MIN(30-SUM(I1943:L1943),_xlfn.XLOOKUP($D1943&amp;"_"&amp;H$61,$B$23:$B$45&amp;"_"&amp;$C$23:$C$45,$D$23:$D$45)*$E1943,18)</f>
        <v>8.29172164552094</v>
      </c>
      <c r="I1943" s="67" cm="1">
        <f ca="1" t="array" ref="I1943">MIN(30-SUM(J1943:L1943),6-L1943,_xlfn.XLOOKUP($D1943&amp;"_"&amp;I$61,$B$23:$B$45&amp;"_"&amp;$C$23:$C$45,$D$23:$D$45)*$E1943)</f>
        <v>0</v>
      </c>
      <c r="J1943" s="67" cm="1">
        <f ca="1" t="array" ref="J1943">MIN(8,_xlfn.XLOOKUP($D1943&amp;"_"&amp;J$61,$B$23:$B$45&amp;"_"&amp;$C$23:$C$45,$D$23:$D$45)*$E1943)</f>
        <v>8</v>
      </c>
      <c r="K1943" s="67" cm="1">
        <f ca="1" t="array" ref="K1943">MIN(18,_xlfn.XLOOKUP($D1943&amp;"_"&amp;K$61,$B$23:$B$45&amp;"_"&amp;$C$23:$C$45,$D$23:$D$45)*$E1943)</f>
        <v>7.70827835447905</v>
      </c>
      <c r="L1943" s="67" cm="1">
        <f ca="1" t="array" ref="L1943">MIN(6,_xlfn.XLOOKUP($D1943&amp;"_"&amp;L$61,$B$23:$B$45&amp;"_"&amp;$C$23:$C$45,$D$23:$D$45)*$E1943)</f>
        <v>6</v>
      </c>
      <c r="M1943" s="67" cm="1">
        <f ca="1" t="array" ref="M1943">(1+SUMPRODUCT(G1943:H1943,OFFSET($H$49:$I$49,D1943,0)))*(1+OFFSET($J$49,D1943,0))^I1943*(1+OFFSET($K$49,D1943,0))^J1943*(1+OFFSET($L$49,D1943,0))^K1943*(1+OFFSET($M$49,D1943,0))^L1943</f>
        <v>528.442033699917</v>
      </c>
      <c r="N1943" s="67">
        <f ca="1">MAX(MAX($N$62:N1942),OFFSET($C$61,MATCH(M1943*1.07,$M$62:$M$2061,1),0)-C1943)</f>
        <v>56880</v>
      </c>
    </row>
    <row r="1944" spans="2:16">
      <c r="B1944" s="67">
        <v>1883</v>
      </c>
      <c r="C1944" s="67">
        <f t="shared" si="174"/>
        <v>677880</v>
      </c>
      <c r="D1944" s="67">
        <f t="shared" si="177"/>
        <v>5</v>
      </c>
      <c r="E1944" s="67">
        <f ca="1" t="shared" si="178"/>
        <v>1913</v>
      </c>
      <c r="F1944" s="67">
        <f ca="1" t="shared" si="175"/>
        <v>0</v>
      </c>
      <c r="G1944" s="67">
        <f ca="1" t="shared" si="176"/>
        <v>0</v>
      </c>
      <c r="H1944" s="67" cm="1">
        <f ca="1" t="array" ref="H1944">MIN(30-SUM(I1944:L1944),_xlfn.XLOOKUP($D1944&amp;"_"&amp;H$61,$B$23:$B$45&amp;"_"&amp;$C$23:$C$45,$D$23:$D$45)*$E1944,18)</f>
        <v>8.28769011918492</v>
      </c>
      <c r="I1944" s="67" cm="1">
        <f ca="1" t="array" ref="I1944">MIN(30-SUM(J1944:L1944),6-L1944,_xlfn.XLOOKUP($D1944&amp;"_"&amp;I$61,$B$23:$B$45&amp;"_"&amp;$C$23:$C$45,$D$23:$D$45)*$E1944)</f>
        <v>0</v>
      </c>
      <c r="J1944" s="67" cm="1">
        <f ca="1" t="array" ref="J1944">MIN(8,_xlfn.XLOOKUP($D1944&amp;"_"&amp;J$61,$B$23:$B$45&amp;"_"&amp;$C$23:$C$45,$D$23:$D$45)*$E1944)</f>
        <v>8</v>
      </c>
      <c r="K1944" s="67" cm="1">
        <f ca="1" t="array" ref="K1944">MIN(18,_xlfn.XLOOKUP($D1944&amp;"_"&amp;K$61,$B$23:$B$45&amp;"_"&amp;$C$23:$C$45,$D$23:$D$45)*$E1944)</f>
        <v>7.71230988081508</v>
      </c>
      <c r="L1944" s="67" cm="1">
        <f ca="1" t="array" ref="L1944">MIN(6,_xlfn.XLOOKUP($D1944&amp;"_"&amp;L$61,$B$23:$B$45&amp;"_"&amp;$C$23:$C$45,$D$23:$D$45)*$E1944)</f>
        <v>6</v>
      </c>
      <c r="M1944" s="67" cm="1">
        <f ca="1" t="array" ref="M1944">(1+SUMPRODUCT(G1944:H1944,OFFSET($H$49:$I$49,D1944,0)))*(1+OFFSET($J$49,D1944,0))^I1944*(1+OFFSET($K$49,D1944,0))^J1944*(1+OFFSET($L$49,D1944,0))^K1944*(1+OFFSET($M$49,D1944,0))^L1944</f>
        <v>528.670199256352</v>
      </c>
      <c r="N1944" s="67">
        <f ca="1">MAX(MAX($N$62:N1943),OFFSET($C$61,MATCH(M1944*1.07,$M$62:$M$2061,1),0)-C1944)</f>
        <v>56880</v>
      </c>
    </row>
    <row r="1945" spans="2:16">
      <c r="B1945" s="67">
        <v>1884</v>
      </c>
      <c r="C1945" s="67">
        <f t="shared" si="174"/>
        <v>678240</v>
      </c>
      <c r="D1945" s="67">
        <f t="shared" si="177"/>
        <v>5</v>
      </c>
      <c r="E1945" s="67">
        <f ca="1" t="shared" si="178"/>
        <v>1914</v>
      </c>
      <c r="F1945" s="67">
        <f ca="1" t="shared" si="175"/>
        <v>0</v>
      </c>
      <c r="G1945" s="67">
        <f ca="1" t="shared" si="176"/>
        <v>0</v>
      </c>
      <c r="H1945" s="67" cm="1">
        <f ca="1" t="array" ref="H1945">MIN(30-SUM(I1945:L1945),_xlfn.XLOOKUP($D1945&amp;"_"&amp;H$61,$B$23:$B$45&amp;"_"&amp;$C$23:$C$45,$D$23:$D$45)*$E1945,18)</f>
        <v>8.2836585928489</v>
      </c>
      <c r="I1945" s="67" cm="1">
        <f ca="1" t="array" ref="I1945">MIN(30-SUM(J1945:L1945),6-L1945,_xlfn.XLOOKUP($D1945&amp;"_"&amp;I$61,$B$23:$B$45&amp;"_"&amp;$C$23:$C$45,$D$23:$D$45)*$E1945)</f>
        <v>0</v>
      </c>
      <c r="J1945" s="67" cm="1">
        <f ca="1" t="array" ref="J1945">MIN(8,_xlfn.XLOOKUP($D1945&amp;"_"&amp;J$61,$B$23:$B$45&amp;"_"&amp;$C$23:$C$45,$D$23:$D$45)*$E1945)</f>
        <v>8</v>
      </c>
      <c r="K1945" s="67" cm="1">
        <f ca="1" t="array" ref="K1945">MIN(18,_xlfn.XLOOKUP($D1945&amp;"_"&amp;K$61,$B$23:$B$45&amp;"_"&amp;$C$23:$C$45,$D$23:$D$45)*$E1945)</f>
        <v>7.7163414071511</v>
      </c>
      <c r="L1945" s="67" cm="1">
        <f ca="1" t="array" ref="L1945">MIN(6,_xlfn.XLOOKUP($D1945&amp;"_"&amp;L$61,$B$23:$B$45&amp;"_"&amp;$C$23:$C$45,$D$23:$D$45)*$E1945)</f>
        <v>6</v>
      </c>
      <c r="M1945" s="67" cm="1">
        <f ca="1" t="array" ref="M1945">(1+SUMPRODUCT(G1945:H1945,OFFSET($H$49:$I$49,D1945,0)))*(1+OFFSET($J$49,D1945,0))^I1945*(1+OFFSET($K$49,D1945,0))^J1945*(1+OFFSET($L$49,D1945,0))^K1945*(1+OFFSET($M$49,D1945,0))^L1945</f>
        <v>528.898414640967</v>
      </c>
      <c r="N1945" s="67">
        <f ca="1">MAX(MAX($N$62:N1944),OFFSET($C$61,MATCH(M1945*1.07,$M$62:$M$2061,1),0)-C1945)</f>
        <v>56880</v>
      </c>
    </row>
    <row r="1946" spans="2:16">
      <c r="B1946" s="67">
        <v>1885</v>
      </c>
      <c r="C1946" s="67">
        <f t="shared" si="174"/>
        <v>678600</v>
      </c>
      <c r="D1946" s="67">
        <f t="shared" si="177"/>
        <v>5</v>
      </c>
      <c r="E1946" s="67">
        <f ca="1" t="shared" si="178"/>
        <v>1915</v>
      </c>
      <c r="F1946" s="67">
        <f ca="1" t="shared" si="175"/>
        <v>0</v>
      </c>
      <c r="G1946" s="67">
        <f ca="1" t="shared" si="176"/>
        <v>0</v>
      </c>
      <c r="H1946" s="67" cm="1">
        <f ca="1" t="array" ref="H1946">MIN(30-SUM(I1946:L1946),_xlfn.XLOOKUP($D1946&amp;"_"&amp;H$61,$B$23:$B$45&amp;"_"&amp;$C$23:$C$45,$D$23:$D$45)*$E1946,18)</f>
        <v>8.27962706651287</v>
      </c>
      <c r="I1946" s="67" cm="1">
        <f ca="1" t="array" ref="I1946">MIN(30-SUM(J1946:L1946),6-L1946,_xlfn.XLOOKUP($D1946&amp;"_"&amp;I$61,$B$23:$B$45&amp;"_"&amp;$C$23:$C$45,$D$23:$D$45)*$E1946)</f>
        <v>0</v>
      </c>
      <c r="J1946" s="67" cm="1">
        <f ca="1" t="array" ref="J1946">MIN(8,_xlfn.XLOOKUP($D1946&amp;"_"&amp;J$61,$B$23:$B$45&amp;"_"&amp;$C$23:$C$45,$D$23:$D$45)*$E1946)</f>
        <v>8</v>
      </c>
      <c r="K1946" s="67" cm="1">
        <f ca="1" t="array" ref="K1946">MIN(18,_xlfn.XLOOKUP($D1946&amp;"_"&amp;K$61,$B$23:$B$45&amp;"_"&amp;$C$23:$C$45,$D$23:$D$45)*$E1946)</f>
        <v>7.72037293348713</v>
      </c>
      <c r="L1946" s="67" cm="1">
        <f ca="1" t="array" ref="L1946">MIN(6,_xlfn.XLOOKUP($D1946&amp;"_"&amp;L$61,$B$23:$B$45&amp;"_"&amp;$C$23:$C$45,$D$23:$D$45)*$E1946)</f>
        <v>6</v>
      </c>
      <c r="M1946" s="67" cm="1">
        <f ca="1" t="array" ref="M1946">(1+SUMPRODUCT(G1946:H1946,OFFSET($H$49:$I$49,D1946,0)))*(1+OFFSET($J$49,D1946,0))^I1946*(1+OFFSET($K$49,D1946,0))^J1946*(1+OFFSET($L$49,D1946,0))^K1946*(1+OFFSET($M$49,D1946,0))^L1946</f>
        <v>529.126679803677</v>
      </c>
      <c r="N1946" s="67">
        <f ca="1">MAX(MAX($N$62:N1945),OFFSET($C$61,MATCH(M1946*1.07,$M$62:$M$2061,1),0)-C1946)</f>
        <v>56880</v>
      </c>
    </row>
    <row r="1947" spans="2:16">
      <c r="B1947" s="67">
        <v>1886</v>
      </c>
      <c r="C1947" s="67">
        <f t="shared" si="174"/>
        <v>678960</v>
      </c>
      <c r="D1947" s="67">
        <f t="shared" si="177"/>
        <v>5</v>
      </c>
      <c r="E1947" s="67">
        <f ca="1" t="shared" si="178"/>
        <v>1916</v>
      </c>
      <c r="F1947" s="67">
        <f ca="1" t="shared" si="175"/>
        <v>0</v>
      </c>
      <c r="G1947" s="67">
        <f ca="1" t="shared" si="176"/>
        <v>0</v>
      </c>
      <c r="H1947" s="67" cm="1">
        <f ca="1" t="array" ref="H1947">MIN(30-SUM(I1947:L1947),_xlfn.XLOOKUP($D1947&amp;"_"&amp;H$61,$B$23:$B$45&amp;"_"&amp;$C$23:$C$45,$D$23:$D$45)*$E1947,18)</f>
        <v>8.27559554017685</v>
      </c>
      <c r="I1947" s="67" cm="1">
        <f ca="1" t="array" ref="I1947">MIN(30-SUM(J1947:L1947),6-L1947,_xlfn.XLOOKUP($D1947&amp;"_"&amp;I$61,$B$23:$B$45&amp;"_"&amp;$C$23:$C$45,$D$23:$D$45)*$E1947)</f>
        <v>0</v>
      </c>
      <c r="J1947" s="67" cm="1">
        <f ca="1" t="array" ref="J1947">MIN(8,_xlfn.XLOOKUP($D1947&amp;"_"&amp;J$61,$B$23:$B$45&amp;"_"&amp;$C$23:$C$45,$D$23:$D$45)*$E1947)</f>
        <v>8</v>
      </c>
      <c r="K1947" s="67" cm="1">
        <f ca="1" t="array" ref="K1947">MIN(18,_xlfn.XLOOKUP($D1947&amp;"_"&amp;K$61,$B$23:$B$45&amp;"_"&amp;$C$23:$C$45,$D$23:$D$45)*$E1947)</f>
        <v>7.72440445982315</v>
      </c>
      <c r="L1947" s="67" cm="1">
        <f ca="1" t="array" ref="L1947">MIN(6,_xlfn.XLOOKUP($D1947&amp;"_"&amp;L$61,$B$23:$B$45&amp;"_"&amp;$C$23:$C$45,$D$23:$D$45)*$E1947)</f>
        <v>6</v>
      </c>
      <c r="M1947" s="67" cm="1">
        <f ca="1" t="array" ref="M1947">(1+SUMPRODUCT(G1947:H1947,OFFSET($H$49:$I$49,D1947,0)))*(1+OFFSET($J$49,D1947,0))^I1947*(1+OFFSET($K$49,D1947,0))^J1947*(1+OFFSET($L$49,D1947,0))^K1947*(1+OFFSET($M$49,D1947,0))^L1947</f>
        <v>529.354994694296</v>
      </c>
      <c r="N1947" s="67">
        <f ca="1">MAX(MAX($N$62:N1946),OFFSET($C$61,MATCH(M1947*1.07,$M$62:$M$2061,1),0)-C1947)</f>
        <v>56880</v>
      </c>
    </row>
    <row r="1948" spans="2:16">
      <c r="B1948" s="67">
        <v>1887</v>
      </c>
      <c r="C1948" s="67">
        <f t="shared" si="174"/>
        <v>679320</v>
      </c>
      <c r="D1948" s="67">
        <f t="shared" si="177"/>
        <v>5</v>
      </c>
      <c r="E1948" s="67">
        <f ca="1" t="shared" si="178"/>
        <v>1917</v>
      </c>
      <c r="F1948" s="67">
        <f ca="1" t="shared" si="175"/>
        <v>0</v>
      </c>
      <c r="G1948" s="67">
        <f ca="1" t="shared" si="176"/>
        <v>0</v>
      </c>
      <c r="H1948" s="67" cm="1">
        <f ca="1" t="array" ref="H1948">MIN(30-SUM(I1948:L1948),_xlfn.XLOOKUP($D1948&amp;"_"&amp;H$61,$B$23:$B$45&amp;"_"&amp;$C$23:$C$45,$D$23:$D$45)*$E1948,18)</f>
        <v>8.27156401384082</v>
      </c>
      <c r="I1948" s="67" cm="1">
        <f ca="1" t="array" ref="I1948">MIN(30-SUM(J1948:L1948),6-L1948,_xlfn.XLOOKUP($D1948&amp;"_"&amp;I$61,$B$23:$B$45&amp;"_"&amp;$C$23:$C$45,$D$23:$D$45)*$E1948)</f>
        <v>0</v>
      </c>
      <c r="J1948" s="67" cm="1">
        <f ca="1" t="array" ref="J1948">MIN(8,_xlfn.XLOOKUP($D1948&amp;"_"&amp;J$61,$B$23:$B$45&amp;"_"&amp;$C$23:$C$45,$D$23:$D$45)*$E1948)</f>
        <v>8</v>
      </c>
      <c r="K1948" s="67" cm="1">
        <f ca="1" t="array" ref="K1948">MIN(18,_xlfn.XLOOKUP($D1948&amp;"_"&amp;K$61,$B$23:$B$45&amp;"_"&amp;$C$23:$C$45,$D$23:$D$45)*$E1948)</f>
        <v>7.72843598615918</v>
      </c>
      <c r="L1948" s="67" cm="1">
        <f ca="1" t="array" ref="L1948">MIN(6,_xlfn.XLOOKUP($D1948&amp;"_"&amp;L$61,$B$23:$B$45&amp;"_"&amp;$C$23:$C$45,$D$23:$D$45)*$E1948)</f>
        <v>6</v>
      </c>
      <c r="M1948" s="67" cm="1">
        <f ca="1" t="array" ref="M1948">(1+SUMPRODUCT(G1948:H1948,OFFSET($H$49:$I$49,D1948,0)))*(1+OFFSET($J$49,D1948,0))^I1948*(1+OFFSET($K$49,D1948,0))^J1948*(1+OFFSET($L$49,D1948,0))^K1948*(1+OFFSET($M$49,D1948,0))^L1948</f>
        <v>529.583359262538</v>
      </c>
      <c r="N1948" s="67">
        <f ca="1">MAX(MAX($N$62:N1947),OFFSET($C$61,MATCH(M1948*1.07,$M$62:$M$2061,1),0)-C1948)</f>
        <v>56880</v>
      </c>
    </row>
    <row r="1949" spans="2:16">
      <c r="B1949" s="67">
        <v>1888</v>
      </c>
      <c r="C1949" s="67">
        <f t="shared" si="174"/>
        <v>679680</v>
      </c>
      <c r="D1949" s="67">
        <f t="shared" si="177"/>
        <v>5</v>
      </c>
      <c r="E1949" s="67">
        <f ca="1" t="shared" si="178"/>
        <v>1918</v>
      </c>
      <c r="F1949" s="67">
        <f ca="1" t="shared" si="175"/>
        <v>0</v>
      </c>
      <c r="G1949" s="67">
        <f ca="1" t="shared" si="176"/>
        <v>0</v>
      </c>
      <c r="H1949" s="67" cm="1">
        <f ca="1" t="array" ref="H1949">MIN(30-SUM(I1949:L1949),_xlfn.XLOOKUP($D1949&amp;"_"&amp;H$61,$B$23:$B$45&amp;"_"&amp;$C$23:$C$45,$D$23:$D$45)*$E1949,18)</f>
        <v>8.2675324875048</v>
      </c>
      <c r="I1949" s="67" cm="1">
        <f ca="1" t="array" ref="I1949">MIN(30-SUM(J1949:L1949),6-L1949,_xlfn.XLOOKUP($D1949&amp;"_"&amp;I$61,$B$23:$B$45&amp;"_"&amp;$C$23:$C$45,$D$23:$D$45)*$E1949)</f>
        <v>0</v>
      </c>
      <c r="J1949" s="67" cm="1">
        <f ca="1" t="array" ref="J1949">MIN(8,_xlfn.XLOOKUP($D1949&amp;"_"&amp;J$61,$B$23:$B$45&amp;"_"&amp;$C$23:$C$45,$D$23:$D$45)*$E1949)</f>
        <v>8</v>
      </c>
      <c r="K1949" s="67" cm="1">
        <f ca="1" t="array" ref="K1949">MIN(18,_xlfn.XLOOKUP($D1949&amp;"_"&amp;K$61,$B$23:$B$45&amp;"_"&amp;$C$23:$C$45,$D$23:$D$45)*$E1949)</f>
        <v>7.7324675124952</v>
      </c>
      <c r="L1949" s="67" cm="1">
        <f ca="1" t="array" ref="L1949">MIN(6,_xlfn.XLOOKUP($D1949&amp;"_"&amp;L$61,$B$23:$B$45&amp;"_"&amp;$C$23:$C$45,$D$23:$D$45)*$E1949)</f>
        <v>6</v>
      </c>
      <c r="M1949" s="67" cm="1">
        <f ca="1" t="array" ref="M1949">(1+SUMPRODUCT(G1949:H1949,OFFSET($H$49:$I$49,D1949,0)))*(1+OFFSET($J$49,D1949,0))^I1949*(1+OFFSET($K$49,D1949,0))^J1949*(1+OFFSET($L$49,D1949,0))^K1949*(1+OFFSET($M$49,D1949,0))^L1949</f>
        <v>529.811773458016</v>
      </c>
      <c r="N1949" s="67">
        <f ca="1">MAX(MAX($N$62:N1948),OFFSET($C$61,MATCH(M1949*1.07,$M$62:$M$2061,1),0)-C1949)</f>
        <v>56880</v>
      </c>
      <c r="O1949" s="67">
        <f ca="1">M1949/M1761</f>
        <v>1.0861421396694</v>
      </c>
      <c r="P1949" s="67">
        <f ca="1">LOG(O1949,1.07)</f>
        <v>1.22130870900685</v>
      </c>
    </row>
    <row r="1950" spans="2:16">
      <c r="B1950" s="67">
        <v>1889</v>
      </c>
      <c r="C1950" s="67">
        <f t="shared" si="174"/>
        <v>680040</v>
      </c>
      <c r="D1950" s="67">
        <f t="shared" si="177"/>
        <v>5</v>
      </c>
      <c r="E1950" s="67">
        <f ca="1" t="shared" si="178"/>
        <v>1919</v>
      </c>
      <c r="F1950" s="67">
        <f ca="1" t="shared" si="175"/>
        <v>0</v>
      </c>
      <c r="G1950" s="67">
        <f ca="1" t="shared" si="176"/>
        <v>0</v>
      </c>
      <c r="H1950" s="67" cm="1">
        <f ca="1" t="array" ref="H1950">MIN(30-SUM(I1950:L1950),_xlfn.XLOOKUP($D1950&amp;"_"&amp;H$61,$B$23:$B$45&amp;"_"&amp;$C$23:$C$45,$D$23:$D$45)*$E1950,18)</f>
        <v>8.26350096116877</v>
      </c>
      <c r="I1950" s="67" cm="1">
        <f ca="1" t="array" ref="I1950">MIN(30-SUM(J1950:L1950),6-L1950,_xlfn.XLOOKUP($D1950&amp;"_"&amp;I$61,$B$23:$B$45&amp;"_"&amp;$C$23:$C$45,$D$23:$D$45)*$E1950)</f>
        <v>0</v>
      </c>
      <c r="J1950" s="67" cm="1">
        <f ca="1" t="array" ref="J1950">MIN(8,_xlfn.XLOOKUP($D1950&amp;"_"&amp;J$61,$B$23:$B$45&amp;"_"&amp;$C$23:$C$45,$D$23:$D$45)*$E1950)</f>
        <v>8</v>
      </c>
      <c r="K1950" s="67" cm="1">
        <f ca="1" t="array" ref="K1950">MIN(18,_xlfn.XLOOKUP($D1950&amp;"_"&amp;K$61,$B$23:$B$45&amp;"_"&amp;$C$23:$C$45,$D$23:$D$45)*$E1950)</f>
        <v>7.73649903883123</v>
      </c>
      <c r="L1950" s="67" cm="1">
        <f ca="1" t="array" ref="L1950">MIN(6,_xlfn.XLOOKUP($D1950&amp;"_"&amp;L$61,$B$23:$B$45&amp;"_"&amp;$C$23:$C$45,$D$23:$D$45)*$E1950)</f>
        <v>6</v>
      </c>
      <c r="M1950" s="67" cm="1">
        <f ca="1" t="array" ref="M1950">(1+SUMPRODUCT(G1950:H1950,OFFSET($H$49:$I$49,D1950,0)))*(1+OFFSET($J$49,D1950,0))^I1950*(1+OFFSET($K$49,D1950,0))^J1950*(1+OFFSET($L$49,D1950,0))^K1950*(1+OFFSET($M$49,D1950,0))^L1950</f>
        <v>530.040237230241</v>
      </c>
      <c r="N1950" s="67">
        <f ca="1">MAX(MAX($N$62:N1949),OFFSET($C$61,MATCH(M1950*1.07,$M$62:$M$2061,1),0)-C1950)</f>
        <v>56880</v>
      </c>
      <c r="P1950" s="67">
        <f ca="1">60000/P1949</f>
        <v>49127.6280579308</v>
      </c>
    </row>
    <row r="1951" spans="2:16">
      <c r="B1951" s="67">
        <v>1890</v>
      </c>
      <c r="C1951" s="67">
        <f t="shared" si="174"/>
        <v>680400</v>
      </c>
      <c r="D1951" s="67">
        <f t="shared" si="177"/>
        <v>5</v>
      </c>
      <c r="E1951" s="67">
        <f ca="1" t="shared" si="178"/>
        <v>1920</v>
      </c>
      <c r="F1951" s="67">
        <f ca="1" t="shared" si="175"/>
        <v>0</v>
      </c>
      <c r="G1951" s="67">
        <f ca="1" t="shared" si="176"/>
        <v>0</v>
      </c>
      <c r="H1951" s="67" cm="1">
        <f ca="1" t="array" ref="H1951">MIN(30-SUM(I1951:L1951),_xlfn.XLOOKUP($D1951&amp;"_"&amp;H$61,$B$23:$B$45&amp;"_"&amp;$C$23:$C$45,$D$23:$D$45)*$E1951,18)</f>
        <v>8.25946943483275</v>
      </c>
      <c r="I1951" s="67" cm="1">
        <f ca="1" t="array" ref="I1951">MIN(30-SUM(J1951:L1951),6-L1951,_xlfn.XLOOKUP($D1951&amp;"_"&amp;I$61,$B$23:$B$45&amp;"_"&amp;$C$23:$C$45,$D$23:$D$45)*$E1951)</f>
        <v>0</v>
      </c>
      <c r="J1951" s="67" cm="1">
        <f ca="1" t="array" ref="J1951">MIN(8,_xlfn.XLOOKUP($D1951&amp;"_"&amp;J$61,$B$23:$B$45&amp;"_"&amp;$C$23:$C$45,$D$23:$D$45)*$E1951)</f>
        <v>8</v>
      </c>
      <c r="K1951" s="67" cm="1">
        <f ca="1" t="array" ref="K1951">MIN(18,_xlfn.XLOOKUP($D1951&amp;"_"&amp;K$61,$B$23:$B$45&amp;"_"&amp;$C$23:$C$45,$D$23:$D$45)*$E1951)</f>
        <v>7.74053056516725</v>
      </c>
      <c r="L1951" s="67" cm="1">
        <f ca="1" t="array" ref="L1951">MIN(6,_xlfn.XLOOKUP($D1951&amp;"_"&amp;L$61,$B$23:$B$45&amp;"_"&amp;$C$23:$C$45,$D$23:$D$45)*$E1951)</f>
        <v>6</v>
      </c>
      <c r="M1951" s="67" cm="1">
        <f ca="1" t="array" ref="M1951">(1+SUMPRODUCT(G1951:H1951,OFFSET($H$49:$I$49,D1951,0)))*(1+OFFSET($J$49,D1951,0))^I1951*(1+OFFSET($K$49,D1951,0))^J1951*(1+OFFSET($L$49,D1951,0))^K1951*(1+OFFSET($M$49,D1951,0))^L1951</f>
        <v>530.268750528624</v>
      </c>
      <c r="N1951" s="67">
        <f ca="1">MAX(MAX($N$62:N1950),OFFSET($C$61,MATCH(M1951*1.07,$M$62:$M$2061,1),0)-C1951)</f>
        <v>56880</v>
      </c>
    </row>
    <row r="1952" spans="2:16">
      <c r="B1952" s="67">
        <v>1891</v>
      </c>
      <c r="C1952" s="67">
        <f t="shared" si="174"/>
        <v>680760</v>
      </c>
      <c r="D1952" s="67">
        <f t="shared" si="177"/>
        <v>5</v>
      </c>
      <c r="E1952" s="67">
        <f ca="1" t="shared" si="178"/>
        <v>1921</v>
      </c>
      <c r="F1952" s="67">
        <f ca="1" t="shared" si="175"/>
        <v>0</v>
      </c>
      <c r="G1952" s="67">
        <f ca="1" t="shared" si="176"/>
        <v>0</v>
      </c>
      <c r="H1952" s="67" cm="1">
        <f ca="1" t="array" ref="H1952">MIN(30-SUM(I1952:L1952),_xlfn.XLOOKUP($D1952&amp;"_"&amp;H$61,$B$23:$B$45&amp;"_"&amp;$C$23:$C$45,$D$23:$D$45)*$E1952,18)</f>
        <v>8.25543790849672</v>
      </c>
      <c r="I1952" s="67" cm="1">
        <f ca="1" t="array" ref="I1952">MIN(30-SUM(J1952:L1952),6-L1952,_xlfn.XLOOKUP($D1952&amp;"_"&amp;I$61,$B$23:$B$45&amp;"_"&amp;$C$23:$C$45,$D$23:$D$45)*$E1952)</f>
        <v>0</v>
      </c>
      <c r="J1952" s="67" cm="1">
        <f ca="1" t="array" ref="J1952">MIN(8,_xlfn.XLOOKUP($D1952&amp;"_"&amp;J$61,$B$23:$B$45&amp;"_"&amp;$C$23:$C$45,$D$23:$D$45)*$E1952)</f>
        <v>8</v>
      </c>
      <c r="K1952" s="67" cm="1">
        <f ca="1" t="array" ref="K1952">MIN(18,_xlfn.XLOOKUP($D1952&amp;"_"&amp;K$61,$B$23:$B$45&amp;"_"&amp;$C$23:$C$45,$D$23:$D$45)*$E1952)</f>
        <v>7.74456209150328</v>
      </c>
      <c r="L1952" s="67" cm="1">
        <f ca="1" t="array" ref="L1952">MIN(6,_xlfn.XLOOKUP($D1952&amp;"_"&amp;L$61,$B$23:$B$45&amp;"_"&amp;$C$23:$C$45,$D$23:$D$45)*$E1952)</f>
        <v>6</v>
      </c>
      <c r="M1952" s="67" cm="1">
        <f ca="1" t="array" ref="M1952">(1+SUMPRODUCT(G1952:H1952,OFFSET($H$49:$I$49,D1952,0)))*(1+OFFSET($J$49,D1952,0))^I1952*(1+OFFSET($K$49,D1952,0))^J1952*(1+OFFSET($L$49,D1952,0))^K1952*(1+OFFSET($M$49,D1952,0))^L1952</f>
        <v>530.497313302474</v>
      </c>
      <c r="N1952" s="67">
        <f ca="1">MAX(MAX($N$62:N1951),OFFSET($C$61,MATCH(M1952*1.07,$M$62:$M$2061,1),0)-C1952)</f>
        <v>56880</v>
      </c>
    </row>
    <row r="1953" spans="2:14">
      <c r="B1953" s="67">
        <v>1892</v>
      </c>
      <c r="C1953" s="67">
        <f t="shared" si="174"/>
        <v>681120</v>
      </c>
      <c r="D1953" s="67">
        <f t="shared" si="177"/>
        <v>5</v>
      </c>
      <c r="E1953" s="67">
        <f ca="1" t="shared" si="178"/>
        <v>1922</v>
      </c>
      <c r="F1953" s="67">
        <f ca="1" t="shared" si="175"/>
        <v>0</v>
      </c>
      <c r="G1953" s="67">
        <f ca="1" t="shared" si="176"/>
        <v>0</v>
      </c>
      <c r="H1953" s="67" cm="1">
        <f ca="1" t="array" ref="H1953">MIN(30-SUM(I1953:L1953),_xlfn.XLOOKUP($D1953&amp;"_"&amp;H$61,$B$23:$B$45&amp;"_"&amp;$C$23:$C$45,$D$23:$D$45)*$E1953,18)</f>
        <v>8.2514063821607</v>
      </c>
      <c r="I1953" s="67" cm="1">
        <f ca="1" t="array" ref="I1953">MIN(30-SUM(J1953:L1953),6-L1953,_xlfn.XLOOKUP($D1953&amp;"_"&amp;I$61,$B$23:$B$45&amp;"_"&amp;$C$23:$C$45,$D$23:$D$45)*$E1953)</f>
        <v>0</v>
      </c>
      <c r="J1953" s="67" cm="1">
        <f ca="1" t="array" ref="J1953">MIN(8,_xlfn.XLOOKUP($D1953&amp;"_"&amp;J$61,$B$23:$B$45&amp;"_"&amp;$C$23:$C$45,$D$23:$D$45)*$E1953)</f>
        <v>8</v>
      </c>
      <c r="K1953" s="67" cm="1">
        <f ca="1" t="array" ref="K1953">MIN(18,_xlfn.XLOOKUP($D1953&amp;"_"&amp;K$61,$B$23:$B$45&amp;"_"&amp;$C$23:$C$45,$D$23:$D$45)*$E1953)</f>
        <v>7.7485936178393</v>
      </c>
      <c r="L1953" s="67" cm="1">
        <f ca="1" t="array" ref="L1953">MIN(6,_xlfn.XLOOKUP($D1953&amp;"_"&amp;L$61,$B$23:$B$45&amp;"_"&amp;$C$23:$C$45,$D$23:$D$45)*$E1953)</f>
        <v>6</v>
      </c>
      <c r="M1953" s="67" cm="1">
        <f ca="1" t="array" ref="M1953">(1+SUMPRODUCT(G1953:H1953,OFFSET($H$49:$I$49,D1953,0)))*(1+OFFSET($J$49,D1953,0))^I1953*(1+OFFSET($K$49,D1953,0))^J1953*(1+OFFSET($L$49,D1953,0))^K1953*(1+OFFSET($M$49,D1953,0))^L1953</f>
        <v>530.725925501</v>
      </c>
      <c r="N1953" s="67">
        <f ca="1">MAX(MAX($N$62:N1952),OFFSET($C$61,MATCH(M1953*1.07,$M$62:$M$2061,1),0)-C1953)</f>
        <v>56880</v>
      </c>
    </row>
    <row r="1954" spans="2:14">
      <c r="B1954" s="67">
        <v>1893</v>
      </c>
      <c r="C1954" s="67">
        <f t="shared" si="174"/>
        <v>681480</v>
      </c>
      <c r="D1954" s="67">
        <f t="shared" si="177"/>
        <v>5</v>
      </c>
      <c r="E1954" s="67">
        <f ca="1" t="shared" si="178"/>
        <v>1923</v>
      </c>
      <c r="F1954" s="67">
        <f ca="1" t="shared" si="175"/>
        <v>0</v>
      </c>
      <c r="G1954" s="67">
        <f ca="1" t="shared" si="176"/>
        <v>0</v>
      </c>
      <c r="H1954" s="67" cm="1">
        <f ca="1" t="array" ref="H1954">MIN(30-SUM(I1954:L1954),_xlfn.XLOOKUP($D1954&amp;"_"&amp;H$61,$B$23:$B$45&amp;"_"&amp;$C$23:$C$45,$D$23:$D$45)*$E1954,18)</f>
        <v>8.24737485582467</v>
      </c>
      <c r="I1954" s="67" cm="1">
        <f ca="1" t="array" ref="I1954">MIN(30-SUM(J1954:L1954),6-L1954,_xlfn.XLOOKUP($D1954&amp;"_"&amp;I$61,$B$23:$B$45&amp;"_"&amp;$C$23:$C$45,$D$23:$D$45)*$E1954)</f>
        <v>0</v>
      </c>
      <c r="J1954" s="67" cm="1">
        <f ca="1" t="array" ref="J1954">MIN(8,_xlfn.XLOOKUP($D1954&amp;"_"&amp;J$61,$B$23:$B$45&amp;"_"&amp;$C$23:$C$45,$D$23:$D$45)*$E1954)</f>
        <v>8</v>
      </c>
      <c r="K1954" s="67" cm="1">
        <f ca="1" t="array" ref="K1954">MIN(18,_xlfn.XLOOKUP($D1954&amp;"_"&amp;K$61,$B$23:$B$45&amp;"_"&amp;$C$23:$C$45,$D$23:$D$45)*$E1954)</f>
        <v>7.75262514417532</v>
      </c>
      <c r="L1954" s="67" cm="1">
        <f ca="1" t="array" ref="L1954">MIN(6,_xlfn.XLOOKUP($D1954&amp;"_"&amp;L$61,$B$23:$B$45&amp;"_"&amp;$C$23:$C$45,$D$23:$D$45)*$E1954)</f>
        <v>6</v>
      </c>
      <c r="M1954" s="67" cm="1">
        <f ca="1" t="array" ref="M1954">(1+SUMPRODUCT(G1954:H1954,OFFSET($H$49:$I$49,D1954,0)))*(1+OFFSET($J$49,D1954,0))^I1954*(1+OFFSET($K$49,D1954,0))^J1954*(1+OFFSET($L$49,D1954,0))^K1954*(1+OFFSET($M$49,D1954,0))^L1954</f>
        <v>530.954587073309</v>
      </c>
      <c r="N1954" s="67">
        <f ca="1">MAX(MAX($N$62:N1953),OFFSET($C$61,MATCH(M1954*1.07,$M$62:$M$2061,1),0)-C1954)</f>
        <v>56880</v>
      </c>
    </row>
    <row r="1955" spans="2:14">
      <c r="B1955" s="67">
        <v>1894</v>
      </c>
      <c r="C1955" s="67">
        <f t="shared" si="174"/>
        <v>681840</v>
      </c>
      <c r="D1955" s="67">
        <f t="shared" si="177"/>
        <v>5</v>
      </c>
      <c r="E1955" s="67">
        <f ca="1" t="shared" si="178"/>
        <v>1924</v>
      </c>
      <c r="F1955" s="67">
        <f ca="1" t="shared" si="175"/>
        <v>0</v>
      </c>
      <c r="G1955" s="67">
        <f ca="1" t="shared" si="176"/>
        <v>0</v>
      </c>
      <c r="H1955" s="67" cm="1">
        <f ca="1" t="array" ref="H1955">MIN(30-SUM(I1955:L1955),_xlfn.XLOOKUP($D1955&amp;"_"&amp;H$61,$B$23:$B$45&amp;"_"&amp;$C$23:$C$45,$D$23:$D$45)*$E1955,18)</f>
        <v>8.24334332948865</v>
      </c>
      <c r="I1955" s="67" cm="1">
        <f ca="1" t="array" ref="I1955">MIN(30-SUM(J1955:L1955),6-L1955,_xlfn.XLOOKUP($D1955&amp;"_"&amp;I$61,$B$23:$B$45&amp;"_"&amp;$C$23:$C$45,$D$23:$D$45)*$E1955)</f>
        <v>0</v>
      </c>
      <c r="J1955" s="67" cm="1">
        <f ca="1" t="array" ref="J1955">MIN(8,_xlfn.XLOOKUP($D1955&amp;"_"&amp;J$61,$B$23:$B$45&amp;"_"&amp;$C$23:$C$45,$D$23:$D$45)*$E1955)</f>
        <v>8</v>
      </c>
      <c r="K1955" s="67" cm="1">
        <f ca="1" t="array" ref="K1955">MIN(18,_xlfn.XLOOKUP($D1955&amp;"_"&amp;K$61,$B$23:$B$45&amp;"_"&amp;$C$23:$C$45,$D$23:$D$45)*$E1955)</f>
        <v>7.75665667051135</v>
      </c>
      <c r="L1955" s="67" cm="1">
        <f ca="1" t="array" ref="L1955">MIN(6,_xlfn.XLOOKUP($D1955&amp;"_"&amp;L$61,$B$23:$B$45&amp;"_"&amp;$C$23:$C$45,$D$23:$D$45)*$E1955)</f>
        <v>6</v>
      </c>
      <c r="M1955" s="67" cm="1">
        <f ca="1" t="array" ref="M1955">(1+SUMPRODUCT(G1955:H1955,OFFSET($H$49:$I$49,D1955,0)))*(1+OFFSET($J$49,D1955,0))^I1955*(1+OFFSET($K$49,D1955,0))^J1955*(1+OFFSET($L$49,D1955,0))^K1955*(1+OFFSET($M$49,D1955,0))^L1955</f>
        <v>531.183297968405</v>
      </c>
      <c r="N1955" s="67">
        <f ca="1">MAX(MAX($N$62:N1954),OFFSET($C$61,MATCH(M1955*1.07,$M$62:$M$2061,1),0)-C1955)</f>
        <v>56880</v>
      </c>
    </row>
    <row r="1956" spans="2:14">
      <c r="B1956" s="67">
        <v>1895</v>
      </c>
      <c r="C1956" s="67">
        <f t="shared" si="174"/>
        <v>682200</v>
      </c>
      <c r="D1956" s="67">
        <f t="shared" si="177"/>
        <v>5</v>
      </c>
      <c r="E1956" s="67">
        <f ca="1" t="shared" si="178"/>
        <v>1925</v>
      </c>
      <c r="F1956" s="67">
        <f ca="1" t="shared" si="175"/>
        <v>0</v>
      </c>
      <c r="G1956" s="67">
        <f ca="1" t="shared" si="176"/>
        <v>0</v>
      </c>
      <c r="H1956" s="67" cm="1">
        <f ca="1" t="array" ref="H1956">MIN(30-SUM(I1956:L1956),_xlfn.XLOOKUP($D1956&amp;"_"&amp;H$61,$B$23:$B$45&amp;"_"&amp;$C$23:$C$45,$D$23:$D$45)*$E1956,18)</f>
        <v>8.23931180315262</v>
      </c>
      <c r="I1956" s="67" cm="1">
        <f ca="1" t="array" ref="I1956">MIN(30-SUM(J1956:L1956),6-L1956,_xlfn.XLOOKUP($D1956&amp;"_"&amp;I$61,$B$23:$B$45&amp;"_"&amp;$C$23:$C$45,$D$23:$D$45)*$E1956)</f>
        <v>0</v>
      </c>
      <c r="J1956" s="67" cm="1">
        <f ca="1" t="array" ref="J1956">MIN(8,_xlfn.XLOOKUP($D1956&amp;"_"&amp;J$61,$B$23:$B$45&amp;"_"&amp;$C$23:$C$45,$D$23:$D$45)*$E1956)</f>
        <v>8</v>
      </c>
      <c r="K1956" s="67" cm="1">
        <f ca="1" t="array" ref="K1956">MIN(18,_xlfn.XLOOKUP($D1956&amp;"_"&amp;K$61,$B$23:$B$45&amp;"_"&amp;$C$23:$C$45,$D$23:$D$45)*$E1956)</f>
        <v>7.76068819684737</v>
      </c>
      <c r="L1956" s="67" cm="1">
        <f ca="1" t="array" ref="L1956">MIN(6,_xlfn.XLOOKUP($D1956&amp;"_"&amp;L$61,$B$23:$B$45&amp;"_"&amp;$C$23:$C$45,$D$23:$D$45)*$E1956)</f>
        <v>6</v>
      </c>
      <c r="M1956" s="67" cm="1">
        <f ca="1" t="array" ref="M1956">(1+SUMPRODUCT(G1956:H1956,OFFSET($H$49:$I$49,D1956,0)))*(1+OFFSET($J$49,D1956,0))^I1956*(1+OFFSET($K$49,D1956,0))^J1956*(1+OFFSET($L$49,D1956,0))^K1956*(1+OFFSET($M$49,D1956,0))^L1956</f>
        <v>531.412058135193</v>
      </c>
      <c r="N1956" s="67">
        <f ca="1">MAX(MAX($N$62:N1955),OFFSET($C$61,MATCH(M1956*1.07,$M$62:$M$2061,1),0)-C1956)</f>
        <v>56880</v>
      </c>
    </row>
    <row r="1957" spans="2:14">
      <c r="B1957" s="67">
        <v>1896</v>
      </c>
      <c r="C1957" s="67">
        <f t="shared" si="174"/>
        <v>682560</v>
      </c>
      <c r="D1957" s="67">
        <f t="shared" si="177"/>
        <v>5</v>
      </c>
      <c r="E1957" s="67">
        <f ca="1" t="shared" si="178"/>
        <v>1926</v>
      </c>
      <c r="F1957" s="67">
        <f ca="1" t="shared" si="175"/>
        <v>0</v>
      </c>
      <c r="G1957" s="67">
        <f ca="1" t="shared" si="176"/>
        <v>0</v>
      </c>
      <c r="H1957" s="67" cm="1">
        <f ca="1" t="array" ref="H1957">MIN(30-SUM(I1957:L1957),_xlfn.XLOOKUP($D1957&amp;"_"&amp;H$61,$B$23:$B$45&amp;"_"&amp;$C$23:$C$45,$D$23:$D$45)*$E1957,18)</f>
        <v>8.2352802768166</v>
      </c>
      <c r="I1957" s="67" cm="1">
        <f ca="1" t="array" ref="I1957">MIN(30-SUM(J1957:L1957),6-L1957,_xlfn.XLOOKUP($D1957&amp;"_"&amp;I$61,$B$23:$B$45&amp;"_"&amp;$C$23:$C$45,$D$23:$D$45)*$E1957)</f>
        <v>0</v>
      </c>
      <c r="J1957" s="67" cm="1">
        <f ca="1" t="array" ref="J1957">MIN(8,_xlfn.XLOOKUP($D1957&amp;"_"&amp;J$61,$B$23:$B$45&amp;"_"&amp;$C$23:$C$45,$D$23:$D$45)*$E1957)</f>
        <v>8</v>
      </c>
      <c r="K1957" s="67" cm="1">
        <f ca="1" t="array" ref="K1957">MIN(18,_xlfn.XLOOKUP($D1957&amp;"_"&amp;K$61,$B$23:$B$45&amp;"_"&amp;$C$23:$C$45,$D$23:$D$45)*$E1957)</f>
        <v>7.7647197231834</v>
      </c>
      <c r="L1957" s="67" cm="1">
        <f ca="1" t="array" ref="L1957">MIN(6,_xlfn.XLOOKUP($D1957&amp;"_"&amp;L$61,$B$23:$B$45&amp;"_"&amp;$C$23:$C$45,$D$23:$D$45)*$E1957)</f>
        <v>6</v>
      </c>
      <c r="M1957" s="67" cm="1">
        <f ca="1" t="array" ref="M1957">(1+SUMPRODUCT(G1957:H1957,OFFSET($H$49:$I$49,D1957,0)))*(1+OFFSET($J$49,D1957,0))^I1957*(1+OFFSET($K$49,D1957,0))^J1957*(1+OFFSET($L$49,D1957,0))^K1957*(1+OFFSET($M$49,D1957,0))^L1957</f>
        <v>531.640867522473</v>
      </c>
      <c r="N1957" s="67">
        <f ca="1">MAX(MAX($N$62:N1956),OFFSET($C$61,MATCH(M1957*1.07,$M$62:$M$2061,1),0)-C1957)</f>
        <v>56880</v>
      </c>
    </row>
    <row r="1958" spans="2:14">
      <c r="B1958" s="67">
        <v>1897</v>
      </c>
      <c r="C1958" s="67">
        <f t="shared" si="174"/>
        <v>682920</v>
      </c>
      <c r="D1958" s="67">
        <f t="shared" si="177"/>
        <v>5</v>
      </c>
      <c r="E1958" s="67">
        <f ca="1" t="shared" si="178"/>
        <v>1927</v>
      </c>
      <c r="F1958" s="67">
        <f ca="1" t="shared" si="175"/>
        <v>0</v>
      </c>
      <c r="G1958" s="67">
        <f ca="1" t="shared" si="176"/>
        <v>0</v>
      </c>
      <c r="H1958" s="67" cm="1">
        <f ca="1" t="array" ref="H1958">MIN(30-SUM(I1958:L1958),_xlfn.XLOOKUP($D1958&amp;"_"&amp;H$61,$B$23:$B$45&amp;"_"&amp;$C$23:$C$45,$D$23:$D$45)*$E1958,18)</f>
        <v>8.23124875048058</v>
      </c>
      <c r="I1958" s="67" cm="1">
        <f ca="1" t="array" ref="I1958">MIN(30-SUM(J1958:L1958),6-L1958,_xlfn.XLOOKUP($D1958&amp;"_"&amp;I$61,$B$23:$B$45&amp;"_"&amp;$C$23:$C$45,$D$23:$D$45)*$E1958)</f>
        <v>0</v>
      </c>
      <c r="J1958" s="67" cm="1">
        <f ca="1" t="array" ref="J1958">MIN(8,_xlfn.XLOOKUP($D1958&amp;"_"&amp;J$61,$B$23:$B$45&amp;"_"&amp;$C$23:$C$45,$D$23:$D$45)*$E1958)</f>
        <v>8</v>
      </c>
      <c r="K1958" s="67" cm="1">
        <f ca="1" t="array" ref="K1958">MIN(18,_xlfn.XLOOKUP($D1958&amp;"_"&amp;K$61,$B$23:$B$45&amp;"_"&amp;$C$23:$C$45,$D$23:$D$45)*$E1958)</f>
        <v>7.76875124951942</v>
      </c>
      <c r="L1958" s="67" cm="1">
        <f ca="1" t="array" ref="L1958">MIN(6,_xlfn.XLOOKUP($D1958&amp;"_"&amp;L$61,$B$23:$B$45&amp;"_"&amp;$C$23:$C$45,$D$23:$D$45)*$E1958)</f>
        <v>6</v>
      </c>
      <c r="M1958" s="67" cm="1">
        <f ca="1" t="array" ref="M1958">(1+SUMPRODUCT(G1958:H1958,OFFSET($H$49:$I$49,D1958,0)))*(1+OFFSET($J$49,D1958,0))^I1958*(1+OFFSET($K$49,D1958,0))^J1958*(1+OFFSET($L$49,D1958,0))^K1958*(1+OFFSET($M$49,D1958,0))^L1958</f>
        <v>531.869726078946</v>
      </c>
      <c r="N1958" s="67">
        <f ca="1">MAX(MAX($N$62:N1957),OFFSET($C$61,MATCH(M1958*1.07,$M$62:$M$2061,1),0)-C1958)</f>
        <v>56880</v>
      </c>
    </row>
    <row r="1959" spans="2:14">
      <c r="B1959" s="67">
        <v>1898</v>
      </c>
      <c r="C1959" s="67">
        <f t="shared" si="174"/>
        <v>683280</v>
      </c>
      <c r="D1959" s="67">
        <f t="shared" si="177"/>
        <v>5</v>
      </c>
      <c r="E1959" s="67">
        <f ca="1" t="shared" si="178"/>
        <v>1928</v>
      </c>
      <c r="F1959" s="67">
        <f ca="1" t="shared" si="175"/>
        <v>0</v>
      </c>
      <c r="G1959" s="67">
        <f ca="1" t="shared" si="176"/>
        <v>0</v>
      </c>
      <c r="H1959" s="67" cm="1">
        <f ca="1" t="array" ref="H1959">MIN(30-SUM(I1959:L1959),_xlfn.XLOOKUP($D1959&amp;"_"&amp;H$61,$B$23:$B$45&amp;"_"&amp;$C$23:$C$45,$D$23:$D$45)*$E1959,18)</f>
        <v>8.22721722414455</v>
      </c>
      <c r="I1959" s="67" cm="1">
        <f ca="1" t="array" ref="I1959">MIN(30-SUM(J1959:L1959),6-L1959,_xlfn.XLOOKUP($D1959&amp;"_"&amp;I$61,$B$23:$B$45&amp;"_"&amp;$C$23:$C$45,$D$23:$D$45)*$E1959)</f>
        <v>0</v>
      </c>
      <c r="J1959" s="67" cm="1">
        <f ca="1" t="array" ref="J1959">MIN(8,_xlfn.XLOOKUP($D1959&amp;"_"&amp;J$61,$B$23:$B$45&amp;"_"&amp;$C$23:$C$45,$D$23:$D$45)*$E1959)</f>
        <v>8</v>
      </c>
      <c r="K1959" s="67" cm="1">
        <f ca="1" t="array" ref="K1959">MIN(18,_xlfn.XLOOKUP($D1959&amp;"_"&amp;K$61,$B$23:$B$45&amp;"_"&amp;$C$23:$C$45,$D$23:$D$45)*$E1959)</f>
        <v>7.77278277585545</v>
      </c>
      <c r="L1959" s="67" cm="1">
        <f ca="1" t="array" ref="L1959">MIN(6,_xlfn.XLOOKUP($D1959&amp;"_"&amp;L$61,$B$23:$B$45&amp;"_"&amp;$C$23:$C$45,$D$23:$D$45)*$E1959)</f>
        <v>6</v>
      </c>
      <c r="M1959" s="67" cm="1">
        <f ca="1" t="array" ref="M1959">(1+SUMPRODUCT(G1959:H1959,OFFSET($H$49:$I$49,D1959,0)))*(1+OFFSET($J$49,D1959,0))^I1959*(1+OFFSET($K$49,D1959,0))^J1959*(1+OFFSET($L$49,D1959,0))^K1959*(1+OFFSET($M$49,D1959,0))^L1959</f>
        <v>532.09863375321</v>
      </c>
      <c r="N1959" s="67">
        <f ca="1">MAX(MAX($N$62:N1958),OFFSET($C$61,MATCH(M1959*1.07,$M$62:$M$2061,1),0)-C1959)</f>
        <v>56880</v>
      </c>
    </row>
    <row r="1960" spans="2:14">
      <c r="B1960" s="67">
        <v>1899</v>
      </c>
      <c r="C1960" s="67">
        <f t="shared" si="174"/>
        <v>683640</v>
      </c>
      <c r="D1960" s="67">
        <f t="shared" si="177"/>
        <v>5</v>
      </c>
      <c r="E1960" s="67">
        <f ca="1" t="shared" si="178"/>
        <v>1929</v>
      </c>
      <c r="F1960" s="67">
        <f ca="1" t="shared" si="175"/>
        <v>0</v>
      </c>
      <c r="G1960" s="67">
        <f ca="1" t="shared" si="176"/>
        <v>0</v>
      </c>
      <c r="H1960" s="67" cm="1">
        <f ca="1" t="array" ref="H1960">MIN(30-SUM(I1960:L1960),_xlfn.XLOOKUP($D1960&amp;"_"&amp;H$61,$B$23:$B$45&amp;"_"&amp;$C$23:$C$45,$D$23:$D$45)*$E1960,18)</f>
        <v>8.22318569780853</v>
      </c>
      <c r="I1960" s="67" cm="1">
        <f ca="1" t="array" ref="I1960">MIN(30-SUM(J1960:L1960),6-L1960,_xlfn.XLOOKUP($D1960&amp;"_"&amp;I$61,$B$23:$B$45&amp;"_"&amp;$C$23:$C$45,$D$23:$D$45)*$E1960)</f>
        <v>0</v>
      </c>
      <c r="J1960" s="67" cm="1">
        <f ca="1" t="array" ref="J1960">MIN(8,_xlfn.XLOOKUP($D1960&amp;"_"&amp;J$61,$B$23:$B$45&amp;"_"&amp;$C$23:$C$45,$D$23:$D$45)*$E1960)</f>
        <v>8</v>
      </c>
      <c r="K1960" s="67" cm="1">
        <f ca="1" t="array" ref="K1960">MIN(18,_xlfn.XLOOKUP($D1960&amp;"_"&amp;K$61,$B$23:$B$45&amp;"_"&amp;$C$23:$C$45,$D$23:$D$45)*$E1960)</f>
        <v>7.77681430219147</v>
      </c>
      <c r="L1960" s="67" cm="1">
        <f ca="1" t="array" ref="L1960">MIN(6,_xlfn.XLOOKUP($D1960&amp;"_"&amp;L$61,$B$23:$B$45&amp;"_"&amp;$C$23:$C$45,$D$23:$D$45)*$E1960)</f>
        <v>6</v>
      </c>
      <c r="M1960" s="67" cm="1">
        <f ca="1" t="array" ref="M1960">(1+SUMPRODUCT(G1960:H1960,OFFSET($H$49:$I$49,D1960,0)))*(1+OFFSET($J$49,D1960,0))^I1960*(1+OFFSET($K$49,D1960,0))^J1960*(1+OFFSET($L$49,D1960,0))^K1960*(1+OFFSET($M$49,D1960,0))^L1960</f>
        <v>532.327590493759</v>
      </c>
      <c r="N1960" s="67">
        <f ca="1">MAX(MAX($N$62:N1959),OFFSET($C$61,MATCH(M1960*1.07,$M$62:$M$2061,1),0)-C1960)</f>
        <v>56880</v>
      </c>
    </row>
    <row r="1961" spans="2:14">
      <c r="B1961" s="67">
        <v>1900</v>
      </c>
      <c r="C1961" s="67">
        <f t="shared" si="174"/>
        <v>684000</v>
      </c>
      <c r="D1961" s="67">
        <f t="shared" si="177"/>
        <v>5</v>
      </c>
      <c r="E1961" s="67">
        <f ca="1" t="shared" si="178"/>
        <v>1930</v>
      </c>
      <c r="F1961" s="67">
        <f ca="1" t="shared" si="175"/>
        <v>0</v>
      </c>
      <c r="G1961" s="67">
        <f ca="1" t="shared" si="176"/>
        <v>0</v>
      </c>
      <c r="H1961" s="67" cm="1">
        <f ca="1" t="array" ref="H1961">MIN(30-SUM(I1961:L1961),_xlfn.XLOOKUP($D1961&amp;"_"&amp;H$61,$B$23:$B$45&amp;"_"&amp;$C$23:$C$45,$D$23:$D$45)*$E1961,18)</f>
        <v>8.2191541714725</v>
      </c>
      <c r="I1961" s="67" cm="1">
        <f ca="1" t="array" ref="I1961">MIN(30-SUM(J1961:L1961),6-L1961,_xlfn.XLOOKUP($D1961&amp;"_"&amp;I$61,$B$23:$B$45&amp;"_"&amp;$C$23:$C$45,$D$23:$D$45)*$E1961)</f>
        <v>0</v>
      </c>
      <c r="J1961" s="67" cm="1">
        <f ca="1" t="array" ref="J1961">MIN(8,_xlfn.XLOOKUP($D1961&amp;"_"&amp;J$61,$B$23:$B$45&amp;"_"&amp;$C$23:$C$45,$D$23:$D$45)*$E1961)</f>
        <v>8</v>
      </c>
      <c r="K1961" s="67" cm="1">
        <f ca="1" t="array" ref="K1961">MIN(18,_xlfn.XLOOKUP($D1961&amp;"_"&amp;K$61,$B$23:$B$45&amp;"_"&amp;$C$23:$C$45,$D$23:$D$45)*$E1961)</f>
        <v>7.7808458285275</v>
      </c>
      <c r="L1961" s="67" cm="1">
        <f ca="1" t="array" ref="L1961">MIN(6,_xlfn.XLOOKUP($D1961&amp;"_"&amp;L$61,$B$23:$B$45&amp;"_"&amp;$C$23:$C$45,$D$23:$D$45)*$E1961)</f>
        <v>6</v>
      </c>
      <c r="M1961" s="67" cm="1">
        <f ca="1" t="array" ref="M1961">(1+SUMPRODUCT(G1961:H1961,OFFSET($H$49:$I$49,D1961,0)))*(1+OFFSET($J$49,D1961,0))^I1961*(1+OFFSET($K$49,D1961,0))^J1961*(1+OFFSET($L$49,D1961,0))^K1961*(1+OFFSET($M$49,D1961,0))^L1961</f>
        <v>532.556596248988</v>
      </c>
      <c r="N1961" s="67">
        <f ca="1">MAX(MAX($N$62:N1960),OFFSET($C$61,MATCH(M1961*1.07,$M$62:$M$2061,1),0)-C1961)</f>
        <v>56880</v>
      </c>
    </row>
    <row r="1962" spans="2:14">
      <c r="B1962" s="67">
        <v>1901</v>
      </c>
      <c r="C1962" s="67">
        <f t="shared" si="174"/>
        <v>684360</v>
      </c>
      <c r="D1962" s="67">
        <f t="shared" si="177"/>
        <v>5</v>
      </c>
      <c r="E1962" s="67">
        <f ca="1" t="shared" si="178"/>
        <v>1931</v>
      </c>
      <c r="F1962" s="67">
        <f ca="1" t="shared" si="175"/>
        <v>0</v>
      </c>
      <c r="G1962" s="67">
        <f ca="1" t="shared" si="176"/>
        <v>0</v>
      </c>
      <c r="H1962" s="67" cm="1">
        <f ca="1" t="array" ref="H1962">MIN(30-SUM(I1962:L1962),_xlfn.XLOOKUP($D1962&amp;"_"&amp;H$61,$B$23:$B$45&amp;"_"&amp;$C$23:$C$45,$D$23:$D$45)*$E1962,18)</f>
        <v>8.21512264513648</v>
      </c>
      <c r="I1962" s="67" cm="1">
        <f ca="1" t="array" ref="I1962">MIN(30-SUM(J1962:L1962),6-L1962,_xlfn.XLOOKUP($D1962&amp;"_"&amp;I$61,$B$23:$B$45&amp;"_"&amp;$C$23:$C$45,$D$23:$D$45)*$E1962)</f>
        <v>0</v>
      </c>
      <c r="J1962" s="67" cm="1">
        <f ca="1" t="array" ref="J1962">MIN(8,_xlfn.XLOOKUP($D1962&amp;"_"&amp;J$61,$B$23:$B$45&amp;"_"&amp;$C$23:$C$45,$D$23:$D$45)*$E1962)</f>
        <v>8</v>
      </c>
      <c r="K1962" s="67" cm="1">
        <f ca="1" t="array" ref="K1962">MIN(18,_xlfn.XLOOKUP($D1962&amp;"_"&amp;K$61,$B$23:$B$45&amp;"_"&amp;$C$23:$C$45,$D$23:$D$45)*$E1962)</f>
        <v>7.78487735486352</v>
      </c>
      <c r="L1962" s="67" cm="1">
        <f ca="1" t="array" ref="L1962">MIN(6,_xlfn.XLOOKUP($D1962&amp;"_"&amp;L$61,$B$23:$B$45&amp;"_"&amp;$C$23:$C$45,$D$23:$D$45)*$E1962)</f>
        <v>6</v>
      </c>
      <c r="M1962" s="67" cm="1">
        <f ca="1" t="array" ref="M1962">(1+SUMPRODUCT(G1962:H1962,OFFSET($H$49:$I$49,D1962,0)))*(1+OFFSET($J$49,D1962,0))^I1962*(1+OFFSET($K$49,D1962,0))^J1962*(1+OFFSET($L$49,D1962,0))^K1962*(1+OFFSET($M$49,D1962,0))^L1962</f>
        <v>532.785650967186</v>
      </c>
      <c r="N1962" s="67">
        <f ca="1">MAX(MAX($N$62:N1961),OFFSET($C$61,MATCH(M1962*1.07,$M$62:$M$2061,1),0)-C1962)</f>
        <v>56880</v>
      </c>
    </row>
    <row r="1963" spans="2:14">
      <c r="B1963" s="67">
        <v>1902</v>
      </c>
      <c r="C1963" s="67">
        <f t="shared" si="174"/>
        <v>684720</v>
      </c>
      <c r="D1963" s="67">
        <f t="shared" si="177"/>
        <v>5</v>
      </c>
      <c r="E1963" s="67">
        <f ca="1" t="shared" si="178"/>
        <v>1932</v>
      </c>
      <c r="F1963" s="67">
        <f ca="1" t="shared" si="175"/>
        <v>0</v>
      </c>
      <c r="G1963" s="67">
        <f ca="1" t="shared" si="176"/>
        <v>0</v>
      </c>
      <c r="H1963" s="67" cm="1">
        <f ca="1" t="array" ref="H1963">MIN(30-SUM(I1963:L1963),_xlfn.XLOOKUP($D1963&amp;"_"&amp;H$61,$B$23:$B$45&amp;"_"&amp;$C$23:$C$45,$D$23:$D$45)*$E1963,18)</f>
        <v>8.21109111880045</v>
      </c>
      <c r="I1963" s="67" cm="1">
        <f ca="1" t="array" ref="I1963">MIN(30-SUM(J1963:L1963),6-L1963,_xlfn.XLOOKUP($D1963&amp;"_"&amp;I$61,$B$23:$B$45&amp;"_"&amp;$C$23:$C$45,$D$23:$D$45)*$E1963)</f>
        <v>0</v>
      </c>
      <c r="J1963" s="67" cm="1">
        <f ca="1" t="array" ref="J1963">MIN(8,_xlfn.XLOOKUP($D1963&amp;"_"&amp;J$61,$B$23:$B$45&amp;"_"&amp;$C$23:$C$45,$D$23:$D$45)*$E1963)</f>
        <v>8</v>
      </c>
      <c r="K1963" s="67" cm="1">
        <f ca="1" t="array" ref="K1963">MIN(18,_xlfn.XLOOKUP($D1963&amp;"_"&amp;K$61,$B$23:$B$45&amp;"_"&amp;$C$23:$C$45,$D$23:$D$45)*$E1963)</f>
        <v>7.78890888119955</v>
      </c>
      <c r="L1963" s="67" cm="1">
        <f ca="1" t="array" ref="L1963">MIN(6,_xlfn.XLOOKUP($D1963&amp;"_"&amp;L$61,$B$23:$B$45&amp;"_"&amp;$C$23:$C$45,$D$23:$D$45)*$E1963)</f>
        <v>6</v>
      </c>
      <c r="M1963" s="67" cm="1">
        <f ca="1" t="array" ref="M1963">(1+SUMPRODUCT(G1963:H1963,OFFSET($H$49:$I$49,D1963,0)))*(1+OFFSET($J$49,D1963,0))^I1963*(1+OFFSET($K$49,D1963,0))^J1963*(1+OFFSET($L$49,D1963,0))^K1963*(1+OFFSET($M$49,D1963,0))^L1963</f>
        <v>533.014754596543</v>
      </c>
      <c r="N1963" s="67">
        <f ca="1">MAX(MAX($N$62:N1962),OFFSET($C$61,MATCH(M1963*1.07,$M$62:$M$2061,1),0)-C1963)</f>
        <v>56880</v>
      </c>
    </row>
    <row r="1964" spans="2:14">
      <c r="B1964" s="67">
        <v>1903</v>
      </c>
      <c r="C1964" s="67">
        <f t="shared" si="174"/>
        <v>685080</v>
      </c>
      <c r="D1964" s="67">
        <f t="shared" si="177"/>
        <v>5</v>
      </c>
      <c r="E1964" s="67">
        <f ca="1" t="shared" si="178"/>
        <v>1933</v>
      </c>
      <c r="F1964" s="67">
        <f ca="1" t="shared" si="175"/>
        <v>0</v>
      </c>
      <c r="G1964" s="67">
        <f ca="1" t="shared" si="176"/>
        <v>0</v>
      </c>
      <c r="H1964" s="67" cm="1">
        <f ca="1" t="array" ref="H1964">MIN(30-SUM(I1964:L1964),_xlfn.XLOOKUP($D1964&amp;"_"&amp;H$61,$B$23:$B$45&amp;"_"&amp;$C$23:$C$45,$D$23:$D$45)*$E1964,18)</f>
        <v>8.20705959246443</v>
      </c>
      <c r="I1964" s="67" cm="1">
        <f ca="1" t="array" ref="I1964">MIN(30-SUM(J1964:L1964),6-L1964,_xlfn.XLOOKUP($D1964&amp;"_"&amp;I$61,$B$23:$B$45&amp;"_"&amp;$C$23:$C$45,$D$23:$D$45)*$E1964)</f>
        <v>0</v>
      </c>
      <c r="J1964" s="67" cm="1">
        <f ca="1" t="array" ref="J1964">MIN(8,_xlfn.XLOOKUP($D1964&amp;"_"&amp;J$61,$B$23:$B$45&amp;"_"&amp;$C$23:$C$45,$D$23:$D$45)*$E1964)</f>
        <v>8</v>
      </c>
      <c r="K1964" s="67" cm="1">
        <f ca="1" t="array" ref="K1964">MIN(18,_xlfn.XLOOKUP($D1964&amp;"_"&amp;K$61,$B$23:$B$45&amp;"_"&amp;$C$23:$C$45,$D$23:$D$45)*$E1964)</f>
        <v>7.79294040753557</v>
      </c>
      <c r="L1964" s="67" cm="1">
        <f ca="1" t="array" ref="L1964">MIN(6,_xlfn.XLOOKUP($D1964&amp;"_"&amp;L$61,$B$23:$B$45&amp;"_"&amp;$C$23:$C$45,$D$23:$D$45)*$E1964)</f>
        <v>6</v>
      </c>
      <c r="M1964" s="67" cm="1">
        <f ca="1" t="array" ref="M1964">(1+SUMPRODUCT(G1964:H1964,OFFSET($H$49:$I$49,D1964,0)))*(1+OFFSET($J$49,D1964,0))^I1964*(1+OFFSET($K$49,D1964,0))^J1964*(1+OFFSET($L$49,D1964,0))^K1964*(1+OFFSET($M$49,D1964,0))^L1964</f>
        <v>533.243907085142</v>
      </c>
      <c r="N1964" s="67">
        <f ca="1">MAX(MAX($N$62:N1963),OFFSET($C$61,MATCH(M1964*1.07,$M$62:$M$2061,1),0)-C1964)</f>
        <v>56880</v>
      </c>
    </row>
    <row r="1965" spans="2:14">
      <c r="B1965" s="67">
        <v>1904</v>
      </c>
      <c r="C1965" s="67">
        <f t="shared" si="174"/>
        <v>685440</v>
      </c>
      <c r="D1965" s="67">
        <f t="shared" si="177"/>
        <v>5</v>
      </c>
      <c r="E1965" s="67">
        <f ca="1" t="shared" si="178"/>
        <v>1934</v>
      </c>
      <c r="F1965" s="67">
        <f ca="1" t="shared" si="175"/>
        <v>0</v>
      </c>
      <c r="G1965" s="67">
        <f ca="1" t="shared" si="176"/>
        <v>0</v>
      </c>
      <c r="H1965" s="67" cm="1">
        <f ca="1" t="array" ref="H1965">MIN(30-SUM(I1965:L1965),_xlfn.XLOOKUP($D1965&amp;"_"&amp;H$61,$B$23:$B$45&amp;"_"&amp;$C$23:$C$45,$D$23:$D$45)*$E1965,18)</f>
        <v>8.2030280661284</v>
      </c>
      <c r="I1965" s="67" cm="1">
        <f ca="1" t="array" ref="I1965">MIN(30-SUM(J1965:L1965),6-L1965,_xlfn.XLOOKUP($D1965&amp;"_"&amp;I$61,$B$23:$B$45&amp;"_"&amp;$C$23:$C$45,$D$23:$D$45)*$E1965)</f>
        <v>0</v>
      </c>
      <c r="J1965" s="67" cm="1">
        <f ca="1" t="array" ref="J1965">MIN(8,_xlfn.XLOOKUP($D1965&amp;"_"&amp;J$61,$B$23:$B$45&amp;"_"&amp;$C$23:$C$45,$D$23:$D$45)*$E1965)</f>
        <v>8</v>
      </c>
      <c r="K1965" s="67" cm="1">
        <f ca="1" t="array" ref="K1965">MIN(18,_xlfn.XLOOKUP($D1965&amp;"_"&amp;K$61,$B$23:$B$45&amp;"_"&amp;$C$23:$C$45,$D$23:$D$45)*$E1965)</f>
        <v>7.7969719338716</v>
      </c>
      <c r="L1965" s="67" cm="1">
        <f ca="1" t="array" ref="L1965">MIN(6,_xlfn.XLOOKUP($D1965&amp;"_"&amp;L$61,$B$23:$B$45&amp;"_"&amp;$C$23:$C$45,$D$23:$D$45)*$E1965)</f>
        <v>6</v>
      </c>
      <c r="M1965" s="67" cm="1">
        <f ca="1" t="array" ref="M1965">(1+SUMPRODUCT(G1965:H1965,OFFSET($H$49:$I$49,D1965,0)))*(1+OFFSET($J$49,D1965,0))^I1965*(1+OFFSET($K$49,D1965,0))^J1965*(1+OFFSET($L$49,D1965,0))^K1965*(1+OFFSET($M$49,D1965,0))^L1965</f>
        <v>533.473108380969</v>
      </c>
      <c r="N1965" s="67">
        <f ca="1">MAX(MAX($N$62:N1964),OFFSET($C$61,MATCH(M1965*1.07,$M$62:$M$2061,1),0)-C1965)</f>
        <v>56880</v>
      </c>
    </row>
    <row r="1966" spans="2:14">
      <c r="B1966" s="67">
        <v>1905</v>
      </c>
      <c r="C1966" s="67">
        <f t="shared" ref="C1966:C2029" si="179">C1965+360</f>
        <v>685800</v>
      </c>
      <c r="D1966" s="67">
        <f t="shared" si="177"/>
        <v>5</v>
      </c>
      <c r="E1966" s="67">
        <f ca="1" t="shared" si="178"/>
        <v>1935</v>
      </c>
      <c r="F1966" s="67">
        <f ca="1" t="shared" ref="F1966:F2029" si="180">30-SUM(G1966:L1966)</f>
        <v>0</v>
      </c>
      <c r="G1966" s="67">
        <f ca="1" t="shared" ref="G1966:G2029" si="181">30-SUM(H1966:L1966)</f>
        <v>0</v>
      </c>
      <c r="H1966" s="67" cm="1">
        <f ca="1" t="array" ref="H1966">MIN(30-SUM(I1966:L1966),_xlfn.XLOOKUP($D1966&amp;"_"&amp;H$61,$B$23:$B$45&amp;"_"&amp;$C$23:$C$45,$D$23:$D$45)*$E1966,18)</f>
        <v>8.19899653979238</v>
      </c>
      <c r="I1966" s="67" cm="1">
        <f ca="1" t="array" ref="I1966">MIN(30-SUM(J1966:L1966),6-L1966,_xlfn.XLOOKUP($D1966&amp;"_"&amp;I$61,$B$23:$B$45&amp;"_"&amp;$C$23:$C$45,$D$23:$D$45)*$E1966)</f>
        <v>0</v>
      </c>
      <c r="J1966" s="67" cm="1">
        <f ca="1" t="array" ref="J1966">MIN(8,_xlfn.XLOOKUP($D1966&amp;"_"&amp;J$61,$B$23:$B$45&amp;"_"&amp;$C$23:$C$45,$D$23:$D$45)*$E1966)</f>
        <v>8</v>
      </c>
      <c r="K1966" s="67" cm="1">
        <f ca="1" t="array" ref="K1966">MIN(18,_xlfn.XLOOKUP($D1966&amp;"_"&amp;K$61,$B$23:$B$45&amp;"_"&amp;$C$23:$C$45,$D$23:$D$45)*$E1966)</f>
        <v>7.80100346020762</v>
      </c>
      <c r="L1966" s="67" cm="1">
        <f ca="1" t="array" ref="L1966">MIN(6,_xlfn.XLOOKUP($D1966&amp;"_"&amp;L$61,$B$23:$B$45&amp;"_"&amp;$C$23:$C$45,$D$23:$D$45)*$E1966)</f>
        <v>6</v>
      </c>
      <c r="M1966" s="67" cm="1">
        <f ca="1" t="array" ref="M1966">(1+SUMPRODUCT(G1966:H1966,OFFSET($H$49:$I$49,D1966,0)))*(1+OFFSET($J$49,D1966,0))^I1966*(1+OFFSET($K$49,D1966,0))^J1966*(1+OFFSET($L$49,D1966,0))^K1966*(1+OFFSET($M$49,D1966,0))^L1966</f>
        <v>533.702358431902</v>
      </c>
      <c r="N1966" s="67">
        <f ca="1">MAX(MAX($N$62:N1965),OFFSET($C$61,MATCH(M1966*1.07,$M$62:$M$2061,1),0)-C1966)</f>
        <v>56880</v>
      </c>
    </row>
    <row r="1967" spans="2:14">
      <c r="B1967" s="67">
        <v>1906</v>
      </c>
      <c r="C1967" s="67">
        <f t="shared" si="179"/>
        <v>686160</v>
      </c>
      <c r="D1967" s="67">
        <f t="shared" si="177"/>
        <v>5</v>
      </c>
      <c r="E1967" s="67">
        <f ca="1" t="shared" si="178"/>
        <v>1936</v>
      </c>
      <c r="F1967" s="67">
        <f ca="1" t="shared" si="180"/>
        <v>0</v>
      </c>
      <c r="G1967" s="67">
        <f ca="1" t="shared" si="181"/>
        <v>0</v>
      </c>
      <c r="H1967" s="67" cm="1">
        <f ca="1" t="array" ref="H1967">MIN(30-SUM(I1967:L1967),_xlfn.XLOOKUP($D1967&amp;"_"&amp;H$61,$B$23:$B$45&amp;"_"&amp;$C$23:$C$45,$D$23:$D$45)*$E1967,18)</f>
        <v>8.19496501345635</v>
      </c>
      <c r="I1967" s="67" cm="1">
        <f ca="1" t="array" ref="I1967">MIN(30-SUM(J1967:L1967),6-L1967,_xlfn.XLOOKUP($D1967&amp;"_"&amp;I$61,$B$23:$B$45&amp;"_"&amp;$C$23:$C$45,$D$23:$D$45)*$E1967)</f>
        <v>0</v>
      </c>
      <c r="J1967" s="67" cm="1">
        <f ca="1" t="array" ref="J1967">MIN(8,_xlfn.XLOOKUP($D1967&amp;"_"&amp;J$61,$B$23:$B$45&amp;"_"&amp;$C$23:$C$45,$D$23:$D$45)*$E1967)</f>
        <v>8</v>
      </c>
      <c r="K1967" s="67" cm="1">
        <f ca="1" t="array" ref="K1967">MIN(18,_xlfn.XLOOKUP($D1967&amp;"_"&amp;K$61,$B$23:$B$45&amp;"_"&amp;$C$23:$C$45,$D$23:$D$45)*$E1967)</f>
        <v>7.80503498654364</v>
      </c>
      <c r="L1967" s="67" cm="1">
        <f ca="1" t="array" ref="L1967">MIN(6,_xlfn.XLOOKUP($D1967&amp;"_"&amp;L$61,$B$23:$B$45&amp;"_"&amp;$C$23:$C$45,$D$23:$D$45)*$E1967)</f>
        <v>6</v>
      </c>
      <c r="M1967" s="67" cm="1">
        <f ca="1" t="array" ref="M1967">(1+SUMPRODUCT(G1967:H1967,OFFSET($H$49:$I$49,D1967,0)))*(1+OFFSET($J$49,D1967,0))^I1967*(1+OFFSET($K$49,D1967,0))^J1967*(1+OFFSET($L$49,D1967,0))^K1967*(1+OFFSET($M$49,D1967,0))^L1967</f>
        <v>533.931657185719</v>
      </c>
      <c r="N1967" s="67">
        <f ca="1">MAX(MAX($N$62:N1966),OFFSET($C$61,MATCH(M1967*1.07,$M$62:$M$2061,1),0)-C1967)</f>
        <v>56880</v>
      </c>
    </row>
    <row r="1968" spans="2:14">
      <c r="B1968" s="67">
        <v>1907</v>
      </c>
      <c r="C1968" s="67">
        <f t="shared" si="179"/>
        <v>686520</v>
      </c>
      <c r="D1968" s="67">
        <f t="shared" si="177"/>
        <v>5</v>
      </c>
      <c r="E1968" s="67">
        <f ca="1" t="shared" si="178"/>
        <v>1937</v>
      </c>
      <c r="F1968" s="67">
        <f ca="1" t="shared" si="180"/>
        <v>0</v>
      </c>
      <c r="G1968" s="67">
        <f ca="1" t="shared" si="181"/>
        <v>0</v>
      </c>
      <c r="H1968" s="67" cm="1">
        <f ca="1" t="array" ref="H1968">MIN(30-SUM(I1968:L1968),_xlfn.XLOOKUP($D1968&amp;"_"&amp;H$61,$B$23:$B$45&amp;"_"&amp;$C$23:$C$45,$D$23:$D$45)*$E1968,18)</f>
        <v>8.19093348712033</v>
      </c>
      <c r="I1968" s="67" cm="1">
        <f ca="1" t="array" ref="I1968">MIN(30-SUM(J1968:L1968),6-L1968,_xlfn.XLOOKUP($D1968&amp;"_"&amp;I$61,$B$23:$B$45&amp;"_"&amp;$C$23:$C$45,$D$23:$D$45)*$E1968)</f>
        <v>0</v>
      </c>
      <c r="J1968" s="67" cm="1">
        <f ca="1" t="array" ref="J1968">MIN(8,_xlfn.XLOOKUP($D1968&amp;"_"&amp;J$61,$B$23:$B$45&amp;"_"&amp;$C$23:$C$45,$D$23:$D$45)*$E1968)</f>
        <v>8</v>
      </c>
      <c r="K1968" s="67" cm="1">
        <f ca="1" t="array" ref="K1968">MIN(18,_xlfn.XLOOKUP($D1968&amp;"_"&amp;K$61,$B$23:$B$45&amp;"_"&amp;$C$23:$C$45,$D$23:$D$45)*$E1968)</f>
        <v>7.80906651287967</v>
      </c>
      <c r="L1968" s="67" cm="1">
        <f ca="1" t="array" ref="L1968">MIN(6,_xlfn.XLOOKUP($D1968&amp;"_"&amp;L$61,$B$23:$B$45&amp;"_"&amp;$C$23:$C$45,$D$23:$D$45)*$E1968)</f>
        <v>6</v>
      </c>
      <c r="M1968" s="67" cm="1">
        <f ca="1" t="array" ref="M1968">(1+SUMPRODUCT(G1968:H1968,OFFSET($H$49:$I$49,D1968,0)))*(1+OFFSET($J$49,D1968,0))^I1968*(1+OFFSET($K$49,D1968,0))^J1968*(1+OFFSET($L$49,D1968,0))^K1968*(1+OFFSET($M$49,D1968,0))^L1968</f>
        <v>534.161004590092</v>
      </c>
      <c r="N1968" s="67">
        <f ca="1">MAX(MAX($N$62:N1967),OFFSET($C$61,MATCH(M1968*1.07,$M$62:$M$2061,1),0)-C1968)</f>
        <v>56880</v>
      </c>
    </row>
    <row r="1969" spans="2:14">
      <c r="B1969" s="67">
        <v>1908</v>
      </c>
      <c r="C1969" s="67">
        <f t="shared" si="179"/>
        <v>686880</v>
      </c>
      <c r="D1969" s="67">
        <f t="shared" si="177"/>
        <v>5</v>
      </c>
      <c r="E1969" s="67">
        <f ca="1" t="shared" si="178"/>
        <v>1938</v>
      </c>
      <c r="F1969" s="67">
        <f ca="1" t="shared" si="180"/>
        <v>0</v>
      </c>
      <c r="G1969" s="67">
        <f ca="1" t="shared" si="181"/>
        <v>0</v>
      </c>
      <c r="H1969" s="67" cm="1">
        <f ca="1" t="array" ref="H1969">MIN(30-SUM(I1969:L1969),_xlfn.XLOOKUP($D1969&amp;"_"&amp;H$61,$B$23:$B$45&amp;"_"&amp;$C$23:$C$45,$D$23:$D$45)*$E1969,18)</f>
        <v>8.1869019607843</v>
      </c>
      <c r="I1969" s="67" cm="1">
        <f ca="1" t="array" ref="I1969">MIN(30-SUM(J1969:L1969),6-L1969,_xlfn.XLOOKUP($D1969&amp;"_"&amp;I$61,$B$23:$B$45&amp;"_"&amp;$C$23:$C$45,$D$23:$D$45)*$E1969)</f>
        <v>0</v>
      </c>
      <c r="J1969" s="67" cm="1">
        <f ca="1" t="array" ref="J1969">MIN(8,_xlfn.XLOOKUP($D1969&amp;"_"&amp;J$61,$B$23:$B$45&amp;"_"&amp;$C$23:$C$45,$D$23:$D$45)*$E1969)</f>
        <v>8</v>
      </c>
      <c r="K1969" s="67" cm="1">
        <f ca="1" t="array" ref="K1969">MIN(18,_xlfn.XLOOKUP($D1969&amp;"_"&amp;K$61,$B$23:$B$45&amp;"_"&amp;$C$23:$C$45,$D$23:$D$45)*$E1969)</f>
        <v>7.81309803921569</v>
      </c>
      <c r="L1969" s="67" cm="1">
        <f ca="1" t="array" ref="L1969">MIN(6,_xlfn.XLOOKUP($D1969&amp;"_"&amp;L$61,$B$23:$B$45&amp;"_"&amp;$C$23:$C$45,$D$23:$D$45)*$E1969)</f>
        <v>6</v>
      </c>
      <c r="M1969" s="67" cm="1">
        <f ca="1" t="array" ref="M1969">(1+SUMPRODUCT(G1969:H1969,OFFSET($H$49:$I$49,D1969,0)))*(1+OFFSET($J$49,D1969,0))^I1969*(1+OFFSET($K$49,D1969,0))^J1969*(1+OFFSET($L$49,D1969,0))^K1969*(1+OFFSET($M$49,D1969,0))^L1969</f>
        <v>534.390400592593</v>
      </c>
      <c r="N1969" s="67">
        <f ca="1">MAX(MAX($N$62:N1968),OFFSET($C$61,MATCH(M1969*1.07,$M$62:$M$2061,1),0)-C1969)</f>
        <v>56880</v>
      </c>
    </row>
    <row r="1970" spans="2:14">
      <c r="B1970" s="67">
        <v>1909</v>
      </c>
      <c r="C1970" s="67">
        <f t="shared" si="179"/>
        <v>687240</v>
      </c>
      <c r="D1970" s="67">
        <f t="shared" si="177"/>
        <v>5</v>
      </c>
      <c r="E1970" s="67">
        <f ca="1" t="shared" si="178"/>
        <v>1939</v>
      </c>
      <c r="F1970" s="67">
        <f ca="1" t="shared" si="180"/>
        <v>0</v>
      </c>
      <c r="G1970" s="67">
        <f ca="1" t="shared" si="181"/>
        <v>0</v>
      </c>
      <c r="H1970" s="67" cm="1">
        <f ca="1" t="array" ref="H1970">MIN(30-SUM(I1970:L1970),_xlfn.XLOOKUP($D1970&amp;"_"&amp;H$61,$B$23:$B$45&amp;"_"&amp;$C$23:$C$45,$D$23:$D$45)*$E1970,18)</f>
        <v>8.18287043444828</v>
      </c>
      <c r="I1970" s="67" cm="1">
        <f ca="1" t="array" ref="I1970">MIN(30-SUM(J1970:L1970),6-L1970,_xlfn.XLOOKUP($D1970&amp;"_"&amp;I$61,$B$23:$B$45&amp;"_"&amp;$C$23:$C$45,$D$23:$D$45)*$E1970)</f>
        <v>0</v>
      </c>
      <c r="J1970" s="67" cm="1">
        <f ca="1" t="array" ref="J1970">MIN(8,_xlfn.XLOOKUP($D1970&amp;"_"&amp;J$61,$B$23:$B$45&amp;"_"&amp;$C$23:$C$45,$D$23:$D$45)*$E1970)</f>
        <v>8</v>
      </c>
      <c r="K1970" s="67" cm="1">
        <f ca="1" t="array" ref="K1970">MIN(18,_xlfn.XLOOKUP($D1970&amp;"_"&amp;K$61,$B$23:$B$45&amp;"_"&amp;$C$23:$C$45,$D$23:$D$45)*$E1970)</f>
        <v>7.81712956555172</v>
      </c>
      <c r="L1970" s="67" cm="1">
        <f ca="1" t="array" ref="L1970">MIN(6,_xlfn.XLOOKUP($D1970&amp;"_"&amp;L$61,$B$23:$B$45&amp;"_"&amp;$C$23:$C$45,$D$23:$D$45)*$E1970)</f>
        <v>6</v>
      </c>
      <c r="M1970" s="67" cm="1">
        <f ca="1" t="array" ref="M1970">(1+SUMPRODUCT(G1970:H1970,OFFSET($H$49:$I$49,D1970,0)))*(1+OFFSET($J$49,D1970,0))^I1970*(1+OFFSET($K$49,D1970,0))^J1970*(1+OFFSET($L$49,D1970,0))^K1970*(1+OFFSET($M$49,D1970,0))^L1970</f>
        <v>534.619845140688</v>
      </c>
      <c r="N1970" s="67">
        <f ca="1">MAX(MAX($N$62:N1969),OFFSET($C$61,MATCH(M1970*1.07,$M$62:$M$2061,1),0)-C1970)</f>
        <v>56880</v>
      </c>
    </row>
    <row r="1971" spans="2:14">
      <c r="B1971" s="67">
        <v>1910</v>
      </c>
      <c r="C1971" s="67">
        <f t="shared" si="179"/>
        <v>687600</v>
      </c>
      <c r="D1971" s="67">
        <f t="shared" si="177"/>
        <v>5</v>
      </c>
      <c r="E1971" s="67">
        <f ca="1" t="shared" si="178"/>
        <v>1940</v>
      </c>
      <c r="F1971" s="67">
        <f ca="1" t="shared" si="180"/>
        <v>0</v>
      </c>
      <c r="G1971" s="67">
        <f ca="1" t="shared" si="181"/>
        <v>0</v>
      </c>
      <c r="H1971" s="67" cm="1">
        <f ca="1" t="array" ref="H1971">MIN(30-SUM(I1971:L1971),_xlfn.XLOOKUP($D1971&amp;"_"&amp;H$61,$B$23:$B$45&amp;"_"&amp;$C$23:$C$45,$D$23:$D$45)*$E1971,18)</f>
        <v>8.17883890811226</v>
      </c>
      <c r="I1971" s="67" cm="1">
        <f ca="1" t="array" ref="I1971">MIN(30-SUM(J1971:L1971),6-L1971,_xlfn.XLOOKUP($D1971&amp;"_"&amp;I$61,$B$23:$B$45&amp;"_"&amp;$C$23:$C$45,$D$23:$D$45)*$E1971)</f>
        <v>0</v>
      </c>
      <c r="J1971" s="67" cm="1">
        <f ca="1" t="array" ref="J1971">MIN(8,_xlfn.XLOOKUP($D1971&amp;"_"&amp;J$61,$B$23:$B$45&amp;"_"&amp;$C$23:$C$45,$D$23:$D$45)*$E1971)</f>
        <v>8</v>
      </c>
      <c r="K1971" s="67" cm="1">
        <f ca="1" t="array" ref="K1971">MIN(18,_xlfn.XLOOKUP($D1971&amp;"_"&amp;K$61,$B$23:$B$45&amp;"_"&amp;$C$23:$C$45,$D$23:$D$45)*$E1971)</f>
        <v>7.82116109188774</v>
      </c>
      <c r="L1971" s="67" cm="1">
        <f ca="1" t="array" ref="L1971">MIN(6,_xlfn.XLOOKUP($D1971&amp;"_"&amp;L$61,$B$23:$B$45&amp;"_"&amp;$C$23:$C$45,$D$23:$D$45)*$E1971)</f>
        <v>6</v>
      </c>
      <c r="M1971" s="67" cm="1">
        <f ca="1" t="array" ref="M1971">(1+SUMPRODUCT(G1971:H1971,OFFSET($H$49:$I$49,D1971,0)))*(1+OFFSET($J$49,D1971,0))^I1971*(1+OFFSET($K$49,D1971,0))^J1971*(1+OFFSET($L$49,D1971,0))^K1971*(1+OFFSET($M$49,D1971,0))^L1971</f>
        <v>534.849338181741</v>
      </c>
      <c r="N1971" s="67">
        <f ca="1">MAX(MAX($N$62:N1970),OFFSET($C$61,MATCH(M1971*1.07,$M$62:$M$2061,1),0)-C1971)</f>
        <v>56880</v>
      </c>
    </row>
    <row r="1972" spans="2:14">
      <c r="B1972" s="67">
        <v>1911</v>
      </c>
      <c r="C1972" s="67">
        <f t="shared" si="179"/>
        <v>687960</v>
      </c>
      <c r="D1972" s="67">
        <f t="shared" si="177"/>
        <v>5</v>
      </c>
      <c r="E1972" s="67">
        <f ca="1" t="shared" si="178"/>
        <v>1941</v>
      </c>
      <c r="F1972" s="67">
        <f ca="1" t="shared" si="180"/>
        <v>0</v>
      </c>
      <c r="G1972" s="67">
        <f ca="1" t="shared" si="181"/>
        <v>0</v>
      </c>
      <c r="H1972" s="67" cm="1">
        <f ca="1" t="array" ref="H1972">MIN(30-SUM(I1972:L1972),_xlfn.XLOOKUP($D1972&amp;"_"&amp;H$61,$B$23:$B$45&amp;"_"&amp;$C$23:$C$45,$D$23:$D$45)*$E1972,18)</f>
        <v>8.17480738177623</v>
      </c>
      <c r="I1972" s="67" cm="1">
        <f ca="1" t="array" ref="I1972">MIN(30-SUM(J1972:L1972),6-L1972,_xlfn.XLOOKUP($D1972&amp;"_"&amp;I$61,$B$23:$B$45&amp;"_"&amp;$C$23:$C$45,$D$23:$D$45)*$E1972)</f>
        <v>0</v>
      </c>
      <c r="J1972" s="67" cm="1">
        <f ca="1" t="array" ref="J1972">MIN(8,_xlfn.XLOOKUP($D1972&amp;"_"&amp;J$61,$B$23:$B$45&amp;"_"&amp;$C$23:$C$45,$D$23:$D$45)*$E1972)</f>
        <v>8</v>
      </c>
      <c r="K1972" s="67" cm="1">
        <f ca="1" t="array" ref="K1972">MIN(18,_xlfn.XLOOKUP($D1972&amp;"_"&amp;K$61,$B$23:$B$45&amp;"_"&amp;$C$23:$C$45,$D$23:$D$45)*$E1972)</f>
        <v>7.82519261822377</v>
      </c>
      <c r="L1972" s="67" cm="1">
        <f ca="1" t="array" ref="L1972">MIN(6,_xlfn.XLOOKUP($D1972&amp;"_"&amp;L$61,$B$23:$B$45&amp;"_"&amp;$C$23:$C$45,$D$23:$D$45)*$E1972)</f>
        <v>6</v>
      </c>
      <c r="M1972" s="67" cm="1">
        <f ca="1" t="array" ref="M1972">(1+SUMPRODUCT(G1972:H1972,OFFSET($H$49:$I$49,D1972,0)))*(1+OFFSET($J$49,D1972,0))^I1972*(1+OFFSET($K$49,D1972,0))^J1972*(1+OFFSET($L$49,D1972,0))^K1972*(1+OFFSET($M$49,D1972,0))^L1972</f>
        <v>535.078879663011</v>
      </c>
      <c r="N1972" s="67">
        <f ca="1">MAX(MAX($N$62:N1971),OFFSET($C$61,MATCH(M1972*1.07,$M$62:$M$2061,1),0)-C1972)</f>
        <v>56880</v>
      </c>
    </row>
    <row r="1973" spans="2:14">
      <c r="B1973" s="67">
        <v>1912</v>
      </c>
      <c r="C1973" s="67">
        <f t="shared" si="179"/>
        <v>688320</v>
      </c>
      <c r="D1973" s="67">
        <f t="shared" si="177"/>
        <v>5</v>
      </c>
      <c r="E1973" s="67">
        <f ca="1" t="shared" si="178"/>
        <v>1942</v>
      </c>
      <c r="F1973" s="67">
        <f ca="1" t="shared" si="180"/>
        <v>0</v>
      </c>
      <c r="G1973" s="67">
        <f ca="1" t="shared" si="181"/>
        <v>0</v>
      </c>
      <c r="H1973" s="67" cm="1">
        <f ca="1" t="array" ref="H1973">MIN(30-SUM(I1973:L1973),_xlfn.XLOOKUP($D1973&amp;"_"&amp;H$61,$B$23:$B$45&amp;"_"&amp;$C$23:$C$45,$D$23:$D$45)*$E1973,18)</f>
        <v>8.17077585544021</v>
      </c>
      <c r="I1973" s="67" cm="1">
        <f ca="1" t="array" ref="I1973">MIN(30-SUM(J1973:L1973),6-L1973,_xlfn.XLOOKUP($D1973&amp;"_"&amp;I$61,$B$23:$B$45&amp;"_"&amp;$C$23:$C$45,$D$23:$D$45)*$E1973)</f>
        <v>0</v>
      </c>
      <c r="J1973" s="67" cm="1">
        <f ca="1" t="array" ref="J1973">MIN(8,_xlfn.XLOOKUP($D1973&amp;"_"&amp;J$61,$B$23:$B$45&amp;"_"&amp;$C$23:$C$45,$D$23:$D$45)*$E1973)</f>
        <v>8</v>
      </c>
      <c r="K1973" s="67" cm="1">
        <f ca="1" t="array" ref="K1973">MIN(18,_xlfn.XLOOKUP($D1973&amp;"_"&amp;K$61,$B$23:$B$45&amp;"_"&amp;$C$23:$C$45,$D$23:$D$45)*$E1973)</f>
        <v>7.82922414455979</v>
      </c>
      <c r="L1973" s="67" cm="1">
        <f ca="1" t="array" ref="L1973">MIN(6,_xlfn.XLOOKUP($D1973&amp;"_"&amp;L$61,$B$23:$B$45&amp;"_"&amp;$C$23:$C$45,$D$23:$D$45)*$E1973)</f>
        <v>6</v>
      </c>
      <c r="M1973" s="67" cm="1">
        <f ca="1" t="array" ref="M1973">(1+SUMPRODUCT(G1973:H1973,OFFSET($H$49:$I$49,D1973,0)))*(1+OFFSET($J$49,D1973,0))^I1973*(1+OFFSET($K$49,D1973,0))^J1973*(1+OFFSET($L$49,D1973,0))^K1973*(1+OFFSET($M$49,D1973,0))^L1973</f>
        <v>535.308469531655</v>
      </c>
      <c r="N1973" s="67">
        <f ca="1">MAX(MAX($N$62:N1972),OFFSET($C$61,MATCH(M1973*1.07,$M$62:$M$2061,1),0)-C1973)</f>
        <v>56880</v>
      </c>
    </row>
    <row r="1974" spans="2:14">
      <c r="B1974" s="67">
        <v>1913</v>
      </c>
      <c r="C1974" s="67">
        <f t="shared" si="179"/>
        <v>688680</v>
      </c>
      <c r="D1974" s="67">
        <f t="shared" si="177"/>
        <v>5</v>
      </c>
      <c r="E1974" s="67">
        <f ca="1" t="shared" si="178"/>
        <v>1943</v>
      </c>
      <c r="F1974" s="67">
        <f ca="1" t="shared" si="180"/>
        <v>0</v>
      </c>
      <c r="G1974" s="67">
        <f ca="1" t="shared" si="181"/>
        <v>0</v>
      </c>
      <c r="H1974" s="67" cm="1">
        <f ca="1" t="array" ref="H1974">MIN(30-SUM(I1974:L1974),_xlfn.XLOOKUP($D1974&amp;"_"&amp;H$61,$B$23:$B$45&amp;"_"&amp;$C$23:$C$45,$D$23:$D$45)*$E1974,18)</f>
        <v>8.16674432910418</v>
      </c>
      <c r="I1974" s="67" cm="1">
        <f ca="1" t="array" ref="I1974">MIN(30-SUM(J1974:L1974),6-L1974,_xlfn.XLOOKUP($D1974&amp;"_"&amp;I$61,$B$23:$B$45&amp;"_"&amp;$C$23:$C$45,$D$23:$D$45)*$E1974)</f>
        <v>0</v>
      </c>
      <c r="J1974" s="67" cm="1">
        <f ca="1" t="array" ref="J1974">MIN(8,_xlfn.XLOOKUP($D1974&amp;"_"&amp;J$61,$B$23:$B$45&amp;"_"&amp;$C$23:$C$45,$D$23:$D$45)*$E1974)</f>
        <v>8</v>
      </c>
      <c r="K1974" s="67" cm="1">
        <f ca="1" t="array" ref="K1974">MIN(18,_xlfn.XLOOKUP($D1974&amp;"_"&amp;K$61,$B$23:$B$45&amp;"_"&amp;$C$23:$C$45,$D$23:$D$45)*$E1974)</f>
        <v>7.83325567089582</v>
      </c>
      <c r="L1974" s="67" cm="1">
        <f ca="1" t="array" ref="L1974">MIN(6,_xlfn.XLOOKUP($D1974&amp;"_"&amp;L$61,$B$23:$B$45&amp;"_"&amp;$C$23:$C$45,$D$23:$D$45)*$E1974)</f>
        <v>6</v>
      </c>
      <c r="M1974" s="67" cm="1">
        <f ca="1" t="array" ref="M1974">(1+SUMPRODUCT(G1974:H1974,OFFSET($H$49:$I$49,D1974,0)))*(1+OFFSET($J$49,D1974,0))^I1974*(1+OFFSET($K$49,D1974,0))^J1974*(1+OFFSET($L$49,D1974,0))^K1974*(1+OFFSET($M$49,D1974,0))^L1974</f>
        <v>535.538107734725</v>
      </c>
      <c r="N1974" s="67">
        <f ca="1">MAX(MAX($N$62:N1973),OFFSET($C$61,MATCH(M1974*1.07,$M$62:$M$2061,1),0)-C1974)</f>
        <v>56880</v>
      </c>
    </row>
    <row r="1975" spans="2:14">
      <c r="B1975" s="67">
        <v>1914</v>
      </c>
      <c r="C1975" s="67">
        <f t="shared" si="179"/>
        <v>689040</v>
      </c>
      <c r="D1975" s="67">
        <f t="shared" si="177"/>
        <v>5</v>
      </c>
      <c r="E1975" s="67">
        <f ca="1" t="shared" si="178"/>
        <v>1944</v>
      </c>
      <c r="F1975" s="67">
        <f ca="1" t="shared" si="180"/>
        <v>0</v>
      </c>
      <c r="G1975" s="67">
        <f ca="1" t="shared" si="181"/>
        <v>0</v>
      </c>
      <c r="H1975" s="67" cm="1">
        <f ca="1" t="array" ref="H1975">MIN(30-SUM(I1975:L1975),_xlfn.XLOOKUP($D1975&amp;"_"&amp;H$61,$B$23:$B$45&amp;"_"&amp;$C$23:$C$45,$D$23:$D$45)*$E1975,18)</f>
        <v>8.16271280276816</v>
      </c>
      <c r="I1975" s="67" cm="1">
        <f ca="1" t="array" ref="I1975">MIN(30-SUM(J1975:L1975),6-L1975,_xlfn.XLOOKUP($D1975&amp;"_"&amp;I$61,$B$23:$B$45&amp;"_"&amp;$C$23:$C$45,$D$23:$D$45)*$E1975)</f>
        <v>0</v>
      </c>
      <c r="J1975" s="67" cm="1">
        <f ca="1" t="array" ref="J1975">MIN(8,_xlfn.XLOOKUP($D1975&amp;"_"&amp;J$61,$B$23:$B$45&amp;"_"&amp;$C$23:$C$45,$D$23:$D$45)*$E1975)</f>
        <v>8</v>
      </c>
      <c r="K1975" s="67" cm="1">
        <f ca="1" t="array" ref="K1975">MIN(18,_xlfn.XLOOKUP($D1975&amp;"_"&amp;K$61,$B$23:$B$45&amp;"_"&amp;$C$23:$C$45,$D$23:$D$45)*$E1975)</f>
        <v>7.83728719723184</v>
      </c>
      <c r="L1975" s="67" cm="1">
        <f ca="1" t="array" ref="L1975">MIN(6,_xlfn.XLOOKUP($D1975&amp;"_"&amp;L$61,$B$23:$B$45&amp;"_"&amp;$C$23:$C$45,$D$23:$D$45)*$E1975)</f>
        <v>6</v>
      </c>
      <c r="M1975" s="67" cm="1">
        <f ca="1" t="array" ref="M1975">(1+SUMPRODUCT(G1975:H1975,OFFSET($H$49:$I$49,D1975,0)))*(1+OFFSET($J$49,D1975,0))^I1975*(1+OFFSET($K$49,D1975,0))^J1975*(1+OFFSET($L$49,D1975,0))^K1975*(1+OFFSET($M$49,D1975,0))^L1975</f>
        <v>535.767794219169</v>
      </c>
      <c r="N1975" s="67">
        <f ca="1">MAX(MAX($N$62:N1974),OFFSET($C$61,MATCH(M1975*1.07,$M$62:$M$2061,1),0)-C1975)</f>
        <v>56880</v>
      </c>
    </row>
    <row r="1976" spans="2:14">
      <c r="B1976" s="67">
        <v>1915</v>
      </c>
      <c r="C1976" s="67">
        <f t="shared" si="179"/>
        <v>689400</v>
      </c>
      <c r="D1976" s="67">
        <f t="shared" si="177"/>
        <v>5</v>
      </c>
      <c r="E1976" s="67">
        <f ca="1" t="shared" si="178"/>
        <v>1945</v>
      </c>
      <c r="F1976" s="67">
        <f ca="1" t="shared" si="180"/>
        <v>0</v>
      </c>
      <c r="G1976" s="67">
        <f ca="1" t="shared" si="181"/>
        <v>0</v>
      </c>
      <c r="H1976" s="67" cm="1">
        <f ca="1" t="array" ref="H1976">MIN(30-SUM(I1976:L1976),_xlfn.XLOOKUP($D1976&amp;"_"&amp;H$61,$B$23:$B$45&amp;"_"&amp;$C$23:$C$45,$D$23:$D$45)*$E1976,18)</f>
        <v>8.15868127643213</v>
      </c>
      <c r="I1976" s="67" cm="1">
        <f ca="1" t="array" ref="I1976">MIN(30-SUM(J1976:L1976),6-L1976,_xlfn.XLOOKUP($D1976&amp;"_"&amp;I$61,$B$23:$B$45&amp;"_"&amp;$C$23:$C$45,$D$23:$D$45)*$E1976)</f>
        <v>0</v>
      </c>
      <c r="J1976" s="67" cm="1">
        <f ca="1" t="array" ref="J1976">MIN(8,_xlfn.XLOOKUP($D1976&amp;"_"&amp;J$61,$B$23:$B$45&amp;"_"&amp;$C$23:$C$45,$D$23:$D$45)*$E1976)</f>
        <v>8</v>
      </c>
      <c r="K1976" s="67" cm="1">
        <f ca="1" t="array" ref="K1976">MIN(18,_xlfn.XLOOKUP($D1976&amp;"_"&amp;K$61,$B$23:$B$45&amp;"_"&amp;$C$23:$C$45,$D$23:$D$45)*$E1976)</f>
        <v>7.84131872356787</v>
      </c>
      <c r="L1976" s="67" cm="1">
        <f ca="1" t="array" ref="L1976">MIN(6,_xlfn.XLOOKUP($D1976&amp;"_"&amp;L$61,$B$23:$B$45&amp;"_"&amp;$C$23:$C$45,$D$23:$D$45)*$E1976)</f>
        <v>6</v>
      </c>
      <c r="M1976" s="67" cm="1">
        <f ca="1" t="array" ref="M1976">(1+SUMPRODUCT(G1976:H1976,OFFSET($H$49:$I$49,D1976,0)))*(1+OFFSET($J$49,D1976,0))^I1976*(1+OFFSET($K$49,D1976,0))^J1976*(1+OFFSET($L$49,D1976,0))^K1976*(1+OFFSET($M$49,D1976,0))^L1976</f>
        <v>535.99752893183</v>
      </c>
      <c r="N1976" s="67">
        <f ca="1">MAX(MAX($N$62:N1975),OFFSET($C$61,MATCH(M1976*1.07,$M$62:$M$2061,1),0)-C1976)</f>
        <v>56880</v>
      </c>
    </row>
    <row r="1977" spans="2:14">
      <c r="B1977" s="67">
        <v>1916</v>
      </c>
      <c r="C1977" s="67">
        <f t="shared" si="179"/>
        <v>689760</v>
      </c>
      <c r="D1977" s="67">
        <f t="shared" si="177"/>
        <v>5</v>
      </c>
      <c r="E1977" s="67">
        <f ca="1" t="shared" si="178"/>
        <v>1946</v>
      </c>
      <c r="F1977" s="67">
        <f ca="1" t="shared" si="180"/>
        <v>0</v>
      </c>
      <c r="G1977" s="67">
        <f ca="1" t="shared" si="181"/>
        <v>0</v>
      </c>
      <c r="H1977" s="67" cm="1">
        <f ca="1" t="array" ref="H1977">MIN(30-SUM(I1977:L1977),_xlfn.XLOOKUP($D1977&amp;"_"&amp;H$61,$B$23:$B$45&amp;"_"&amp;$C$23:$C$45,$D$23:$D$45)*$E1977,18)</f>
        <v>8.15464975009611</v>
      </c>
      <c r="I1977" s="67" cm="1">
        <f ca="1" t="array" ref="I1977">MIN(30-SUM(J1977:L1977),6-L1977,_xlfn.XLOOKUP($D1977&amp;"_"&amp;I$61,$B$23:$B$45&amp;"_"&amp;$C$23:$C$45,$D$23:$D$45)*$E1977)</f>
        <v>0</v>
      </c>
      <c r="J1977" s="67" cm="1">
        <f ca="1" t="array" ref="J1977">MIN(8,_xlfn.XLOOKUP($D1977&amp;"_"&amp;J$61,$B$23:$B$45&amp;"_"&amp;$C$23:$C$45,$D$23:$D$45)*$E1977)</f>
        <v>8</v>
      </c>
      <c r="K1977" s="67" cm="1">
        <f ca="1" t="array" ref="K1977">MIN(18,_xlfn.XLOOKUP($D1977&amp;"_"&amp;K$61,$B$23:$B$45&amp;"_"&amp;$C$23:$C$45,$D$23:$D$45)*$E1977)</f>
        <v>7.84535024990389</v>
      </c>
      <c r="L1977" s="67" cm="1">
        <f ca="1" t="array" ref="L1977">MIN(6,_xlfn.XLOOKUP($D1977&amp;"_"&amp;L$61,$B$23:$B$45&amp;"_"&amp;$C$23:$C$45,$D$23:$D$45)*$E1977)</f>
        <v>6</v>
      </c>
      <c r="M1977" s="67" cm="1">
        <f ca="1" t="array" ref="M1977">(1+SUMPRODUCT(G1977:H1977,OFFSET($H$49:$I$49,D1977,0)))*(1+OFFSET($J$49,D1977,0))^I1977*(1+OFFSET($K$49,D1977,0))^J1977*(1+OFFSET($L$49,D1977,0))^K1977*(1+OFFSET($M$49,D1977,0))^L1977</f>
        <v>536.227311819449</v>
      </c>
      <c r="N1977" s="67">
        <f ca="1">MAX(MAX($N$62:N1976),OFFSET($C$61,MATCH(M1977*1.07,$M$62:$M$2061,1),0)-C1977)</f>
        <v>56880</v>
      </c>
    </row>
    <row r="1978" spans="2:14">
      <c r="B1978" s="67">
        <v>1917</v>
      </c>
      <c r="C1978" s="67">
        <f t="shared" si="179"/>
        <v>690120</v>
      </c>
      <c r="D1978" s="67">
        <f t="shared" si="177"/>
        <v>5</v>
      </c>
      <c r="E1978" s="67">
        <f ca="1" t="shared" si="178"/>
        <v>1947</v>
      </c>
      <c r="F1978" s="67">
        <f ca="1" t="shared" si="180"/>
        <v>0</v>
      </c>
      <c r="G1978" s="67">
        <f ca="1" t="shared" si="181"/>
        <v>0</v>
      </c>
      <c r="H1978" s="67" cm="1">
        <f ca="1" t="array" ref="H1978">MIN(30-SUM(I1978:L1978),_xlfn.XLOOKUP($D1978&amp;"_"&amp;H$61,$B$23:$B$45&amp;"_"&amp;$C$23:$C$45,$D$23:$D$45)*$E1978,18)</f>
        <v>8.15061822376008</v>
      </c>
      <c r="I1978" s="67" cm="1">
        <f ca="1" t="array" ref="I1978">MIN(30-SUM(J1978:L1978),6-L1978,_xlfn.XLOOKUP($D1978&amp;"_"&amp;I$61,$B$23:$B$45&amp;"_"&amp;$C$23:$C$45,$D$23:$D$45)*$E1978)</f>
        <v>0</v>
      </c>
      <c r="J1978" s="67" cm="1">
        <f ca="1" t="array" ref="J1978">MIN(8,_xlfn.XLOOKUP($D1978&amp;"_"&amp;J$61,$B$23:$B$45&amp;"_"&amp;$C$23:$C$45,$D$23:$D$45)*$E1978)</f>
        <v>8</v>
      </c>
      <c r="K1978" s="67" cm="1">
        <f ca="1" t="array" ref="K1978">MIN(18,_xlfn.XLOOKUP($D1978&amp;"_"&amp;K$61,$B$23:$B$45&amp;"_"&amp;$C$23:$C$45,$D$23:$D$45)*$E1978)</f>
        <v>7.84938177623992</v>
      </c>
      <c r="L1978" s="67" cm="1">
        <f ca="1" t="array" ref="L1978">MIN(6,_xlfn.XLOOKUP($D1978&amp;"_"&amp;L$61,$B$23:$B$45&amp;"_"&amp;$C$23:$C$45,$D$23:$D$45)*$E1978)</f>
        <v>6</v>
      </c>
      <c r="M1978" s="67" cm="1">
        <f ca="1" t="array" ref="M1978">(1+SUMPRODUCT(G1978:H1978,OFFSET($H$49:$I$49,D1978,0)))*(1+OFFSET($J$49,D1978,0))^I1978*(1+OFFSET($K$49,D1978,0))^J1978*(1+OFFSET($L$49,D1978,0))^K1978*(1+OFFSET($M$49,D1978,0))^L1978</f>
        <v>536.457142828661</v>
      </c>
      <c r="N1978" s="67">
        <f ca="1">MAX(MAX($N$62:N1977),OFFSET($C$61,MATCH(M1978*1.07,$M$62:$M$2061,1),0)-C1978)</f>
        <v>56880</v>
      </c>
    </row>
    <row r="1979" spans="2:14">
      <c r="B1979" s="67">
        <v>1918</v>
      </c>
      <c r="C1979" s="67">
        <f t="shared" si="179"/>
        <v>690480</v>
      </c>
      <c r="D1979" s="67">
        <f t="shared" si="177"/>
        <v>5</v>
      </c>
      <c r="E1979" s="67">
        <f ca="1" t="shared" si="178"/>
        <v>1948</v>
      </c>
      <c r="F1979" s="67">
        <f ca="1" t="shared" si="180"/>
        <v>0</v>
      </c>
      <c r="G1979" s="67">
        <f ca="1" t="shared" si="181"/>
        <v>0</v>
      </c>
      <c r="H1979" s="67" cm="1">
        <f ca="1" t="array" ref="H1979">MIN(30-SUM(I1979:L1979),_xlfn.XLOOKUP($D1979&amp;"_"&amp;H$61,$B$23:$B$45&amp;"_"&amp;$C$23:$C$45,$D$23:$D$45)*$E1979,18)</f>
        <v>8.14658669742406</v>
      </c>
      <c r="I1979" s="67" cm="1">
        <f ca="1" t="array" ref="I1979">MIN(30-SUM(J1979:L1979),6-L1979,_xlfn.XLOOKUP($D1979&amp;"_"&amp;I$61,$B$23:$B$45&amp;"_"&amp;$C$23:$C$45,$D$23:$D$45)*$E1979)</f>
        <v>0</v>
      </c>
      <c r="J1979" s="67" cm="1">
        <f ca="1" t="array" ref="J1979">MIN(8,_xlfn.XLOOKUP($D1979&amp;"_"&amp;J$61,$B$23:$B$45&amp;"_"&amp;$C$23:$C$45,$D$23:$D$45)*$E1979)</f>
        <v>8</v>
      </c>
      <c r="K1979" s="67" cm="1">
        <f ca="1" t="array" ref="K1979">MIN(18,_xlfn.XLOOKUP($D1979&amp;"_"&amp;K$61,$B$23:$B$45&amp;"_"&amp;$C$23:$C$45,$D$23:$D$45)*$E1979)</f>
        <v>7.85341330257594</v>
      </c>
      <c r="L1979" s="67" cm="1">
        <f ca="1" t="array" ref="L1979">MIN(6,_xlfn.XLOOKUP($D1979&amp;"_"&amp;L$61,$B$23:$B$45&amp;"_"&amp;$C$23:$C$45,$D$23:$D$45)*$E1979)</f>
        <v>6</v>
      </c>
      <c r="M1979" s="67" cm="1">
        <f ca="1" t="array" ref="M1979">(1+SUMPRODUCT(G1979:H1979,OFFSET($H$49:$I$49,D1979,0)))*(1+OFFSET($J$49,D1979,0))^I1979*(1+OFFSET($K$49,D1979,0))^J1979*(1+OFFSET($L$49,D1979,0))^K1979*(1+OFFSET($M$49,D1979,0))^L1979</f>
        <v>536.687021905996</v>
      </c>
      <c r="N1979" s="67">
        <f ca="1">MAX(MAX($N$62:N1978),OFFSET($C$61,MATCH(M1979*1.07,$M$62:$M$2061,1),0)-C1979)</f>
        <v>56880</v>
      </c>
    </row>
    <row r="1980" spans="2:14">
      <c r="B1980" s="67">
        <v>1919</v>
      </c>
      <c r="C1980" s="67">
        <f t="shared" si="179"/>
        <v>690840</v>
      </c>
      <c r="D1980" s="67">
        <f t="shared" si="177"/>
        <v>5</v>
      </c>
      <c r="E1980" s="67">
        <f ca="1" t="shared" si="178"/>
        <v>1949</v>
      </c>
      <c r="F1980" s="67">
        <f ca="1" t="shared" si="180"/>
        <v>0</v>
      </c>
      <c r="G1980" s="67">
        <f ca="1" t="shared" si="181"/>
        <v>0</v>
      </c>
      <c r="H1980" s="67" cm="1">
        <f ca="1" t="array" ref="H1980">MIN(30-SUM(I1980:L1980),_xlfn.XLOOKUP($D1980&amp;"_"&amp;H$61,$B$23:$B$45&amp;"_"&amp;$C$23:$C$45,$D$23:$D$45)*$E1980,18)</f>
        <v>8.14255517108803</v>
      </c>
      <c r="I1980" s="67" cm="1">
        <f ca="1" t="array" ref="I1980">MIN(30-SUM(J1980:L1980),6-L1980,_xlfn.XLOOKUP($D1980&amp;"_"&amp;I$61,$B$23:$B$45&amp;"_"&amp;$C$23:$C$45,$D$23:$D$45)*$E1980)</f>
        <v>0</v>
      </c>
      <c r="J1980" s="67" cm="1">
        <f ca="1" t="array" ref="J1980">MIN(8,_xlfn.XLOOKUP($D1980&amp;"_"&amp;J$61,$B$23:$B$45&amp;"_"&amp;$C$23:$C$45,$D$23:$D$45)*$E1980)</f>
        <v>8</v>
      </c>
      <c r="K1980" s="67" cm="1">
        <f ca="1" t="array" ref="K1980">MIN(18,_xlfn.XLOOKUP($D1980&amp;"_"&amp;K$61,$B$23:$B$45&amp;"_"&amp;$C$23:$C$45,$D$23:$D$45)*$E1980)</f>
        <v>7.85744482891196</v>
      </c>
      <c r="L1980" s="67" cm="1">
        <f ca="1" t="array" ref="L1980">MIN(6,_xlfn.XLOOKUP($D1980&amp;"_"&amp;L$61,$B$23:$B$45&amp;"_"&amp;$C$23:$C$45,$D$23:$D$45)*$E1980)</f>
        <v>6</v>
      </c>
      <c r="M1980" s="67" cm="1">
        <f ca="1" t="array" ref="M1980">(1+SUMPRODUCT(G1980:H1980,OFFSET($H$49:$I$49,D1980,0)))*(1+OFFSET($J$49,D1980,0))^I1980*(1+OFFSET($K$49,D1980,0))^J1980*(1+OFFSET($L$49,D1980,0))^K1980*(1+OFFSET($M$49,D1980,0))^L1980</f>
        <v>536.916948997881</v>
      </c>
      <c r="N1980" s="67">
        <f ca="1">MAX(MAX($N$62:N1979),OFFSET($C$61,MATCH(M1980*1.07,$M$62:$M$2061,1),0)-C1980)</f>
        <v>56880</v>
      </c>
    </row>
    <row r="1981" spans="2:14">
      <c r="B1981" s="67">
        <v>1920</v>
      </c>
      <c r="C1981" s="67">
        <f t="shared" si="179"/>
        <v>691200</v>
      </c>
      <c r="D1981" s="67">
        <f t="shared" si="177"/>
        <v>5</v>
      </c>
      <c r="E1981" s="67">
        <f ca="1" t="shared" si="178"/>
        <v>1950</v>
      </c>
      <c r="F1981" s="67">
        <f ca="1" t="shared" si="180"/>
        <v>0</v>
      </c>
      <c r="G1981" s="67">
        <f ca="1" t="shared" si="181"/>
        <v>0</v>
      </c>
      <c r="H1981" s="67" cm="1">
        <f ca="1" t="array" ref="H1981">MIN(30-SUM(I1981:L1981),_xlfn.XLOOKUP($D1981&amp;"_"&amp;H$61,$B$23:$B$45&amp;"_"&amp;$C$23:$C$45,$D$23:$D$45)*$E1981,18)</f>
        <v>8.13852364475201</v>
      </c>
      <c r="I1981" s="67" cm="1">
        <f ca="1" t="array" ref="I1981">MIN(30-SUM(J1981:L1981),6-L1981,_xlfn.XLOOKUP($D1981&amp;"_"&amp;I$61,$B$23:$B$45&amp;"_"&amp;$C$23:$C$45,$D$23:$D$45)*$E1981)</f>
        <v>0</v>
      </c>
      <c r="J1981" s="67" cm="1">
        <f ca="1" t="array" ref="J1981">MIN(8,_xlfn.XLOOKUP($D1981&amp;"_"&amp;J$61,$B$23:$B$45&amp;"_"&amp;$C$23:$C$45,$D$23:$D$45)*$E1981)</f>
        <v>8</v>
      </c>
      <c r="K1981" s="67" cm="1">
        <f ca="1" t="array" ref="K1981">MIN(18,_xlfn.XLOOKUP($D1981&amp;"_"&amp;K$61,$B$23:$B$45&amp;"_"&amp;$C$23:$C$45,$D$23:$D$45)*$E1981)</f>
        <v>7.86147635524799</v>
      </c>
      <c r="L1981" s="67" cm="1">
        <f ca="1" t="array" ref="L1981">MIN(6,_xlfn.XLOOKUP($D1981&amp;"_"&amp;L$61,$B$23:$B$45&amp;"_"&amp;$C$23:$C$45,$D$23:$D$45)*$E1981)</f>
        <v>6</v>
      </c>
      <c r="M1981" s="67" cm="1">
        <f ca="1" t="array" ref="M1981">(1+SUMPRODUCT(G1981:H1981,OFFSET($H$49:$I$49,D1981,0)))*(1+OFFSET($J$49,D1981,0))^I1981*(1+OFFSET($K$49,D1981,0))^J1981*(1+OFFSET($L$49,D1981,0))^K1981*(1+OFFSET($M$49,D1981,0))^L1981</f>
        <v>537.146924050636</v>
      </c>
      <c r="N1981" s="67">
        <f ca="1">MAX(MAX($N$62:N1980),OFFSET($C$61,MATCH(M1981*1.07,$M$62:$M$2061,1),0)-C1981)</f>
        <v>56880</v>
      </c>
    </row>
    <row r="1982" spans="2:14">
      <c r="B1982" s="67">
        <v>1921</v>
      </c>
      <c r="C1982" s="67">
        <f t="shared" si="179"/>
        <v>691560</v>
      </c>
      <c r="D1982" s="67">
        <f t="shared" si="177"/>
        <v>5</v>
      </c>
      <c r="E1982" s="67">
        <f ca="1" t="shared" si="178"/>
        <v>1951</v>
      </c>
      <c r="F1982" s="67">
        <f ca="1" t="shared" si="180"/>
        <v>0</v>
      </c>
      <c r="G1982" s="67">
        <f ca="1" t="shared" si="181"/>
        <v>0</v>
      </c>
      <c r="H1982" s="67" cm="1">
        <f ca="1" t="array" ref="H1982">MIN(30-SUM(I1982:L1982),_xlfn.XLOOKUP($D1982&amp;"_"&amp;H$61,$B$23:$B$45&amp;"_"&amp;$C$23:$C$45,$D$23:$D$45)*$E1982,18)</f>
        <v>8.13449211841598</v>
      </c>
      <c r="I1982" s="67" cm="1">
        <f ca="1" t="array" ref="I1982">MIN(30-SUM(J1982:L1982),6-L1982,_xlfn.XLOOKUP($D1982&amp;"_"&amp;I$61,$B$23:$B$45&amp;"_"&amp;$C$23:$C$45,$D$23:$D$45)*$E1982)</f>
        <v>0</v>
      </c>
      <c r="J1982" s="67" cm="1">
        <f ca="1" t="array" ref="J1982">MIN(8,_xlfn.XLOOKUP($D1982&amp;"_"&amp;J$61,$B$23:$B$45&amp;"_"&amp;$C$23:$C$45,$D$23:$D$45)*$E1982)</f>
        <v>8</v>
      </c>
      <c r="K1982" s="67" cm="1">
        <f ca="1" t="array" ref="K1982">MIN(18,_xlfn.XLOOKUP($D1982&amp;"_"&amp;K$61,$B$23:$B$45&amp;"_"&amp;$C$23:$C$45,$D$23:$D$45)*$E1982)</f>
        <v>7.86550788158401</v>
      </c>
      <c r="L1982" s="67" cm="1">
        <f ca="1" t="array" ref="L1982">MIN(6,_xlfn.XLOOKUP($D1982&amp;"_"&amp;L$61,$B$23:$B$45&amp;"_"&amp;$C$23:$C$45,$D$23:$D$45)*$E1982)</f>
        <v>6</v>
      </c>
      <c r="M1982" s="67" cm="1">
        <f ca="1" t="array" ref="M1982">(1+SUMPRODUCT(G1982:H1982,OFFSET($H$49:$I$49,D1982,0)))*(1+OFFSET($J$49,D1982,0))^I1982*(1+OFFSET($K$49,D1982,0))^J1982*(1+OFFSET($L$49,D1982,0))^K1982*(1+OFFSET($M$49,D1982,0))^L1982</f>
        <v>537.37694701048</v>
      </c>
      <c r="N1982" s="67">
        <f ca="1">MAX(MAX($N$62:N1981),OFFSET($C$61,MATCH(M1982*1.07,$M$62:$M$2061,1),0)-C1982)</f>
        <v>56880</v>
      </c>
    </row>
    <row r="1983" spans="2:14">
      <c r="B1983" s="67">
        <v>1922</v>
      </c>
      <c r="C1983" s="67">
        <f t="shared" si="179"/>
        <v>691920</v>
      </c>
      <c r="D1983" s="67">
        <f t="shared" ref="D1983:D2046" si="182">_xlfn.XLOOKUP("非R",$B$49:$B$54,$C$49:$C$54)</f>
        <v>5</v>
      </c>
      <c r="E1983" s="67">
        <f ca="1" t="shared" ref="E1983:E2046" si="183">INT(C1983/_xlfn.XLOOKUP(D1983,$R$14:$R$21,$S$14:$S$21))+OFFSET($R$49,D1983,0)</f>
        <v>1952</v>
      </c>
      <c r="F1983" s="67">
        <f ca="1" t="shared" si="180"/>
        <v>0</v>
      </c>
      <c r="G1983" s="67">
        <f ca="1" t="shared" si="181"/>
        <v>0</v>
      </c>
      <c r="H1983" s="67" cm="1">
        <f ca="1" t="array" ref="H1983">MIN(30-SUM(I1983:L1983),_xlfn.XLOOKUP($D1983&amp;"_"&amp;H$61,$B$23:$B$45&amp;"_"&amp;$C$23:$C$45,$D$23:$D$45)*$E1983,18)</f>
        <v>8.13046059207996</v>
      </c>
      <c r="I1983" s="67" cm="1">
        <f ca="1" t="array" ref="I1983">MIN(30-SUM(J1983:L1983),6-L1983,_xlfn.XLOOKUP($D1983&amp;"_"&amp;I$61,$B$23:$B$45&amp;"_"&amp;$C$23:$C$45,$D$23:$D$45)*$E1983)</f>
        <v>0</v>
      </c>
      <c r="J1983" s="67" cm="1">
        <f ca="1" t="array" ref="J1983">MIN(8,_xlfn.XLOOKUP($D1983&amp;"_"&amp;J$61,$B$23:$B$45&amp;"_"&amp;$C$23:$C$45,$D$23:$D$45)*$E1983)</f>
        <v>8</v>
      </c>
      <c r="K1983" s="67" cm="1">
        <f ca="1" t="array" ref="K1983">MIN(18,_xlfn.XLOOKUP($D1983&amp;"_"&amp;K$61,$B$23:$B$45&amp;"_"&amp;$C$23:$C$45,$D$23:$D$45)*$E1983)</f>
        <v>7.86953940792004</v>
      </c>
      <c r="L1983" s="67" cm="1">
        <f ca="1" t="array" ref="L1983">MIN(6,_xlfn.XLOOKUP($D1983&amp;"_"&amp;L$61,$B$23:$B$45&amp;"_"&amp;$C$23:$C$45,$D$23:$D$45)*$E1983)</f>
        <v>6</v>
      </c>
      <c r="M1983" s="67" cm="1">
        <f ca="1" t="array" ref="M1983">(1+SUMPRODUCT(G1983:H1983,OFFSET($H$49:$I$49,D1983,0)))*(1+OFFSET($J$49,D1983,0))^I1983*(1+OFFSET($K$49,D1983,0))^J1983*(1+OFFSET($L$49,D1983,0))^K1983*(1+OFFSET($M$49,D1983,0))^L1983</f>
        <v>537.607017823521</v>
      </c>
      <c r="N1983" s="67">
        <f ca="1">MAX(MAX($N$62:N1982),OFFSET($C$61,MATCH(M1983*1.07,$M$62:$M$2061,1),0)-C1983)</f>
        <v>56880</v>
      </c>
    </row>
    <row r="1984" spans="2:14">
      <c r="B1984" s="67">
        <v>1923</v>
      </c>
      <c r="C1984" s="67">
        <f t="shared" si="179"/>
        <v>692280</v>
      </c>
      <c r="D1984" s="67">
        <f t="shared" si="182"/>
        <v>5</v>
      </c>
      <c r="E1984" s="67">
        <f ca="1" t="shared" si="183"/>
        <v>1953</v>
      </c>
      <c r="F1984" s="67">
        <f ca="1" t="shared" si="180"/>
        <v>0</v>
      </c>
      <c r="G1984" s="67">
        <f ca="1" t="shared" si="181"/>
        <v>0</v>
      </c>
      <c r="H1984" s="67" cm="1">
        <f ca="1" t="array" ref="H1984">MIN(30-SUM(I1984:L1984),_xlfn.XLOOKUP($D1984&amp;"_"&amp;H$61,$B$23:$B$45&amp;"_"&amp;$C$23:$C$45,$D$23:$D$45)*$E1984,18)</f>
        <v>8.12642906574394</v>
      </c>
      <c r="I1984" s="67" cm="1">
        <f ca="1" t="array" ref="I1984">MIN(30-SUM(J1984:L1984),6-L1984,_xlfn.XLOOKUP($D1984&amp;"_"&amp;I$61,$B$23:$B$45&amp;"_"&amp;$C$23:$C$45,$D$23:$D$45)*$E1984)</f>
        <v>0</v>
      </c>
      <c r="J1984" s="67" cm="1">
        <f ca="1" t="array" ref="J1984">MIN(8,_xlfn.XLOOKUP($D1984&amp;"_"&amp;J$61,$B$23:$B$45&amp;"_"&amp;$C$23:$C$45,$D$23:$D$45)*$E1984)</f>
        <v>8</v>
      </c>
      <c r="K1984" s="67" cm="1">
        <f ca="1" t="array" ref="K1984">MIN(18,_xlfn.XLOOKUP($D1984&amp;"_"&amp;K$61,$B$23:$B$45&amp;"_"&amp;$C$23:$C$45,$D$23:$D$45)*$E1984)</f>
        <v>7.87357093425606</v>
      </c>
      <c r="L1984" s="67" cm="1">
        <f ca="1" t="array" ref="L1984">MIN(6,_xlfn.XLOOKUP($D1984&amp;"_"&amp;L$61,$B$23:$B$45&amp;"_"&amp;$C$23:$C$45,$D$23:$D$45)*$E1984)</f>
        <v>6</v>
      </c>
      <c r="M1984" s="67" cm="1">
        <f ca="1" t="array" ref="M1984">(1+SUMPRODUCT(G1984:H1984,OFFSET($H$49:$I$49,D1984,0)))*(1+OFFSET($J$49,D1984,0))^I1984*(1+OFFSET($K$49,D1984,0))^J1984*(1+OFFSET($L$49,D1984,0))^K1984*(1+OFFSET($M$49,D1984,0))^L1984</f>
        <v>537.837136435768</v>
      </c>
      <c r="N1984" s="67">
        <f ca="1">MAX(MAX($N$62:N1983),OFFSET($C$61,MATCH(M1984*1.07,$M$62:$M$2061,1),0)-C1984)</f>
        <v>56880</v>
      </c>
    </row>
    <row r="1985" spans="2:14">
      <c r="B1985" s="67">
        <v>1924</v>
      </c>
      <c r="C1985" s="67">
        <f t="shared" si="179"/>
        <v>692640</v>
      </c>
      <c r="D1985" s="67">
        <f t="shared" si="182"/>
        <v>5</v>
      </c>
      <c r="E1985" s="67">
        <f ca="1" t="shared" si="183"/>
        <v>1954</v>
      </c>
      <c r="F1985" s="67">
        <f ca="1" t="shared" si="180"/>
        <v>0</v>
      </c>
      <c r="G1985" s="67">
        <f ca="1" t="shared" si="181"/>
        <v>0</v>
      </c>
      <c r="H1985" s="67" cm="1">
        <f ca="1" t="array" ref="H1985">MIN(30-SUM(I1985:L1985),_xlfn.XLOOKUP($D1985&amp;"_"&amp;H$61,$B$23:$B$45&amp;"_"&amp;$C$23:$C$45,$D$23:$D$45)*$E1985,18)</f>
        <v>8.12239753940791</v>
      </c>
      <c r="I1985" s="67" cm="1">
        <f ca="1" t="array" ref="I1985">MIN(30-SUM(J1985:L1985),6-L1985,_xlfn.XLOOKUP($D1985&amp;"_"&amp;I$61,$B$23:$B$45&amp;"_"&amp;$C$23:$C$45,$D$23:$D$45)*$E1985)</f>
        <v>0</v>
      </c>
      <c r="J1985" s="67" cm="1">
        <f ca="1" t="array" ref="J1985">MIN(8,_xlfn.XLOOKUP($D1985&amp;"_"&amp;J$61,$B$23:$B$45&amp;"_"&amp;$C$23:$C$45,$D$23:$D$45)*$E1985)</f>
        <v>8</v>
      </c>
      <c r="K1985" s="67" cm="1">
        <f ca="1" t="array" ref="K1985">MIN(18,_xlfn.XLOOKUP($D1985&amp;"_"&amp;K$61,$B$23:$B$45&amp;"_"&amp;$C$23:$C$45,$D$23:$D$45)*$E1985)</f>
        <v>7.87760246059209</v>
      </c>
      <c r="L1985" s="67" cm="1">
        <f ca="1" t="array" ref="L1985">MIN(6,_xlfn.XLOOKUP($D1985&amp;"_"&amp;L$61,$B$23:$B$45&amp;"_"&amp;$C$23:$C$45,$D$23:$D$45)*$E1985)</f>
        <v>6</v>
      </c>
      <c r="M1985" s="67" cm="1">
        <f ca="1" t="array" ref="M1985">(1+SUMPRODUCT(G1985:H1985,OFFSET($H$49:$I$49,D1985,0)))*(1+OFFSET($J$49,D1985,0))^I1985*(1+OFFSET($K$49,D1985,0))^J1985*(1+OFFSET($L$49,D1985,0))^K1985*(1+OFFSET($M$49,D1985,0))^L1985</f>
        <v>538.067302793121</v>
      </c>
      <c r="N1985" s="67">
        <f ca="1">MAX(MAX($N$62:N1984),OFFSET($C$61,MATCH(M1985*1.07,$M$62:$M$2061,1),0)-C1985)</f>
        <v>56880</v>
      </c>
    </row>
    <row r="1986" spans="2:14">
      <c r="B1986" s="67">
        <v>1925</v>
      </c>
      <c r="C1986" s="67">
        <f t="shared" si="179"/>
        <v>693000</v>
      </c>
      <c r="D1986" s="67">
        <f t="shared" si="182"/>
        <v>5</v>
      </c>
      <c r="E1986" s="67">
        <f ca="1" t="shared" si="183"/>
        <v>1955</v>
      </c>
      <c r="F1986" s="67">
        <f ca="1" t="shared" si="180"/>
        <v>0</v>
      </c>
      <c r="G1986" s="67">
        <f ca="1" t="shared" si="181"/>
        <v>0</v>
      </c>
      <c r="H1986" s="67" cm="1">
        <f ca="1" t="array" ref="H1986">MIN(30-SUM(I1986:L1986),_xlfn.XLOOKUP($D1986&amp;"_"&amp;H$61,$B$23:$B$45&amp;"_"&amp;$C$23:$C$45,$D$23:$D$45)*$E1986,18)</f>
        <v>8.11836601307189</v>
      </c>
      <c r="I1986" s="67" cm="1">
        <f ca="1" t="array" ref="I1986">MIN(30-SUM(J1986:L1986),6-L1986,_xlfn.XLOOKUP($D1986&amp;"_"&amp;I$61,$B$23:$B$45&amp;"_"&amp;$C$23:$C$45,$D$23:$D$45)*$E1986)</f>
        <v>0</v>
      </c>
      <c r="J1986" s="67" cm="1">
        <f ca="1" t="array" ref="J1986">MIN(8,_xlfn.XLOOKUP($D1986&amp;"_"&amp;J$61,$B$23:$B$45&amp;"_"&amp;$C$23:$C$45,$D$23:$D$45)*$E1986)</f>
        <v>8</v>
      </c>
      <c r="K1986" s="67" cm="1">
        <f ca="1" t="array" ref="K1986">MIN(18,_xlfn.XLOOKUP($D1986&amp;"_"&amp;K$61,$B$23:$B$45&amp;"_"&amp;$C$23:$C$45,$D$23:$D$45)*$E1986)</f>
        <v>7.88163398692811</v>
      </c>
      <c r="L1986" s="67" cm="1">
        <f ca="1" t="array" ref="L1986">MIN(6,_xlfn.XLOOKUP($D1986&amp;"_"&amp;L$61,$B$23:$B$45&amp;"_"&amp;$C$23:$C$45,$D$23:$D$45)*$E1986)</f>
        <v>6</v>
      </c>
      <c r="M1986" s="67" cm="1">
        <f ca="1" t="array" ref="M1986">(1+SUMPRODUCT(G1986:H1986,OFFSET($H$49:$I$49,D1986,0)))*(1+OFFSET($J$49,D1986,0))^I1986*(1+OFFSET($K$49,D1986,0))^J1986*(1+OFFSET($L$49,D1986,0))^K1986*(1+OFFSET($M$49,D1986,0))^L1986</f>
        <v>538.297516841375</v>
      </c>
      <c r="N1986" s="67">
        <f ca="1">MAX(MAX($N$62:N1985),OFFSET($C$61,MATCH(M1986*1.07,$M$62:$M$2061,1),0)-C1986)</f>
        <v>56880</v>
      </c>
    </row>
    <row r="1987" spans="2:14">
      <c r="B1987" s="67">
        <v>1926</v>
      </c>
      <c r="C1987" s="67">
        <f t="shared" si="179"/>
        <v>693360</v>
      </c>
      <c r="D1987" s="67">
        <f t="shared" si="182"/>
        <v>5</v>
      </c>
      <c r="E1987" s="67">
        <f ca="1" t="shared" si="183"/>
        <v>1956</v>
      </c>
      <c r="F1987" s="67">
        <f ca="1" t="shared" si="180"/>
        <v>0</v>
      </c>
      <c r="G1987" s="67">
        <f ca="1" t="shared" si="181"/>
        <v>0</v>
      </c>
      <c r="H1987" s="67" cm="1">
        <f ca="1" t="array" ref="H1987">MIN(30-SUM(I1987:L1987),_xlfn.XLOOKUP($D1987&amp;"_"&amp;H$61,$B$23:$B$45&amp;"_"&amp;$C$23:$C$45,$D$23:$D$45)*$E1987,18)</f>
        <v>8.11433448673586</v>
      </c>
      <c r="I1987" s="67" cm="1">
        <f ca="1" t="array" ref="I1987">MIN(30-SUM(J1987:L1987),6-L1987,_xlfn.XLOOKUP($D1987&amp;"_"&amp;I$61,$B$23:$B$45&amp;"_"&amp;$C$23:$C$45,$D$23:$D$45)*$E1987)</f>
        <v>0</v>
      </c>
      <c r="J1987" s="67" cm="1">
        <f ca="1" t="array" ref="J1987">MIN(8,_xlfn.XLOOKUP($D1987&amp;"_"&amp;J$61,$B$23:$B$45&amp;"_"&amp;$C$23:$C$45,$D$23:$D$45)*$E1987)</f>
        <v>8</v>
      </c>
      <c r="K1987" s="67" cm="1">
        <f ca="1" t="array" ref="K1987">MIN(18,_xlfn.XLOOKUP($D1987&amp;"_"&amp;K$61,$B$23:$B$45&amp;"_"&amp;$C$23:$C$45,$D$23:$D$45)*$E1987)</f>
        <v>7.88566551326414</v>
      </c>
      <c r="L1987" s="67" cm="1">
        <f ca="1" t="array" ref="L1987">MIN(6,_xlfn.XLOOKUP($D1987&amp;"_"&amp;L$61,$B$23:$B$45&amp;"_"&amp;$C$23:$C$45,$D$23:$D$45)*$E1987)</f>
        <v>6</v>
      </c>
      <c r="M1987" s="67" cm="1">
        <f ca="1" t="array" ref="M1987">(1+SUMPRODUCT(G1987:H1987,OFFSET($H$49:$I$49,D1987,0)))*(1+OFFSET($J$49,D1987,0))^I1987*(1+OFFSET($K$49,D1987,0))^J1987*(1+OFFSET($L$49,D1987,0))^K1987*(1+OFFSET($M$49,D1987,0))^L1987</f>
        <v>538.527778526221</v>
      </c>
      <c r="N1987" s="67">
        <f ca="1">MAX(MAX($N$62:N1986),OFFSET($C$61,MATCH(M1987*1.07,$M$62:$M$2061,1),0)-C1987)</f>
        <v>56880</v>
      </c>
    </row>
    <row r="1988" spans="2:14">
      <c r="B1988" s="67">
        <v>1927</v>
      </c>
      <c r="C1988" s="67">
        <f t="shared" si="179"/>
        <v>693720</v>
      </c>
      <c r="D1988" s="67">
        <f t="shared" si="182"/>
        <v>5</v>
      </c>
      <c r="E1988" s="67">
        <f ca="1" t="shared" si="183"/>
        <v>1957</v>
      </c>
      <c r="F1988" s="67">
        <f ca="1" t="shared" si="180"/>
        <v>0</v>
      </c>
      <c r="G1988" s="67">
        <f ca="1" t="shared" si="181"/>
        <v>0</v>
      </c>
      <c r="H1988" s="67" cm="1">
        <f ca="1" t="array" ref="H1988">MIN(30-SUM(I1988:L1988),_xlfn.XLOOKUP($D1988&amp;"_"&amp;H$61,$B$23:$B$45&amp;"_"&amp;$C$23:$C$45,$D$23:$D$45)*$E1988,18)</f>
        <v>8.11030296039984</v>
      </c>
      <c r="I1988" s="67" cm="1">
        <f ca="1" t="array" ref="I1988">MIN(30-SUM(J1988:L1988),6-L1988,_xlfn.XLOOKUP($D1988&amp;"_"&amp;I$61,$B$23:$B$45&amp;"_"&amp;$C$23:$C$45,$D$23:$D$45)*$E1988)</f>
        <v>0</v>
      </c>
      <c r="J1988" s="67" cm="1">
        <f ca="1" t="array" ref="J1988">MIN(8,_xlfn.XLOOKUP($D1988&amp;"_"&amp;J$61,$B$23:$B$45&amp;"_"&amp;$C$23:$C$45,$D$23:$D$45)*$E1988)</f>
        <v>8</v>
      </c>
      <c r="K1988" s="67" cm="1">
        <f ca="1" t="array" ref="K1988">MIN(18,_xlfn.XLOOKUP($D1988&amp;"_"&amp;K$61,$B$23:$B$45&amp;"_"&amp;$C$23:$C$45,$D$23:$D$45)*$E1988)</f>
        <v>7.88969703960016</v>
      </c>
      <c r="L1988" s="67" cm="1">
        <f ca="1" t="array" ref="L1988">MIN(6,_xlfn.XLOOKUP($D1988&amp;"_"&amp;L$61,$B$23:$B$45&amp;"_"&amp;$C$23:$C$45,$D$23:$D$45)*$E1988)</f>
        <v>6</v>
      </c>
      <c r="M1988" s="67" cm="1">
        <f ca="1" t="array" ref="M1988">(1+SUMPRODUCT(G1988:H1988,OFFSET($H$49:$I$49,D1988,0)))*(1+OFFSET($J$49,D1988,0))^I1988*(1+OFFSET($K$49,D1988,0))^J1988*(1+OFFSET($L$49,D1988,0))^K1988*(1+OFFSET($M$49,D1988,0))^L1988</f>
        <v>538.758087793242</v>
      </c>
      <c r="N1988" s="67">
        <f ca="1">MAX(MAX($N$62:N1987),OFFSET($C$61,MATCH(M1988*1.07,$M$62:$M$2061,1),0)-C1988)</f>
        <v>56880</v>
      </c>
    </row>
    <row r="1989" spans="2:14">
      <c r="B1989" s="67">
        <v>1928</v>
      </c>
      <c r="C1989" s="67">
        <f t="shared" si="179"/>
        <v>694080</v>
      </c>
      <c r="D1989" s="67">
        <f t="shared" si="182"/>
        <v>5</v>
      </c>
      <c r="E1989" s="67">
        <f ca="1" t="shared" si="183"/>
        <v>1958</v>
      </c>
      <c r="F1989" s="67">
        <f ca="1" t="shared" si="180"/>
        <v>0</v>
      </c>
      <c r="G1989" s="67">
        <f ca="1" t="shared" si="181"/>
        <v>0</v>
      </c>
      <c r="H1989" s="67" cm="1">
        <f ca="1" t="array" ref="H1989">MIN(30-SUM(I1989:L1989),_xlfn.XLOOKUP($D1989&amp;"_"&amp;H$61,$B$23:$B$45&amp;"_"&amp;$C$23:$C$45,$D$23:$D$45)*$E1989,18)</f>
        <v>8.10627143406381</v>
      </c>
      <c r="I1989" s="67" cm="1">
        <f ca="1" t="array" ref="I1989">MIN(30-SUM(J1989:L1989),6-L1989,_xlfn.XLOOKUP($D1989&amp;"_"&amp;I$61,$B$23:$B$45&amp;"_"&amp;$C$23:$C$45,$D$23:$D$45)*$E1989)</f>
        <v>0</v>
      </c>
      <c r="J1989" s="67" cm="1">
        <f ca="1" t="array" ref="J1989">MIN(8,_xlfn.XLOOKUP($D1989&amp;"_"&amp;J$61,$B$23:$B$45&amp;"_"&amp;$C$23:$C$45,$D$23:$D$45)*$E1989)</f>
        <v>8</v>
      </c>
      <c r="K1989" s="67" cm="1">
        <f ca="1" t="array" ref="K1989">MIN(18,_xlfn.XLOOKUP($D1989&amp;"_"&amp;K$61,$B$23:$B$45&amp;"_"&amp;$C$23:$C$45,$D$23:$D$45)*$E1989)</f>
        <v>7.89372856593619</v>
      </c>
      <c r="L1989" s="67" cm="1">
        <f ca="1" t="array" ref="L1989">MIN(6,_xlfn.XLOOKUP($D1989&amp;"_"&amp;L$61,$B$23:$B$45&amp;"_"&amp;$C$23:$C$45,$D$23:$D$45)*$E1989)</f>
        <v>6</v>
      </c>
      <c r="M1989" s="67" cm="1">
        <f ca="1" t="array" ref="M1989">(1+SUMPRODUCT(G1989:H1989,OFFSET($H$49:$I$49,D1989,0)))*(1+OFFSET($J$49,D1989,0))^I1989*(1+OFFSET($K$49,D1989,0))^J1989*(1+OFFSET($L$49,D1989,0))^K1989*(1+OFFSET($M$49,D1989,0))^L1989</f>
        <v>538.988444587918</v>
      </c>
      <c r="N1989" s="67">
        <f ca="1">MAX(MAX($N$62:N1988),OFFSET($C$61,MATCH(M1989*1.07,$M$62:$M$2061,1),0)-C1989)</f>
        <v>56880</v>
      </c>
    </row>
    <row r="1990" spans="2:14">
      <c r="B1990" s="67">
        <v>1929</v>
      </c>
      <c r="C1990" s="67">
        <f t="shared" si="179"/>
        <v>694440</v>
      </c>
      <c r="D1990" s="67">
        <f t="shared" si="182"/>
        <v>5</v>
      </c>
      <c r="E1990" s="67">
        <f ca="1" t="shared" si="183"/>
        <v>1959</v>
      </c>
      <c r="F1990" s="67">
        <f ca="1" t="shared" si="180"/>
        <v>0</v>
      </c>
      <c r="G1990" s="67">
        <f ca="1" t="shared" si="181"/>
        <v>0</v>
      </c>
      <c r="H1990" s="67" cm="1">
        <f ca="1" t="array" ref="H1990">MIN(30-SUM(I1990:L1990),_xlfn.XLOOKUP($D1990&amp;"_"&amp;H$61,$B$23:$B$45&amp;"_"&amp;$C$23:$C$45,$D$23:$D$45)*$E1990,18)</f>
        <v>8.10223990772779</v>
      </c>
      <c r="I1990" s="67" cm="1">
        <f ca="1" t="array" ref="I1990">MIN(30-SUM(J1990:L1990),6-L1990,_xlfn.XLOOKUP($D1990&amp;"_"&amp;I$61,$B$23:$B$45&amp;"_"&amp;$C$23:$C$45,$D$23:$D$45)*$E1990)</f>
        <v>0</v>
      </c>
      <c r="J1990" s="67" cm="1">
        <f ca="1" t="array" ref="J1990">MIN(8,_xlfn.XLOOKUP($D1990&amp;"_"&amp;J$61,$B$23:$B$45&amp;"_"&amp;$C$23:$C$45,$D$23:$D$45)*$E1990)</f>
        <v>8</v>
      </c>
      <c r="K1990" s="67" cm="1">
        <f ca="1" t="array" ref="K1990">MIN(18,_xlfn.XLOOKUP($D1990&amp;"_"&amp;K$61,$B$23:$B$45&amp;"_"&amp;$C$23:$C$45,$D$23:$D$45)*$E1990)</f>
        <v>7.89776009227221</v>
      </c>
      <c r="L1990" s="67" cm="1">
        <f ca="1" t="array" ref="L1990">MIN(6,_xlfn.XLOOKUP($D1990&amp;"_"&amp;L$61,$B$23:$B$45&amp;"_"&amp;$C$23:$C$45,$D$23:$D$45)*$E1990)</f>
        <v>6</v>
      </c>
      <c r="M1990" s="67" cm="1">
        <f ca="1" t="array" ref="M1990">(1+SUMPRODUCT(G1990:H1990,OFFSET($H$49:$I$49,D1990,0)))*(1+OFFSET($J$49,D1990,0))^I1990*(1+OFFSET($K$49,D1990,0))^J1990*(1+OFFSET($L$49,D1990,0))^K1990*(1+OFFSET($M$49,D1990,0))^L1990</f>
        <v>539.218848855622</v>
      </c>
      <c r="N1990" s="67">
        <f ca="1">MAX(MAX($N$62:N1989),OFFSET($C$61,MATCH(M1990*1.07,$M$62:$M$2061,1),0)-C1990)</f>
        <v>56880</v>
      </c>
    </row>
    <row r="1991" spans="2:14">
      <c r="B1991" s="67">
        <v>1930</v>
      </c>
      <c r="C1991" s="67">
        <f t="shared" si="179"/>
        <v>694800</v>
      </c>
      <c r="D1991" s="67">
        <f t="shared" si="182"/>
        <v>5</v>
      </c>
      <c r="E1991" s="67">
        <f ca="1" t="shared" si="183"/>
        <v>1960</v>
      </c>
      <c r="F1991" s="67">
        <f ca="1" t="shared" si="180"/>
        <v>0</v>
      </c>
      <c r="G1991" s="67">
        <f ca="1" t="shared" si="181"/>
        <v>0</v>
      </c>
      <c r="H1991" s="67" cm="1">
        <f ca="1" t="array" ref="H1991">MIN(30-SUM(I1991:L1991),_xlfn.XLOOKUP($D1991&amp;"_"&amp;H$61,$B$23:$B$45&amp;"_"&amp;$C$23:$C$45,$D$23:$D$45)*$E1991,18)</f>
        <v>8.09820838139176</v>
      </c>
      <c r="I1991" s="67" cm="1">
        <f ca="1" t="array" ref="I1991">MIN(30-SUM(J1991:L1991),6-L1991,_xlfn.XLOOKUP($D1991&amp;"_"&amp;I$61,$B$23:$B$45&amp;"_"&amp;$C$23:$C$45,$D$23:$D$45)*$E1991)</f>
        <v>0</v>
      </c>
      <c r="J1991" s="67" cm="1">
        <f ca="1" t="array" ref="J1991">MIN(8,_xlfn.XLOOKUP($D1991&amp;"_"&amp;J$61,$B$23:$B$45&amp;"_"&amp;$C$23:$C$45,$D$23:$D$45)*$E1991)</f>
        <v>8</v>
      </c>
      <c r="K1991" s="67" cm="1">
        <f ca="1" t="array" ref="K1991">MIN(18,_xlfn.XLOOKUP($D1991&amp;"_"&amp;K$61,$B$23:$B$45&amp;"_"&amp;$C$23:$C$45,$D$23:$D$45)*$E1991)</f>
        <v>7.90179161860824</v>
      </c>
      <c r="L1991" s="67" cm="1">
        <f ca="1" t="array" ref="L1991">MIN(6,_xlfn.XLOOKUP($D1991&amp;"_"&amp;L$61,$B$23:$B$45&amp;"_"&amp;$C$23:$C$45,$D$23:$D$45)*$E1991)</f>
        <v>6</v>
      </c>
      <c r="M1991" s="67" cm="1">
        <f ca="1" t="array" ref="M1991">(1+SUMPRODUCT(G1991:H1991,OFFSET($H$49:$I$49,D1991,0)))*(1+OFFSET($J$49,D1991,0))^I1991*(1+OFFSET($K$49,D1991,0))^J1991*(1+OFFSET($L$49,D1991,0))^K1991*(1+OFFSET($M$49,D1991,0))^L1991</f>
        <v>539.449300541619</v>
      </c>
      <c r="N1991" s="67">
        <f ca="1">MAX(MAX($N$62:N1990),OFFSET($C$61,MATCH(M1991*1.07,$M$62:$M$2061,1),0)-C1991)</f>
        <v>56880</v>
      </c>
    </row>
    <row r="1992" spans="2:14">
      <c r="B1992" s="67">
        <v>1931</v>
      </c>
      <c r="C1992" s="67">
        <f t="shared" si="179"/>
        <v>695160</v>
      </c>
      <c r="D1992" s="67">
        <f t="shared" si="182"/>
        <v>5</v>
      </c>
      <c r="E1992" s="67">
        <f ca="1" t="shared" si="183"/>
        <v>1961</v>
      </c>
      <c r="F1992" s="67">
        <f ca="1" t="shared" si="180"/>
        <v>0</v>
      </c>
      <c r="G1992" s="67">
        <f ca="1" t="shared" si="181"/>
        <v>0</v>
      </c>
      <c r="H1992" s="67" cm="1">
        <f ca="1" t="array" ref="H1992">MIN(30-SUM(I1992:L1992),_xlfn.XLOOKUP($D1992&amp;"_"&amp;H$61,$B$23:$B$45&amp;"_"&amp;$C$23:$C$45,$D$23:$D$45)*$E1992,18)</f>
        <v>8.09417685505574</v>
      </c>
      <c r="I1992" s="67" cm="1">
        <f ca="1" t="array" ref="I1992">MIN(30-SUM(J1992:L1992),6-L1992,_xlfn.XLOOKUP($D1992&amp;"_"&amp;I$61,$B$23:$B$45&amp;"_"&amp;$C$23:$C$45,$D$23:$D$45)*$E1992)</f>
        <v>0</v>
      </c>
      <c r="J1992" s="67" cm="1">
        <f ca="1" t="array" ref="J1992">MIN(8,_xlfn.XLOOKUP($D1992&amp;"_"&amp;J$61,$B$23:$B$45&amp;"_"&amp;$C$23:$C$45,$D$23:$D$45)*$E1992)</f>
        <v>8</v>
      </c>
      <c r="K1992" s="67" cm="1">
        <f ca="1" t="array" ref="K1992">MIN(18,_xlfn.XLOOKUP($D1992&amp;"_"&amp;K$61,$B$23:$B$45&amp;"_"&amp;$C$23:$C$45,$D$23:$D$45)*$E1992)</f>
        <v>7.90582314494426</v>
      </c>
      <c r="L1992" s="67" cm="1">
        <f ca="1" t="array" ref="L1992">MIN(6,_xlfn.XLOOKUP($D1992&amp;"_"&amp;L$61,$B$23:$B$45&amp;"_"&amp;$C$23:$C$45,$D$23:$D$45)*$E1992)</f>
        <v>6</v>
      </c>
      <c r="M1992" s="67" cm="1">
        <f ca="1" t="array" ref="M1992">(1+SUMPRODUCT(G1992:H1992,OFFSET($H$49:$I$49,D1992,0)))*(1+OFFSET($J$49,D1992,0))^I1992*(1+OFFSET($K$49,D1992,0))^J1992*(1+OFFSET($L$49,D1992,0))^K1992*(1+OFFSET($M$49,D1992,0))^L1992</f>
        <v>539.67979959107</v>
      </c>
      <c r="N1992" s="67">
        <f ca="1">MAX(MAX($N$62:N1991),OFFSET($C$61,MATCH(M1992*1.07,$M$62:$M$2061,1),0)-C1992)</f>
        <v>56880</v>
      </c>
    </row>
    <row r="1993" spans="2:14">
      <c r="B1993" s="67">
        <v>1932</v>
      </c>
      <c r="C1993" s="67">
        <f t="shared" si="179"/>
        <v>695520</v>
      </c>
      <c r="D1993" s="67">
        <f t="shared" si="182"/>
        <v>5</v>
      </c>
      <c r="E1993" s="67">
        <f ca="1" t="shared" si="183"/>
        <v>1962</v>
      </c>
      <c r="F1993" s="67">
        <f ca="1" t="shared" si="180"/>
        <v>0</v>
      </c>
      <c r="G1993" s="67">
        <f ca="1" t="shared" si="181"/>
        <v>0</v>
      </c>
      <c r="H1993" s="67" cm="1">
        <f ca="1" t="array" ref="H1993">MIN(30-SUM(I1993:L1993),_xlfn.XLOOKUP($D1993&amp;"_"&amp;H$61,$B$23:$B$45&amp;"_"&amp;$C$23:$C$45,$D$23:$D$45)*$E1993,18)</f>
        <v>8.09014532871971</v>
      </c>
      <c r="I1993" s="67" cm="1">
        <f ca="1" t="array" ref="I1993">MIN(30-SUM(J1993:L1993),6-L1993,_xlfn.XLOOKUP($D1993&amp;"_"&amp;I$61,$B$23:$B$45&amp;"_"&amp;$C$23:$C$45,$D$23:$D$45)*$E1993)</f>
        <v>0</v>
      </c>
      <c r="J1993" s="67" cm="1">
        <f ca="1" t="array" ref="J1993">MIN(8,_xlfn.XLOOKUP($D1993&amp;"_"&amp;J$61,$B$23:$B$45&amp;"_"&amp;$C$23:$C$45,$D$23:$D$45)*$E1993)</f>
        <v>8</v>
      </c>
      <c r="K1993" s="67" cm="1">
        <f ca="1" t="array" ref="K1993">MIN(18,_xlfn.XLOOKUP($D1993&amp;"_"&amp;K$61,$B$23:$B$45&amp;"_"&amp;$C$23:$C$45,$D$23:$D$45)*$E1993)</f>
        <v>7.90985467128028</v>
      </c>
      <c r="L1993" s="67" cm="1">
        <f ca="1" t="array" ref="L1993">MIN(6,_xlfn.XLOOKUP($D1993&amp;"_"&amp;L$61,$B$23:$B$45&amp;"_"&amp;$C$23:$C$45,$D$23:$D$45)*$E1993)</f>
        <v>6</v>
      </c>
      <c r="M1993" s="67" cm="1">
        <f ca="1" t="array" ref="M1993">(1+SUMPRODUCT(G1993:H1993,OFFSET($H$49:$I$49,D1993,0)))*(1+OFFSET($J$49,D1993,0))^I1993*(1+OFFSET($K$49,D1993,0))^J1993*(1+OFFSET($L$49,D1993,0))^K1993*(1+OFFSET($M$49,D1993,0))^L1993</f>
        <v>539.910345949031</v>
      </c>
      <c r="N1993" s="67">
        <f ca="1">MAX(MAX($N$62:N1992),OFFSET($C$61,MATCH(M1993*1.07,$M$62:$M$2061,1),0)-C1993)</f>
        <v>56880</v>
      </c>
    </row>
    <row r="1994" spans="2:14">
      <c r="B1994" s="67">
        <v>1933</v>
      </c>
      <c r="C1994" s="67">
        <f t="shared" si="179"/>
        <v>695880</v>
      </c>
      <c r="D1994" s="67">
        <f t="shared" si="182"/>
        <v>5</v>
      </c>
      <c r="E1994" s="67">
        <f ca="1" t="shared" si="183"/>
        <v>1963</v>
      </c>
      <c r="F1994" s="67">
        <f ca="1" t="shared" si="180"/>
        <v>0</v>
      </c>
      <c r="G1994" s="67">
        <f ca="1" t="shared" si="181"/>
        <v>0</v>
      </c>
      <c r="H1994" s="67" cm="1">
        <f ca="1" t="array" ref="H1994">MIN(30-SUM(I1994:L1994),_xlfn.XLOOKUP($D1994&amp;"_"&amp;H$61,$B$23:$B$45&amp;"_"&amp;$C$23:$C$45,$D$23:$D$45)*$E1994,18)</f>
        <v>8.08611380238369</v>
      </c>
      <c r="I1994" s="67" cm="1">
        <f ca="1" t="array" ref="I1994">MIN(30-SUM(J1994:L1994),6-L1994,_xlfn.XLOOKUP($D1994&amp;"_"&amp;I$61,$B$23:$B$45&amp;"_"&amp;$C$23:$C$45,$D$23:$D$45)*$E1994)</f>
        <v>0</v>
      </c>
      <c r="J1994" s="67" cm="1">
        <f ca="1" t="array" ref="J1994">MIN(8,_xlfn.XLOOKUP($D1994&amp;"_"&amp;J$61,$B$23:$B$45&amp;"_"&amp;$C$23:$C$45,$D$23:$D$45)*$E1994)</f>
        <v>8</v>
      </c>
      <c r="K1994" s="67" cm="1">
        <f ca="1" t="array" ref="K1994">MIN(18,_xlfn.XLOOKUP($D1994&amp;"_"&amp;K$61,$B$23:$B$45&amp;"_"&amp;$C$23:$C$45,$D$23:$D$45)*$E1994)</f>
        <v>7.91388619761631</v>
      </c>
      <c r="L1994" s="67" cm="1">
        <f ca="1" t="array" ref="L1994">MIN(6,_xlfn.XLOOKUP($D1994&amp;"_"&amp;L$61,$B$23:$B$45&amp;"_"&amp;$C$23:$C$45,$D$23:$D$45)*$E1994)</f>
        <v>6</v>
      </c>
      <c r="M1994" s="67" cm="1">
        <f ca="1" t="array" ref="M1994">(1+SUMPRODUCT(G1994:H1994,OFFSET($H$49:$I$49,D1994,0)))*(1+OFFSET($J$49,D1994,0))^I1994*(1+OFFSET($K$49,D1994,0))^J1994*(1+OFFSET($L$49,D1994,0))^K1994*(1+OFFSET($M$49,D1994,0))^L1994</f>
        <v>540.140939560447</v>
      </c>
      <c r="N1994" s="67">
        <f ca="1">MAX(MAX($N$62:N1993),OFFSET($C$61,MATCH(M1994*1.07,$M$62:$M$2061,1),0)-C1994)</f>
        <v>56880</v>
      </c>
    </row>
    <row r="1995" spans="2:14">
      <c r="B1995" s="67">
        <v>1934</v>
      </c>
      <c r="C1995" s="67">
        <f t="shared" si="179"/>
        <v>696240</v>
      </c>
      <c r="D1995" s="67">
        <f t="shared" si="182"/>
        <v>5</v>
      </c>
      <c r="E1995" s="67">
        <f ca="1" t="shared" si="183"/>
        <v>1964</v>
      </c>
      <c r="F1995" s="67">
        <f ca="1" t="shared" si="180"/>
        <v>0</v>
      </c>
      <c r="G1995" s="67">
        <f ca="1" t="shared" si="181"/>
        <v>0</v>
      </c>
      <c r="H1995" s="67" cm="1">
        <f ca="1" t="array" ref="H1995">MIN(30-SUM(I1995:L1995),_xlfn.XLOOKUP($D1995&amp;"_"&amp;H$61,$B$23:$B$45&amp;"_"&amp;$C$23:$C$45,$D$23:$D$45)*$E1995,18)</f>
        <v>8.08208227604766</v>
      </c>
      <c r="I1995" s="67" cm="1">
        <f ca="1" t="array" ref="I1995">MIN(30-SUM(J1995:L1995),6-L1995,_xlfn.XLOOKUP($D1995&amp;"_"&amp;I$61,$B$23:$B$45&amp;"_"&amp;$C$23:$C$45,$D$23:$D$45)*$E1995)</f>
        <v>0</v>
      </c>
      <c r="J1995" s="67" cm="1">
        <f ca="1" t="array" ref="J1995">MIN(8,_xlfn.XLOOKUP($D1995&amp;"_"&amp;J$61,$B$23:$B$45&amp;"_"&amp;$C$23:$C$45,$D$23:$D$45)*$E1995)</f>
        <v>8</v>
      </c>
      <c r="K1995" s="67" cm="1">
        <f ca="1" t="array" ref="K1995">MIN(18,_xlfn.XLOOKUP($D1995&amp;"_"&amp;K$61,$B$23:$B$45&amp;"_"&amp;$C$23:$C$45,$D$23:$D$45)*$E1995)</f>
        <v>7.91791772395233</v>
      </c>
      <c r="L1995" s="67" cm="1">
        <f ca="1" t="array" ref="L1995">MIN(6,_xlfn.XLOOKUP($D1995&amp;"_"&amp;L$61,$B$23:$B$45&amp;"_"&amp;$C$23:$C$45,$D$23:$D$45)*$E1995)</f>
        <v>6</v>
      </c>
      <c r="M1995" s="67" cm="1">
        <f ca="1" t="array" ref="M1995">(1+SUMPRODUCT(G1995:H1995,OFFSET($H$49:$I$49,D1995,0)))*(1+OFFSET($J$49,D1995,0))^I1995*(1+OFFSET($K$49,D1995,0))^J1995*(1+OFFSET($L$49,D1995,0))^K1995*(1+OFFSET($M$49,D1995,0))^L1995</f>
        <v>540.371580370161</v>
      </c>
      <c r="N1995" s="67">
        <f ca="1">MAX(MAX($N$62:N1994),OFFSET($C$61,MATCH(M1995*1.07,$M$62:$M$2061,1),0)-C1995)</f>
        <v>56880</v>
      </c>
    </row>
    <row r="1996" spans="2:14">
      <c r="B1996" s="67">
        <v>1935</v>
      </c>
      <c r="C1996" s="67">
        <f t="shared" si="179"/>
        <v>696600</v>
      </c>
      <c r="D1996" s="67">
        <f t="shared" si="182"/>
        <v>5</v>
      </c>
      <c r="E1996" s="67">
        <f ca="1" t="shared" si="183"/>
        <v>1965</v>
      </c>
      <c r="F1996" s="67">
        <f ca="1" t="shared" si="180"/>
        <v>0</v>
      </c>
      <c r="G1996" s="67">
        <f ca="1" t="shared" si="181"/>
        <v>0</v>
      </c>
      <c r="H1996" s="67" cm="1">
        <f ca="1" t="array" ref="H1996">MIN(30-SUM(I1996:L1996),_xlfn.XLOOKUP($D1996&amp;"_"&amp;H$61,$B$23:$B$45&amp;"_"&amp;$C$23:$C$45,$D$23:$D$45)*$E1996,18)</f>
        <v>8.07805074971164</v>
      </c>
      <c r="I1996" s="67" cm="1">
        <f ca="1" t="array" ref="I1996">MIN(30-SUM(J1996:L1996),6-L1996,_xlfn.XLOOKUP($D1996&amp;"_"&amp;I$61,$B$23:$B$45&amp;"_"&amp;$C$23:$C$45,$D$23:$D$45)*$E1996)</f>
        <v>0</v>
      </c>
      <c r="J1996" s="67" cm="1">
        <f ca="1" t="array" ref="J1996">MIN(8,_xlfn.XLOOKUP($D1996&amp;"_"&amp;J$61,$B$23:$B$45&amp;"_"&amp;$C$23:$C$45,$D$23:$D$45)*$E1996)</f>
        <v>8</v>
      </c>
      <c r="K1996" s="67" cm="1">
        <f ca="1" t="array" ref="K1996">MIN(18,_xlfn.XLOOKUP($D1996&amp;"_"&amp;K$61,$B$23:$B$45&amp;"_"&amp;$C$23:$C$45,$D$23:$D$45)*$E1996)</f>
        <v>7.92194925028836</v>
      </c>
      <c r="L1996" s="67" cm="1">
        <f ca="1" t="array" ref="L1996">MIN(6,_xlfn.XLOOKUP($D1996&amp;"_"&amp;L$61,$B$23:$B$45&amp;"_"&amp;$C$23:$C$45,$D$23:$D$45)*$E1996)</f>
        <v>6</v>
      </c>
      <c r="M1996" s="67" cm="1">
        <f ca="1" t="array" ref="M1996">(1+SUMPRODUCT(G1996:H1996,OFFSET($H$49:$I$49,D1996,0)))*(1+OFFSET($J$49,D1996,0))^I1996*(1+OFFSET($K$49,D1996,0))^J1996*(1+OFFSET($L$49,D1996,0))^K1996*(1+OFFSET($M$49,D1996,0))^L1996</f>
        <v>540.602268322908</v>
      </c>
      <c r="N1996" s="67">
        <f ca="1">MAX(MAX($N$62:N1995),OFFSET($C$61,MATCH(M1996*1.07,$M$62:$M$2061,1),0)-C1996)</f>
        <v>56880</v>
      </c>
    </row>
    <row r="1997" spans="2:14">
      <c r="B1997" s="67">
        <v>1936</v>
      </c>
      <c r="C1997" s="67">
        <f t="shared" si="179"/>
        <v>696960</v>
      </c>
      <c r="D1997" s="67">
        <f t="shared" si="182"/>
        <v>5</v>
      </c>
      <c r="E1997" s="67">
        <f ca="1" t="shared" si="183"/>
        <v>1966</v>
      </c>
      <c r="F1997" s="67">
        <f ca="1" t="shared" si="180"/>
        <v>0</v>
      </c>
      <c r="G1997" s="67">
        <f ca="1" t="shared" si="181"/>
        <v>0</v>
      </c>
      <c r="H1997" s="67" cm="1">
        <f ca="1" t="array" ref="H1997">MIN(30-SUM(I1997:L1997),_xlfn.XLOOKUP($D1997&amp;"_"&amp;H$61,$B$23:$B$45&amp;"_"&amp;$C$23:$C$45,$D$23:$D$45)*$E1997,18)</f>
        <v>8.07401922337562</v>
      </c>
      <c r="I1997" s="67" cm="1">
        <f ca="1" t="array" ref="I1997">MIN(30-SUM(J1997:L1997),6-L1997,_xlfn.XLOOKUP($D1997&amp;"_"&amp;I$61,$B$23:$B$45&amp;"_"&amp;$C$23:$C$45,$D$23:$D$45)*$E1997)</f>
        <v>0</v>
      </c>
      <c r="J1997" s="67" cm="1">
        <f ca="1" t="array" ref="J1997">MIN(8,_xlfn.XLOOKUP($D1997&amp;"_"&amp;J$61,$B$23:$B$45&amp;"_"&amp;$C$23:$C$45,$D$23:$D$45)*$E1997)</f>
        <v>8</v>
      </c>
      <c r="K1997" s="67" cm="1">
        <f ca="1" t="array" ref="K1997">MIN(18,_xlfn.XLOOKUP($D1997&amp;"_"&amp;K$61,$B$23:$B$45&amp;"_"&amp;$C$23:$C$45,$D$23:$D$45)*$E1997)</f>
        <v>7.92598077662438</v>
      </c>
      <c r="L1997" s="67" cm="1">
        <f ca="1" t="array" ref="L1997">MIN(6,_xlfn.XLOOKUP($D1997&amp;"_"&amp;L$61,$B$23:$B$45&amp;"_"&amp;$C$23:$C$45,$D$23:$D$45)*$E1997)</f>
        <v>6</v>
      </c>
      <c r="M1997" s="67" cm="1">
        <f ca="1" t="array" ref="M1997">(1+SUMPRODUCT(G1997:H1997,OFFSET($H$49:$I$49,D1997,0)))*(1+OFFSET($J$49,D1997,0))^I1997*(1+OFFSET($K$49,D1997,0))^J1997*(1+OFFSET($L$49,D1997,0))^K1997*(1+OFFSET($M$49,D1997,0))^L1997</f>
        <v>540.833003363315</v>
      </c>
      <c r="N1997" s="67">
        <f ca="1">MAX(MAX($N$62:N1996),OFFSET($C$61,MATCH(M1997*1.07,$M$62:$M$2061,1),0)-C1997)</f>
        <v>56880</v>
      </c>
    </row>
    <row r="1998" spans="2:14">
      <c r="B1998" s="67">
        <v>1937</v>
      </c>
      <c r="C1998" s="67">
        <f t="shared" si="179"/>
        <v>697320</v>
      </c>
      <c r="D1998" s="67">
        <f t="shared" si="182"/>
        <v>5</v>
      </c>
      <c r="E1998" s="67">
        <f ca="1" t="shared" si="183"/>
        <v>1967</v>
      </c>
      <c r="F1998" s="67">
        <f ca="1" t="shared" si="180"/>
        <v>0</v>
      </c>
      <c r="G1998" s="67">
        <f ca="1" t="shared" si="181"/>
        <v>0</v>
      </c>
      <c r="H1998" s="67" cm="1">
        <f ca="1" t="array" ref="H1998">MIN(30-SUM(I1998:L1998),_xlfn.XLOOKUP($D1998&amp;"_"&amp;H$61,$B$23:$B$45&amp;"_"&amp;$C$23:$C$45,$D$23:$D$45)*$E1998,18)</f>
        <v>8.06998769703959</v>
      </c>
      <c r="I1998" s="67" cm="1">
        <f ca="1" t="array" ref="I1998">MIN(30-SUM(J1998:L1998),6-L1998,_xlfn.XLOOKUP($D1998&amp;"_"&amp;I$61,$B$23:$B$45&amp;"_"&amp;$C$23:$C$45,$D$23:$D$45)*$E1998)</f>
        <v>0</v>
      </c>
      <c r="J1998" s="67" cm="1">
        <f ca="1" t="array" ref="J1998">MIN(8,_xlfn.XLOOKUP($D1998&amp;"_"&amp;J$61,$B$23:$B$45&amp;"_"&amp;$C$23:$C$45,$D$23:$D$45)*$E1998)</f>
        <v>8</v>
      </c>
      <c r="K1998" s="67" cm="1">
        <f ca="1" t="array" ref="K1998">MIN(18,_xlfn.XLOOKUP($D1998&amp;"_"&amp;K$61,$B$23:$B$45&amp;"_"&amp;$C$23:$C$45,$D$23:$D$45)*$E1998)</f>
        <v>7.93001230296041</v>
      </c>
      <c r="L1998" s="67" cm="1">
        <f ca="1" t="array" ref="L1998">MIN(6,_xlfn.XLOOKUP($D1998&amp;"_"&amp;L$61,$B$23:$B$45&amp;"_"&amp;$C$23:$C$45,$D$23:$D$45)*$E1998)</f>
        <v>6</v>
      </c>
      <c r="M1998" s="67" cm="1">
        <f ca="1" t="array" ref="M1998">(1+SUMPRODUCT(G1998:H1998,OFFSET($H$49:$I$49,D1998,0)))*(1+OFFSET($J$49,D1998,0))^I1998*(1+OFFSET($K$49,D1998,0))^J1998*(1+OFFSET($L$49,D1998,0))^K1998*(1+OFFSET($M$49,D1998,0))^L1998</f>
        <v>541.063785435902</v>
      </c>
      <c r="N1998" s="67">
        <f ca="1">MAX(MAX($N$62:N1997),OFFSET($C$61,MATCH(M1998*1.07,$M$62:$M$2061,1),0)-C1998)</f>
        <v>56880</v>
      </c>
    </row>
    <row r="1999" spans="2:14">
      <c r="B1999" s="67">
        <v>1938</v>
      </c>
      <c r="C1999" s="67">
        <f t="shared" si="179"/>
        <v>697680</v>
      </c>
      <c r="D1999" s="67">
        <f t="shared" si="182"/>
        <v>5</v>
      </c>
      <c r="E1999" s="67">
        <f ca="1" t="shared" si="183"/>
        <v>1968</v>
      </c>
      <c r="F1999" s="67">
        <f ca="1" t="shared" si="180"/>
        <v>0</v>
      </c>
      <c r="G1999" s="67">
        <f ca="1" t="shared" si="181"/>
        <v>0</v>
      </c>
      <c r="H1999" s="67" cm="1">
        <f ca="1" t="array" ref="H1999">MIN(30-SUM(I1999:L1999),_xlfn.XLOOKUP($D1999&amp;"_"&amp;H$61,$B$23:$B$45&amp;"_"&amp;$C$23:$C$45,$D$23:$D$45)*$E1999,18)</f>
        <v>8.06595617070357</v>
      </c>
      <c r="I1999" s="67" cm="1">
        <f ca="1" t="array" ref="I1999">MIN(30-SUM(J1999:L1999),6-L1999,_xlfn.XLOOKUP($D1999&amp;"_"&amp;I$61,$B$23:$B$45&amp;"_"&amp;$C$23:$C$45,$D$23:$D$45)*$E1999)</f>
        <v>0</v>
      </c>
      <c r="J1999" s="67" cm="1">
        <f ca="1" t="array" ref="J1999">MIN(8,_xlfn.XLOOKUP($D1999&amp;"_"&amp;J$61,$B$23:$B$45&amp;"_"&amp;$C$23:$C$45,$D$23:$D$45)*$E1999)</f>
        <v>8</v>
      </c>
      <c r="K1999" s="67" cm="1">
        <f ca="1" t="array" ref="K1999">MIN(18,_xlfn.XLOOKUP($D1999&amp;"_"&amp;K$61,$B$23:$B$45&amp;"_"&amp;$C$23:$C$45,$D$23:$D$45)*$E1999)</f>
        <v>7.93404382929643</v>
      </c>
      <c r="L1999" s="67" cm="1">
        <f ca="1" t="array" ref="L1999">MIN(6,_xlfn.XLOOKUP($D1999&amp;"_"&amp;L$61,$B$23:$B$45&amp;"_"&amp;$C$23:$C$45,$D$23:$D$45)*$E1999)</f>
        <v>6</v>
      </c>
      <c r="M1999" s="67" cm="1">
        <f ca="1" t="array" ref="M1999">(1+SUMPRODUCT(G1999:H1999,OFFSET($H$49:$I$49,D1999,0)))*(1+OFFSET($J$49,D1999,0))^I1999*(1+OFFSET($K$49,D1999,0))^J1999*(1+OFFSET($L$49,D1999,0))^K1999*(1+OFFSET($M$49,D1999,0))^L1999</f>
        <v>541.294614485084</v>
      </c>
      <c r="N1999" s="67">
        <f ca="1">MAX(MAX($N$62:N1998),OFFSET($C$61,MATCH(M1999*1.07,$M$62:$M$2061,1),0)-C1999)</f>
        <v>56880</v>
      </c>
    </row>
    <row r="2000" spans="2:14">
      <c r="B2000" s="67">
        <v>1939</v>
      </c>
      <c r="C2000" s="67">
        <f t="shared" si="179"/>
        <v>698040</v>
      </c>
      <c r="D2000" s="67">
        <f t="shared" si="182"/>
        <v>5</v>
      </c>
      <c r="E2000" s="67">
        <f ca="1" t="shared" si="183"/>
        <v>1969</v>
      </c>
      <c r="F2000" s="67">
        <f ca="1" t="shared" si="180"/>
        <v>0</v>
      </c>
      <c r="G2000" s="67">
        <f ca="1" t="shared" si="181"/>
        <v>0</v>
      </c>
      <c r="H2000" s="67" cm="1">
        <f ca="1" t="array" ref="H2000">MIN(30-SUM(I2000:L2000),_xlfn.XLOOKUP($D2000&amp;"_"&amp;H$61,$B$23:$B$45&amp;"_"&amp;$C$23:$C$45,$D$23:$D$45)*$E2000,18)</f>
        <v>8.06192464436754</v>
      </c>
      <c r="I2000" s="67" cm="1">
        <f ca="1" t="array" ref="I2000">MIN(30-SUM(J2000:L2000),6-L2000,_xlfn.XLOOKUP($D2000&amp;"_"&amp;I$61,$B$23:$B$45&amp;"_"&amp;$C$23:$C$45,$D$23:$D$45)*$E2000)</f>
        <v>0</v>
      </c>
      <c r="J2000" s="67" cm="1">
        <f ca="1" t="array" ref="J2000">MIN(8,_xlfn.XLOOKUP($D2000&amp;"_"&amp;J$61,$B$23:$B$45&amp;"_"&amp;$C$23:$C$45,$D$23:$D$45)*$E2000)</f>
        <v>8</v>
      </c>
      <c r="K2000" s="67" cm="1">
        <f ca="1" t="array" ref="K2000">MIN(18,_xlfn.XLOOKUP($D2000&amp;"_"&amp;K$61,$B$23:$B$45&amp;"_"&amp;$C$23:$C$45,$D$23:$D$45)*$E2000)</f>
        <v>7.93807535563246</v>
      </c>
      <c r="L2000" s="67" cm="1">
        <f ca="1" t="array" ref="L2000">MIN(6,_xlfn.XLOOKUP($D2000&amp;"_"&amp;L$61,$B$23:$B$45&amp;"_"&amp;$C$23:$C$45,$D$23:$D$45)*$E2000)</f>
        <v>6</v>
      </c>
      <c r="M2000" s="67" cm="1">
        <f ca="1" t="array" ref="M2000">(1+SUMPRODUCT(G2000:H2000,OFFSET($H$49:$I$49,D2000,0)))*(1+OFFSET($J$49,D2000,0))^I2000*(1+OFFSET($K$49,D2000,0))^J2000*(1+OFFSET($L$49,D2000,0))^K2000*(1+OFFSET($M$49,D2000,0))^L2000</f>
        <v>541.525490455168</v>
      </c>
      <c r="N2000" s="67">
        <f ca="1">MAX(MAX($N$62:N1999),OFFSET($C$61,MATCH(M2000*1.07,$M$62:$M$2061,1),0)-C2000)</f>
        <v>56880</v>
      </c>
    </row>
    <row r="2001" spans="2:14">
      <c r="B2001" s="67">
        <v>1940</v>
      </c>
      <c r="C2001" s="67">
        <f t="shared" si="179"/>
        <v>698400</v>
      </c>
      <c r="D2001" s="67">
        <f t="shared" si="182"/>
        <v>5</v>
      </c>
      <c r="E2001" s="67">
        <f ca="1" t="shared" si="183"/>
        <v>1970</v>
      </c>
      <c r="F2001" s="67">
        <f ca="1" t="shared" si="180"/>
        <v>0</v>
      </c>
      <c r="G2001" s="67">
        <f ca="1" t="shared" si="181"/>
        <v>0</v>
      </c>
      <c r="H2001" s="67" cm="1">
        <f ca="1" t="array" ref="H2001">MIN(30-SUM(I2001:L2001),_xlfn.XLOOKUP($D2001&amp;"_"&amp;H$61,$B$23:$B$45&amp;"_"&amp;$C$23:$C$45,$D$23:$D$45)*$E2001,18)</f>
        <v>8.05789311803152</v>
      </c>
      <c r="I2001" s="67" cm="1">
        <f ca="1" t="array" ref="I2001">MIN(30-SUM(J2001:L2001),6-L2001,_xlfn.XLOOKUP($D2001&amp;"_"&amp;I$61,$B$23:$B$45&amp;"_"&amp;$C$23:$C$45,$D$23:$D$45)*$E2001)</f>
        <v>0</v>
      </c>
      <c r="J2001" s="67" cm="1">
        <f ca="1" t="array" ref="J2001">MIN(8,_xlfn.XLOOKUP($D2001&amp;"_"&amp;J$61,$B$23:$B$45&amp;"_"&amp;$C$23:$C$45,$D$23:$D$45)*$E2001)</f>
        <v>8</v>
      </c>
      <c r="K2001" s="67" cm="1">
        <f ca="1" t="array" ref="K2001">MIN(18,_xlfn.XLOOKUP($D2001&amp;"_"&amp;K$61,$B$23:$B$45&amp;"_"&amp;$C$23:$C$45,$D$23:$D$45)*$E2001)</f>
        <v>7.94210688196848</v>
      </c>
      <c r="L2001" s="67" cm="1">
        <f ca="1" t="array" ref="L2001">MIN(6,_xlfn.XLOOKUP($D2001&amp;"_"&amp;L$61,$B$23:$B$45&amp;"_"&amp;$C$23:$C$45,$D$23:$D$45)*$E2001)</f>
        <v>6</v>
      </c>
      <c r="M2001" s="67" cm="1">
        <f ca="1" t="array" ref="M2001">(1+SUMPRODUCT(G2001:H2001,OFFSET($H$49:$I$49,D2001,0)))*(1+OFFSET($J$49,D2001,0))^I2001*(1+OFFSET($K$49,D2001,0))^J2001*(1+OFFSET($L$49,D2001,0))^K2001*(1+OFFSET($M$49,D2001,0))^L2001</f>
        <v>541.756413290353</v>
      </c>
      <c r="N2001" s="67">
        <f ca="1">MAX(MAX($N$62:N2000),OFFSET($C$61,MATCH(M2001*1.07,$M$62:$M$2061,1),0)-C2001)</f>
        <v>56880</v>
      </c>
    </row>
    <row r="2002" spans="2:14">
      <c r="B2002" s="67">
        <v>1941</v>
      </c>
      <c r="C2002" s="67">
        <f t="shared" si="179"/>
        <v>698760</v>
      </c>
      <c r="D2002" s="67">
        <f t="shared" si="182"/>
        <v>5</v>
      </c>
      <c r="E2002" s="67">
        <f ca="1" t="shared" si="183"/>
        <v>1971</v>
      </c>
      <c r="F2002" s="67">
        <f ca="1" t="shared" si="180"/>
        <v>0</v>
      </c>
      <c r="G2002" s="67">
        <f ca="1" t="shared" si="181"/>
        <v>0</v>
      </c>
      <c r="H2002" s="67" cm="1">
        <f ca="1" t="array" ref="H2002">MIN(30-SUM(I2002:L2002),_xlfn.XLOOKUP($D2002&amp;"_"&amp;H$61,$B$23:$B$45&amp;"_"&amp;$C$23:$C$45,$D$23:$D$45)*$E2002,18)</f>
        <v>8.05386159169549</v>
      </c>
      <c r="I2002" s="67" cm="1">
        <f ca="1" t="array" ref="I2002">MIN(30-SUM(J2002:L2002),6-L2002,_xlfn.XLOOKUP($D2002&amp;"_"&amp;I$61,$B$23:$B$45&amp;"_"&amp;$C$23:$C$45,$D$23:$D$45)*$E2002)</f>
        <v>0</v>
      </c>
      <c r="J2002" s="67" cm="1">
        <f ca="1" t="array" ref="J2002">MIN(8,_xlfn.XLOOKUP($D2002&amp;"_"&amp;J$61,$B$23:$B$45&amp;"_"&amp;$C$23:$C$45,$D$23:$D$45)*$E2002)</f>
        <v>8</v>
      </c>
      <c r="K2002" s="67" cm="1">
        <f ca="1" t="array" ref="K2002">MIN(18,_xlfn.XLOOKUP($D2002&amp;"_"&amp;K$61,$B$23:$B$45&amp;"_"&amp;$C$23:$C$45,$D$23:$D$45)*$E2002)</f>
        <v>7.94613840830451</v>
      </c>
      <c r="L2002" s="67" cm="1">
        <f ca="1" t="array" ref="L2002">MIN(6,_xlfn.XLOOKUP($D2002&amp;"_"&amp;L$61,$B$23:$B$45&amp;"_"&amp;$C$23:$C$45,$D$23:$D$45)*$E2002)</f>
        <v>6</v>
      </c>
      <c r="M2002" s="67" cm="1">
        <f ca="1" t="array" ref="M2002">(1+SUMPRODUCT(G2002:H2002,OFFSET($H$49:$I$49,D2002,0)))*(1+OFFSET($J$49,D2002,0))^I2002*(1+OFFSET($K$49,D2002,0))^J2002*(1+OFFSET($L$49,D2002,0))^K2002*(1+OFFSET($M$49,D2002,0))^L2002</f>
        <v>541.987382934731</v>
      </c>
      <c r="N2002" s="67">
        <f ca="1">MAX(MAX($N$62:N2001),OFFSET($C$61,MATCH(M2002*1.07,$M$62:$M$2061,1),0)-C2002)</f>
        <v>56880</v>
      </c>
    </row>
    <row r="2003" spans="2:14">
      <c r="B2003" s="67">
        <v>1942</v>
      </c>
      <c r="C2003" s="67">
        <f t="shared" si="179"/>
        <v>699120</v>
      </c>
      <c r="D2003" s="67">
        <f t="shared" si="182"/>
        <v>5</v>
      </c>
      <c r="E2003" s="67">
        <f ca="1" t="shared" si="183"/>
        <v>1972</v>
      </c>
      <c r="F2003" s="67">
        <f ca="1" t="shared" si="180"/>
        <v>0</v>
      </c>
      <c r="G2003" s="67">
        <f ca="1" t="shared" si="181"/>
        <v>0</v>
      </c>
      <c r="H2003" s="67" cm="1">
        <f ca="1" t="array" ref="H2003">MIN(30-SUM(I2003:L2003),_xlfn.XLOOKUP($D2003&amp;"_"&amp;H$61,$B$23:$B$45&amp;"_"&amp;$C$23:$C$45,$D$23:$D$45)*$E2003,18)</f>
        <v>8.04983006535947</v>
      </c>
      <c r="I2003" s="67" cm="1">
        <f ca="1" t="array" ref="I2003">MIN(30-SUM(J2003:L2003),6-L2003,_xlfn.XLOOKUP($D2003&amp;"_"&amp;I$61,$B$23:$B$45&amp;"_"&amp;$C$23:$C$45,$D$23:$D$45)*$E2003)</f>
        <v>0</v>
      </c>
      <c r="J2003" s="67" cm="1">
        <f ca="1" t="array" ref="J2003">MIN(8,_xlfn.XLOOKUP($D2003&amp;"_"&amp;J$61,$B$23:$B$45&amp;"_"&amp;$C$23:$C$45,$D$23:$D$45)*$E2003)</f>
        <v>8</v>
      </c>
      <c r="K2003" s="67" cm="1">
        <f ca="1" t="array" ref="K2003">MIN(18,_xlfn.XLOOKUP($D2003&amp;"_"&amp;K$61,$B$23:$B$45&amp;"_"&amp;$C$23:$C$45,$D$23:$D$45)*$E2003)</f>
        <v>7.95016993464053</v>
      </c>
      <c r="L2003" s="67" cm="1">
        <f ca="1" t="array" ref="L2003">MIN(6,_xlfn.XLOOKUP($D2003&amp;"_"&amp;L$61,$B$23:$B$45&amp;"_"&amp;$C$23:$C$45,$D$23:$D$45)*$E2003)</f>
        <v>6</v>
      </c>
      <c r="M2003" s="67" cm="1">
        <f ca="1" t="array" ref="M2003">(1+SUMPRODUCT(G2003:H2003,OFFSET($H$49:$I$49,D2003,0)))*(1+OFFSET($J$49,D2003,0))^I2003*(1+OFFSET($K$49,D2003,0))^J2003*(1+OFFSET($L$49,D2003,0))^K2003*(1+OFFSET($M$49,D2003,0))^L2003</f>
        <v>542.218399332285</v>
      </c>
      <c r="N2003" s="67">
        <f ca="1">MAX(MAX($N$62:N2002),OFFSET($C$61,MATCH(M2003*1.07,$M$62:$M$2061,1),0)-C2003)</f>
        <v>56880</v>
      </c>
    </row>
    <row r="2004" spans="2:14">
      <c r="B2004" s="67">
        <v>1943</v>
      </c>
      <c r="C2004" s="67">
        <f t="shared" si="179"/>
        <v>699480</v>
      </c>
      <c r="D2004" s="67">
        <f t="shared" si="182"/>
        <v>5</v>
      </c>
      <c r="E2004" s="67">
        <f ca="1" t="shared" si="183"/>
        <v>1973</v>
      </c>
      <c r="F2004" s="67">
        <f ca="1" t="shared" si="180"/>
        <v>0</v>
      </c>
      <c r="G2004" s="67">
        <f ca="1" t="shared" si="181"/>
        <v>0</v>
      </c>
      <c r="H2004" s="67" cm="1">
        <f ca="1" t="array" ref="H2004">MIN(30-SUM(I2004:L2004),_xlfn.XLOOKUP($D2004&amp;"_"&amp;H$61,$B$23:$B$45&amp;"_"&amp;$C$23:$C$45,$D$23:$D$45)*$E2004,18)</f>
        <v>8.04579853902344</v>
      </c>
      <c r="I2004" s="67" cm="1">
        <f ca="1" t="array" ref="I2004">MIN(30-SUM(J2004:L2004),6-L2004,_xlfn.XLOOKUP($D2004&amp;"_"&amp;I$61,$B$23:$B$45&amp;"_"&amp;$C$23:$C$45,$D$23:$D$45)*$E2004)</f>
        <v>0</v>
      </c>
      <c r="J2004" s="67" cm="1">
        <f ca="1" t="array" ref="J2004">MIN(8,_xlfn.XLOOKUP($D2004&amp;"_"&amp;J$61,$B$23:$B$45&amp;"_"&amp;$C$23:$C$45,$D$23:$D$45)*$E2004)</f>
        <v>8</v>
      </c>
      <c r="K2004" s="67" cm="1">
        <f ca="1" t="array" ref="K2004">MIN(18,_xlfn.XLOOKUP($D2004&amp;"_"&amp;K$61,$B$23:$B$45&amp;"_"&amp;$C$23:$C$45,$D$23:$D$45)*$E2004)</f>
        <v>7.95420146097656</v>
      </c>
      <c r="L2004" s="67" cm="1">
        <f ca="1" t="array" ref="L2004">MIN(6,_xlfn.XLOOKUP($D2004&amp;"_"&amp;L$61,$B$23:$B$45&amp;"_"&amp;$C$23:$C$45,$D$23:$D$45)*$E2004)</f>
        <v>6</v>
      </c>
      <c r="M2004" s="67" cm="1">
        <f ca="1" t="array" ref="M2004">(1+SUMPRODUCT(G2004:H2004,OFFSET($H$49:$I$49,D2004,0)))*(1+OFFSET($J$49,D2004,0))^I2004*(1+OFFSET($K$49,D2004,0))^J2004*(1+OFFSET($L$49,D2004,0))^K2004*(1+OFFSET($M$49,D2004,0))^L2004</f>
        <v>542.449462426893</v>
      </c>
      <c r="N2004" s="67">
        <f ca="1">MAX(MAX($N$62:N2003),OFFSET($C$61,MATCH(M2004*1.07,$M$62:$M$2061,1),0)-C2004)</f>
        <v>56880</v>
      </c>
    </row>
    <row r="2005" spans="2:14">
      <c r="B2005" s="67">
        <v>1944</v>
      </c>
      <c r="C2005" s="67">
        <f t="shared" si="179"/>
        <v>699840</v>
      </c>
      <c r="D2005" s="67">
        <f t="shared" si="182"/>
        <v>5</v>
      </c>
      <c r="E2005" s="67">
        <f ca="1" t="shared" si="183"/>
        <v>1974</v>
      </c>
      <c r="F2005" s="67">
        <f ca="1" t="shared" si="180"/>
        <v>0</v>
      </c>
      <c r="G2005" s="67">
        <f ca="1" t="shared" si="181"/>
        <v>0</v>
      </c>
      <c r="H2005" s="67" cm="1">
        <f ca="1" t="array" ref="H2005">MIN(30-SUM(I2005:L2005),_xlfn.XLOOKUP($D2005&amp;"_"&amp;H$61,$B$23:$B$45&amp;"_"&amp;$C$23:$C$45,$D$23:$D$45)*$E2005,18)</f>
        <v>8.04176701268742</v>
      </c>
      <c r="I2005" s="67" cm="1">
        <f ca="1" t="array" ref="I2005">MIN(30-SUM(J2005:L2005),6-L2005,_xlfn.XLOOKUP($D2005&amp;"_"&amp;I$61,$B$23:$B$45&amp;"_"&amp;$C$23:$C$45,$D$23:$D$45)*$E2005)</f>
        <v>0</v>
      </c>
      <c r="J2005" s="67" cm="1">
        <f ca="1" t="array" ref="J2005">MIN(8,_xlfn.XLOOKUP($D2005&amp;"_"&amp;J$61,$B$23:$B$45&amp;"_"&amp;$C$23:$C$45,$D$23:$D$45)*$E2005)</f>
        <v>8</v>
      </c>
      <c r="K2005" s="67" cm="1">
        <f ca="1" t="array" ref="K2005">MIN(18,_xlfn.XLOOKUP($D2005&amp;"_"&amp;K$61,$B$23:$B$45&amp;"_"&amp;$C$23:$C$45,$D$23:$D$45)*$E2005)</f>
        <v>7.95823298731258</v>
      </c>
      <c r="L2005" s="67" cm="1">
        <f ca="1" t="array" ref="L2005">MIN(6,_xlfn.XLOOKUP($D2005&amp;"_"&amp;L$61,$B$23:$B$45&amp;"_"&amp;$C$23:$C$45,$D$23:$D$45)*$E2005)</f>
        <v>6</v>
      </c>
      <c r="M2005" s="67" cm="1">
        <f ca="1" t="array" ref="M2005">(1+SUMPRODUCT(G2005:H2005,OFFSET($H$49:$I$49,D2005,0)))*(1+OFFSET($J$49,D2005,0))^I2005*(1+OFFSET($K$49,D2005,0))^J2005*(1+OFFSET($L$49,D2005,0))^K2005*(1+OFFSET($M$49,D2005,0))^L2005</f>
        <v>542.680572162325</v>
      </c>
      <c r="N2005" s="67">
        <f ca="1">MAX(MAX($N$62:N2004),OFFSET($C$61,MATCH(M2005*1.07,$M$62:$M$2061,1),0)-C2005)</f>
        <v>56880</v>
      </c>
    </row>
    <row r="2006" spans="2:14">
      <c r="B2006" s="67">
        <v>1945</v>
      </c>
      <c r="C2006" s="67">
        <f t="shared" si="179"/>
        <v>700200</v>
      </c>
      <c r="D2006" s="67">
        <f t="shared" si="182"/>
        <v>5</v>
      </c>
      <c r="E2006" s="67">
        <f ca="1" t="shared" si="183"/>
        <v>1975</v>
      </c>
      <c r="F2006" s="67">
        <f ca="1" t="shared" si="180"/>
        <v>0</v>
      </c>
      <c r="G2006" s="67">
        <f ca="1" t="shared" si="181"/>
        <v>0</v>
      </c>
      <c r="H2006" s="67" cm="1">
        <f ca="1" t="array" ref="H2006">MIN(30-SUM(I2006:L2006),_xlfn.XLOOKUP($D2006&amp;"_"&amp;H$61,$B$23:$B$45&amp;"_"&amp;$C$23:$C$45,$D$23:$D$45)*$E2006,18)</f>
        <v>8.03773548635139</v>
      </c>
      <c r="I2006" s="67" cm="1">
        <f ca="1" t="array" ref="I2006">MIN(30-SUM(J2006:L2006),6-L2006,_xlfn.XLOOKUP($D2006&amp;"_"&amp;I$61,$B$23:$B$45&amp;"_"&amp;$C$23:$C$45,$D$23:$D$45)*$E2006)</f>
        <v>0</v>
      </c>
      <c r="J2006" s="67" cm="1">
        <f ca="1" t="array" ref="J2006">MIN(8,_xlfn.XLOOKUP($D2006&amp;"_"&amp;J$61,$B$23:$B$45&amp;"_"&amp;$C$23:$C$45,$D$23:$D$45)*$E2006)</f>
        <v>8</v>
      </c>
      <c r="K2006" s="67" cm="1">
        <f ca="1" t="array" ref="K2006">MIN(18,_xlfn.XLOOKUP($D2006&amp;"_"&amp;K$61,$B$23:$B$45&amp;"_"&amp;$C$23:$C$45,$D$23:$D$45)*$E2006)</f>
        <v>7.9622645136486</v>
      </c>
      <c r="L2006" s="67" cm="1">
        <f ca="1" t="array" ref="L2006">MIN(6,_xlfn.XLOOKUP($D2006&amp;"_"&amp;L$61,$B$23:$B$45&amp;"_"&amp;$C$23:$C$45,$D$23:$D$45)*$E2006)</f>
        <v>6</v>
      </c>
      <c r="M2006" s="67" cm="1">
        <f ca="1" t="array" ref="M2006">(1+SUMPRODUCT(G2006:H2006,OFFSET($H$49:$I$49,D2006,0)))*(1+OFFSET($J$49,D2006,0))^I2006*(1+OFFSET($K$49,D2006,0))^J2006*(1+OFFSET($L$49,D2006,0))^K2006*(1+OFFSET($M$49,D2006,0))^L2006</f>
        <v>542.91172848224</v>
      </c>
      <c r="N2006" s="67">
        <f ca="1">MAX(MAX($N$62:N2005),OFFSET($C$61,MATCH(M2006*1.07,$M$62:$M$2061,1),0)-C2006)</f>
        <v>56880</v>
      </c>
    </row>
    <row r="2007" spans="2:14">
      <c r="B2007" s="67">
        <v>1946</v>
      </c>
      <c r="C2007" s="67">
        <f t="shared" si="179"/>
        <v>700560</v>
      </c>
      <c r="D2007" s="67">
        <f t="shared" si="182"/>
        <v>5</v>
      </c>
      <c r="E2007" s="67">
        <f ca="1" t="shared" si="183"/>
        <v>1976</v>
      </c>
      <c r="F2007" s="67">
        <f ca="1" t="shared" si="180"/>
        <v>0</v>
      </c>
      <c r="G2007" s="67">
        <f ca="1" t="shared" si="181"/>
        <v>0</v>
      </c>
      <c r="H2007" s="67" cm="1">
        <f ca="1" t="array" ref="H2007">MIN(30-SUM(I2007:L2007),_xlfn.XLOOKUP($D2007&amp;"_"&amp;H$61,$B$23:$B$45&amp;"_"&amp;$C$23:$C$45,$D$23:$D$45)*$E2007,18)</f>
        <v>8.03370396001537</v>
      </c>
      <c r="I2007" s="67" cm="1">
        <f ca="1" t="array" ref="I2007">MIN(30-SUM(J2007:L2007),6-L2007,_xlfn.XLOOKUP($D2007&amp;"_"&amp;I$61,$B$23:$B$45&amp;"_"&amp;$C$23:$C$45,$D$23:$D$45)*$E2007)</f>
        <v>0</v>
      </c>
      <c r="J2007" s="67" cm="1">
        <f ca="1" t="array" ref="J2007">MIN(8,_xlfn.XLOOKUP($D2007&amp;"_"&amp;J$61,$B$23:$B$45&amp;"_"&amp;$C$23:$C$45,$D$23:$D$45)*$E2007)</f>
        <v>8</v>
      </c>
      <c r="K2007" s="67" cm="1">
        <f ca="1" t="array" ref="K2007">MIN(18,_xlfn.XLOOKUP($D2007&amp;"_"&amp;K$61,$B$23:$B$45&amp;"_"&amp;$C$23:$C$45,$D$23:$D$45)*$E2007)</f>
        <v>7.96629603998463</v>
      </c>
      <c r="L2007" s="67" cm="1">
        <f ca="1" t="array" ref="L2007">MIN(6,_xlfn.XLOOKUP($D2007&amp;"_"&amp;L$61,$B$23:$B$45&amp;"_"&amp;$C$23:$C$45,$D$23:$D$45)*$E2007)</f>
        <v>6</v>
      </c>
      <c r="M2007" s="67" cm="1">
        <f ca="1" t="array" ref="M2007">(1+SUMPRODUCT(G2007:H2007,OFFSET($H$49:$I$49,D2007,0)))*(1+OFFSET($J$49,D2007,0))^I2007*(1+OFFSET($K$49,D2007,0))^J2007*(1+OFFSET($L$49,D2007,0))^K2007*(1+OFFSET($M$49,D2007,0))^L2007</f>
        <v>543.142931330191</v>
      </c>
      <c r="N2007" s="67">
        <f ca="1">MAX(MAX($N$62:N2006),OFFSET($C$61,MATCH(M2007*1.07,$M$62:$M$2061,1),0)-C2007)</f>
        <v>56880</v>
      </c>
    </row>
    <row r="2008" spans="2:14">
      <c r="B2008" s="67">
        <v>1947</v>
      </c>
      <c r="C2008" s="67">
        <f t="shared" si="179"/>
        <v>700920</v>
      </c>
      <c r="D2008" s="67">
        <f t="shared" si="182"/>
        <v>5</v>
      </c>
      <c r="E2008" s="67">
        <f ca="1" t="shared" si="183"/>
        <v>1977</v>
      </c>
      <c r="F2008" s="67">
        <f ca="1" t="shared" si="180"/>
        <v>0</v>
      </c>
      <c r="G2008" s="67">
        <f ca="1" t="shared" si="181"/>
        <v>0</v>
      </c>
      <c r="H2008" s="67" cm="1">
        <f ca="1" t="array" ref="H2008">MIN(30-SUM(I2008:L2008),_xlfn.XLOOKUP($D2008&amp;"_"&amp;H$61,$B$23:$B$45&amp;"_"&amp;$C$23:$C$45,$D$23:$D$45)*$E2008,18)</f>
        <v>8.02967243367934</v>
      </c>
      <c r="I2008" s="67" cm="1">
        <f ca="1" t="array" ref="I2008">MIN(30-SUM(J2008:L2008),6-L2008,_xlfn.XLOOKUP($D2008&amp;"_"&amp;I$61,$B$23:$B$45&amp;"_"&amp;$C$23:$C$45,$D$23:$D$45)*$E2008)</f>
        <v>0</v>
      </c>
      <c r="J2008" s="67" cm="1">
        <f ca="1" t="array" ref="J2008">MIN(8,_xlfn.XLOOKUP($D2008&amp;"_"&amp;J$61,$B$23:$B$45&amp;"_"&amp;$C$23:$C$45,$D$23:$D$45)*$E2008)</f>
        <v>8</v>
      </c>
      <c r="K2008" s="67" cm="1">
        <f ca="1" t="array" ref="K2008">MIN(18,_xlfn.XLOOKUP($D2008&amp;"_"&amp;K$61,$B$23:$B$45&amp;"_"&amp;$C$23:$C$45,$D$23:$D$45)*$E2008)</f>
        <v>7.97032756632065</v>
      </c>
      <c r="L2008" s="67" cm="1">
        <f ca="1" t="array" ref="L2008">MIN(6,_xlfn.XLOOKUP($D2008&amp;"_"&amp;L$61,$B$23:$B$45&amp;"_"&amp;$C$23:$C$45,$D$23:$D$45)*$E2008)</f>
        <v>6</v>
      </c>
      <c r="M2008" s="67" cm="1">
        <f ca="1" t="array" ref="M2008">(1+SUMPRODUCT(G2008:H2008,OFFSET($H$49:$I$49,D2008,0)))*(1+OFFSET($J$49,D2008,0))^I2008*(1+OFFSET($K$49,D2008,0))^J2008*(1+OFFSET($L$49,D2008,0))^K2008*(1+OFFSET($M$49,D2008,0))^L2008</f>
        <v>543.374180649624</v>
      </c>
      <c r="N2008" s="67">
        <f ca="1">MAX(MAX($N$62:N2007),OFFSET($C$61,MATCH(M2008*1.07,$M$62:$M$2061,1),0)-C2008)</f>
        <v>56880</v>
      </c>
    </row>
    <row r="2009" spans="2:14">
      <c r="B2009" s="67">
        <v>1948</v>
      </c>
      <c r="C2009" s="67">
        <f t="shared" si="179"/>
        <v>701280</v>
      </c>
      <c r="D2009" s="67">
        <f t="shared" si="182"/>
        <v>5</v>
      </c>
      <c r="E2009" s="67">
        <f ca="1" t="shared" si="183"/>
        <v>1978</v>
      </c>
      <c r="F2009" s="67">
        <f ca="1" t="shared" si="180"/>
        <v>0</v>
      </c>
      <c r="G2009" s="67">
        <f ca="1" t="shared" si="181"/>
        <v>0</v>
      </c>
      <c r="H2009" s="67" cm="1">
        <f ca="1" t="array" ref="H2009">MIN(30-SUM(I2009:L2009),_xlfn.XLOOKUP($D2009&amp;"_"&amp;H$61,$B$23:$B$45&amp;"_"&amp;$C$23:$C$45,$D$23:$D$45)*$E2009,18)</f>
        <v>8.02564090734332</v>
      </c>
      <c r="I2009" s="67" cm="1">
        <f ca="1" t="array" ref="I2009">MIN(30-SUM(J2009:L2009),6-L2009,_xlfn.XLOOKUP($D2009&amp;"_"&amp;I$61,$B$23:$B$45&amp;"_"&amp;$C$23:$C$45,$D$23:$D$45)*$E2009)</f>
        <v>0</v>
      </c>
      <c r="J2009" s="67" cm="1">
        <f ca="1" t="array" ref="J2009">MIN(8,_xlfn.XLOOKUP($D2009&amp;"_"&amp;J$61,$B$23:$B$45&amp;"_"&amp;$C$23:$C$45,$D$23:$D$45)*$E2009)</f>
        <v>8</v>
      </c>
      <c r="K2009" s="67" cm="1">
        <f ca="1" t="array" ref="K2009">MIN(18,_xlfn.XLOOKUP($D2009&amp;"_"&amp;K$61,$B$23:$B$45&amp;"_"&amp;$C$23:$C$45,$D$23:$D$45)*$E2009)</f>
        <v>7.97435909265668</v>
      </c>
      <c r="L2009" s="67" cm="1">
        <f ca="1" t="array" ref="L2009">MIN(6,_xlfn.XLOOKUP($D2009&amp;"_"&amp;L$61,$B$23:$B$45&amp;"_"&amp;$C$23:$C$45,$D$23:$D$45)*$E2009)</f>
        <v>6</v>
      </c>
      <c r="M2009" s="67" cm="1">
        <f ca="1" t="array" ref="M2009">(1+SUMPRODUCT(G2009:H2009,OFFSET($H$49:$I$49,D2009,0)))*(1+OFFSET($J$49,D2009,0))^I2009*(1+OFFSET($K$49,D2009,0))^J2009*(1+OFFSET($L$49,D2009,0))^K2009*(1+OFFSET($M$49,D2009,0))^L2009</f>
        <v>543.605476383874</v>
      </c>
      <c r="N2009" s="67">
        <f ca="1">MAX(MAX($N$62:N2008),OFFSET($C$61,MATCH(M2009*1.07,$M$62:$M$2061,1),0)-C2009)</f>
        <v>56880</v>
      </c>
    </row>
    <row r="2010" spans="2:14">
      <c r="B2010" s="67">
        <v>1949</v>
      </c>
      <c r="C2010" s="67">
        <f t="shared" si="179"/>
        <v>701640</v>
      </c>
      <c r="D2010" s="67">
        <f t="shared" si="182"/>
        <v>5</v>
      </c>
      <c r="E2010" s="67">
        <f ca="1" t="shared" si="183"/>
        <v>1979</v>
      </c>
      <c r="F2010" s="67">
        <f ca="1" t="shared" si="180"/>
        <v>0</v>
      </c>
      <c r="G2010" s="67">
        <f ca="1" t="shared" si="181"/>
        <v>0</v>
      </c>
      <c r="H2010" s="67" cm="1">
        <f ca="1" t="array" ref="H2010">MIN(30-SUM(I2010:L2010),_xlfn.XLOOKUP($D2010&amp;"_"&amp;H$61,$B$23:$B$45&amp;"_"&amp;$C$23:$C$45,$D$23:$D$45)*$E2010,18)</f>
        <v>8.0216093810073</v>
      </c>
      <c r="I2010" s="67" cm="1">
        <f ca="1" t="array" ref="I2010">MIN(30-SUM(J2010:L2010),6-L2010,_xlfn.XLOOKUP($D2010&amp;"_"&amp;I$61,$B$23:$B$45&amp;"_"&amp;$C$23:$C$45,$D$23:$D$45)*$E2010)</f>
        <v>0</v>
      </c>
      <c r="J2010" s="67" cm="1">
        <f ca="1" t="array" ref="J2010">MIN(8,_xlfn.XLOOKUP($D2010&amp;"_"&amp;J$61,$B$23:$B$45&amp;"_"&amp;$C$23:$C$45,$D$23:$D$45)*$E2010)</f>
        <v>8</v>
      </c>
      <c r="K2010" s="67" cm="1">
        <f ca="1" t="array" ref="K2010">MIN(18,_xlfn.XLOOKUP($D2010&amp;"_"&amp;K$61,$B$23:$B$45&amp;"_"&amp;$C$23:$C$45,$D$23:$D$45)*$E2010)</f>
        <v>7.9783906189927</v>
      </c>
      <c r="L2010" s="67" cm="1">
        <f ca="1" t="array" ref="L2010">MIN(6,_xlfn.XLOOKUP($D2010&amp;"_"&amp;L$61,$B$23:$B$45&amp;"_"&amp;$C$23:$C$45,$D$23:$D$45)*$E2010)</f>
        <v>6</v>
      </c>
      <c r="M2010" s="67" cm="1">
        <f ca="1" t="array" ref="M2010">(1+SUMPRODUCT(G2010:H2010,OFFSET($H$49:$I$49,D2010,0)))*(1+OFFSET($J$49,D2010,0))^I2010*(1+OFFSET($K$49,D2010,0))^J2010*(1+OFFSET($L$49,D2010,0))^K2010*(1+OFFSET($M$49,D2010,0))^L2010</f>
        <v>543.83681847617</v>
      </c>
      <c r="N2010" s="67">
        <f ca="1">MAX(MAX($N$62:N2009),OFFSET($C$61,MATCH(M2010*1.07,$M$62:$M$2061,1),0)-C2010)</f>
        <v>56880</v>
      </c>
    </row>
    <row r="2011" spans="2:14">
      <c r="B2011" s="67">
        <v>1950</v>
      </c>
      <c r="C2011" s="67">
        <f t="shared" si="179"/>
        <v>702000</v>
      </c>
      <c r="D2011" s="67">
        <f t="shared" si="182"/>
        <v>5</v>
      </c>
      <c r="E2011" s="67">
        <f ca="1" t="shared" si="183"/>
        <v>1980</v>
      </c>
      <c r="F2011" s="67">
        <f ca="1" t="shared" si="180"/>
        <v>0</v>
      </c>
      <c r="G2011" s="67">
        <f ca="1" t="shared" si="181"/>
        <v>0</v>
      </c>
      <c r="H2011" s="67" cm="1">
        <f ca="1" t="array" ref="H2011">MIN(30-SUM(I2011:L2011),_xlfn.XLOOKUP($D2011&amp;"_"&amp;H$61,$B$23:$B$45&amp;"_"&amp;$C$23:$C$45,$D$23:$D$45)*$E2011,18)</f>
        <v>8.01757785467127</v>
      </c>
      <c r="I2011" s="67" cm="1">
        <f ca="1" t="array" ref="I2011">MIN(30-SUM(J2011:L2011),6-L2011,_xlfn.XLOOKUP($D2011&amp;"_"&amp;I$61,$B$23:$B$45&amp;"_"&amp;$C$23:$C$45,$D$23:$D$45)*$E2011)</f>
        <v>0</v>
      </c>
      <c r="J2011" s="67" cm="1">
        <f ca="1" t="array" ref="J2011">MIN(8,_xlfn.XLOOKUP($D2011&amp;"_"&amp;J$61,$B$23:$B$45&amp;"_"&amp;$C$23:$C$45,$D$23:$D$45)*$E2011)</f>
        <v>8</v>
      </c>
      <c r="K2011" s="67" cm="1">
        <f ca="1" t="array" ref="K2011">MIN(18,_xlfn.XLOOKUP($D2011&amp;"_"&amp;K$61,$B$23:$B$45&amp;"_"&amp;$C$23:$C$45,$D$23:$D$45)*$E2011)</f>
        <v>7.98242214532873</v>
      </c>
      <c r="L2011" s="67" cm="1">
        <f ca="1" t="array" ref="L2011">MIN(6,_xlfn.XLOOKUP($D2011&amp;"_"&amp;L$61,$B$23:$B$45&amp;"_"&amp;$C$23:$C$45,$D$23:$D$45)*$E2011)</f>
        <v>6</v>
      </c>
      <c r="M2011" s="67" cm="1">
        <f ca="1" t="array" ref="M2011">(1+SUMPRODUCT(G2011:H2011,OFFSET($H$49:$I$49,D2011,0)))*(1+OFFSET($J$49,D2011,0))^I2011*(1+OFFSET($K$49,D2011,0))^J2011*(1+OFFSET($L$49,D2011,0))^K2011*(1+OFFSET($M$49,D2011,0))^L2011</f>
        <v>544.06820686963</v>
      </c>
      <c r="N2011" s="67">
        <f ca="1">MAX(MAX($N$62:N2010),OFFSET($C$61,MATCH(M2011*1.07,$M$62:$M$2061,1),0)-C2011)</f>
        <v>56880</v>
      </c>
    </row>
    <row r="2012" spans="2:14">
      <c r="B2012" s="67">
        <v>1951</v>
      </c>
      <c r="C2012" s="67">
        <f t="shared" si="179"/>
        <v>702360</v>
      </c>
      <c r="D2012" s="67">
        <f t="shared" si="182"/>
        <v>5</v>
      </c>
      <c r="E2012" s="67">
        <f ca="1" t="shared" si="183"/>
        <v>1981</v>
      </c>
      <c r="F2012" s="67">
        <f ca="1" t="shared" si="180"/>
        <v>0</v>
      </c>
      <c r="G2012" s="67">
        <f ca="1" t="shared" si="181"/>
        <v>0</v>
      </c>
      <c r="H2012" s="67" cm="1">
        <f ca="1" t="array" ref="H2012">MIN(30-SUM(I2012:L2012),_xlfn.XLOOKUP($D2012&amp;"_"&amp;H$61,$B$23:$B$45&amp;"_"&amp;$C$23:$C$45,$D$23:$D$45)*$E2012,18)</f>
        <v>8.01354632833525</v>
      </c>
      <c r="I2012" s="67" cm="1">
        <f ca="1" t="array" ref="I2012">MIN(30-SUM(J2012:L2012),6-L2012,_xlfn.XLOOKUP($D2012&amp;"_"&amp;I$61,$B$23:$B$45&amp;"_"&amp;$C$23:$C$45,$D$23:$D$45)*$E2012)</f>
        <v>0</v>
      </c>
      <c r="J2012" s="67" cm="1">
        <f ca="1" t="array" ref="J2012">MIN(8,_xlfn.XLOOKUP($D2012&amp;"_"&amp;J$61,$B$23:$B$45&amp;"_"&amp;$C$23:$C$45,$D$23:$D$45)*$E2012)</f>
        <v>8</v>
      </c>
      <c r="K2012" s="67" cm="1">
        <f ca="1" t="array" ref="K2012">MIN(18,_xlfn.XLOOKUP($D2012&amp;"_"&amp;K$61,$B$23:$B$45&amp;"_"&amp;$C$23:$C$45,$D$23:$D$45)*$E2012)</f>
        <v>7.98645367166475</v>
      </c>
      <c r="L2012" s="67" cm="1">
        <f ca="1" t="array" ref="L2012">MIN(6,_xlfn.XLOOKUP($D2012&amp;"_"&amp;L$61,$B$23:$B$45&amp;"_"&amp;$C$23:$C$45,$D$23:$D$45)*$E2012)</f>
        <v>6</v>
      </c>
      <c r="M2012" s="67" cm="1">
        <f ca="1" t="array" ref="M2012">(1+SUMPRODUCT(G2012:H2012,OFFSET($H$49:$I$49,D2012,0)))*(1+OFFSET($J$49,D2012,0))^I2012*(1+OFFSET($K$49,D2012,0))^J2012*(1+OFFSET($L$49,D2012,0))^K2012*(1+OFFSET($M$49,D2012,0))^L2012</f>
        <v>544.299641507266</v>
      </c>
      <c r="N2012" s="67">
        <f ca="1">MAX(MAX($N$62:N2011),OFFSET($C$61,MATCH(M2012*1.07,$M$62:$M$2061,1),0)-C2012)</f>
        <v>56880</v>
      </c>
    </row>
    <row r="2013" spans="2:14">
      <c r="B2013" s="67">
        <v>1952</v>
      </c>
      <c r="C2013" s="67">
        <f t="shared" si="179"/>
        <v>702720</v>
      </c>
      <c r="D2013" s="67">
        <f t="shared" si="182"/>
        <v>5</v>
      </c>
      <c r="E2013" s="67">
        <f ca="1" t="shared" si="183"/>
        <v>1982</v>
      </c>
      <c r="F2013" s="67">
        <f ca="1" t="shared" si="180"/>
        <v>0</v>
      </c>
      <c r="G2013" s="67">
        <f ca="1" t="shared" si="181"/>
        <v>0</v>
      </c>
      <c r="H2013" s="67" cm="1">
        <f ca="1" t="array" ref="H2013">MIN(30-SUM(I2013:L2013),_xlfn.XLOOKUP($D2013&amp;"_"&amp;H$61,$B$23:$B$45&amp;"_"&amp;$C$23:$C$45,$D$23:$D$45)*$E2013,18)</f>
        <v>8.00951480199922</v>
      </c>
      <c r="I2013" s="67" cm="1">
        <f ca="1" t="array" ref="I2013">MIN(30-SUM(J2013:L2013),6-L2013,_xlfn.XLOOKUP($D2013&amp;"_"&amp;I$61,$B$23:$B$45&amp;"_"&amp;$C$23:$C$45,$D$23:$D$45)*$E2013)</f>
        <v>0</v>
      </c>
      <c r="J2013" s="67" cm="1">
        <f ca="1" t="array" ref="J2013">MIN(8,_xlfn.XLOOKUP($D2013&amp;"_"&amp;J$61,$B$23:$B$45&amp;"_"&amp;$C$23:$C$45,$D$23:$D$45)*$E2013)</f>
        <v>8</v>
      </c>
      <c r="K2013" s="67" cm="1">
        <f ca="1" t="array" ref="K2013">MIN(18,_xlfn.XLOOKUP($D2013&amp;"_"&amp;K$61,$B$23:$B$45&amp;"_"&amp;$C$23:$C$45,$D$23:$D$45)*$E2013)</f>
        <v>7.99048519800078</v>
      </c>
      <c r="L2013" s="67" cm="1">
        <f ca="1" t="array" ref="L2013">MIN(6,_xlfn.XLOOKUP($D2013&amp;"_"&amp;L$61,$B$23:$B$45&amp;"_"&amp;$C$23:$C$45,$D$23:$D$45)*$E2013)</f>
        <v>6</v>
      </c>
      <c r="M2013" s="67" cm="1">
        <f ca="1" t="array" ref="M2013">(1+SUMPRODUCT(G2013:H2013,OFFSET($H$49:$I$49,D2013,0)))*(1+OFFSET($J$49,D2013,0))^I2013*(1+OFFSET($K$49,D2013,0))^J2013*(1+OFFSET($L$49,D2013,0))^K2013*(1+OFFSET($M$49,D2013,0))^L2013</f>
        <v>544.531122331979</v>
      </c>
      <c r="N2013" s="67">
        <f ca="1">MAX(MAX($N$62:N2012),OFFSET($C$61,MATCH(M2013*1.07,$M$62:$M$2061,1),0)-C2013)</f>
        <v>56880</v>
      </c>
    </row>
    <row r="2014" spans="2:14">
      <c r="B2014" s="67">
        <v>1953</v>
      </c>
      <c r="C2014" s="67">
        <f t="shared" si="179"/>
        <v>703080</v>
      </c>
      <c r="D2014" s="67">
        <f t="shared" si="182"/>
        <v>5</v>
      </c>
      <c r="E2014" s="67">
        <f ca="1" t="shared" si="183"/>
        <v>1983</v>
      </c>
      <c r="F2014" s="67">
        <f ca="1" t="shared" si="180"/>
        <v>0</v>
      </c>
      <c r="G2014" s="67">
        <f ca="1" t="shared" si="181"/>
        <v>0</v>
      </c>
      <c r="H2014" s="67" cm="1">
        <f ca="1" t="array" ref="H2014">MIN(30-SUM(I2014:L2014),_xlfn.XLOOKUP($D2014&amp;"_"&amp;H$61,$B$23:$B$45&amp;"_"&amp;$C$23:$C$45,$D$23:$D$45)*$E2014,18)</f>
        <v>8.0054832756632</v>
      </c>
      <c r="I2014" s="67" cm="1">
        <f ca="1" t="array" ref="I2014">MIN(30-SUM(J2014:L2014),6-L2014,_xlfn.XLOOKUP($D2014&amp;"_"&amp;I$61,$B$23:$B$45&amp;"_"&amp;$C$23:$C$45,$D$23:$D$45)*$E2014)</f>
        <v>0</v>
      </c>
      <c r="J2014" s="67" cm="1">
        <f ca="1" t="array" ref="J2014">MIN(8,_xlfn.XLOOKUP($D2014&amp;"_"&amp;J$61,$B$23:$B$45&amp;"_"&amp;$C$23:$C$45,$D$23:$D$45)*$E2014)</f>
        <v>8</v>
      </c>
      <c r="K2014" s="67" cm="1">
        <f ca="1" t="array" ref="K2014">MIN(18,_xlfn.XLOOKUP($D2014&amp;"_"&amp;K$61,$B$23:$B$45&amp;"_"&amp;$C$23:$C$45,$D$23:$D$45)*$E2014)</f>
        <v>7.9945167243368</v>
      </c>
      <c r="L2014" s="67" cm="1">
        <f ca="1" t="array" ref="L2014">MIN(6,_xlfn.XLOOKUP($D2014&amp;"_"&amp;L$61,$B$23:$B$45&amp;"_"&amp;$C$23:$C$45,$D$23:$D$45)*$E2014)</f>
        <v>6</v>
      </c>
      <c r="M2014" s="67" cm="1">
        <f ca="1" t="array" ref="M2014">(1+SUMPRODUCT(G2014:H2014,OFFSET($H$49:$I$49,D2014,0)))*(1+OFFSET($J$49,D2014,0))^I2014*(1+OFFSET($K$49,D2014,0))^J2014*(1+OFFSET($L$49,D2014,0))^K2014*(1+OFFSET($M$49,D2014,0))^L2014</f>
        <v>544.762649286562</v>
      </c>
      <c r="N2014" s="67">
        <f ca="1">MAX(MAX($N$62:N2013),OFFSET($C$61,MATCH(M2014*1.07,$M$62:$M$2061,1),0)-C2014)</f>
        <v>56880</v>
      </c>
    </row>
    <row r="2015" spans="2:14">
      <c r="B2015" s="67">
        <v>1954</v>
      </c>
      <c r="C2015" s="67">
        <f t="shared" si="179"/>
        <v>703440</v>
      </c>
      <c r="D2015" s="67">
        <f t="shared" si="182"/>
        <v>5</v>
      </c>
      <c r="E2015" s="67">
        <f ca="1" t="shared" si="183"/>
        <v>1984</v>
      </c>
      <c r="F2015" s="67">
        <f ca="1" t="shared" si="180"/>
        <v>0</v>
      </c>
      <c r="G2015" s="67">
        <f ca="1" t="shared" si="181"/>
        <v>0</v>
      </c>
      <c r="H2015" s="67" cm="1">
        <f ca="1" t="array" ref="H2015">MIN(30-SUM(I2015:L2015),_xlfn.XLOOKUP($D2015&amp;"_"&amp;H$61,$B$23:$B$45&amp;"_"&amp;$C$23:$C$45,$D$23:$D$45)*$E2015,18)</f>
        <v>8.00145174932717</v>
      </c>
      <c r="I2015" s="67" cm="1">
        <f ca="1" t="array" ref="I2015">MIN(30-SUM(J2015:L2015),6-L2015,_xlfn.XLOOKUP($D2015&amp;"_"&amp;I$61,$B$23:$B$45&amp;"_"&amp;$C$23:$C$45,$D$23:$D$45)*$E2015)</f>
        <v>0</v>
      </c>
      <c r="J2015" s="67" cm="1">
        <f ca="1" t="array" ref="J2015">MIN(8,_xlfn.XLOOKUP($D2015&amp;"_"&amp;J$61,$B$23:$B$45&amp;"_"&amp;$C$23:$C$45,$D$23:$D$45)*$E2015)</f>
        <v>8</v>
      </c>
      <c r="K2015" s="67" cm="1">
        <f ca="1" t="array" ref="K2015">MIN(18,_xlfn.XLOOKUP($D2015&amp;"_"&amp;K$61,$B$23:$B$45&amp;"_"&amp;$C$23:$C$45,$D$23:$D$45)*$E2015)</f>
        <v>7.99854825067283</v>
      </c>
      <c r="L2015" s="67" cm="1">
        <f ca="1" t="array" ref="L2015">MIN(6,_xlfn.XLOOKUP($D2015&amp;"_"&amp;L$61,$B$23:$B$45&amp;"_"&amp;$C$23:$C$45,$D$23:$D$45)*$E2015)</f>
        <v>6</v>
      </c>
      <c r="M2015" s="67" cm="1">
        <f ca="1" t="array" ref="M2015">(1+SUMPRODUCT(G2015:H2015,OFFSET($H$49:$I$49,D2015,0)))*(1+OFFSET($J$49,D2015,0))^I2015*(1+OFFSET($K$49,D2015,0))^J2015*(1+OFFSET($L$49,D2015,0))^K2015*(1+OFFSET($M$49,D2015,0))^L2015</f>
        <v>544.994222313698</v>
      </c>
      <c r="N2015" s="67">
        <f ca="1">MAX(MAX($N$62:N2014),OFFSET($C$61,MATCH(M2015*1.07,$M$62:$M$2061,1),0)-C2015)</f>
        <v>56880</v>
      </c>
    </row>
    <row r="2016" spans="2:14">
      <c r="B2016" s="67">
        <v>1955</v>
      </c>
      <c r="C2016" s="67">
        <f t="shared" si="179"/>
        <v>703800</v>
      </c>
      <c r="D2016" s="67">
        <f t="shared" si="182"/>
        <v>5</v>
      </c>
      <c r="E2016" s="67">
        <f ca="1" t="shared" si="183"/>
        <v>1985</v>
      </c>
      <c r="F2016" s="67">
        <f ca="1" t="shared" si="180"/>
        <v>0</v>
      </c>
      <c r="G2016" s="67">
        <f ca="1" t="shared" si="181"/>
        <v>0</v>
      </c>
      <c r="H2016" s="67" cm="1">
        <f ca="1" t="array" ref="H2016">MIN(30-SUM(I2016:L2016),_xlfn.XLOOKUP($D2016&amp;"_"&amp;H$61,$B$23:$B$45&amp;"_"&amp;$C$23:$C$45,$D$23:$D$45)*$E2016,18)</f>
        <v>7.99742022299115</v>
      </c>
      <c r="I2016" s="67" cm="1">
        <f ca="1" t="array" ref="I2016">MIN(30-SUM(J2016:L2016),6-L2016,_xlfn.XLOOKUP($D2016&amp;"_"&amp;I$61,$B$23:$B$45&amp;"_"&amp;$C$23:$C$45,$D$23:$D$45)*$E2016)</f>
        <v>0</v>
      </c>
      <c r="J2016" s="67" cm="1">
        <f ca="1" t="array" ref="J2016">MIN(8,_xlfn.XLOOKUP($D2016&amp;"_"&amp;J$61,$B$23:$B$45&amp;"_"&amp;$C$23:$C$45,$D$23:$D$45)*$E2016)</f>
        <v>8</v>
      </c>
      <c r="K2016" s="67" cm="1">
        <f ca="1" t="array" ref="K2016">MIN(18,_xlfn.XLOOKUP($D2016&amp;"_"&amp;K$61,$B$23:$B$45&amp;"_"&amp;$C$23:$C$45,$D$23:$D$45)*$E2016)</f>
        <v>8.00257977700885</v>
      </c>
      <c r="L2016" s="67" cm="1">
        <f ca="1" t="array" ref="L2016">MIN(6,_xlfn.XLOOKUP($D2016&amp;"_"&amp;L$61,$B$23:$B$45&amp;"_"&amp;$C$23:$C$45,$D$23:$D$45)*$E2016)</f>
        <v>6</v>
      </c>
      <c r="M2016" s="67" cm="1">
        <f ca="1" t="array" ref="M2016">(1+SUMPRODUCT(G2016:H2016,OFFSET($H$49:$I$49,D2016,0)))*(1+OFFSET($J$49,D2016,0))^I2016*(1+OFFSET($K$49,D2016,0))^J2016*(1+OFFSET($L$49,D2016,0))^K2016*(1+OFFSET($M$49,D2016,0))^L2016</f>
        <v>545.225841355962</v>
      </c>
      <c r="N2016" s="67">
        <f ca="1">MAX(MAX($N$62:N2015),OFFSET($C$61,MATCH(M2016*1.07,$M$62:$M$2061,1),0)-C2016)</f>
        <v>56880</v>
      </c>
    </row>
    <row r="2017" spans="2:14">
      <c r="B2017" s="67">
        <v>1956</v>
      </c>
      <c r="C2017" s="67">
        <f t="shared" si="179"/>
        <v>704160</v>
      </c>
      <c r="D2017" s="67">
        <f t="shared" si="182"/>
        <v>5</v>
      </c>
      <c r="E2017" s="67">
        <f ca="1" t="shared" si="183"/>
        <v>1986</v>
      </c>
      <c r="F2017" s="67">
        <f ca="1" t="shared" si="180"/>
        <v>0</v>
      </c>
      <c r="G2017" s="67">
        <f ca="1" t="shared" si="181"/>
        <v>0</v>
      </c>
      <c r="H2017" s="67" cm="1">
        <f ca="1" t="array" ref="H2017">MIN(30-SUM(I2017:L2017),_xlfn.XLOOKUP($D2017&amp;"_"&amp;H$61,$B$23:$B$45&amp;"_"&amp;$C$23:$C$45,$D$23:$D$45)*$E2017,18)</f>
        <v>7.99338869665512</v>
      </c>
      <c r="I2017" s="67" cm="1">
        <f ca="1" t="array" ref="I2017">MIN(30-SUM(J2017:L2017),6-L2017,_xlfn.XLOOKUP($D2017&amp;"_"&amp;I$61,$B$23:$B$45&amp;"_"&amp;$C$23:$C$45,$D$23:$D$45)*$E2017)</f>
        <v>0</v>
      </c>
      <c r="J2017" s="67" cm="1">
        <f ca="1" t="array" ref="J2017">MIN(8,_xlfn.XLOOKUP($D2017&amp;"_"&amp;J$61,$B$23:$B$45&amp;"_"&amp;$C$23:$C$45,$D$23:$D$45)*$E2017)</f>
        <v>8</v>
      </c>
      <c r="K2017" s="67" cm="1">
        <f ca="1" t="array" ref="K2017">MIN(18,_xlfn.XLOOKUP($D2017&amp;"_"&amp;K$61,$B$23:$B$45&amp;"_"&amp;$C$23:$C$45,$D$23:$D$45)*$E2017)</f>
        <v>8.00661130334488</v>
      </c>
      <c r="L2017" s="67" cm="1">
        <f ca="1" t="array" ref="L2017">MIN(6,_xlfn.XLOOKUP($D2017&amp;"_"&amp;L$61,$B$23:$B$45&amp;"_"&amp;$C$23:$C$45,$D$23:$D$45)*$E2017)</f>
        <v>6</v>
      </c>
      <c r="M2017" s="67" cm="1">
        <f ca="1" t="array" ref="M2017">(1+SUMPRODUCT(G2017:H2017,OFFSET($H$49:$I$49,D2017,0)))*(1+OFFSET($J$49,D2017,0))^I2017*(1+OFFSET($K$49,D2017,0))^J2017*(1+OFFSET($L$49,D2017,0))^K2017*(1+OFFSET($M$49,D2017,0))^L2017</f>
        <v>545.45750635582</v>
      </c>
      <c r="N2017" s="67">
        <f ca="1">MAX(MAX($N$62:N2016),OFFSET($C$61,MATCH(M2017*1.07,$M$62:$M$2061,1),0)-C2017)</f>
        <v>56880</v>
      </c>
    </row>
    <row r="2018" spans="2:14">
      <c r="B2018" s="67">
        <v>1957</v>
      </c>
      <c r="C2018" s="67">
        <f t="shared" si="179"/>
        <v>704520</v>
      </c>
      <c r="D2018" s="67">
        <f t="shared" si="182"/>
        <v>5</v>
      </c>
      <c r="E2018" s="67">
        <f ca="1" t="shared" si="183"/>
        <v>1987</v>
      </c>
      <c r="F2018" s="67">
        <f ca="1" t="shared" si="180"/>
        <v>0</v>
      </c>
      <c r="G2018" s="67">
        <f ca="1" t="shared" si="181"/>
        <v>0</v>
      </c>
      <c r="H2018" s="67" cm="1">
        <f ca="1" t="array" ref="H2018">MIN(30-SUM(I2018:L2018),_xlfn.XLOOKUP($D2018&amp;"_"&amp;H$61,$B$23:$B$45&amp;"_"&amp;$C$23:$C$45,$D$23:$D$45)*$E2018,18)</f>
        <v>7.9893571703191</v>
      </c>
      <c r="I2018" s="67" cm="1">
        <f ca="1" t="array" ref="I2018">MIN(30-SUM(J2018:L2018),6-L2018,_xlfn.XLOOKUP($D2018&amp;"_"&amp;I$61,$B$23:$B$45&amp;"_"&amp;$C$23:$C$45,$D$23:$D$45)*$E2018)</f>
        <v>0</v>
      </c>
      <c r="J2018" s="67" cm="1">
        <f ca="1" t="array" ref="J2018">MIN(8,_xlfn.XLOOKUP($D2018&amp;"_"&amp;J$61,$B$23:$B$45&amp;"_"&amp;$C$23:$C$45,$D$23:$D$45)*$E2018)</f>
        <v>8</v>
      </c>
      <c r="K2018" s="67" cm="1">
        <f ca="1" t="array" ref="K2018">MIN(18,_xlfn.XLOOKUP($D2018&amp;"_"&amp;K$61,$B$23:$B$45&amp;"_"&amp;$C$23:$C$45,$D$23:$D$45)*$E2018)</f>
        <v>8.0106428296809</v>
      </c>
      <c r="L2018" s="67" cm="1">
        <f ca="1" t="array" ref="L2018">MIN(6,_xlfn.XLOOKUP($D2018&amp;"_"&amp;L$61,$B$23:$B$45&amp;"_"&amp;$C$23:$C$45,$D$23:$D$45)*$E2018)</f>
        <v>6</v>
      </c>
      <c r="M2018" s="67" cm="1">
        <f ca="1" t="array" ref="M2018">(1+SUMPRODUCT(G2018:H2018,OFFSET($H$49:$I$49,D2018,0)))*(1+OFFSET($J$49,D2018,0))^I2018*(1+OFFSET($K$49,D2018,0))^J2018*(1+OFFSET($L$49,D2018,0))^K2018*(1+OFFSET($M$49,D2018,0))^L2018</f>
        <v>545.689217255626</v>
      </c>
      <c r="N2018" s="67">
        <f ca="1">MAX(MAX($N$62:N2017),OFFSET($C$61,MATCH(M2018*1.07,$M$62:$M$2061,1),0)-C2018)</f>
        <v>56880</v>
      </c>
    </row>
    <row r="2019" spans="2:14">
      <c r="B2019" s="67">
        <v>1958</v>
      </c>
      <c r="C2019" s="67">
        <f t="shared" si="179"/>
        <v>704880</v>
      </c>
      <c r="D2019" s="67">
        <f t="shared" si="182"/>
        <v>5</v>
      </c>
      <c r="E2019" s="67">
        <f ca="1" t="shared" si="183"/>
        <v>1988</v>
      </c>
      <c r="F2019" s="67">
        <f ca="1" t="shared" si="180"/>
        <v>0</v>
      </c>
      <c r="G2019" s="67">
        <f ca="1" t="shared" si="181"/>
        <v>0</v>
      </c>
      <c r="H2019" s="67" cm="1">
        <f ca="1" t="array" ref="H2019">MIN(30-SUM(I2019:L2019),_xlfn.XLOOKUP($D2019&amp;"_"&amp;H$61,$B$23:$B$45&amp;"_"&amp;$C$23:$C$45,$D$23:$D$45)*$E2019,18)</f>
        <v>7.98532564398307</v>
      </c>
      <c r="I2019" s="67" cm="1">
        <f ca="1" t="array" ref="I2019">MIN(30-SUM(J2019:L2019),6-L2019,_xlfn.XLOOKUP($D2019&amp;"_"&amp;I$61,$B$23:$B$45&amp;"_"&amp;$C$23:$C$45,$D$23:$D$45)*$E2019)</f>
        <v>0</v>
      </c>
      <c r="J2019" s="67" cm="1">
        <f ca="1" t="array" ref="J2019">MIN(8,_xlfn.XLOOKUP($D2019&amp;"_"&amp;J$61,$B$23:$B$45&amp;"_"&amp;$C$23:$C$45,$D$23:$D$45)*$E2019)</f>
        <v>8</v>
      </c>
      <c r="K2019" s="67" cm="1">
        <f ca="1" t="array" ref="K2019">MIN(18,_xlfn.XLOOKUP($D2019&amp;"_"&amp;K$61,$B$23:$B$45&amp;"_"&amp;$C$23:$C$45,$D$23:$D$45)*$E2019)</f>
        <v>8.01467435601692</v>
      </c>
      <c r="L2019" s="67" cm="1">
        <f ca="1" t="array" ref="L2019">MIN(6,_xlfn.XLOOKUP($D2019&amp;"_"&amp;L$61,$B$23:$B$45&amp;"_"&amp;$C$23:$C$45,$D$23:$D$45)*$E2019)</f>
        <v>6</v>
      </c>
      <c r="M2019" s="67" cm="1">
        <f ca="1" t="array" ref="M2019">(1+SUMPRODUCT(G2019:H2019,OFFSET($H$49:$I$49,D2019,0)))*(1+OFFSET($J$49,D2019,0))^I2019*(1+OFFSET($K$49,D2019,0))^J2019*(1+OFFSET($L$49,D2019,0))^K2019*(1+OFFSET($M$49,D2019,0))^L2019</f>
        <v>545.920973997626</v>
      </c>
      <c r="N2019" s="67">
        <f ca="1">MAX(MAX($N$62:N2018),OFFSET($C$61,MATCH(M2019*1.07,$M$62:$M$2061,1),0)-C2019)</f>
        <v>56880</v>
      </c>
    </row>
    <row r="2020" spans="2:14">
      <c r="B2020" s="67">
        <v>1959</v>
      </c>
      <c r="C2020" s="67">
        <f t="shared" si="179"/>
        <v>705240</v>
      </c>
      <c r="D2020" s="67">
        <f t="shared" si="182"/>
        <v>5</v>
      </c>
      <c r="E2020" s="67">
        <f ca="1" t="shared" si="183"/>
        <v>1989</v>
      </c>
      <c r="F2020" s="67">
        <f ca="1" t="shared" si="180"/>
        <v>0</v>
      </c>
      <c r="G2020" s="67">
        <f ca="1" t="shared" si="181"/>
        <v>0</v>
      </c>
      <c r="H2020" s="67" cm="1">
        <f ca="1" t="array" ref="H2020">MIN(30-SUM(I2020:L2020),_xlfn.XLOOKUP($D2020&amp;"_"&amp;H$61,$B$23:$B$45&amp;"_"&amp;$C$23:$C$45,$D$23:$D$45)*$E2020,18)</f>
        <v>7.98129411764705</v>
      </c>
      <c r="I2020" s="67" cm="1">
        <f ca="1" t="array" ref="I2020">MIN(30-SUM(J2020:L2020),6-L2020,_xlfn.XLOOKUP($D2020&amp;"_"&amp;I$61,$B$23:$B$45&amp;"_"&amp;$C$23:$C$45,$D$23:$D$45)*$E2020)</f>
        <v>0</v>
      </c>
      <c r="J2020" s="67" cm="1">
        <f ca="1" t="array" ref="J2020">MIN(8,_xlfn.XLOOKUP($D2020&amp;"_"&amp;J$61,$B$23:$B$45&amp;"_"&amp;$C$23:$C$45,$D$23:$D$45)*$E2020)</f>
        <v>8</v>
      </c>
      <c r="K2020" s="67" cm="1">
        <f ca="1" t="array" ref="K2020">MIN(18,_xlfn.XLOOKUP($D2020&amp;"_"&amp;K$61,$B$23:$B$45&amp;"_"&amp;$C$23:$C$45,$D$23:$D$45)*$E2020)</f>
        <v>8.01870588235295</v>
      </c>
      <c r="L2020" s="67" cm="1">
        <f ca="1" t="array" ref="L2020">MIN(6,_xlfn.XLOOKUP($D2020&amp;"_"&amp;L$61,$B$23:$B$45&amp;"_"&amp;$C$23:$C$45,$D$23:$D$45)*$E2020)</f>
        <v>6</v>
      </c>
      <c r="M2020" s="67" cm="1">
        <f ca="1" t="array" ref="M2020">(1+SUMPRODUCT(G2020:H2020,OFFSET($H$49:$I$49,D2020,0)))*(1+OFFSET($J$49,D2020,0))^I2020*(1+OFFSET($K$49,D2020,0))^J2020*(1+OFFSET($L$49,D2020,0))^K2020*(1+OFFSET($M$49,D2020,0))^L2020</f>
        <v>546.152776523958</v>
      </c>
      <c r="N2020" s="67">
        <f ca="1">MAX(MAX($N$62:N2019),OFFSET($C$61,MATCH(M2020*1.07,$M$62:$M$2061,1),0)-C2020)</f>
        <v>56880</v>
      </c>
    </row>
    <row r="2021" spans="2:14">
      <c r="B2021" s="67">
        <v>1960</v>
      </c>
      <c r="C2021" s="67">
        <f t="shared" si="179"/>
        <v>705600</v>
      </c>
      <c r="D2021" s="67">
        <f t="shared" si="182"/>
        <v>5</v>
      </c>
      <c r="E2021" s="67">
        <f ca="1" t="shared" si="183"/>
        <v>1990</v>
      </c>
      <c r="F2021" s="67">
        <f ca="1" t="shared" si="180"/>
        <v>0</v>
      </c>
      <c r="G2021" s="67">
        <f ca="1" t="shared" si="181"/>
        <v>0</v>
      </c>
      <c r="H2021" s="67" cm="1">
        <f ca="1" t="array" ref="H2021">MIN(30-SUM(I2021:L2021),_xlfn.XLOOKUP($D2021&amp;"_"&amp;H$61,$B$23:$B$45&amp;"_"&amp;$C$23:$C$45,$D$23:$D$45)*$E2021,18)</f>
        <v>7.97726259131102</v>
      </c>
      <c r="I2021" s="67" cm="1">
        <f ca="1" t="array" ref="I2021">MIN(30-SUM(J2021:L2021),6-L2021,_xlfn.XLOOKUP($D2021&amp;"_"&amp;I$61,$B$23:$B$45&amp;"_"&amp;$C$23:$C$45,$D$23:$D$45)*$E2021)</f>
        <v>0</v>
      </c>
      <c r="J2021" s="67" cm="1">
        <f ca="1" t="array" ref="J2021">MIN(8,_xlfn.XLOOKUP($D2021&amp;"_"&amp;J$61,$B$23:$B$45&amp;"_"&amp;$C$23:$C$45,$D$23:$D$45)*$E2021)</f>
        <v>8</v>
      </c>
      <c r="K2021" s="67" cm="1">
        <f ca="1" t="array" ref="K2021">MIN(18,_xlfn.XLOOKUP($D2021&amp;"_"&amp;K$61,$B$23:$B$45&amp;"_"&amp;$C$23:$C$45,$D$23:$D$45)*$E2021)</f>
        <v>8.02273740868897</v>
      </c>
      <c r="L2021" s="67" cm="1">
        <f ca="1" t="array" ref="L2021">MIN(6,_xlfn.XLOOKUP($D2021&amp;"_"&amp;L$61,$B$23:$B$45&amp;"_"&amp;$C$23:$C$45,$D$23:$D$45)*$E2021)</f>
        <v>6</v>
      </c>
      <c r="M2021" s="67" cm="1">
        <f ca="1" t="array" ref="M2021">(1+SUMPRODUCT(G2021:H2021,OFFSET($H$49:$I$49,D2021,0)))*(1+OFFSET($J$49,D2021,0))^I2021*(1+OFFSET($K$49,D2021,0))^J2021*(1+OFFSET($L$49,D2021,0))^K2021*(1+OFFSET($M$49,D2021,0))^L2021</f>
        <v>546.384624776646</v>
      </c>
      <c r="N2021" s="67">
        <f ca="1">MAX(MAX($N$62:N2020),OFFSET($C$61,MATCH(M2021*1.07,$M$62:$M$2061,1),0)-C2021)</f>
        <v>56880</v>
      </c>
    </row>
    <row r="2022" spans="2:14">
      <c r="B2022" s="67">
        <v>1961</v>
      </c>
      <c r="C2022" s="67">
        <f t="shared" si="179"/>
        <v>705960</v>
      </c>
      <c r="D2022" s="67">
        <f t="shared" si="182"/>
        <v>5</v>
      </c>
      <c r="E2022" s="67">
        <f ca="1" t="shared" si="183"/>
        <v>1991</v>
      </c>
      <c r="F2022" s="67">
        <f ca="1" t="shared" si="180"/>
        <v>0</v>
      </c>
      <c r="G2022" s="67">
        <f ca="1" t="shared" si="181"/>
        <v>0</v>
      </c>
      <c r="H2022" s="67" cm="1">
        <f ca="1" t="array" ref="H2022">MIN(30-SUM(I2022:L2022),_xlfn.XLOOKUP($D2022&amp;"_"&amp;H$61,$B$23:$B$45&amp;"_"&amp;$C$23:$C$45,$D$23:$D$45)*$E2022,18)</f>
        <v>7.973231064975</v>
      </c>
      <c r="I2022" s="67" cm="1">
        <f ca="1" t="array" ref="I2022">MIN(30-SUM(J2022:L2022),6-L2022,_xlfn.XLOOKUP($D2022&amp;"_"&amp;I$61,$B$23:$B$45&amp;"_"&amp;$C$23:$C$45,$D$23:$D$45)*$E2022)</f>
        <v>0</v>
      </c>
      <c r="J2022" s="67" cm="1">
        <f ca="1" t="array" ref="J2022">MIN(8,_xlfn.XLOOKUP($D2022&amp;"_"&amp;J$61,$B$23:$B$45&amp;"_"&amp;$C$23:$C$45,$D$23:$D$45)*$E2022)</f>
        <v>8</v>
      </c>
      <c r="K2022" s="67" cm="1">
        <f ca="1" t="array" ref="K2022">MIN(18,_xlfn.XLOOKUP($D2022&amp;"_"&amp;K$61,$B$23:$B$45&amp;"_"&amp;$C$23:$C$45,$D$23:$D$45)*$E2022)</f>
        <v>8.026768935025</v>
      </c>
      <c r="L2022" s="67" cm="1">
        <f ca="1" t="array" ref="L2022">MIN(6,_xlfn.XLOOKUP($D2022&amp;"_"&amp;L$61,$B$23:$B$45&amp;"_"&amp;$C$23:$C$45,$D$23:$D$45)*$E2022)</f>
        <v>6</v>
      </c>
      <c r="M2022" s="67" cm="1">
        <f ca="1" t="array" ref="M2022">(1+SUMPRODUCT(G2022:H2022,OFFSET($H$49:$I$49,D2022,0)))*(1+OFFSET($J$49,D2022,0))^I2022*(1+OFFSET($K$49,D2022,0))^J2022*(1+OFFSET($L$49,D2022,0))^K2022*(1+OFFSET($M$49,D2022,0))^L2022</f>
        <v>546.616518697608</v>
      </c>
      <c r="N2022" s="67">
        <f ca="1">MAX(MAX($N$62:N2021),OFFSET($C$61,MATCH(M2022*1.07,$M$62:$M$2061,1),0)-C2022)</f>
        <v>56880</v>
      </c>
    </row>
    <row r="2023" spans="2:14">
      <c r="B2023" s="67">
        <v>1962</v>
      </c>
      <c r="C2023" s="67">
        <f t="shared" si="179"/>
        <v>706320</v>
      </c>
      <c r="D2023" s="67">
        <f t="shared" si="182"/>
        <v>5</v>
      </c>
      <c r="E2023" s="67">
        <f ca="1" t="shared" si="183"/>
        <v>1992</v>
      </c>
      <c r="F2023" s="67">
        <f ca="1" t="shared" si="180"/>
        <v>0</v>
      </c>
      <c r="G2023" s="67">
        <f ca="1" t="shared" si="181"/>
        <v>0</v>
      </c>
      <c r="H2023" s="67" cm="1">
        <f ca="1" t="array" ref="H2023">MIN(30-SUM(I2023:L2023),_xlfn.XLOOKUP($D2023&amp;"_"&amp;H$61,$B$23:$B$45&amp;"_"&amp;$C$23:$C$45,$D$23:$D$45)*$E2023,18)</f>
        <v>7.96919953863897</v>
      </c>
      <c r="I2023" s="67" cm="1">
        <f ca="1" t="array" ref="I2023">MIN(30-SUM(J2023:L2023),6-L2023,_xlfn.XLOOKUP($D2023&amp;"_"&amp;I$61,$B$23:$B$45&amp;"_"&amp;$C$23:$C$45,$D$23:$D$45)*$E2023)</f>
        <v>0</v>
      </c>
      <c r="J2023" s="67" cm="1">
        <f ca="1" t="array" ref="J2023">MIN(8,_xlfn.XLOOKUP($D2023&amp;"_"&amp;J$61,$B$23:$B$45&amp;"_"&amp;$C$23:$C$45,$D$23:$D$45)*$E2023)</f>
        <v>8</v>
      </c>
      <c r="K2023" s="67" cm="1">
        <f ca="1" t="array" ref="K2023">MIN(18,_xlfn.XLOOKUP($D2023&amp;"_"&amp;K$61,$B$23:$B$45&amp;"_"&amp;$C$23:$C$45,$D$23:$D$45)*$E2023)</f>
        <v>8.03080046136102</v>
      </c>
      <c r="L2023" s="67" cm="1">
        <f ca="1" t="array" ref="L2023">MIN(6,_xlfn.XLOOKUP($D2023&amp;"_"&amp;L$61,$B$23:$B$45&amp;"_"&amp;$C$23:$C$45,$D$23:$D$45)*$E2023)</f>
        <v>6</v>
      </c>
      <c r="M2023" s="67" cm="1">
        <f ca="1" t="array" ref="M2023">(1+SUMPRODUCT(G2023:H2023,OFFSET($H$49:$I$49,D2023,0)))*(1+OFFSET($J$49,D2023,0))^I2023*(1+OFFSET($K$49,D2023,0))^J2023*(1+OFFSET($L$49,D2023,0))^K2023*(1+OFFSET($M$49,D2023,0))^L2023</f>
        <v>546.84845822865</v>
      </c>
      <c r="N2023" s="67">
        <f ca="1">MAX(MAX($N$62:N2022),OFFSET($C$61,MATCH(M2023*1.07,$M$62:$M$2061,1),0)-C2023)</f>
        <v>56880</v>
      </c>
    </row>
    <row r="2024" spans="2:14">
      <c r="B2024" s="67">
        <v>1963</v>
      </c>
      <c r="C2024" s="67">
        <f t="shared" si="179"/>
        <v>706680</v>
      </c>
      <c r="D2024" s="67">
        <f t="shared" si="182"/>
        <v>5</v>
      </c>
      <c r="E2024" s="67">
        <f ca="1" t="shared" si="183"/>
        <v>1993</v>
      </c>
      <c r="F2024" s="67">
        <f ca="1" t="shared" si="180"/>
        <v>0</v>
      </c>
      <c r="G2024" s="67">
        <f ca="1" t="shared" si="181"/>
        <v>0</v>
      </c>
      <c r="H2024" s="67" cm="1">
        <f ca="1" t="array" ref="H2024">MIN(30-SUM(I2024:L2024),_xlfn.XLOOKUP($D2024&amp;"_"&amp;H$61,$B$23:$B$45&amp;"_"&amp;$C$23:$C$45,$D$23:$D$45)*$E2024,18)</f>
        <v>7.96516801230295</v>
      </c>
      <c r="I2024" s="67" cm="1">
        <f ca="1" t="array" ref="I2024">MIN(30-SUM(J2024:L2024),6-L2024,_xlfn.XLOOKUP($D2024&amp;"_"&amp;I$61,$B$23:$B$45&amp;"_"&amp;$C$23:$C$45,$D$23:$D$45)*$E2024)</f>
        <v>0</v>
      </c>
      <c r="J2024" s="67" cm="1">
        <f ca="1" t="array" ref="J2024">MIN(8,_xlfn.XLOOKUP($D2024&amp;"_"&amp;J$61,$B$23:$B$45&amp;"_"&amp;$C$23:$C$45,$D$23:$D$45)*$E2024)</f>
        <v>8</v>
      </c>
      <c r="K2024" s="67" cm="1">
        <f ca="1" t="array" ref="K2024">MIN(18,_xlfn.XLOOKUP($D2024&amp;"_"&amp;K$61,$B$23:$B$45&amp;"_"&amp;$C$23:$C$45,$D$23:$D$45)*$E2024)</f>
        <v>8.03483198769705</v>
      </c>
      <c r="L2024" s="67" cm="1">
        <f ca="1" t="array" ref="L2024">MIN(6,_xlfn.XLOOKUP($D2024&amp;"_"&amp;L$61,$B$23:$B$45&amp;"_"&amp;$C$23:$C$45,$D$23:$D$45)*$E2024)</f>
        <v>6</v>
      </c>
      <c r="M2024" s="67" cm="1">
        <f ca="1" t="array" ref="M2024">(1+SUMPRODUCT(G2024:H2024,OFFSET($H$49:$I$49,D2024,0)))*(1+OFFSET($J$49,D2024,0))^I2024*(1+OFFSET($K$49,D2024,0))^J2024*(1+OFFSET($L$49,D2024,0))^K2024*(1+OFFSET($M$49,D2024,0))^L2024</f>
        <v>547.080443311467</v>
      </c>
      <c r="N2024" s="67">
        <f ca="1">MAX(MAX($N$62:N2023),OFFSET($C$61,MATCH(M2024*1.07,$M$62:$M$2061,1),0)-C2024)</f>
        <v>56880</v>
      </c>
    </row>
    <row r="2025" spans="2:14">
      <c r="B2025" s="67">
        <v>1964</v>
      </c>
      <c r="C2025" s="67">
        <f t="shared" si="179"/>
        <v>707040</v>
      </c>
      <c r="D2025" s="67">
        <f t="shared" si="182"/>
        <v>5</v>
      </c>
      <c r="E2025" s="67">
        <f ca="1" t="shared" si="183"/>
        <v>1994</v>
      </c>
      <c r="F2025" s="67">
        <f ca="1" t="shared" si="180"/>
        <v>0</v>
      </c>
      <c r="G2025" s="67">
        <f ca="1" t="shared" si="181"/>
        <v>0</v>
      </c>
      <c r="H2025" s="67" cm="1">
        <f ca="1" t="array" ref="H2025">MIN(30-SUM(I2025:L2025),_xlfn.XLOOKUP($D2025&amp;"_"&amp;H$61,$B$23:$B$45&amp;"_"&amp;$C$23:$C$45,$D$23:$D$45)*$E2025,18)</f>
        <v>7.96113648596693</v>
      </c>
      <c r="I2025" s="67" cm="1">
        <f ca="1" t="array" ref="I2025">MIN(30-SUM(J2025:L2025),6-L2025,_xlfn.XLOOKUP($D2025&amp;"_"&amp;I$61,$B$23:$B$45&amp;"_"&amp;$C$23:$C$45,$D$23:$D$45)*$E2025)</f>
        <v>0</v>
      </c>
      <c r="J2025" s="67" cm="1">
        <f ca="1" t="array" ref="J2025">MIN(8,_xlfn.XLOOKUP($D2025&amp;"_"&amp;J$61,$B$23:$B$45&amp;"_"&amp;$C$23:$C$45,$D$23:$D$45)*$E2025)</f>
        <v>8</v>
      </c>
      <c r="K2025" s="67" cm="1">
        <f ca="1" t="array" ref="K2025">MIN(18,_xlfn.XLOOKUP($D2025&amp;"_"&amp;K$61,$B$23:$B$45&amp;"_"&amp;$C$23:$C$45,$D$23:$D$45)*$E2025)</f>
        <v>8.03886351403307</v>
      </c>
      <c r="L2025" s="67" cm="1">
        <f ca="1" t="array" ref="L2025">MIN(6,_xlfn.XLOOKUP($D2025&amp;"_"&amp;L$61,$B$23:$B$45&amp;"_"&amp;$C$23:$C$45,$D$23:$D$45)*$E2025)</f>
        <v>6</v>
      </c>
      <c r="M2025" s="67" cm="1">
        <f ca="1" t="array" ref="M2025">(1+SUMPRODUCT(G2025:H2025,OFFSET($H$49:$I$49,D2025,0)))*(1+OFFSET($J$49,D2025,0))^I2025*(1+OFFSET($K$49,D2025,0))^J2025*(1+OFFSET($L$49,D2025,0))^K2025*(1+OFFSET($M$49,D2025,0))^L2025</f>
        <v>547.312473887646</v>
      </c>
      <c r="N2025" s="67">
        <f ca="1">MAX(MAX($N$62:N2024),OFFSET($C$61,MATCH(M2025*1.07,$M$62:$M$2061,1),0)-C2025)</f>
        <v>56880</v>
      </c>
    </row>
    <row r="2026" spans="2:14">
      <c r="B2026" s="67">
        <v>1965</v>
      </c>
      <c r="C2026" s="67">
        <f t="shared" si="179"/>
        <v>707400</v>
      </c>
      <c r="D2026" s="67">
        <f t="shared" si="182"/>
        <v>5</v>
      </c>
      <c r="E2026" s="67">
        <f ca="1" t="shared" si="183"/>
        <v>1995</v>
      </c>
      <c r="F2026" s="67">
        <f ca="1" t="shared" si="180"/>
        <v>0</v>
      </c>
      <c r="G2026" s="67">
        <f ca="1" t="shared" si="181"/>
        <v>0</v>
      </c>
      <c r="H2026" s="67" cm="1">
        <f ca="1" t="array" ref="H2026">MIN(30-SUM(I2026:L2026),_xlfn.XLOOKUP($D2026&amp;"_"&amp;H$61,$B$23:$B$45&amp;"_"&amp;$C$23:$C$45,$D$23:$D$45)*$E2026,18)</f>
        <v>7.9571049596309</v>
      </c>
      <c r="I2026" s="67" cm="1">
        <f ca="1" t="array" ref="I2026">MIN(30-SUM(J2026:L2026),6-L2026,_xlfn.XLOOKUP($D2026&amp;"_"&amp;I$61,$B$23:$B$45&amp;"_"&amp;$C$23:$C$45,$D$23:$D$45)*$E2026)</f>
        <v>0</v>
      </c>
      <c r="J2026" s="67" cm="1">
        <f ca="1" t="array" ref="J2026">MIN(8,_xlfn.XLOOKUP($D2026&amp;"_"&amp;J$61,$B$23:$B$45&amp;"_"&amp;$C$23:$C$45,$D$23:$D$45)*$E2026)</f>
        <v>8</v>
      </c>
      <c r="K2026" s="67" cm="1">
        <f ca="1" t="array" ref="K2026">MIN(18,_xlfn.XLOOKUP($D2026&amp;"_"&amp;K$61,$B$23:$B$45&amp;"_"&amp;$C$23:$C$45,$D$23:$D$45)*$E2026)</f>
        <v>8.0428950403691</v>
      </c>
      <c r="L2026" s="67" cm="1">
        <f ca="1" t="array" ref="L2026">MIN(6,_xlfn.XLOOKUP($D2026&amp;"_"&amp;L$61,$B$23:$B$45&amp;"_"&amp;$C$23:$C$45,$D$23:$D$45)*$E2026)</f>
        <v>6</v>
      </c>
      <c r="M2026" s="67" cm="1">
        <f ca="1" t="array" ref="M2026">(1+SUMPRODUCT(G2026:H2026,OFFSET($H$49:$I$49,D2026,0)))*(1+OFFSET($J$49,D2026,0))^I2026*(1+OFFSET($K$49,D2026,0))^J2026*(1+OFFSET($L$49,D2026,0))^K2026*(1+OFFSET($M$49,D2026,0))^L2026</f>
        <v>547.54454989866</v>
      </c>
      <c r="N2026" s="67">
        <f ca="1">MAX(MAX($N$62:N2025),OFFSET($C$61,MATCH(M2026*1.07,$M$62:$M$2061,1),0)-C2026)</f>
        <v>56880</v>
      </c>
    </row>
    <row r="2027" spans="2:14">
      <c r="B2027" s="67">
        <v>1966</v>
      </c>
      <c r="C2027" s="67">
        <f t="shared" si="179"/>
        <v>707760</v>
      </c>
      <c r="D2027" s="67">
        <f t="shared" si="182"/>
        <v>5</v>
      </c>
      <c r="E2027" s="67">
        <f ca="1" t="shared" si="183"/>
        <v>1996</v>
      </c>
      <c r="F2027" s="67">
        <f ca="1" t="shared" si="180"/>
        <v>0</v>
      </c>
      <c r="G2027" s="67">
        <f ca="1" t="shared" si="181"/>
        <v>0</v>
      </c>
      <c r="H2027" s="67" cm="1">
        <f ca="1" t="array" ref="H2027">MIN(30-SUM(I2027:L2027),_xlfn.XLOOKUP($D2027&amp;"_"&amp;H$61,$B$23:$B$45&amp;"_"&amp;$C$23:$C$45,$D$23:$D$45)*$E2027,18)</f>
        <v>7.95307343329488</v>
      </c>
      <c r="I2027" s="67" cm="1">
        <f ca="1" t="array" ref="I2027">MIN(30-SUM(J2027:L2027),6-L2027,_xlfn.XLOOKUP($D2027&amp;"_"&amp;I$61,$B$23:$B$45&amp;"_"&amp;$C$23:$C$45,$D$23:$D$45)*$E2027)</f>
        <v>0</v>
      </c>
      <c r="J2027" s="67" cm="1">
        <f ca="1" t="array" ref="J2027">MIN(8,_xlfn.XLOOKUP($D2027&amp;"_"&amp;J$61,$B$23:$B$45&amp;"_"&amp;$C$23:$C$45,$D$23:$D$45)*$E2027)</f>
        <v>8</v>
      </c>
      <c r="K2027" s="67" cm="1">
        <f ca="1" t="array" ref="K2027">MIN(18,_xlfn.XLOOKUP($D2027&amp;"_"&amp;K$61,$B$23:$B$45&amp;"_"&amp;$C$23:$C$45,$D$23:$D$45)*$E2027)</f>
        <v>8.04692656670512</v>
      </c>
      <c r="L2027" s="67" cm="1">
        <f ca="1" t="array" ref="L2027">MIN(6,_xlfn.XLOOKUP($D2027&amp;"_"&amp;L$61,$B$23:$B$45&amp;"_"&amp;$C$23:$C$45,$D$23:$D$45)*$E2027)</f>
        <v>6</v>
      </c>
      <c r="M2027" s="67" cm="1">
        <f ca="1" t="array" ref="M2027">(1+SUMPRODUCT(G2027:H2027,OFFSET($H$49:$I$49,D2027,0)))*(1+OFFSET($J$49,D2027,0))^I2027*(1+OFFSET($K$49,D2027,0))^J2027*(1+OFFSET($L$49,D2027,0))^K2027*(1+OFFSET($M$49,D2027,0))^L2027</f>
        <v>547.776671285875</v>
      </c>
      <c r="N2027" s="67">
        <f ca="1">MAX(MAX($N$62:N2026),OFFSET($C$61,MATCH(M2027*1.07,$M$62:$M$2061,1),0)-C2027)</f>
        <v>56880</v>
      </c>
    </row>
    <row r="2028" spans="2:14">
      <c r="B2028" s="67">
        <v>1967</v>
      </c>
      <c r="C2028" s="67">
        <f t="shared" si="179"/>
        <v>708120</v>
      </c>
      <c r="D2028" s="67">
        <f t="shared" si="182"/>
        <v>5</v>
      </c>
      <c r="E2028" s="67">
        <f ca="1" t="shared" si="183"/>
        <v>1997</v>
      </c>
      <c r="F2028" s="67">
        <f ca="1" t="shared" si="180"/>
        <v>0</v>
      </c>
      <c r="G2028" s="67">
        <f ca="1" t="shared" si="181"/>
        <v>0</v>
      </c>
      <c r="H2028" s="67" cm="1">
        <f ca="1" t="array" ref="H2028">MIN(30-SUM(I2028:L2028),_xlfn.XLOOKUP($D2028&amp;"_"&amp;H$61,$B$23:$B$45&amp;"_"&amp;$C$23:$C$45,$D$23:$D$45)*$E2028,18)</f>
        <v>7.94904190695885</v>
      </c>
      <c r="I2028" s="67" cm="1">
        <f ca="1" t="array" ref="I2028">MIN(30-SUM(J2028:L2028),6-L2028,_xlfn.XLOOKUP($D2028&amp;"_"&amp;I$61,$B$23:$B$45&amp;"_"&amp;$C$23:$C$45,$D$23:$D$45)*$E2028)</f>
        <v>0</v>
      </c>
      <c r="J2028" s="67" cm="1">
        <f ca="1" t="array" ref="J2028">MIN(8,_xlfn.XLOOKUP($D2028&amp;"_"&amp;J$61,$B$23:$B$45&amp;"_"&amp;$C$23:$C$45,$D$23:$D$45)*$E2028)</f>
        <v>8</v>
      </c>
      <c r="K2028" s="67" cm="1">
        <f ca="1" t="array" ref="K2028">MIN(18,_xlfn.XLOOKUP($D2028&amp;"_"&amp;K$61,$B$23:$B$45&amp;"_"&amp;$C$23:$C$45,$D$23:$D$45)*$E2028)</f>
        <v>8.05095809304115</v>
      </c>
      <c r="L2028" s="67" cm="1">
        <f ca="1" t="array" ref="L2028">MIN(6,_xlfn.XLOOKUP($D2028&amp;"_"&amp;L$61,$B$23:$B$45&amp;"_"&amp;$C$23:$C$45,$D$23:$D$45)*$E2028)</f>
        <v>6</v>
      </c>
      <c r="M2028" s="67" cm="1">
        <f ca="1" t="array" ref="M2028">(1+SUMPRODUCT(G2028:H2028,OFFSET($H$49:$I$49,D2028,0)))*(1+OFFSET($J$49,D2028,0))^I2028*(1+OFFSET($K$49,D2028,0))^J2028*(1+OFFSET($L$49,D2028,0))^K2028*(1+OFFSET($M$49,D2028,0))^L2028</f>
        <v>548.008837990544</v>
      </c>
      <c r="N2028" s="67">
        <f ca="1">MAX(MAX($N$62:N2027),OFFSET($C$61,MATCH(M2028*1.07,$M$62:$M$2061,1),0)-C2028)</f>
        <v>56880</v>
      </c>
    </row>
    <row r="2029" spans="2:14">
      <c r="B2029" s="67">
        <v>1968</v>
      </c>
      <c r="C2029" s="67">
        <f t="shared" si="179"/>
        <v>708480</v>
      </c>
      <c r="D2029" s="67">
        <f t="shared" si="182"/>
        <v>5</v>
      </c>
      <c r="E2029" s="67">
        <f ca="1" t="shared" si="183"/>
        <v>1998</v>
      </c>
      <c r="F2029" s="67">
        <f ca="1" t="shared" si="180"/>
        <v>0</v>
      </c>
      <c r="G2029" s="67">
        <f ca="1" t="shared" si="181"/>
        <v>0</v>
      </c>
      <c r="H2029" s="67" cm="1">
        <f ca="1" t="array" ref="H2029">MIN(30-SUM(I2029:L2029),_xlfn.XLOOKUP($D2029&amp;"_"&amp;H$61,$B$23:$B$45&amp;"_"&amp;$C$23:$C$45,$D$23:$D$45)*$E2029,18)</f>
        <v>7.94501038062283</v>
      </c>
      <c r="I2029" s="67" cm="1">
        <f ca="1" t="array" ref="I2029">MIN(30-SUM(J2029:L2029),6-L2029,_xlfn.XLOOKUP($D2029&amp;"_"&amp;I$61,$B$23:$B$45&amp;"_"&amp;$C$23:$C$45,$D$23:$D$45)*$E2029)</f>
        <v>0</v>
      </c>
      <c r="J2029" s="67" cm="1">
        <f ca="1" t="array" ref="J2029">MIN(8,_xlfn.XLOOKUP($D2029&amp;"_"&amp;J$61,$B$23:$B$45&amp;"_"&amp;$C$23:$C$45,$D$23:$D$45)*$E2029)</f>
        <v>8</v>
      </c>
      <c r="K2029" s="67" cm="1">
        <f ca="1" t="array" ref="K2029">MIN(18,_xlfn.XLOOKUP($D2029&amp;"_"&amp;K$61,$B$23:$B$45&amp;"_"&amp;$C$23:$C$45,$D$23:$D$45)*$E2029)</f>
        <v>8.05498961937717</v>
      </c>
      <c r="L2029" s="67" cm="1">
        <f ca="1" t="array" ref="L2029">MIN(6,_xlfn.XLOOKUP($D2029&amp;"_"&amp;L$61,$B$23:$B$45&amp;"_"&amp;$C$23:$C$45,$D$23:$D$45)*$E2029)</f>
        <v>6</v>
      </c>
      <c r="M2029" s="67" cm="1">
        <f ca="1" t="array" ref="M2029">(1+SUMPRODUCT(G2029:H2029,OFFSET($H$49:$I$49,D2029,0)))*(1+OFFSET($J$49,D2029,0))^I2029*(1+OFFSET($K$49,D2029,0))^J2029*(1+OFFSET($L$49,D2029,0))^K2029*(1+OFFSET($M$49,D2029,0))^L2029</f>
        <v>548.241049953809</v>
      </c>
      <c r="N2029" s="67">
        <f ca="1">MAX(MAX($N$62:N2028),OFFSET($C$61,MATCH(M2029*1.07,$M$62:$M$2061,1),0)-C2029)</f>
        <v>56880</v>
      </c>
    </row>
    <row r="2030" spans="2:14">
      <c r="B2030" s="67">
        <v>1969</v>
      </c>
      <c r="C2030" s="67">
        <f t="shared" ref="C2030:C2061" si="184">C2029+360</f>
        <v>708840</v>
      </c>
      <c r="D2030" s="67">
        <f t="shared" si="182"/>
        <v>5</v>
      </c>
      <c r="E2030" s="67">
        <f ca="1" t="shared" si="183"/>
        <v>1999</v>
      </c>
      <c r="F2030" s="67">
        <f ca="1" t="shared" ref="F2030:F2061" si="185">30-SUM(G2030:L2030)</f>
        <v>0</v>
      </c>
      <c r="G2030" s="67">
        <f ca="1" t="shared" ref="G2030:G2061" si="186">30-SUM(H2030:L2030)</f>
        <v>0</v>
      </c>
      <c r="H2030" s="67" cm="1">
        <f ca="1" t="array" ref="H2030">MIN(30-SUM(I2030:L2030),_xlfn.XLOOKUP($D2030&amp;"_"&amp;H$61,$B$23:$B$45&amp;"_"&amp;$C$23:$C$45,$D$23:$D$45)*$E2030,18)</f>
        <v>7.9409788542868</v>
      </c>
      <c r="I2030" s="67" cm="1">
        <f ca="1" t="array" ref="I2030">MIN(30-SUM(J2030:L2030),6-L2030,_xlfn.XLOOKUP($D2030&amp;"_"&amp;I$61,$B$23:$B$45&amp;"_"&amp;$C$23:$C$45,$D$23:$D$45)*$E2030)</f>
        <v>0</v>
      </c>
      <c r="J2030" s="67" cm="1">
        <f ca="1" t="array" ref="J2030">MIN(8,_xlfn.XLOOKUP($D2030&amp;"_"&amp;J$61,$B$23:$B$45&amp;"_"&amp;$C$23:$C$45,$D$23:$D$45)*$E2030)</f>
        <v>8</v>
      </c>
      <c r="K2030" s="67" cm="1">
        <f ca="1" t="array" ref="K2030">MIN(18,_xlfn.XLOOKUP($D2030&amp;"_"&amp;K$61,$B$23:$B$45&amp;"_"&amp;$C$23:$C$45,$D$23:$D$45)*$E2030)</f>
        <v>8.0590211457132</v>
      </c>
      <c r="L2030" s="67" cm="1">
        <f ca="1" t="array" ref="L2030">MIN(6,_xlfn.XLOOKUP($D2030&amp;"_"&amp;L$61,$B$23:$B$45&amp;"_"&amp;$C$23:$C$45,$D$23:$D$45)*$E2030)</f>
        <v>6</v>
      </c>
      <c r="M2030" s="67" cm="1">
        <f ca="1" t="array" ref="M2030">(1+SUMPRODUCT(G2030:H2030,OFFSET($H$49:$I$49,D2030,0)))*(1+OFFSET($J$49,D2030,0))^I2030*(1+OFFSET($K$49,D2030,0))^J2030*(1+OFFSET($L$49,D2030,0))^K2030*(1+OFFSET($M$49,D2030,0))^L2030</f>
        <v>548.473307116702</v>
      </c>
      <c r="N2030" s="67">
        <f ca="1">MAX(MAX($N$62:N2029),OFFSET($C$61,MATCH(M2030*1.07,$M$62:$M$2061,1),0)-C2030)</f>
        <v>56880</v>
      </c>
    </row>
    <row r="2031" spans="2:14">
      <c r="B2031" s="67">
        <v>1970</v>
      </c>
      <c r="C2031" s="67">
        <f t="shared" si="184"/>
        <v>709200</v>
      </c>
      <c r="D2031" s="67">
        <f t="shared" si="182"/>
        <v>5</v>
      </c>
      <c r="E2031" s="67">
        <f ca="1" t="shared" si="183"/>
        <v>2000</v>
      </c>
      <c r="F2031" s="67">
        <f ca="1" t="shared" si="185"/>
        <v>0</v>
      </c>
      <c r="G2031" s="67">
        <f ca="1" t="shared" si="186"/>
        <v>0</v>
      </c>
      <c r="H2031" s="67" cm="1">
        <f ca="1" t="array" ref="H2031">MIN(30-SUM(I2031:L2031),_xlfn.XLOOKUP($D2031&amp;"_"&amp;H$61,$B$23:$B$45&amp;"_"&amp;$C$23:$C$45,$D$23:$D$45)*$E2031,18)</f>
        <v>7.93694732795078</v>
      </c>
      <c r="I2031" s="67" cm="1">
        <f ca="1" t="array" ref="I2031">MIN(30-SUM(J2031:L2031),6-L2031,_xlfn.XLOOKUP($D2031&amp;"_"&amp;I$61,$B$23:$B$45&amp;"_"&amp;$C$23:$C$45,$D$23:$D$45)*$E2031)</f>
        <v>0</v>
      </c>
      <c r="J2031" s="67" cm="1">
        <f ca="1" t="array" ref="J2031">MIN(8,_xlfn.XLOOKUP($D2031&amp;"_"&amp;J$61,$B$23:$B$45&amp;"_"&amp;$C$23:$C$45,$D$23:$D$45)*$E2031)</f>
        <v>8</v>
      </c>
      <c r="K2031" s="67" cm="1">
        <f ca="1" t="array" ref="K2031">MIN(18,_xlfn.XLOOKUP($D2031&amp;"_"&amp;K$61,$B$23:$B$45&amp;"_"&amp;$C$23:$C$45,$D$23:$D$45)*$E2031)</f>
        <v>8.06305267204922</v>
      </c>
      <c r="L2031" s="67" cm="1">
        <f ca="1" t="array" ref="L2031">MIN(6,_xlfn.XLOOKUP($D2031&amp;"_"&amp;L$61,$B$23:$B$45&amp;"_"&amp;$C$23:$C$45,$D$23:$D$45)*$E2031)</f>
        <v>6</v>
      </c>
      <c r="M2031" s="67" cm="1">
        <f ca="1" t="array" ref="M2031">(1+SUMPRODUCT(G2031:H2031,OFFSET($H$49:$I$49,D2031,0)))*(1+OFFSET($J$49,D2031,0))^I2031*(1+OFFSET($K$49,D2031,0))^J2031*(1+OFFSET($L$49,D2031,0))^K2031*(1+OFFSET($M$49,D2031,0))^L2031</f>
        <v>548.705609420144</v>
      </c>
      <c r="N2031" s="67">
        <f ca="1">MAX(MAX($N$62:N2030),OFFSET($C$61,MATCH(M2031*1.07,$M$62:$M$2061,1),0)-C2031)</f>
        <v>56880</v>
      </c>
    </row>
    <row r="2032" spans="2:14">
      <c r="B2032" s="67">
        <v>1971</v>
      </c>
      <c r="C2032" s="67">
        <f t="shared" si="184"/>
        <v>709560</v>
      </c>
      <c r="D2032" s="67">
        <f t="shared" si="182"/>
        <v>5</v>
      </c>
      <c r="E2032" s="67">
        <f ca="1" t="shared" si="183"/>
        <v>2001</v>
      </c>
      <c r="F2032" s="67">
        <f ca="1" t="shared" si="185"/>
        <v>0</v>
      </c>
      <c r="G2032" s="67">
        <f ca="1" t="shared" si="186"/>
        <v>0</v>
      </c>
      <c r="H2032" s="67" cm="1">
        <f ca="1" t="array" ref="H2032">MIN(30-SUM(I2032:L2032),_xlfn.XLOOKUP($D2032&amp;"_"&amp;H$61,$B$23:$B$45&amp;"_"&amp;$C$23:$C$45,$D$23:$D$45)*$E2032,18)</f>
        <v>7.93291580161475</v>
      </c>
      <c r="I2032" s="67" cm="1">
        <f ca="1" t="array" ref="I2032">MIN(30-SUM(J2032:L2032),6-L2032,_xlfn.XLOOKUP($D2032&amp;"_"&amp;I$61,$B$23:$B$45&amp;"_"&amp;$C$23:$C$45,$D$23:$D$45)*$E2032)</f>
        <v>0</v>
      </c>
      <c r="J2032" s="67" cm="1">
        <f ca="1" t="array" ref="J2032">MIN(8,_xlfn.XLOOKUP($D2032&amp;"_"&amp;J$61,$B$23:$B$45&amp;"_"&amp;$C$23:$C$45,$D$23:$D$45)*$E2032)</f>
        <v>8</v>
      </c>
      <c r="K2032" s="67" cm="1">
        <f ca="1" t="array" ref="K2032">MIN(18,_xlfn.XLOOKUP($D2032&amp;"_"&amp;K$61,$B$23:$B$45&amp;"_"&amp;$C$23:$C$45,$D$23:$D$45)*$E2032)</f>
        <v>8.06708419838524</v>
      </c>
      <c r="L2032" s="67" cm="1">
        <f ca="1" t="array" ref="L2032">MIN(6,_xlfn.XLOOKUP($D2032&amp;"_"&amp;L$61,$B$23:$B$45&amp;"_"&amp;$C$23:$C$45,$D$23:$D$45)*$E2032)</f>
        <v>6</v>
      </c>
      <c r="M2032" s="67" cm="1">
        <f ca="1" t="array" ref="M2032">(1+SUMPRODUCT(G2032:H2032,OFFSET($H$49:$I$49,D2032,0)))*(1+OFFSET($J$49,D2032,0))^I2032*(1+OFFSET($K$49,D2032,0))^J2032*(1+OFFSET($L$49,D2032,0))^K2032*(1+OFFSET($M$49,D2032,0))^L2032</f>
        <v>548.937956804943</v>
      </c>
      <c r="N2032" s="67">
        <f ca="1">MAX(MAX($N$62:N2031),OFFSET($C$61,MATCH(M2032*1.07,$M$62:$M$2061,1),0)-C2032)</f>
        <v>56880</v>
      </c>
    </row>
    <row r="2033" spans="2:14">
      <c r="B2033" s="67">
        <v>1972</v>
      </c>
      <c r="C2033" s="67">
        <f t="shared" si="184"/>
        <v>709920</v>
      </c>
      <c r="D2033" s="67">
        <f t="shared" si="182"/>
        <v>5</v>
      </c>
      <c r="E2033" s="67">
        <f ca="1" t="shared" si="183"/>
        <v>2002</v>
      </c>
      <c r="F2033" s="67">
        <f ca="1" t="shared" si="185"/>
        <v>0</v>
      </c>
      <c r="G2033" s="67">
        <f ca="1" t="shared" si="186"/>
        <v>0</v>
      </c>
      <c r="H2033" s="67" cm="1">
        <f ca="1" t="array" ref="H2033">MIN(30-SUM(I2033:L2033),_xlfn.XLOOKUP($D2033&amp;"_"&amp;H$61,$B$23:$B$45&amp;"_"&amp;$C$23:$C$45,$D$23:$D$45)*$E2033,18)</f>
        <v>7.92888427527873</v>
      </c>
      <c r="I2033" s="67" cm="1">
        <f ca="1" t="array" ref="I2033">MIN(30-SUM(J2033:L2033),6-L2033,_xlfn.XLOOKUP($D2033&amp;"_"&amp;I$61,$B$23:$B$45&amp;"_"&amp;$C$23:$C$45,$D$23:$D$45)*$E2033)</f>
        <v>0</v>
      </c>
      <c r="J2033" s="67" cm="1">
        <f ca="1" t="array" ref="J2033">MIN(8,_xlfn.XLOOKUP($D2033&amp;"_"&amp;J$61,$B$23:$B$45&amp;"_"&amp;$C$23:$C$45,$D$23:$D$45)*$E2033)</f>
        <v>8</v>
      </c>
      <c r="K2033" s="67" cm="1">
        <f ca="1" t="array" ref="K2033">MIN(18,_xlfn.XLOOKUP($D2033&amp;"_"&amp;K$61,$B$23:$B$45&amp;"_"&amp;$C$23:$C$45,$D$23:$D$45)*$E2033)</f>
        <v>8.07111572472127</v>
      </c>
      <c r="L2033" s="67" cm="1">
        <f ca="1" t="array" ref="L2033">MIN(6,_xlfn.XLOOKUP($D2033&amp;"_"&amp;L$61,$B$23:$B$45&amp;"_"&amp;$C$23:$C$45,$D$23:$D$45)*$E2033)</f>
        <v>6</v>
      </c>
      <c r="M2033" s="67" cm="1">
        <f ca="1" t="array" ref="M2033">(1+SUMPRODUCT(G2033:H2033,OFFSET($H$49:$I$49,D2033,0)))*(1+OFFSET($J$49,D2033,0))^I2033*(1+OFFSET($K$49,D2033,0))^J2033*(1+OFFSET($L$49,D2033,0))^K2033*(1+OFFSET($M$49,D2033,0))^L2033</f>
        <v>549.170349211798</v>
      </c>
      <c r="N2033" s="67">
        <f ca="1">MAX(MAX($N$62:N2032),OFFSET($C$61,MATCH(M2033*1.07,$M$62:$M$2061,1),0)-C2033)</f>
        <v>56880</v>
      </c>
    </row>
    <row r="2034" spans="2:14">
      <c r="B2034" s="67">
        <v>1973</v>
      </c>
      <c r="C2034" s="67">
        <f t="shared" si="184"/>
        <v>710280</v>
      </c>
      <c r="D2034" s="67">
        <f t="shared" si="182"/>
        <v>5</v>
      </c>
      <c r="E2034" s="67">
        <f ca="1" t="shared" si="183"/>
        <v>2003</v>
      </c>
      <c r="F2034" s="67">
        <f ca="1" t="shared" si="185"/>
        <v>0</v>
      </c>
      <c r="G2034" s="67">
        <f ca="1" t="shared" si="186"/>
        <v>0</v>
      </c>
      <c r="H2034" s="67" cm="1">
        <f ca="1" t="array" ref="H2034">MIN(30-SUM(I2034:L2034),_xlfn.XLOOKUP($D2034&amp;"_"&amp;H$61,$B$23:$B$45&amp;"_"&amp;$C$23:$C$45,$D$23:$D$45)*$E2034,18)</f>
        <v>7.9248527489427</v>
      </c>
      <c r="I2034" s="67" cm="1">
        <f ca="1" t="array" ref="I2034">MIN(30-SUM(J2034:L2034),6-L2034,_xlfn.XLOOKUP($D2034&amp;"_"&amp;I$61,$B$23:$B$45&amp;"_"&amp;$C$23:$C$45,$D$23:$D$45)*$E2034)</f>
        <v>0</v>
      </c>
      <c r="J2034" s="67" cm="1">
        <f ca="1" t="array" ref="J2034">MIN(8,_xlfn.XLOOKUP($D2034&amp;"_"&amp;J$61,$B$23:$B$45&amp;"_"&amp;$C$23:$C$45,$D$23:$D$45)*$E2034)</f>
        <v>8</v>
      </c>
      <c r="K2034" s="67" cm="1">
        <f ca="1" t="array" ref="K2034">MIN(18,_xlfn.XLOOKUP($D2034&amp;"_"&amp;K$61,$B$23:$B$45&amp;"_"&amp;$C$23:$C$45,$D$23:$D$45)*$E2034)</f>
        <v>8.07514725105729</v>
      </c>
      <c r="L2034" s="67" cm="1">
        <f ca="1" t="array" ref="L2034">MIN(6,_xlfn.XLOOKUP($D2034&amp;"_"&amp;L$61,$B$23:$B$45&amp;"_"&amp;$C$23:$C$45,$D$23:$D$45)*$E2034)</f>
        <v>6</v>
      </c>
      <c r="M2034" s="67" cm="1">
        <f ca="1" t="array" ref="M2034">(1+SUMPRODUCT(G2034:H2034,OFFSET($H$49:$I$49,D2034,0)))*(1+OFFSET($J$49,D2034,0))^I2034*(1+OFFSET($K$49,D2034,0))^J2034*(1+OFFSET($L$49,D2034,0))^K2034*(1+OFFSET($M$49,D2034,0))^L2034</f>
        <v>549.402786581293</v>
      </c>
      <c r="N2034" s="67">
        <f ca="1">MAX(MAX($N$62:N2033),OFFSET($C$61,MATCH(M2034*1.07,$M$62:$M$2061,1),0)-C2034)</f>
        <v>56880</v>
      </c>
    </row>
    <row r="2035" spans="2:14">
      <c r="B2035" s="67">
        <v>1974</v>
      </c>
      <c r="C2035" s="67">
        <f t="shared" si="184"/>
        <v>710640</v>
      </c>
      <c r="D2035" s="67">
        <f t="shared" si="182"/>
        <v>5</v>
      </c>
      <c r="E2035" s="67">
        <f ca="1" t="shared" si="183"/>
        <v>2004</v>
      </c>
      <c r="F2035" s="67">
        <f ca="1" t="shared" si="185"/>
        <v>0</v>
      </c>
      <c r="G2035" s="67">
        <f ca="1" t="shared" si="186"/>
        <v>0</v>
      </c>
      <c r="H2035" s="67" cm="1">
        <f ca="1" t="array" ref="H2035">MIN(30-SUM(I2035:L2035),_xlfn.XLOOKUP($D2035&amp;"_"&amp;H$61,$B$23:$B$45&amp;"_"&amp;$C$23:$C$45,$D$23:$D$45)*$E2035,18)</f>
        <v>7.92082122260668</v>
      </c>
      <c r="I2035" s="67" cm="1">
        <f ca="1" t="array" ref="I2035">MIN(30-SUM(J2035:L2035),6-L2035,_xlfn.XLOOKUP($D2035&amp;"_"&amp;I$61,$B$23:$B$45&amp;"_"&amp;$C$23:$C$45,$D$23:$D$45)*$E2035)</f>
        <v>0</v>
      </c>
      <c r="J2035" s="67" cm="1">
        <f ca="1" t="array" ref="J2035">MIN(8,_xlfn.XLOOKUP($D2035&amp;"_"&amp;J$61,$B$23:$B$45&amp;"_"&amp;$C$23:$C$45,$D$23:$D$45)*$E2035)</f>
        <v>8</v>
      </c>
      <c r="K2035" s="67" cm="1">
        <f ca="1" t="array" ref="K2035">MIN(18,_xlfn.XLOOKUP($D2035&amp;"_"&amp;K$61,$B$23:$B$45&amp;"_"&amp;$C$23:$C$45,$D$23:$D$45)*$E2035)</f>
        <v>8.07917877739332</v>
      </c>
      <c r="L2035" s="67" cm="1">
        <f ca="1" t="array" ref="L2035">MIN(6,_xlfn.XLOOKUP($D2035&amp;"_"&amp;L$61,$B$23:$B$45&amp;"_"&amp;$C$23:$C$45,$D$23:$D$45)*$E2035)</f>
        <v>6</v>
      </c>
      <c r="M2035" s="67" cm="1">
        <f ca="1" t="array" ref="M2035">(1+SUMPRODUCT(G2035:H2035,OFFSET($H$49:$I$49,D2035,0)))*(1+OFFSET($J$49,D2035,0))^I2035*(1+OFFSET($K$49,D2035,0))^J2035*(1+OFFSET($L$49,D2035,0))^K2035*(1+OFFSET($M$49,D2035,0))^L2035</f>
        <v>549.635268853903</v>
      </c>
      <c r="N2035" s="67">
        <f ca="1">MAX(MAX($N$62:N2034),OFFSET($C$61,MATCH(M2035*1.07,$M$62:$M$2061,1),0)-C2035)</f>
        <v>56880</v>
      </c>
    </row>
    <row r="2036" spans="2:14">
      <c r="B2036" s="67">
        <v>1975</v>
      </c>
      <c r="C2036" s="67">
        <f t="shared" si="184"/>
        <v>711000</v>
      </c>
      <c r="D2036" s="67">
        <f t="shared" si="182"/>
        <v>5</v>
      </c>
      <c r="E2036" s="67">
        <f ca="1" t="shared" si="183"/>
        <v>2005</v>
      </c>
      <c r="F2036" s="67">
        <f ca="1" t="shared" si="185"/>
        <v>0</v>
      </c>
      <c r="G2036" s="67">
        <f ca="1" t="shared" si="186"/>
        <v>0</v>
      </c>
      <c r="H2036" s="67" cm="1">
        <f ca="1" t="array" ref="H2036">MIN(30-SUM(I2036:L2036),_xlfn.XLOOKUP($D2036&amp;"_"&amp;H$61,$B$23:$B$45&amp;"_"&amp;$C$23:$C$45,$D$23:$D$45)*$E2036,18)</f>
        <v>7.91678969627065</v>
      </c>
      <c r="I2036" s="67" cm="1">
        <f ca="1" t="array" ref="I2036">MIN(30-SUM(J2036:L2036),6-L2036,_xlfn.XLOOKUP($D2036&amp;"_"&amp;I$61,$B$23:$B$45&amp;"_"&amp;$C$23:$C$45,$D$23:$D$45)*$E2036)</f>
        <v>0</v>
      </c>
      <c r="J2036" s="67" cm="1">
        <f ca="1" t="array" ref="J2036">MIN(8,_xlfn.XLOOKUP($D2036&amp;"_"&amp;J$61,$B$23:$B$45&amp;"_"&amp;$C$23:$C$45,$D$23:$D$45)*$E2036)</f>
        <v>8</v>
      </c>
      <c r="K2036" s="67" cm="1">
        <f ca="1" t="array" ref="K2036">MIN(18,_xlfn.XLOOKUP($D2036&amp;"_"&amp;K$61,$B$23:$B$45&amp;"_"&amp;$C$23:$C$45,$D$23:$D$45)*$E2036)</f>
        <v>8.08321030372934</v>
      </c>
      <c r="L2036" s="67" cm="1">
        <f ca="1" t="array" ref="L2036">MIN(6,_xlfn.XLOOKUP($D2036&amp;"_"&amp;L$61,$B$23:$B$45&amp;"_"&amp;$C$23:$C$45,$D$23:$D$45)*$E2036)</f>
        <v>6</v>
      </c>
      <c r="M2036" s="67" cm="1">
        <f ca="1" t="array" ref="M2036">(1+SUMPRODUCT(G2036:H2036,OFFSET($H$49:$I$49,D2036,0)))*(1+OFFSET($J$49,D2036,0))^I2036*(1+OFFSET($K$49,D2036,0))^J2036*(1+OFFSET($L$49,D2036,0))^K2036*(1+OFFSET($M$49,D2036,0))^L2036</f>
        <v>549.867795969991</v>
      </c>
      <c r="N2036" s="67">
        <f ca="1">MAX(MAX($N$62:N2035),OFFSET($C$61,MATCH(M2036*1.07,$M$62:$M$2061,1),0)-C2036)</f>
        <v>56880</v>
      </c>
    </row>
    <row r="2037" spans="2:14">
      <c r="B2037" s="67">
        <v>1976</v>
      </c>
      <c r="C2037" s="67">
        <f t="shared" si="184"/>
        <v>711360</v>
      </c>
      <c r="D2037" s="67">
        <f t="shared" si="182"/>
        <v>5</v>
      </c>
      <c r="E2037" s="67">
        <f ca="1" t="shared" si="183"/>
        <v>2006</v>
      </c>
      <c r="F2037" s="67">
        <f ca="1" t="shared" si="185"/>
        <v>0</v>
      </c>
      <c r="G2037" s="67">
        <f ca="1" t="shared" si="186"/>
        <v>0</v>
      </c>
      <c r="H2037" s="67" cm="1">
        <f ca="1" t="array" ref="H2037">MIN(30-SUM(I2037:L2037),_xlfn.XLOOKUP($D2037&amp;"_"&amp;H$61,$B$23:$B$45&amp;"_"&amp;$C$23:$C$45,$D$23:$D$45)*$E2037,18)</f>
        <v>7.91275816993463</v>
      </c>
      <c r="I2037" s="67" cm="1">
        <f ca="1" t="array" ref="I2037">MIN(30-SUM(J2037:L2037),6-L2037,_xlfn.XLOOKUP($D2037&amp;"_"&amp;I$61,$B$23:$B$45&amp;"_"&amp;$C$23:$C$45,$D$23:$D$45)*$E2037)</f>
        <v>0</v>
      </c>
      <c r="J2037" s="67" cm="1">
        <f ca="1" t="array" ref="J2037">MIN(8,_xlfn.XLOOKUP($D2037&amp;"_"&amp;J$61,$B$23:$B$45&amp;"_"&amp;$C$23:$C$45,$D$23:$D$45)*$E2037)</f>
        <v>8</v>
      </c>
      <c r="K2037" s="67" cm="1">
        <f ca="1" t="array" ref="K2037">MIN(18,_xlfn.XLOOKUP($D2037&amp;"_"&amp;K$61,$B$23:$B$45&amp;"_"&amp;$C$23:$C$45,$D$23:$D$45)*$E2037)</f>
        <v>8.08724183006537</v>
      </c>
      <c r="L2037" s="67" cm="1">
        <f ca="1" t="array" ref="L2037">MIN(6,_xlfn.XLOOKUP($D2037&amp;"_"&amp;L$61,$B$23:$B$45&amp;"_"&amp;$C$23:$C$45,$D$23:$D$45)*$E2037)</f>
        <v>6</v>
      </c>
      <c r="M2037" s="67" cm="1">
        <f ca="1" t="array" ref="M2037">(1+SUMPRODUCT(G2037:H2037,OFFSET($H$49:$I$49,D2037,0)))*(1+OFFSET($J$49,D2037,0))^I2037*(1+OFFSET($K$49,D2037,0))^J2037*(1+OFFSET($L$49,D2037,0))^K2037*(1+OFFSET($M$49,D2037,0))^L2037</f>
        <v>550.100367869807</v>
      </c>
      <c r="N2037" s="67">
        <f ca="1">MAX(MAX($N$62:N2036),OFFSET($C$61,MATCH(M2037*1.07,$M$62:$M$2061,1),0)-C2037)</f>
        <v>56880</v>
      </c>
    </row>
    <row r="2038" spans="2:14">
      <c r="B2038" s="67">
        <v>1977</v>
      </c>
      <c r="C2038" s="67">
        <f t="shared" si="184"/>
        <v>711720</v>
      </c>
      <c r="D2038" s="67">
        <f t="shared" si="182"/>
        <v>5</v>
      </c>
      <c r="E2038" s="67">
        <f ca="1" t="shared" si="183"/>
        <v>2007</v>
      </c>
      <c r="F2038" s="67">
        <f ca="1" t="shared" si="185"/>
        <v>0</v>
      </c>
      <c r="G2038" s="67">
        <f ca="1" t="shared" si="186"/>
        <v>0</v>
      </c>
      <c r="H2038" s="67" cm="1">
        <f ca="1" t="array" ref="H2038">MIN(30-SUM(I2038:L2038),_xlfn.XLOOKUP($D2038&amp;"_"&amp;H$61,$B$23:$B$45&amp;"_"&amp;$C$23:$C$45,$D$23:$D$45)*$E2038,18)</f>
        <v>7.90872664359861</v>
      </c>
      <c r="I2038" s="67" cm="1">
        <f ca="1" t="array" ref="I2038">MIN(30-SUM(J2038:L2038),6-L2038,_xlfn.XLOOKUP($D2038&amp;"_"&amp;I$61,$B$23:$B$45&amp;"_"&amp;$C$23:$C$45,$D$23:$D$45)*$E2038)</f>
        <v>0</v>
      </c>
      <c r="J2038" s="67" cm="1">
        <f ca="1" t="array" ref="J2038">MIN(8,_xlfn.XLOOKUP($D2038&amp;"_"&amp;J$61,$B$23:$B$45&amp;"_"&amp;$C$23:$C$45,$D$23:$D$45)*$E2038)</f>
        <v>8</v>
      </c>
      <c r="K2038" s="67" cm="1">
        <f ca="1" t="array" ref="K2038">MIN(18,_xlfn.XLOOKUP($D2038&amp;"_"&amp;K$61,$B$23:$B$45&amp;"_"&amp;$C$23:$C$45,$D$23:$D$45)*$E2038)</f>
        <v>8.09127335640139</v>
      </c>
      <c r="L2038" s="67" cm="1">
        <f ca="1" t="array" ref="L2038">MIN(6,_xlfn.XLOOKUP($D2038&amp;"_"&amp;L$61,$B$23:$B$45&amp;"_"&amp;$C$23:$C$45,$D$23:$D$45)*$E2038)</f>
        <v>6</v>
      </c>
      <c r="M2038" s="67" cm="1">
        <f ca="1" t="array" ref="M2038">(1+SUMPRODUCT(G2038:H2038,OFFSET($H$49:$I$49,D2038,0)))*(1+OFFSET($J$49,D2038,0))^I2038*(1+OFFSET($K$49,D2038,0))^J2038*(1+OFFSET($L$49,D2038,0))^K2038*(1+OFFSET($M$49,D2038,0))^L2038</f>
        <v>550.332984493489</v>
      </c>
      <c r="N2038" s="67">
        <f ca="1">MAX(MAX($N$62:N2037),OFFSET($C$61,MATCH(M2038*1.07,$M$62:$M$2061,1),0)-C2038)</f>
        <v>56880</v>
      </c>
    </row>
    <row r="2039" spans="2:14">
      <c r="B2039" s="67">
        <v>1978</v>
      </c>
      <c r="C2039" s="67">
        <f t="shared" si="184"/>
        <v>712080</v>
      </c>
      <c r="D2039" s="67">
        <f t="shared" si="182"/>
        <v>5</v>
      </c>
      <c r="E2039" s="67">
        <f ca="1" t="shared" si="183"/>
        <v>2008</v>
      </c>
      <c r="F2039" s="67">
        <f ca="1" t="shared" si="185"/>
        <v>0</v>
      </c>
      <c r="G2039" s="67">
        <f ca="1" t="shared" si="186"/>
        <v>0</v>
      </c>
      <c r="H2039" s="67" cm="1">
        <f ca="1" t="array" ref="H2039">MIN(30-SUM(I2039:L2039),_xlfn.XLOOKUP($D2039&amp;"_"&amp;H$61,$B$23:$B$45&amp;"_"&amp;$C$23:$C$45,$D$23:$D$45)*$E2039,18)</f>
        <v>7.90469511726258</v>
      </c>
      <c r="I2039" s="67" cm="1">
        <f ca="1" t="array" ref="I2039">MIN(30-SUM(J2039:L2039),6-L2039,_xlfn.XLOOKUP($D2039&amp;"_"&amp;I$61,$B$23:$B$45&amp;"_"&amp;$C$23:$C$45,$D$23:$D$45)*$E2039)</f>
        <v>0</v>
      </c>
      <c r="J2039" s="67" cm="1">
        <f ca="1" t="array" ref="J2039">MIN(8,_xlfn.XLOOKUP($D2039&amp;"_"&amp;J$61,$B$23:$B$45&amp;"_"&amp;$C$23:$C$45,$D$23:$D$45)*$E2039)</f>
        <v>8</v>
      </c>
      <c r="K2039" s="67" cm="1">
        <f ca="1" t="array" ref="K2039">MIN(18,_xlfn.XLOOKUP($D2039&amp;"_"&amp;K$61,$B$23:$B$45&amp;"_"&amp;$C$23:$C$45,$D$23:$D$45)*$E2039)</f>
        <v>8.09530488273742</v>
      </c>
      <c r="L2039" s="67" cm="1">
        <f ca="1" t="array" ref="L2039">MIN(6,_xlfn.XLOOKUP($D2039&amp;"_"&amp;L$61,$B$23:$B$45&amp;"_"&amp;$C$23:$C$45,$D$23:$D$45)*$E2039)</f>
        <v>6</v>
      </c>
      <c r="M2039" s="67" cm="1">
        <f ca="1" t="array" ref="M2039">(1+SUMPRODUCT(G2039:H2039,OFFSET($H$49:$I$49,D2039,0)))*(1+OFFSET($J$49,D2039,0))^I2039*(1+OFFSET($K$49,D2039,0))^J2039*(1+OFFSET($L$49,D2039,0))^K2039*(1+OFFSET($M$49,D2039,0))^L2039</f>
        <v>550.565645781064</v>
      </c>
      <c r="N2039" s="67">
        <f ca="1">MAX(MAX($N$62:N2038),OFFSET($C$61,MATCH(M2039*1.07,$M$62:$M$2061,1),0)-C2039)</f>
        <v>56880</v>
      </c>
    </row>
    <row r="2040" spans="2:14">
      <c r="B2040" s="67">
        <v>1979</v>
      </c>
      <c r="C2040" s="67">
        <f t="shared" si="184"/>
        <v>712440</v>
      </c>
      <c r="D2040" s="67">
        <f t="shared" si="182"/>
        <v>5</v>
      </c>
      <c r="E2040" s="67">
        <f ca="1" t="shared" si="183"/>
        <v>2009</v>
      </c>
      <c r="F2040" s="67">
        <f ca="1" t="shared" si="185"/>
        <v>0</v>
      </c>
      <c r="G2040" s="67">
        <f ca="1" t="shared" si="186"/>
        <v>0</v>
      </c>
      <c r="H2040" s="67" cm="1">
        <f ca="1" t="array" ref="H2040">MIN(30-SUM(I2040:L2040),_xlfn.XLOOKUP($D2040&amp;"_"&amp;H$61,$B$23:$B$45&amp;"_"&amp;$C$23:$C$45,$D$23:$D$45)*$E2040,18)</f>
        <v>7.90066359092656</v>
      </c>
      <c r="I2040" s="67" cm="1">
        <f ca="1" t="array" ref="I2040">MIN(30-SUM(J2040:L2040),6-L2040,_xlfn.XLOOKUP($D2040&amp;"_"&amp;I$61,$B$23:$B$45&amp;"_"&amp;$C$23:$C$45,$D$23:$D$45)*$E2040)</f>
        <v>0</v>
      </c>
      <c r="J2040" s="67" cm="1">
        <f ca="1" t="array" ref="J2040">MIN(8,_xlfn.XLOOKUP($D2040&amp;"_"&amp;J$61,$B$23:$B$45&amp;"_"&amp;$C$23:$C$45,$D$23:$D$45)*$E2040)</f>
        <v>8</v>
      </c>
      <c r="K2040" s="67" cm="1">
        <f ca="1" t="array" ref="K2040">MIN(18,_xlfn.XLOOKUP($D2040&amp;"_"&amp;K$61,$B$23:$B$45&amp;"_"&amp;$C$23:$C$45,$D$23:$D$45)*$E2040)</f>
        <v>8.09933640907344</v>
      </c>
      <c r="L2040" s="67" cm="1">
        <f ca="1" t="array" ref="L2040">MIN(6,_xlfn.XLOOKUP($D2040&amp;"_"&amp;L$61,$B$23:$B$45&amp;"_"&amp;$C$23:$C$45,$D$23:$D$45)*$E2040)</f>
        <v>6</v>
      </c>
      <c r="M2040" s="67" cm="1">
        <f ca="1" t="array" ref="M2040">(1+SUMPRODUCT(G2040:H2040,OFFSET($H$49:$I$49,D2040,0)))*(1+OFFSET($J$49,D2040,0))^I2040*(1+OFFSET($K$49,D2040,0))^J2040*(1+OFFSET($L$49,D2040,0))^K2040*(1+OFFSET($M$49,D2040,0))^L2040</f>
        <v>550.798351672446</v>
      </c>
      <c r="N2040" s="67">
        <f ca="1">MAX(MAX($N$62:N2039),OFFSET($C$61,MATCH(M2040*1.07,$M$62:$M$2061,1),0)-C2040)</f>
        <v>56880</v>
      </c>
    </row>
    <row r="2041" spans="2:14">
      <c r="B2041" s="67">
        <v>1980</v>
      </c>
      <c r="C2041" s="67">
        <f t="shared" si="184"/>
        <v>712800</v>
      </c>
      <c r="D2041" s="67">
        <f t="shared" si="182"/>
        <v>5</v>
      </c>
      <c r="E2041" s="67">
        <f ca="1" t="shared" si="183"/>
        <v>2010</v>
      </c>
      <c r="F2041" s="67">
        <f ca="1" t="shared" si="185"/>
        <v>0</v>
      </c>
      <c r="G2041" s="67">
        <f ca="1" t="shared" si="186"/>
        <v>0</v>
      </c>
      <c r="H2041" s="67" cm="1">
        <f ca="1" t="array" ref="H2041">MIN(30-SUM(I2041:L2041),_xlfn.XLOOKUP($D2041&amp;"_"&amp;H$61,$B$23:$B$45&amp;"_"&amp;$C$23:$C$45,$D$23:$D$45)*$E2041,18)</f>
        <v>7.89663206459053</v>
      </c>
      <c r="I2041" s="67" cm="1">
        <f ca="1" t="array" ref="I2041">MIN(30-SUM(J2041:L2041),6-L2041,_xlfn.XLOOKUP($D2041&amp;"_"&amp;I$61,$B$23:$B$45&amp;"_"&amp;$C$23:$C$45,$D$23:$D$45)*$E2041)</f>
        <v>0</v>
      </c>
      <c r="J2041" s="67" cm="1">
        <f ca="1" t="array" ref="J2041">MIN(8,_xlfn.XLOOKUP($D2041&amp;"_"&amp;J$61,$B$23:$B$45&amp;"_"&amp;$C$23:$C$45,$D$23:$D$45)*$E2041)</f>
        <v>8</v>
      </c>
      <c r="K2041" s="67" cm="1">
        <f ca="1" t="array" ref="K2041">MIN(18,_xlfn.XLOOKUP($D2041&amp;"_"&amp;K$61,$B$23:$B$45&amp;"_"&amp;$C$23:$C$45,$D$23:$D$45)*$E2041)</f>
        <v>8.10336793540947</v>
      </c>
      <c r="L2041" s="67" cm="1">
        <f ca="1" t="array" ref="L2041">MIN(6,_xlfn.XLOOKUP($D2041&amp;"_"&amp;L$61,$B$23:$B$45&amp;"_"&amp;$C$23:$C$45,$D$23:$D$45)*$E2041)</f>
        <v>6</v>
      </c>
      <c r="M2041" s="67" cm="1">
        <f ca="1" t="array" ref="M2041">(1+SUMPRODUCT(G2041:H2041,OFFSET($H$49:$I$49,D2041,0)))*(1+OFFSET($J$49,D2041,0))^I2041*(1+OFFSET($K$49,D2041,0))^J2041*(1+OFFSET($L$49,D2041,0))^K2041*(1+OFFSET($M$49,D2041,0))^L2041</f>
        <v>551.031102107434</v>
      </c>
      <c r="N2041" s="67">
        <f ca="1">MAX(MAX($N$62:N2040),OFFSET($C$61,MATCH(M2041*1.07,$M$62:$M$2061,1),0)-C2041)</f>
        <v>56880</v>
      </c>
    </row>
    <row r="2042" spans="2:14">
      <c r="B2042" s="67">
        <v>1981</v>
      </c>
      <c r="C2042" s="67">
        <f t="shared" si="184"/>
        <v>713160</v>
      </c>
      <c r="D2042" s="67">
        <f t="shared" si="182"/>
        <v>5</v>
      </c>
      <c r="E2042" s="67">
        <f ca="1" t="shared" si="183"/>
        <v>2011</v>
      </c>
      <c r="F2042" s="67">
        <f ca="1" t="shared" si="185"/>
        <v>0</v>
      </c>
      <c r="G2042" s="67">
        <f ca="1" t="shared" si="186"/>
        <v>0</v>
      </c>
      <c r="H2042" s="67" cm="1">
        <f ca="1" t="array" ref="H2042">MIN(30-SUM(I2042:L2042),_xlfn.XLOOKUP($D2042&amp;"_"&amp;H$61,$B$23:$B$45&amp;"_"&amp;$C$23:$C$45,$D$23:$D$45)*$E2042,18)</f>
        <v>7.89260053825451</v>
      </c>
      <c r="I2042" s="67" cm="1">
        <f ca="1" t="array" ref="I2042">MIN(30-SUM(J2042:L2042),6-L2042,_xlfn.XLOOKUP($D2042&amp;"_"&amp;I$61,$B$23:$B$45&amp;"_"&amp;$C$23:$C$45,$D$23:$D$45)*$E2042)</f>
        <v>0</v>
      </c>
      <c r="J2042" s="67" cm="1">
        <f ca="1" t="array" ref="J2042">MIN(8,_xlfn.XLOOKUP($D2042&amp;"_"&amp;J$61,$B$23:$B$45&amp;"_"&amp;$C$23:$C$45,$D$23:$D$45)*$E2042)</f>
        <v>8</v>
      </c>
      <c r="K2042" s="67" cm="1">
        <f ca="1" t="array" ref="K2042">MIN(18,_xlfn.XLOOKUP($D2042&amp;"_"&amp;K$61,$B$23:$B$45&amp;"_"&amp;$C$23:$C$45,$D$23:$D$45)*$E2042)</f>
        <v>8.10739946174549</v>
      </c>
      <c r="L2042" s="67" cm="1">
        <f ca="1" t="array" ref="L2042">MIN(6,_xlfn.XLOOKUP($D2042&amp;"_"&amp;L$61,$B$23:$B$45&amp;"_"&amp;$C$23:$C$45,$D$23:$D$45)*$E2042)</f>
        <v>6</v>
      </c>
      <c r="M2042" s="67" cm="1">
        <f ca="1" t="array" ref="M2042">(1+SUMPRODUCT(G2042:H2042,OFFSET($H$49:$I$49,D2042,0)))*(1+OFFSET($J$49,D2042,0))^I2042*(1+OFFSET($K$49,D2042,0))^J2042*(1+OFFSET($L$49,D2042,0))^K2042*(1+OFFSET($M$49,D2042,0))^L2042</f>
        <v>551.263897025718</v>
      </c>
      <c r="N2042" s="67">
        <f ca="1">MAX(MAX($N$62:N2041),OFFSET($C$61,MATCH(M2042*1.07,$M$62:$M$2061,1),0)-C2042)</f>
        <v>56880</v>
      </c>
    </row>
    <row r="2043" spans="2:14">
      <c r="B2043" s="67">
        <v>1982</v>
      </c>
      <c r="C2043" s="67">
        <f t="shared" si="184"/>
        <v>713520</v>
      </c>
      <c r="D2043" s="67">
        <f t="shared" si="182"/>
        <v>5</v>
      </c>
      <c r="E2043" s="67">
        <f ca="1" t="shared" si="183"/>
        <v>2012</v>
      </c>
      <c r="F2043" s="67">
        <f ca="1" t="shared" si="185"/>
        <v>0</v>
      </c>
      <c r="G2043" s="67">
        <f ca="1" t="shared" si="186"/>
        <v>0</v>
      </c>
      <c r="H2043" s="67" cm="1">
        <f ca="1" t="array" ref="H2043">MIN(30-SUM(I2043:L2043),_xlfn.XLOOKUP($D2043&amp;"_"&amp;H$61,$B$23:$B$45&amp;"_"&amp;$C$23:$C$45,$D$23:$D$45)*$E2043,18)</f>
        <v>7.88856901191848</v>
      </c>
      <c r="I2043" s="67" cm="1">
        <f ca="1" t="array" ref="I2043">MIN(30-SUM(J2043:L2043),6-L2043,_xlfn.XLOOKUP($D2043&amp;"_"&amp;I$61,$B$23:$B$45&amp;"_"&amp;$C$23:$C$45,$D$23:$D$45)*$E2043)</f>
        <v>0</v>
      </c>
      <c r="J2043" s="67" cm="1">
        <f ca="1" t="array" ref="J2043">MIN(8,_xlfn.XLOOKUP($D2043&amp;"_"&amp;J$61,$B$23:$B$45&amp;"_"&amp;$C$23:$C$45,$D$23:$D$45)*$E2043)</f>
        <v>8</v>
      </c>
      <c r="K2043" s="67" cm="1">
        <f ca="1" t="array" ref="K2043">MIN(18,_xlfn.XLOOKUP($D2043&amp;"_"&amp;K$61,$B$23:$B$45&amp;"_"&amp;$C$23:$C$45,$D$23:$D$45)*$E2043)</f>
        <v>8.11143098808152</v>
      </c>
      <c r="L2043" s="67" cm="1">
        <f ca="1" t="array" ref="L2043">MIN(6,_xlfn.XLOOKUP($D2043&amp;"_"&amp;L$61,$B$23:$B$45&amp;"_"&amp;$C$23:$C$45,$D$23:$D$45)*$E2043)</f>
        <v>6</v>
      </c>
      <c r="M2043" s="67" cm="1">
        <f ca="1" t="array" ref="M2043">(1+SUMPRODUCT(G2043:H2043,OFFSET($H$49:$I$49,D2043,0)))*(1+OFFSET($J$49,D2043,0))^I2043*(1+OFFSET($K$49,D2043,0))^J2043*(1+OFFSET($L$49,D2043,0))^K2043*(1+OFFSET($M$49,D2043,0))^L2043</f>
        <v>551.496736366874</v>
      </c>
      <c r="N2043" s="67">
        <f ca="1">MAX(MAX($N$62:N2042),OFFSET($C$61,MATCH(M2043*1.07,$M$62:$M$2061,1),0)-C2043)</f>
        <v>56880</v>
      </c>
    </row>
    <row r="2044" spans="2:14">
      <c r="B2044" s="67">
        <v>1983</v>
      </c>
      <c r="C2044" s="67">
        <f t="shared" si="184"/>
        <v>713880</v>
      </c>
      <c r="D2044" s="67">
        <f t="shared" si="182"/>
        <v>5</v>
      </c>
      <c r="E2044" s="67">
        <f ca="1" t="shared" si="183"/>
        <v>2013</v>
      </c>
      <c r="F2044" s="67">
        <f ca="1" t="shared" si="185"/>
        <v>0</v>
      </c>
      <c r="G2044" s="67">
        <f ca="1" t="shared" si="186"/>
        <v>0</v>
      </c>
      <c r="H2044" s="67" cm="1">
        <f ca="1" t="array" ref="H2044">MIN(30-SUM(I2044:L2044),_xlfn.XLOOKUP($D2044&amp;"_"&amp;H$61,$B$23:$B$45&amp;"_"&amp;$C$23:$C$45,$D$23:$D$45)*$E2044,18)</f>
        <v>7.88453748558246</v>
      </c>
      <c r="I2044" s="67" cm="1">
        <f ca="1" t="array" ref="I2044">MIN(30-SUM(J2044:L2044),6-L2044,_xlfn.XLOOKUP($D2044&amp;"_"&amp;I$61,$B$23:$B$45&amp;"_"&amp;$C$23:$C$45,$D$23:$D$45)*$E2044)</f>
        <v>0</v>
      </c>
      <c r="J2044" s="67" cm="1">
        <f ca="1" t="array" ref="J2044">MIN(8,_xlfn.XLOOKUP($D2044&amp;"_"&amp;J$61,$B$23:$B$45&amp;"_"&amp;$C$23:$C$45,$D$23:$D$45)*$E2044)</f>
        <v>8</v>
      </c>
      <c r="K2044" s="67" cm="1">
        <f ca="1" t="array" ref="K2044">MIN(18,_xlfn.XLOOKUP($D2044&amp;"_"&amp;K$61,$B$23:$B$45&amp;"_"&amp;$C$23:$C$45,$D$23:$D$45)*$E2044)</f>
        <v>8.11546251441754</v>
      </c>
      <c r="L2044" s="67" cm="1">
        <f ca="1" t="array" ref="L2044">MIN(6,_xlfn.XLOOKUP($D2044&amp;"_"&amp;L$61,$B$23:$B$45&amp;"_"&amp;$C$23:$C$45,$D$23:$D$45)*$E2044)</f>
        <v>6</v>
      </c>
      <c r="M2044" s="67" cm="1">
        <f ca="1" t="array" ref="M2044">(1+SUMPRODUCT(G2044:H2044,OFFSET($H$49:$I$49,D2044,0)))*(1+OFFSET($J$49,D2044,0))^I2044*(1+OFFSET($K$49,D2044,0))^J2044*(1+OFFSET($L$49,D2044,0))^K2044*(1+OFFSET($M$49,D2044,0))^L2044</f>
        <v>551.729620070365</v>
      </c>
      <c r="N2044" s="67">
        <f ca="1">MAX(MAX($N$62:N2043),OFFSET($C$61,MATCH(M2044*1.07,$M$62:$M$2061,1),0)-C2044)</f>
        <v>56880</v>
      </c>
    </row>
    <row r="2045" spans="2:14">
      <c r="B2045" s="67">
        <v>1984</v>
      </c>
      <c r="C2045" s="67">
        <f t="shared" si="184"/>
        <v>714240</v>
      </c>
      <c r="D2045" s="67">
        <f t="shared" si="182"/>
        <v>5</v>
      </c>
      <c r="E2045" s="67">
        <f ca="1" t="shared" si="183"/>
        <v>2014</v>
      </c>
      <c r="F2045" s="67">
        <f ca="1" t="shared" si="185"/>
        <v>0</v>
      </c>
      <c r="G2045" s="67">
        <f ca="1" t="shared" si="186"/>
        <v>0</v>
      </c>
      <c r="H2045" s="67" cm="1">
        <f ca="1" t="array" ref="H2045">MIN(30-SUM(I2045:L2045),_xlfn.XLOOKUP($D2045&amp;"_"&amp;H$61,$B$23:$B$45&amp;"_"&amp;$C$23:$C$45,$D$23:$D$45)*$E2045,18)</f>
        <v>7.88050595924643</v>
      </c>
      <c r="I2045" s="67" cm="1">
        <f ca="1" t="array" ref="I2045">MIN(30-SUM(J2045:L2045),6-L2045,_xlfn.XLOOKUP($D2045&amp;"_"&amp;I$61,$B$23:$B$45&amp;"_"&amp;$C$23:$C$45,$D$23:$D$45)*$E2045)</f>
        <v>0</v>
      </c>
      <c r="J2045" s="67" cm="1">
        <f ca="1" t="array" ref="J2045">MIN(8,_xlfn.XLOOKUP($D2045&amp;"_"&amp;J$61,$B$23:$B$45&amp;"_"&amp;$C$23:$C$45,$D$23:$D$45)*$E2045)</f>
        <v>8</v>
      </c>
      <c r="K2045" s="67" cm="1">
        <f ca="1" t="array" ref="K2045">MIN(18,_xlfn.XLOOKUP($D2045&amp;"_"&amp;K$61,$B$23:$B$45&amp;"_"&amp;$C$23:$C$45,$D$23:$D$45)*$E2045)</f>
        <v>8.11949404075356</v>
      </c>
      <c r="L2045" s="67" cm="1">
        <f ca="1" t="array" ref="L2045">MIN(6,_xlfn.XLOOKUP($D2045&amp;"_"&amp;L$61,$B$23:$B$45&amp;"_"&amp;$C$23:$C$45,$D$23:$D$45)*$E2045)</f>
        <v>6</v>
      </c>
      <c r="M2045" s="67" cm="1">
        <f ca="1" t="array" ref="M2045">(1+SUMPRODUCT(G2045:H2045,OFFSET($H$49:$I$49,D2045,0)))*(1+OFFSET($J$49,D2045,0))^I2045*(1+OFFSET($K$49,D2045,0))^J2045*(1+OFFSET($L$49,D2045,0))^K2045*(1+OFFSET($M$49,D2045,0))^L2045</f>
        <v>551.96254807554</v>
      </c>
      <c r="N2045" s="67">
        <f ca="1">MAX(MAX($N$62:N2044),OFFSET($C$61,MATCH(M2045*1.07,$M$62:$M$2061,1),0)-C2045)</f>
        <v>56880</v>
      </c>
    </row>
    <row r="2046" spans="2:14">
      <c r="B2046" s="67">
        <v>1985</v>
      </c>
      <c r="C2046" s="67">
        <f t="shared" si="184"/>
        <v>714600</v>
      </c>
      <c r="D2046" s="67">
        <f t="shared" si="182"/>
        <v>5</v>
      </c>
      <c r="E2046" s="67">
        <f ca="1" t="shared" si="183"/>
        <v>2015</v>
      </c>
      <c r="F2046" s="67">
        <f ca="1" t="shared" si="185"/>
        <v>0</v>
      </c>
      <c r="G2046" s="67">
        <f ca="1" t="shared" si="186"/>
        <v>0</v>
      </c>
      <c r="H2046" s="67" cm="1">
        <f ca="1" t="array" ref="H2046">MIN(30-SUM(I2046:L2046),_xlfn.XLOOKUP($D2046&amp;"_"&amp;H$61,$B$23:$B$45&amp;"_"&amp;$C$23:$C$45,$D$23:$D$45)*$E2046,18)</f>
        <v>7.87647443291041</v>
      </c>
      <c r="I2046" s="67" cm="1">
        <f ca="1" t="array" ref="I2046">MIN(30-SUM(J2046:L2046),6-L2046,_xlfn.XLOOKUP($D2046&amp;"_"&amp;I$61,$B$23:$B$45&amp;"_"&amp;$C$23:$C$45,$D$23:$D$45)*$E2046)</f>
        <v>0</v>
      </c>
      <c r="J2046" s="67" cm="1">
        <f ca="1" t="array" ref="J2046">MIN(8,_xlfn.XLOOKUP($D2046&amp;"_"&amp;J$61,$B$23:$B$45&amp;"_"&amp;$C$23:$C$45,$D$23:$D$45)*$E2046)</f>
        <v>8</v>
      </c>
      <c r="K2046" s="67" cm="1">
        <f ca="1" t="array" ref="K2046">MIN(18,_xlfn.XLOOKUP($D2046&amp;"_"&amp;K$61,$B$23:$B$45&amp;"_"&amp;$C$23:$C$45,$D$23:$D$45)*$E2046)</f>
        <v>8.12352556708959</v>
      </c>
      <c r="L2046" s="67" cm="1">
        <f ca="1" t="array" ref="L2046">MIN(6,_xlfn.XLOOKUP($D2046&amp;"_"&amp;L$61,$B$23:$B$45&amp;"_"&amp;$C$23:$C$45,$D$23:$D$45)*$E2046)</f>
        <v>6</v>
      </c>
      <c r="M2046" s="67" cm="1">
        <f ca="1" t="array" ref="M2046">(1+SUMPRODUCT(G2046:H2046,OFFSET($H$49:$I$49,D2046,0)))*(1+OFFSET($J$49,D2046,0))^I2046*(1+OFFSET($K$49,D2046,0))^J2046*(1+OFFSET($L$49,D2046,0))^K2046*(1+OFFSET($M$49,D2046,0))^L2046</f>
        <v>552.195520321636</v>
      </c>
      <c r="N2046" s="67">
        <f ca="1">MAX(MAX($N$62:N2045),OFFSET($C$61,MATCH(M2046*1.07,$M$62:$M$2061,1),0)-C2046)</f>
        <v>56880</v>
      </c>
    </row>
    <row r="2047" spans="2:14">
      <c r="B2047" s="67">
        <v>1986</v>
      </c>
      <c r="C2047" s="67">
        <f t="shared" si="184"/>
        <v>714960</v>
      </c>
      <c r="D2047" s="67">
        <f t="shared" ref="D2047:D2061" si="187">_xlfn.XLOOKUP("非R",$B$49:$B$54,$C$49:$C$54)</f>
        <v>5</v>
      </c>
      <c r="E2047" s="67">
        <f ca="1" t="shared" ref="E2047:E2061" si="188">INT(C2047/_xlfn.XLOOKUP(D2047,$R$14:$R$21,$S$14:$S$21))+OFFSET($R$49,D2047,0)</f>
        <v>2016</v>
      </c>
      <c r="F2047" s="67">
        <f ca="1" t="shared" si="185"/>
        <v>0</v>
      </c>
      <c r="G2047" s="67">
        <f ca="1" t="shared" si="186"/>
        <v>0</v>
      </c>
      <c r="H2047" s="67" cm="1">
        <f ca="1" t="array" ref="H2047">MIN(30-SUM(I2047:L2047),_xlfn.XLOOKUP($D2047&amp;"_"&amp;H$61,$B$23:$B$45&amp;"_"&amp;$C$23:$C$45,$D$23:$D$45)*$E2047,18)</f>
        <v>7.87244290657438</v>
      </c>
      <c r="I2047" s="67" cm="1">
        <f ca="1" t="array" ref="I2047">MIN(30-SUM(J2047:L2047),6-L2047,_xlfn.XLOOKUP($D2047&amp;"_"&amp;I$61,$B$23:$B$45&amp;"_"&amp;$C$23:$C$45,$D$23:$D$45)*$E2047)</f>
        <v>0</v>
      </c>
      <c r="J2047" s="67" cm="1">
        <f ca="1" t="array" ref="J2047">MIN(8,_xlfn.XLOOKUP($D2047&amp;"_"&amp;J$61,$B$23:$B$45&amp;"_"&amp;$C$23:$C$45,$D$23:$D$45)*$E2047)</f>
        <v>8</v>
      </c>
      <c r="K2047" s="67" cm="1">
        <f ca="1" t="array" ref="K2047">MIN(18,_xlfn.XLOOKUP($D2047&amp;"_"&amp;K$61,$B$23:$B$45&amp;"_"&amp;$C$23:$C$45,$D$23:$D$45)*$E2047)</f>
        <v>8.12755709342561</v>
      </c>
      <c r="L2047" s="67" cm="1">
        <f ca="1" t="array" ref="L2047">MIN(6,_xlfn.XLOOKUP($D2047&amp;"_"&amp;L$61,$B$23:$B$45&amp;"_"&amp;$C$23:$C$45,$D$23:$D$45)*$E2047)</f>
        <v>6</v>
      </c>
      <c r="M2047" s="67" cm="1">
        <f ca="1" t="array" ref="M2047">(1+SUMPRODUCT(G2047:H2047,OFFSET($H$49:$I$49,D2047,0)))*(1+OFFSET($J$49,D2047,0))^I2047*(1+OFFSET($K$49,D2047,0))^J2047*(1+OFFSET($L$49,D2047,0))^K2047*(1+OFFSET($M$49,D2047,0))^L2047</f>
        <v>552.428536747776</v>
      </c>
      <c r="N2047" s="67">
        <f ca="1">MAX(MAX($N$62:N2046),OFFSET($C$61,MATCH(M2047*1.07,$M$62:$M$2061,1),0)-C2047)</f>
        <v>56880</v>
      </c>
    </row>
    <row r="2048" spans="2:14">
      <c r="B2048" s="67">
        <v>1987</v>
      </c>
      <c r="C2048" s="67">
        <f t="shared" si="184"/>
        <v>715320</v>
      </c>
      <c r="D2048" s="67">
        <f t="shared" si="187"/>
        <v>5</v>
      </c>
      <c r="E2048" s="67">
        <f ca="1" t="shared" si="188"/>
        <v>2017</v>
      </c>
      <c r="F2048" s="67">
        <f ca="1" t="shared" si="185"/>
        <v>0</v>
      </c>
      <c r="G2048" s="67">
        <f ca="1" t="shared" si="186"/>
        <v>0</v>
      </c>
      <c r="H2048" s="67" cm="1">
        <f ca="1" t="array" ref="H2048">MIN(30-SUM(I2048:L2048),_xlfn.XLOOKUP($D2048&amp;"_"&amp;H$61,$B$23:$B$45&amp;"_"&amp;$C$23:$C$45,$D$23:$D$45)*$E2048,18)</f>
        <v>7.86841138023836</v>
      </c>
      <c r="I2048" s="67" cm="1">
        <f ca="1" t="array" ref="I2048">MIN(30-SUM(J2048:L2048),6-L2048,_xlfn.XLOOKUP($D2048&amp;"_"&amp;I$61,$B$23:$B$45&amp;"_"&amp;$C$23:$C$45,$D$23:$D$45)*$E2048)</f>
        <v>0</v>
      </c>
      <c r="J2048" s="67" cm="1">
        <f ca="1" t="array" ref="J2048">MIN(8,_xlfn.XLOOKUP($D2048&amp;"_"&amp;J$61,$B$23:$B$45&amp;"_"&amp;$C$23:$C$45,$D$23:$D$45)*$E2048)</f>
        <v>8</v>
      </c>
      <c r="K2048" s="67" cm="1">
        <f ca="1" t="array" ref="K2048">MIN(18,_xlfn.XLOOKUP($D2048&amp;"_"&amp;K$61,$B$23:$B$45&amp;"_"&amp;$C$23:$C$45,$D$23:$D$45)*$E2048)</f>
        <v>8.13158861976164</v>
      </c>
      <c r="L2048" s="67" cm="1">
        <f ca="1" t="array" ref="L2048">MIN(6,_xlfn.XLOOKUP($D2048&amp;"_"&amp;L$61,$B$23:$B$45&amp;"_"&amp;$C$23:$C$45,$D$23:$D$45)*$E2048)</f>
        <v>6</v>
      </c>
      <c r="M2048" s="67" cm="1">
        <f ca="1" t="array" ref="M2048">(1+SUMPRODUCT(G2048:H2048,OFFSET($H$49:$I$49,D2048,0)))*(1+OFFSET($J$49,D2048,0))^I2048*(1+OFFSET($K$49,D2048,0))^J2048*(1+OFFSET($L$49,D2048,0))^K2048*(1+OFFSET($M$49,D2048,0))^L2048</f>
        <v>552.66159729297</v>
      </c>
      <c r="N2048" s="67">
        <f ca="1">MAX(MAX($N$62:N2047),OFFSET($C$61,MATCH(M2048*1.07,$M$62:$M$2061,1),0)-C2048)</f>
        <v>56880</v>
      </c>
    </row>
    <row r="2049" spans="2:14">
      <c r="B2049" s="67">
        <v>1988</v>
      </c>
      <c r="C2049" s="67">
        <f t="shared" si="184"/>
        <v>715680</v>
      </c>
      <c r="D2049" s="67">
        <f t="shared" si="187"/>
        <v>5</v>
      </c>
      <c r="E2049" s="67">
        <f ca="1" t="shared" si="188"/>
        <v>2018</v>
      </c>
      <c r="F2049" s="67">
        <f ca="1" t="shared" si="185"/>
        <v>0</v>
      </c>
      <c r="G2049" s="67">
        <f ca="1" t="shared" si="186"/>
        <v>0</v>
      </c>
      <c r="H2049" s="67" cm="1">
        <f ca="1" t="array" ref="H2049">MIN(30-SUM(I2049:L2049),_xlfn.XLOOKUP($D2049&amp;"_"&amp;H$61,$B$23:$B$45&amp;"_"&amp;$C$23:$C$45,$D$23:$D$45)*$E2049,18)</f>
        <v>7.86437985390234</v>
      </c>
      <c r="I2049" s="67" cm="1">
        <f ca="1" t="array" ref="I2049">MIN(30-SUM(J2049:L2049),6-L2049,_xlfn.XLOOKUP($D2049&amp;"_"&amp;I$61,$B$23:$B$45&amp;"_"&amp;$C$23:$C$45,$D$23:$D$45)*$E2049)</f>
        <v>0</v>
      </c>
      <c r="J2049" s="67" cm="1">
        <f ca="1" t="array" ref="J2049">MIN(8,_xlfn.XLOOKUP($D2049&amp;"_"&amp;J$61,$B$23:$B$45&amp;"_"&amp;$C$23:$C$45,$D$23:$D$45)*$E2049)</f>
        <v>8</v>
      </c>
      <c r="K2049" s="67" cm="1">
        <f ca="1" t="array" ref="K2049">MIN(18,_xlfn.XLOOKUP($D2049&amp;"_"&amp;K$61,$B$23:$B$45&amp;"_"&amp;$C$23:$C$45,$D$23:$D$45)*$E2049)</f>
        <v>8.13562014609766</v>
      </c>
      <c r="L2049" s="67" cm="1">
        <f ca="1" t="array" ref="L2049">MIN(6,_xlfn.XLOOKUP($D2049&amp;"_"&amp;L$61,$B$23:$B$45&amp;"_"&amp;$C$23:$C$45,$D$23:$D$45)*$E2049)</f>
        <v>6</v>
      </c>
      <c r="M2049" s="67" cm="1">
        <f ca="1" t="array" ref="M2049">(1+SUMPRODUCT(G2049:H2049,OFFSET($H$49:$I$49,D2049,0)))*(1+OFFSET($J$49,D2049,0))^I2049*(1+OFFSET($K$49,D2049,0))^J2049*(1+OFFSET($L$49,D2049,0))^K2049*(1+OFFSET($M$49,D2049,0))^L2049</f>
        <v>552.894701896115</v>
      </c>
      <c r="N2049" s="67">
        <f ca="1">MAX(MAX($N$62:N2048),OFFSET($C$61,MATCH(M2049*1.07,$M$62:$M$2061,1),0)-C2049)</f>
        <v>56880</v>
      </c>
    </row>
    <row r="2050" spans="2:14">
      <c r="B2050" s="67">
        <v>1989</v>
      </c>
      <c r="C2050" s="67">
        <f t="shared" si="184"/>
        <v>716040</v>
      </c>
      <c r="D2050" s="67">
        <f t="shared" si="187"/>
        <v>5</v>
      </c>
      <c r="E2050" s="67">
        <f ca="1" t="shared" si="188"/>
        <v>2019</v>
      </c>
      <c r="F2050" s="67">
        <f ca="1" t="shared" si="185"/>
        <v>0</v>
      </c>
      <c r="G2050" s="67">
        <f ca="1" t="shared" si="186"/>
        <v>0</v>
      </c>
      <c r="H2050" s="67" cm="1">
        <f ca="1" t="array" ref="H2050">MIN(30-SUM(I2050:L2050),_xlfn.XLOOKUP($D2050&amp;"_"&amp;H$61,$B$23:$B$45&amp;"_"&amp;$C$23:$C$45,$D$23:$D$45)*$E2050,18)</f>
        <v>7.86034832756631</v>
      </c>
      <c r="I2050" s="67" cm="1">
        <f ca="1" t="array" ref="I2050">MIN(30-SUM(J2050:L2050),6-L2050,_xlfn.XLOOKUP($D2050&amp;"_"&amp;I$61,$B$23:$B$45&amp;"_"&amp;$C$23:$C$45,$D$23:$D$45)*$E2050)</f>
        <v>0</v>
      </c>
      <c r="J2050" s="67" cm="1">
        <f ca="1" t="array" ref="J2050">MIN(8,_xlfn.XLOOKUP($D2050&amp;"_"&amp;J$61,$B$23:$B$45&amp;"_"&amp;$C$23:$C$45,$D$23:$D$45)*$E2050)</f>
        <v>8</v>
      </c>
      <c r="K2050" s="67" cm="1">
        <f ca="1" t="array" ref="K2050">MIN(18,_xlfn.XLOOKUP($D2050&amp;"_"&amp;K$61,$B$23:$B$45&amp;"_"&amp;$C$23:$C$45,$D$23:$D$45)*$E2050)</f>
        <v>8.13965167243369</v>
      </c>
      <c r="L2050" s="67" cm="1">
        <f ca="1" t="array" ref="L2050">MIN(6,_xlfn.XLOOKUP($D2050&amp;"_"&amp;L$61,$B$23:$B$45&amp;"_"&amp;$C$23:$C$45,$D$23:$D$45)*$E2050)</f>
        <v>6</v>
      </c>
      <c r="M2050" s="67" cm="1">
        <f ca="1" t="array" ref="M2050">(1+SUMPRODUCT(G2050:H2050,OFFSET($H$49:$I$49,D2050,0)))*(1+OFFSET($J$49,D2050,0))^I2050*(1+OFFSET($K$49,D2050,0))^J2050*(1+OFFSET($L$49,D2050,0))^K2050*(1+OFFSET($M$49,D2050,0))^L2050</f>
        <v>553.127850495992</v>
      </c>
      <c r="N2050" s="67">
        <f ca="1">MAX(MAX($N$62:N2049),OFFSET($C$61,MATCH(M2050*1.07,$M$62:$M$2061,1),0)-C2050)</f>
        <v>56880</v>
      </c>
    </row>
    <row r="2051" spans="2:14">
      <c r="B2051" s="67">
        <v>1990</v>
      </c>
      <c r="C2051" s="67">
        <f t="shared" si="184"/>
        <v>716400</v>
      </c>
      <c r="D2051" s="67">
        <f t="shared" si="187"/>
        <v>5</v>
      </c>
      <c r="E2051" s="67">
        <f ca="1" t="shared" si="188"/>
        <v>2020</v>
      </c>
      <c r="F2051" s="67">
        <f ca="1" t="shared" si="185"/>
        <v>0</v>
      </c>
      <c r="G2051" s="67">
        <f ca="1" t="shared" si="186"/>
        <v>0</v>
      </c>
      <c r="H2051" s="67" cm="1">
        <f ca="1" t="array" ref="H2051">MIN(30-SUM(I2051:L2051),_xlfn.XLOOKUP($D2051&amp;"_"&amp;H$61,$B$23:$B$45&amp;"_"&amp;$C$23:$C$45,$D$23:$D$45)*$E2051,18)</f>
        <v>7.85631680123029</v>
      </c>
      <c r="I2051" s="67" cm="1">
        <f ca="1" t="array" ref="I2051">MIN(30-SUM(J2051:L2051),6-L2051,_xlfn.XLOOKUP($D2051&amp;"_"&amp;I$61,$B$23:$B$45&amp;"_"&amp;$C$23:$C$45,$D$23:$D$45)*$E2051)</f>
        <v>0</v>
      </c>
      <c r="J2051" s="67" cm="1">
        <f ca="1" t="array" ref="J2051">MIN(8,_xlfn.XLOOKUP($D2051&amp;"_"&amp;J$61,$B$23:$B$45&amp;"_"&amp;$C$23:$C$45,$D$23:$D$45)*$E2051)</f>
        <v>8</v>
      </c>
      <c r="K2051" s="67" cm="1">
        <f ca="1" t="array" ref="K2051">MIN(18,_xlfn.XLOOKUP($D2051&amp;"_"&amp;K$61,$B$23:$B$45&amp;"_"&amp;$C$23:$C$45,$D$23:$D$45)*$E2051)</f>
        <v>8.14368319876971</v>
      </c>
      <c r="L2051" s="67" cm="1">
        <f ca="1" t="array" ref="L2051">MIN(6,_xlfn.XLOOKUP($D2051&amp;"_"&amp;L$61,$B$23:$B$45&amp;"_"&amp;$C$23:$C$45,$D$23:$D$45)*$E2051)</f>
        <v>6</v>
      </c>
      <c r="M2051" s="67" cm="1">
        <f ca="1" t="array" ref="M2051">(1+SUMPRODUCT(G2051:H2051,OFFSET($H$49:$I$49,D2051,0)))*(1+OFFSET($J$49,D2051,0))^I2051*(1+OFFSET($K$49,D2051,0))^J2051*(1+OFFSET($L$49,D2051,0))^K2051*(1+OFFSET($M$49,D2051,0))^L2051</f>
        <v>553.361043031272</v>
      </c>
      <c r="N2051" s="67">
        <f ca="1">MAX(MAX($N$62:N2050),OFFSET($C$61,MATCH(M2051*1.07,$M$62:$M$2061,1),0)-C2051)</f>
        <v>56880</v>
      </c>
    </row>
    <row r="2052" spans="2:14">
      <c r="B2052" s="67">
        <v>1991</v>
      </c>
      <c r="C2052" s="67">
        <f t="shared" si="184"/>
        <v>716760</v>
      </c>
      <c r="D2052" s="67">
        <f t="shared" si="187"/>
        <v>5</v>
      </c>
      <c r="E2052" s="67">
        <f ca="1" t="shared" si="188"/>
        <v>2021</v>
      </c>
      <c r="F2052" s="67">
        <f ca="1" t="shared" si="185"/>
        <v>0</v>
      </c>
      <c r="G2052" s="67">
        <f ca="1" t="shared" si="186"/>
        <v>0</v>
      </c>
      <c r="H2052" s="67" cm="1">
        <f ca="1" t="array" ref="H2052">MIN(30-SUM(I2052:L2052),_xlfn.XLOOKUP($D2052&amp;"_"&amp;H$61,$B$23:$B$45&amp;"_"&amp;$C$23:$C$45,$D$23:$D$45)*$E2052,18)</f>
        <v>7.85228527489426</v>
      </c>
      <c r="I2052" s="67" cm="1">
        <f ca="1" t="array" ref="I2052">MIN(30-SUM(J2052:L2052),6-L2052,_xlfn.XLOOKUP($D2052&amp;"_"&amp;I$61,$B$23:$B$45&amp;"_"&amp;$C$23:$C$45,$D$23:$D$45)*$E2052)</f>
        <v>0</v>
      </c>
      <c r="J2052" s="67" cm="1">
        <f ca="1" t="array" ref="J2052">MIN(8,_xlfn.XLOOKUP($D2052&amp;"_"&amp;J$61,$B$23:$B$45&amp;"_"&amp;$C$23:$C$45,$D$23:$D$45)*$E2052)</f>
        <v>8</v>
      </c>
      <c r="K2052" s="67" cm="1">
        <f ca="1" t="array" ref="K2052">MIN(18,_xlfn.XLOOKUP($D2052&amp;"_"&amp;K$61,$B$23:$B$45&amp;"_"&amp;$C$23:$C$45,$D$23:$D$45)*$E2052)</f>
        <v>8.14771472510574</v>
      </c>
      <c r="L2052" s="67" cm="1">
        <f ca="1" t="array" ref="L2052">MIN(6,_xlfn.XLOOKUP($D2052&amp;"_"&amp;L$61,$B$23:$B$45&amp;"_"&amp;$C$23:$C$45,$D$23:$D$45)*$E2052)</f>
        <v>6</v>
      </c>
      <c r="M2052" s="67" cm="1">
        <f ca="1" t="array" ref="M2052">(1+SUMPRODUCT(G2052:H2052,OFFSET($H$49:$I$49,D2052,0)))*(1+OFFSET($J$49,D2052,0))^I2052*(1+OFFSET($K$49,D2052,0))^J2052*(1+OFFSET($L$49,D2052,0))^K2052*(1+OFFSET($M$49,D2052,0))^L2052</f>
        <v>553.594279440508</v>
      </c>
      <c r="N2052" s="67">
        <f ca="1">MAX(MAX($N$62:N2051),OFFSET($C$61,MATCH(M2052*1.07,$M$62:$M$2061,1),0)-C2052)</f>
        <v>56880</v>
      </c>
    </row>
    <row r="2053" spans="2:14">
      <c r="B2053" s="67">
        <v>1992</v>
      </c>
      <c r="C2053" s="67">
        <f t="shared" si="184"/>
        <v>717120</v>
      </c>
      <c r="D2053" s="67">
        <f t="shared" si="187"/>
        <v>5</v>
      </c>
      <c r="E2053" s="67">
        <f ca="1" t="shared" si="188"/>
        <v>2022</v>
      </c>
      <c r="F2053" s="67">
        <f ca="1" t="shared" si="185"/>
        <v>0</v>
      </c>
      <c r="G2053" s="67">
        <f ca="1" t="shared" si="186"/>
        <v>0</v>
      </c>
      <c r="H2053" s="67" cm="1">
        <f ca="1" t="array" ref="H2053">MIN(30-SUM(I2053:L2053),_xlfn.XLOOKUP($D2053&amp;"_"&amp;H$61,$B$23:$B$45&amp;"_"&amp;$C$23:$C$45,$D$23:$D$45)*$E2053,18)</f>
        <v>7.84825374855824</v>
      </c>
      <c r="I2053" s="67" cm="1">
        <f ca="1" t="array" ref="I2053">MIN(30-SUM(J2053:L2053),6-L2053,_xlfn.XLOOKUP($D2053&amp;"_"&amp;I$61,$B$23:$B$45&amp;"_"&amp;$C$23:$C$45,$D$23:$D$45)*$E2053)</f>
        <v>0</v>
      </c>
      <c r="J2053" s="67" cm="1">
        <f ca="1" t="array" ref="J2053">MIN(8,_xlfn.XLOOKUP($D2053&amp;"_"&amp;J$61,$B$23:$B$45&amp;"_"&amp;$C$23:$C$45,$D$23:$D$45)*$E2053)</f>
        <v>8</v>
      </c>
      <c r="K2053" s="67" cm="1">
        <f ca="1" t="array" ref="K2053">MIN(18,_xlfn.XLOOKUP($D2053&amp;"_"&amp;K$61,$B$23:$B$45&amp;"_"&amp;$C$23:$C$45,$D$23:$D$45)*$E2053)</f>
        <v>8.15174625144176</v>
      </c>
      <c r="L2053" s="67" cm="1">
        <f ca="1" t="array" ref="L2053">MIN(6,_xlfn.XLOOKUP($D2053&amp;"_"&amp;L$61,$B$23:$B$45&amp;"_"&amp;$C$23:$C$45,$D$23:$D$45)*$E2053)</f>
        <v>6</v>
      </c>
      <c r="M2053" s="67" cm="1">
        <f ca="1" t="array" ref="M2053">(1+SUMPRODUCT(G2053:H2053,OFFSET($H$49:$I$49,D2053,0)))*(1+OFFSET($J$49,D2053,0))^I2053*(1+OFFSET($K$49,D2053,0))^J2053*(1+OFFSET($L$49,D2053,0))^K2053*(1+OFFSET($M$49,D2053,0))^L2053</f>
        <v>553.827559662141</v>
      </c>
      <c r="N2053" s="67">
        <f ca="1">MAX(MAX($N$62:N2052),OFFSET($C$61,MATCH(M2053*1.07,$M$62:$M$2061,1),0)-C2053)</f>
        <v>56880</v>
      </c>
    </row>
    <row r="2054" spans="2:14">
      <c r="B2054" s="67">
        <v>1993</v>
      </c>
      <c r="C2054" s="67">
        <f t="shared" si="184"/>
        <v>717480</v>
      </c>
      <c r="D2054" s="67">
        <f t="shared" si="187"/>
        <v>5</v>
      </c>
      <c r="E2054" s="67">
        <f ca="1" t="shared" si="188"/>
        <v>2023</v>
      </c>
      <c r="F2054" s="67">
        <f ca="1" t="shared" si="185"/>
        <v>0</v>
      </c>
      <c r="G2054" s="67">
        <f ca="1" t="shared" si="186"/>
        <v>0</v>
      </c>
      <c r="H2054" s="67" cm="1">
        <f ca="1" t="array" ref="H2054">MIN(30-SUM(I2054:L2054),_xlfn.XLOOKUP($D2054&amp;"_"&amp;H$61,$B$23:$B$45&amp;"_"&amp;$C$23:$C$45,$D$23:$D$45)*$E2054,18)</f>
        <v>7.84422222222221</v>
      </c>
      <c r="I2054" s="67" cm="1">
        <f ca="1" t="array" ref="I2054">MIN(30-SUM(J2054:L2054),6-L2054,_xlfn.XLOOKUP($D2054&amp;"_"&amp;I$61,$B$23:$B$45&amp;"_"&amp;$C$23:$C$45,$D$23:$D$45)*$E2054)</f>
        <v>0</v>
      </c>
      <c r="J2054" s="67" cm="1">
        <f ca="1" t="array" ref="J2054">MIN(8,_xlfn.XLOOKUP($D2054&amp;"_"&amp;J$61,$B$23:$B$45&amp;"_"&amp;$C$23:$C$45,$D$23:$D$45)*$E2054)</f>
        <v>8</v>
      </c>
      <c r="K2054" s="67" cm="1">
        <f ca="1" t="array" ref="K2054">MIN(18,_xlfn.XLOOKUP($D2054&amp;"_"&amp;K$61,$B$23:$B$45&amp;"_"&amp;$C$23:$C$45,$D$23:$D$45)*$E2054)</f>
        <v>8.15577777777779</v>
      </c>
      <c r="L2054" s="67" cm="1">
        <f ca="1" t="array" ref="L2054">MIN(6,_xlfn.XLOOKUP($D2054&amp;"_"&amp;L$61,$B$23:$B$45&amp;"_"&amp;$C$23:$C$45,$D$23:$D$45)*$E2054)</f>
        <v>6</v>
      </c>
      <c r="M2054" s="67" cm="1">
        <f ca="1" t="array" ref="M2054">(1+SUMPRODUCT(G2054:H2054,OFFSET($H$49:$I$49,D2054,0)))*(1+OFFSET($J$49,D2054,0))^I2054*(1+OFFSET($K$49,D2054,0))^J2054*(1+OFFSET($L$49,D2054,0))^K2054*(1+OFFSET($M$49,D2054,0))^L2054</f>
        <v>554.060883634497</v>
      </c>
      <c r="N2054" s="67">
        <f ca="1">MAX(MAX($N$62:N2053),OFFSET($C$61,MATCH(M2054*1.07,$M$62:$M$2061,1),0)-C2054)</f>
        <v>56880</v>
      </c>
    </row>
    <row r="2055" spans="2:14">
      <c r="B2055" s="67">
        <v>1994</v>
      </c>
      <c r="C2055" s="67">
        <f t="shared" si="184"/>
        <v>717840</v>
      </c>
      <c r="D2055" s="67">
        <f t="shared" si="187"/>
        <v>5</v>
      </c>
      <c r="E2055" s="67">
        <f ca="1" t="shared" si="188"/>
        <v>2024</v>
      </c>
      <c r="F2055" s="67">
        <f ca="1" t="shared" si="185"/>
        <v>0</v>
      </c>
      <c r="G2055" s="67">
        <f ca="1" t="shared" si="186"/>
        <v>0</v>
      </c>
      <c r="H2055" s="67" cm="1">
        <f ca="1" t="array" ref="H2055">MIN(30-SUM(I2055:L2055),_xlfn.XLOOKUP($D2055&amp;"_"&amp;H$61,$B$23:$B$45&amp;"_"&amp;$C$23:$C$45,$D$23:$D$45)*$E2055,18)</f>
        <v>7.84019069588619</v>
      </c>
      <c r="I2055" s="67" cm="1">
        <f ca="1" t="array" ref="I2055">MIN(30-SUM(J2055:L2055),6-L2055,_xlfn.XLOOKUP($D2055&amp;"_"&amp;I$61,$B$23:$B$45&amp;"_"&amp;$C$23:$C$45,$D$23:$D$45)*$E2055)</f>
        <v>0</v>
      </c>
      <c r="J2055" s="67" cm="1">
        <f ca="1" t="array" ref="J2055">MIN(8,_xlfn.XLOOKUP($D2055&amp;"_"&amp;J$61,$B$23:$B$45&amp;"_"&amp;$C$23:$C$45,$D$23:$D$45)*$E2055)</f>
        <v>8</v>
      </c>
      <c r="K2055" s="67" cm="1">
        <f ca="1" t="array" ref="K2055">MIN(18,_xlfn.XLOOKUP($D2055&amp;"_"&amp;K$61,$B$23:$B$45&amp;"_"&amp;$C$23:$C$45,$D$23:$D$45)*$E2055)</f>
        <v>8.15980930411381</v>
      </c>
      <c r="L2055" s="67" cm="1">
        <f ca="1" t="array" ref="L2055">MIN(6,_xlfn.XLOOKUP($D2055&amp;"_"&amp;L$61,$B$23:$B$45&amp;"_"&amp;$C$23:$C$45,$D$23:$D$45)*$E2055)</f>
        <v>6</v>
      </c>
      <c r="M2055" s="67" cm="1">
        <f ca="1" t="array" ref="M2055">(1+SUMPRODUCT(G2055:H2055,OFFSET($H$49:$I$49,D2055,0)))*(1+OFFSET($J$49,D2055,0))^I2055*(1+OFFSET($K$49,D2055,0))^J2055*(1+OFFSET($L$49,D2055,0))^K2055*(1+OFFSET($M$49,D2055,0))^L2055</f>
        <v>554.29425129579</v>
      </c>
      <c r="N2055" s="67">
        <f ca="1">MAX(MAX($N$62:N2054),OFFSET($C$61,MATCH(M2055*1.07,$M$62:$M$2061,1),0)-C2055)</f>
        <v>56880</v>
      </c>
    </row>
    <row r="2056" spans="2:14">
      <c r="B2056" s="67">
        <v>1995</v>
      </c>
      <c r="C2056" s="67">
        <f t="shared" si="184"/>
        <v>718200</v>
      </c>
      <c r="D2056" s="67">
        <f t="shared" si="187"/>
        <v>5</v>
      </c>
      <c r="E2056" s="67">
        <f ca="1" t="shared" si="188"/>
        <v>2025</v>
      </c>
      <c r="F2056" s="67">
        <f ca="1" t="shared" si="185"/>
        <v>0</v>
      </c>
      <c r="G2056" s="67">
        <f ca="1" t="shared" si="186"/>
        <v>0</v>
      </c>
      <c r="H2056" s="67" cm="1">
        <f ca="1" t="array" ref="H2056">MIN(30-SUM(I2056:L2056),_xlfn.XLOOKUP($D2056&amp;"_"&amp;H$61,$B$23:$B$45&amp;"_"&amp;$C$23:$C$45,$D$23:$D$45)*$E2056,18)</f>
        <v>7.83615916955016</v>
      </c>
      <c r="I2056" s="67" cm="1">
        <f ca="1" t="array" ref="I2056">MIN(30-SUM(J2056:L2056),6-L2056,_xlfn.XLOOKUP($D2056&amp;"_"&amp;I$61,$B$23:$B$45&amp;"_"&amp;$C$23:$C$45,$D$23:$D$45)*$E2056)</f>
        <v>0</v>
      </c>
      <c r="J2056" s="67" cm="1">
        <f ca="1" t="array" ref="J2056">MIN(8,_xlfn.XLOOKUP($D2056&amp;"_"&amp;J$61,$B$23:$B$45&amp;"_"&amp;$C$23:$C$45,$D$23:$D$45)*$E2056)</f>
        <v>8</v>
      </c>
      <c r="K2056" s="67" cm="1">
        <f ca="1" t="array" ref="K2056">MIN(18,_xlfn.XLOOKUP($D2056&amp;"_"&amp;K$61,$B$23:$B$45&amp;"_"&amp;$C$23:$C$45,$D$23:$D$45)*$E2056)</f>
        <v>8.16384083044984</v>
      </c>
      <c r="L2056" s="67" cm="1">
        <f ca="1" t="array" ref="L2056">MIN(6,_xlfn.XLOOKUP($D2056&amp;"_"&amp;L$61,$B$23:$B$45&amp;"_"&amp;$C$23:$C$45,$D$23:$D$45)*$E2056)</f>
        <v>6</v>
      </c>
      <c r="M2056" s="67" cm="1">
        <f ca="1" t="array" ref="M2056">(1+SUMPRODUCT(G2056:H2056,OFFSET($H$49:$I$49,D2056,0)))*(1+OFFSET($J$49,D2056,0))^I2056*(1+OFFSET($K$49,D2056,0))^J2056*(1+OFFSET($L$49,D2056,0))^K2056*(1+OFFSET($M$49,D2056,0))^L2056</f>
        <v>554.527662584115</v>
      </c>
      <c r="N2056" s="67">
        <f ca="1">MAX(MAX($N$62:N2055),OFFSET($C$61,MATCH(M2056*1.07,$M$62:$M$2061,1),0)-C2056)</f>
        <v>56880</v>
      </c>
    </row>
    <row r="2057" spans="2:14">
      <c r="B2057" s="67">
        <v>1996</v>
      </c>
      <c r="C2057" s="67">
        <f t="shared" si="184"/>
        <v>718560</v>
      </c>
      <c r="D2057" s="67">
        <f t="shared" si="187"/>
        <v>5</v>
      </c>
      <c r="E2057" s="67">
        <f ca="1" t="shared" si="188"/>
        <v>2026</v>
      </c>
      <c r="F2057" s="67">
        <f ca="1" t="shared" si="185"/>
        <v>0</v>
      </c>
      <c r="G2057" s="67">
        <f ca="1" t="shared" si="186"/>
        <v>0</v>
      </c>
      <c r="H2057" s="67" cm="1">
        <f ca="1" t="array" ref="H2057">MIN(30-SUM(I2057:L2057),_xlfn.XLOOKUP($D2057&amp;"_"&amp;H$61,$B$23:$B$45&amp;"_"&amp;$C$23:$C$45,$D$23:$D$45)*$E2057,18)</f>
        <v>7.83212764321414</v>
      </c>
      <c r="I2057" s="67" cm="1">
        <f ca="1" t="array" ref="I2057">MIN(30-SUM(J2057:L2057),6-L2057,_xlfn.XLOOKUP($D2057&amp;"_"&amp;I$61,$B$23:$B$45&amp;"_"&amp;$C$23:$C$45,$D$23:$D$45)*$E2057)</f>
        <v>0</v>
      </c>
      <c r="J2057" s="67" cm="1">
        <f ca="1" t="array" ref="J2057">MIN(8,_xlfn.XLOOKUP($D2057&amp;"_"&amp;J$61,$B$23:$B$45&amp;"_"&amp;$C$23:$C$45,$D$23:$D$45)*$E2057)</f>
        <v>8</v>
      </c>
      <c r="K2057" s="67" cm="1">
        <f ca="1" t="array" ref="K2057">MIN(18,_xlfn.XLOOKUP($D2057&amp;"_"&amp;K$61,$B$23:$B$45&amp;"_"&amp;$C$23:$C$45,$D$23:$D$45)*$E2057)</f>
        <v>8.16787235678586</v>
      </c>
      <c r="L2057" s="67" cm="1">
        <f ca="1" t="array" ref="L2057">MIN(6,_xlfn.XLOOKUP($D2057&amp;"_"&amp;L$61,$B$23:$B$45&amp;"_"&amp;$C$23:$C$45,$D$23:$D$45)*$E2057)</f>
        <v>6</v>
      </c>
      <c r="M2057" s="67" cm="1">
        <f ca="1" t="array" ref="M2057">(1+SUMPRODUCT(G2057:H2057,OFFSET($H$49:$I$49,D2057,0)))*(1+OFFSET($J$49,D2057,0))^I2057*(1+OFFSET($K$49,D2057,0))^J2057*(1+OFFSET($L$49,D2057,0))^K2057*(1+OFFSET($M$49,D2057,0))^L2057</f>
        <v>554.761117437455</v>
      </c>
      <c r="N2057" s="67">
        <f ca="1">MAX(MAX($N$62:N2056),OFFSET($C$61,MATCH(M2057*1.07,$M$62:$M$2061,1),0)-C2057)</f>
        <v>56880</v>
      </c>
    </row>
    <row r="2058" spans="2:14">
      <c r="B2058" s="67">
        <v>1997</v>
      </c>
      <c r="C2058" s="67">
        <f t="shared" si="184"/>
        <v>718920</v>
      </c>
      <c r="D2058" s="67">
        <f t="shared" si="187"/>
        <v>5</v>
      </c>
      <c r="E2058" s="67">
        <f ca="1" t="shared" si="188"/>
        <v>2027</v>
      </c>
      <c r="F2058" s="67">
        <f ca="1" t="shared" si="185"/>
        <v>0</v>
      </c>
      <c r="G2058" s="67">
        <f ca="1" t="shared" si="186"/>
        <v>0</v>
      </c>
      <c r="H2058" s="67" cm="1">
        <f ca="1" t="array" ref="H2058">MIN(30-SUM(I2058:L2058),_xlfn.XLOOKUP($D2058&amp;"_"&amp;H$61,$B$23:$B$45&amp;"_"&amp;$C$23:$C$45,$D$23:$D$45)*$E2058,18)</f>
        <v>7.82809611687811</v>
      </c>
      <c r="I2058" s="67" cm="1">
        <f ca="1" t="array" ref="I2058">MIN(30-SUM(J2058:L2058),6-L2058,_xlfn.XLOOKUP($D2058&amp;"_"&amp;I$61,$B$23:$B$45&amp;"_"&amp;$C$23:$C$45,$D$23:$D$45)*$E2058)</f>
        <v>0</v>
      </c>
      <c r="J2058" s="67" cm="1">
        <f ca="1" t="array" ref="J2058">MIN(8,_xlfn.XLOOKUP($D2058&amp;"_"&amp;J$61,$B$23:$B$45&amp;"_"&amp;$C$23:$C$45,$D$23:$D$45)*$E2058)</f>
        <v>8</v>
      </c>
      <c r="K2058" s="67" cm="1">
        <f ca="1" t="array" ref="K2058">MIN(18,_xlfn.XLOOKUP($D2058&amp;"_"&amp;K$61,$B$23:$B$45&amp;"_"&amp;$C$23:$C$45,$D$23:$D$45)*$E2058)</f>
        <v>8.17190388312188</v>
      </c>
      <c r="L2058" s="67" cm="1">
        <f ca="1" t="array" ref="L2058">MIN(6,_xlfn.XLOOKUP($D2058&amp;"_"&amp;L$61,$B$23:$B$45&amp;"_"&amp;$C$23:$C$45,$D$23:$D$45)*$E2058)</f>
        <v>6</v>
      </c>
      <c r="M2058" s="67" cm="1">
        <f ca="1" t="array" ref="M2058">(1+SUMPRODUCT(G2058:H2058,OFFSET($H$49:$I$49,D2058,0)))*(1+OFFSET($J$49,D2058,0))^I2058*(1+OFFSET($K$49,D2058,0))^J2058*(1+OFFSET($L$49,D2058,0))^K2058*(1+OFFSET($M$49,D2058,0))^L2058</f>
        <v>554.99461579368</v>
      </c>
      <c r="N2058" s="67">
        <f ca="1">MAX(MAX($N$62:N2057),OFFSET($C$61,MATCH(M2058*1.07,$M$62:$M$2061,1),0)-C2058)</f>
        <v>56880</v>
      </c>
    </row>
    <row r="2059" spans="2:14">
      <c r="B2059" s="67">
        <v>1998</v>
      </c>
      <c r="C2059" s="67">
        <f t="shared" si="184"/>
        <v>719280</v>
      </c>
      <c r="D2059" s="67">
        <f t="shared" si="187"/>
        <v>5</v>
      </c>
      <c r="E2059" s="67">
        <f ca="1" t="shared" si="188"/>
        <v>2028</v>
      </c>
      <c r="F2059" s="67">
        <f ca="1" t="shared" si="185"/>
        <v>0</v>
      </c>
      <c r="G2059" s="67">
        <f ca="1" t="shared" si="186"/>
        <v>0</v>
      </c>
      <c r="H2059" s="67" cm="1">
        <f ca="1" t="array" ref="H2059">MIN(30-SUM(I2059:L2059),_xlfn.XLOOKUP($D2059&amp;"_"&amp;H$61,$B$23:$B$45&amp;"_"&amp;$C$23:$C$45,$D$23:$D$45)*$E2059,18)</f>
        <v>7.82406459054209</v>
      </c>
      <c r="I2059" s="67" cm="1">
        <f ca="1" t="array" ref="I2059">MIN(30-SUM(J2059:L2059),6-L2059,_xlfn.XLOOKUP($D2059&amp;"_"&amp;I$61,$B$23:$B$45&amp;"_"&amp;$C$23:$C$45,$D$23:$D$45)*$E2059)</f>
        <v>0</v>
      </c>
      <c r="J2059" s="67" cm="1">
        <f ca="1" t="array" ref="J2059">MIN(8,_xlfn.XLOOKUP($D2059&amp;"_"&amp;J$61,$B$23:$B$45&amp;"_"&amp;$C$23:$C$45,$D$23:$D$45)*$E2059)</f>
        <v>8</v>
      </c>
      <c r="K2059" s="67" cm="1">
        <f ca="1" t="array" ref="K2059">MIN(18,_xlfn.XLOOKUP($D2059&amp;"_"&amp;K$61,$B$23:$B$45&amp;"_"&amp;$C$23:$C$45,$D$23:$D$45)*$E2059)</f>
        <v>8.17593540945791</v>
      </c>
      <c r="L2059" s="67" cm="1">
        <f ca="1" t="array" ref="L2059">MIN(6,_xlfn.XLOOKUP($D2059&amp;"_"&amp;L$61,$B$23:$B$45&amp;"_"&amp;$C$23:$C$45,$D$23:$D$45)*$E2059)</f>
        <v>6</v>
      </c>
      <c r="M2059" s="67" cm="1">
        <f ca="1" t="array" ref="M2059">(1+SUMPRODUCT(G2059:H2059,OFFSET($H$49:$I$49,D2059,0)))*(1+OFFSET($J$49,D2059,0))^I2059*(1+OFFSET($K$49,D2059,0))^J2059*(1+OFFSET($L$49,D2059,0))^K2059*(1+OFFSET($M$49,D2059,0))^L2059</f>
        <v>555.228157590542</v>
      </c>
      <c r="N2059" s="67">
        <f ca="1">MAX(MAX($N$62:N2058),OFFSET($C$61,MATCH(M2059*1.07,$M$62:$M$2061,1),0)-C2059)</f>
        <v>56880</v>
      </c>
    </row>
    <row r="2060" spans="2:14">
      <c r="B2060" s="67">
        <v>1999</v>
      </c>
      <c r="C2060" s="67">
        <f t="shared" si="184"/>
        <v>719640</v>
      </c>
      <c r="D2060" s="67">
        <f t="shared" si="187"/>
        <v>5</v>
      </c>
      <c r="E2060" s="67">
        <f ca="1" t="shared" si="188"/>
        <v>2029</v>
      </c>
      <c r="F2060" s="67">
        <f ca="1" t="shared" si="185"/>
        <v>0</v>
      </c>
      <c r="G2060" s="67">
        <f ca="1" t="shared" si="186"/>
        <v>0</v>
      </c>
      <c r="H2060" s="67" cm="1">
        <f ca="1" t="array" ref="H2060">MIN(30-SUM(I2060:L2060),_xlfn.XLOOKUP($D2060&amp;"_"&amp;H$61,$B$23:$B$45&amp;"_"&amp;$C$23:$C$45,$D$23:$D$45)*$E2060,18)</f>
        <v>7.82003306420606</v>
      </c>
      <c r="I2060" s="67" cm="1">
        <f ca="1" t="array" ref="I2060">MIN(30-SUM(J2060:L2060),6-L2060,_xlfn.XLOOKUP($D2060&amp;"_"&amp;I$61,$B$23:$B$45&amp;"_"&amp;$C$23:$C$45,$D$23:$D$45)*$E2060)</f>
        <v>0</v>
      </c>
      <c r="J2060" s="67" cm="1">
        <f ca="1" t="array" ref="J2060">MIN(8,_xlfn.XLOOKUP($D2060&amp;"_"&amp;J$61,$B$23:$B$45&amp;"_"&amp;$C$23:$C$45,$D$23:$D$45)*$E2060)</f>
        <v>8</v>
      </c>
      <c r="K2060" s="67" cm="1">
        <f ca="1" t="array" ref="K2060">MIN(18,_xlfn.XLOOKUP($D2060&amp;"_"&amp;K$61,$B$23:$B$45&amp;"_"&amp;$C$23:$C$45,$D$23:$D$45)*$E2060)</f>
        <v>8.17996693579393</v>
      </c>
      <c r="L2060" s="67" cm="1">
        <f ca="1" t="array" ref="L2060">MIN(6,_xlfn.XLOOKUP($D2060&amp;"_"&amp;L$61,$B$23:$B$45&amp;"_"&amp;$C$23:$C$45,$D$23:$D$45)*$E2060)</f>
        <v>6</v>
      </c>
      <c r="M2060" s="67" cm="1">
        <f ca="1" t="array" ref="M2060">(1+SUMPRODUCT(G2060:H2060,OFFSET($H$49:$I$49,D2060,0)))*(1+OFFSET($J$49,D2060,0))^I2060*(1+OFFSET($K$49,D2060,0))^J2060*(1+OFFSET($L$49,D2060,0))^K2060*(1+OFFSET($M$49,D2060,0))^L2060</f>
        <v>555.461742765678</v>
      </c>
      <c r="N2060" s="67">
        <f ca="1">MAX(MAX($N$62:N2059),OFFSET($C$61,MATCH(M2060*1.07,$M$62:$M$2061,1),0)-C2060)</f>
        <v>56880</v>
      </c>
    </row>
    <row r="2061" spans="2:14">
      <c r="B2061" s="67">
        <v>2000</v>
      </c>
      <c r="C2061" s="67">
        <f t="shared" si="184"/>
        <v>720000</v>
      </c>
      <c r="D2061" s="67">
        <f t="shared" si="187"/>
        <v>5</v>
      </c>
      <c r="E2061" s="67">
        <f ca="1" t="shared" si="188"/>
        <v>2030</v>
      </c>
      <c r="F2061" s="67">
        <f ca="1" t="shared" si="185"/>
        <v>0</v>
      </c>
      <c r="G2061" s="67">
        <f ca="1" t="shared" si="186"/>
        <v>0</v>
      </c>
      <c r="H2061" s="67" cm="1">
        <f ca="1" t="array" ref="H2061">MIN(30-SUM(I2061:L2061),_xlfn.XLOOKUP($D2061&amp;"_"&amp;H$61,$B$23:$B$45&amp;"_"&amp;$C$23:$C$45,$D$23:$D$45)*$E2061,18)</f>
        <v>7.81600153787004</v>
      </c>
      <c r="I2061" s="67" cm="1">
        <f ca="1" t="array" ref="I2061">MIN(30-SUM(J2061:L2061),6-L2061,_xlfn.XLOOKUP($D2061&amp;"_"&amp;I$61,$B$23:$B$45&amp;"_"&amp;$C$23:$C$45,$D$23:$D$45)*$E2061)</f>
        <v>0</v>
      </c>
      <c r="J2061" s="67" cm="1">
        <f ca="1" t="array" ref="J2061">MIN(8,_xlfn.XLOOKUP($D2061&amp;"_"&amp;J$61,$B$23:$B$45&amp;"_"&amp;$C$23:$C$45,$D$23:$D$45)*$E2061)</f>
        <v>8</v>
      </c>
      <c r="K2061" s="67" cm="1">
        <f ca="1" t="array" ref="K2061">MIN(18,_xlfn.XLOOKUP($D2061&amp;"_"&amp;K$61,$B$23:$B$45&amp;"_"&amp;$C$23:$C$45,$D$23:$D$45)*$E2061)</f>
        <v>8.18399846212996</v>
      </c>
      <c r="L2061" s="67" cm="1">
        <f ca="1" t="array" ref="L2061">MIN(6,_xlfn.XLOOKUP($D2061&amp;"_"&amp;L$61,$B$23:$B$45&amp;"_"&amp;$C$23:$C$45,$D$23:$D$45)*$E2061)</f>
        <v>6</v>
      </c>
      <c r="M2061" s="67" cm="1">
        <f ca="1" t="array" ref="M2061">(1+SUMPRODUCT(G2061:H2061,OFFSET($H$49:$I$49,D2061,0)))*(1+OFFSET($J$49,D2061,0))^I2061*(1+OFFSET($K$49,D2061,0))^J2061*(1+OFFSET($L$49,D2061,0))^K2061*(1+OFFSET($M$49,D2061,0))^L2061</f>
        <v>555.695371256612</v>
      </c>
      <c r="N2061" s="67">
        <f ca="1">MAX(MAX($N$62:N2060),OFFSET($C$61,MATCH(M2061*1.07,$M$62:$M$2061,1),0)-C2061)</f>
        <v>56880</v>
      </c>
    </row>
  </sheetData>
  <conditionalFormatting sqref="G50:M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{557ca151-5e3d-4a4d-beda-96d966672ad3}</x14:id>
        </ext>
      </extLst>
    </cfRule>
  </conditionalFormatting>
  <pageMargins left="0.7" right="0.7" top="0.75" bottom="0.75" header="0.3" footer="0.3"/>
  <pageSetup paperSize="9" orientation="portrait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57ca151-5e3d-4a4d-beda-96d966672a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G50:M56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/>
  <dimension ref="A1:AV794"/>
  <sheetViews>
    <sheetView topLeftCell="C756" workbookViewId="0">
      <selection activeCell="X760" sqref="X760"/>
    </sheetView>
  </sheetViews>
  <sheetFormatPr defaultColWidth="50.625" defaultRowHeight="14.25" customHeight="1"/>
  <cols>
    <col min="1" max="1" width="18.625" style="24" customWidth="1"/>
    <col min="2" max="2" width="12.5" style="25" customWidth="1"/>
    <col min="3" max="4" width="6" style="24" customWidth="1"/>
    <col min="5" max="5" width="11.125" style="25" customWidth="1"/>
    <col min="6" max="11" width="11.125" style="25" hidden="1" customWidth="1"/>
    <col min="12" max="17" width="11.125" style="25" customWidth="1"/>
    <col min="18" max="18" width="32" style="25" hidden="1" customWidth="1"/>
    <col min="19" max="20" width="15.625" style="25" hidden="1" customWidth="1"/>
    <col min="21" max="21" width="19.5" style="25" hidden="1" customWidth="1"/>
    <col min="22" max="22" width="30.625" style="26" hidden="1" customWidth="1"/>
    <col min="23" max="23" width="17.125" style="25" hidden="1" customWidth="1"/>
    <col min="24" max="24" width="16.875" style="25" customWidth="1"/>
    <col min="25" max="25" width="11" style="25" hidden="1" customWidth="1"/>
    <col min="26" max="26" width="10" style="25" customWidth="1"/>
    <col min="27" max="27" width="56.5" style="25" customWidth="1"/>
    <col min="28" max="28" width="12" style="25" customWidth="1"/>
    <col min="29" max="30" width="13.25" style="25" customWidth="1"/>
    <col min="31" max="31" width="12.375" style="25" customWidth="1"/>
    <col min="32" max="35" width="12.125" style="25" customWidth="1"/>
    <col min="36" max="36" width="9" style="25" customWidth="1"/>
    <col min="37" max="37" width="12.375" style="24" customWidth="1"/>
    <col min="38" max="38" width="45.625" style="27" customWidth="1"/>
    <col min="39" max="39" width="12.375" style="25" customWidth="1"/>
    <col min="40" max="41" width="12.125" style="25" customWidth="1"/>
    <col min="42" max="16378" width="50.625" style="25"/>
  </cols>
  <sheetData>
    <row r="1" s="19" customFormat="1" ht="114" customHeight="1" spans="1:42">
      <c r="A1" s="19" t="s">
        <v>88</v>
      </c>
      <c r="B1" s="19" t="s">
        <v>89</v>
      </c>
      <c r="C1" s="19" t="s">
        <v>90</v>
      </c>
      <c r="E1" s="19" t="s">
        <v>91</v>
      </c>
      <c r="F1" s="19">
        <v>1</v>
      </c>
      <c r="G1" s="19">
        <v>2</v>
      </c>
      <c r="H1" s="19">
        <v>3</v>
      </c>
      <c r="I1" s="19">
        <v>4</v>
      </c>
      <c r="J1" s="19">
        <v>5</v>
      </c>
      <c r="K1" s="19">
        <v>6</v>
      </c>
      <c r="L1" s="20" t="s">
        <v>92</v>
      </c>
      <c r="M1" s="20" t="s">
        <v>93</v>
      </c>
      <c r="N1" s="20" t="s">
        <v>94</v>
      </c>
      <c r="O1" s="20" t="s">
        <v>95</v>
      </c>
      <c r="P1" s="20" t="s">
        <v>96</v>
      </c>
      <c r="Q1" s="20" t="s">
        <v>97</v>
      </c>
      <c r="R1" s="19" t="s">
        <v>98</v>
      </c>
      <c r="S1" s="19" t="s">
        <v>99</v>
      </c>
      <c r="T1" s="19" t="s">
        <v>100</v>
      </c>
      <c r="U1" s="19" t="s">
        <v>101</v>
      </c>
      <c r="V1" s="19" t="s">
        <v>102</v>
      </c>
      <c r="W1" s="19" t="s">
        <v>103</v>
      </c>
      <c r="X1" s="19" t="s">
        <v>104</v>
      </c>
      <c r="Y1" s="19" t="s">
        <v>105</v>
      </c>
      <c r="Z1" s="19" t="s">
        <v>106</v>
      </c>
      <c r="AA1" s="19" t="s">
        <v>107</v>
      </c>
      <c r="AE1" s="19" t="s">
        <v>108</v>
      </c>
      <c r="AF1" s="19" t="s">
        <v>109</v>
      </c>
      <c r="AG1" s="19" t="s">
        <v>84</v>
      </c>
      <c r="AH1" s="19" t="s">
        <v>110</v>
      </c>
      <c r="AI1" s="19" t="s">
        <v>111</v>
      </c>
      <c r="AJ1" s="19" t="s">
        <v>112</v>
      </c>
      <c r="AK1" s="28" t="s">
        <v>113</v>
      </c>
      <c r="AL1" s="28" t="s">
        <v>114</v>
      </c>
      <c r="AM1" s="28" t="s">
        <v>115</v>
      </c>
      <c r="AN1" s="19" t="s">
        <v>116</v>
      </c>
      <c r="AP1" s="19" t="s">
        <v>117</v>
      </c>
    </row>
    <row r="2" s="19" customFormat="1" customHeight="1" spans="1:42">
      <c r="A2" s="19" t="s">
        <v>118</v>
      </c>
      <c r="B2" s="19" t="s">
        <v>119</v>
      </c>
      <c r="C2" s="19" t="s">
        <v>120</v>
      </c>
      <c r="D2" s="19" t="s">
        <v>121</v>
      </c>
      <c r="E2" s="19" t="s">
        <v>122</v>
      </c>
      <c r="F2" s="19" t="s">
        <v>123</v>
      </c>
      <c r="G2" s="19" t="s">
        <v>124</v>
      </c>
      <c r="H2" s="19" t="s">
        <v>125</v>
      </c>
      <c r="I2" s="19" t="s">
        <v>126</v>
      </c>
      <c r="J2" s="19" t="s">
        <v>127</v>
      </c>
      <c r="K2" s="19" t="s">
        <v>128</v>
      </c>
      <c r="L2" s="20" t="s">
        <v>129</v>
      </c>
      <c r="M2" s="20" t="s">
        <v>130</v>
      </c>
      <c r="N2" s="20" t="s">
        <v>131</v>
      </c>
      <c r="O2" s="20" t="s">
        <v>132</v>
      </c>
      <c r="P2" s="20" t="s">
        <v>133</v>
      </c>
      <c r="Q2" s="20" t="s">
        <v>134</v>
      </c>
      <c r="R2" s="19" t="s">
        <v>135</v>
      </c>
      <c r="S2" s="19" t="s">
        <v>136</v>
      </c>
      <c r="T2" s="19" t="s">
        <v>137</v>
      </c>
      <c r="U2" s="19" t="s">
        <v>138</v>
      </c>
      <c r="V2" s="29" t="s">
        <v>139</v>
      </c>
      <c r="W2" s="29" t="s">
        <v>140</v>
      </c>
      <c r="X2" s="19" t="s">
        <v>141</v>
      </c>
      <c r="Y2" s="19" t="s">
        <v>142</v>
      </c>
      <c r="Z2" s="19" t="s">
        <v>143</v>
      </c>
      <c r="AA2" s="19" t="s">
        <v>144</v>
      </c>
      <c r="AB2" s="19" t="s">
        <v>145</v>
      </c>
      <c r="AC2" s="19" t="s">
        <v>146</v>
      </c>
      <c r="AD2" s="19" t="s">
        <v>147</v>
      </c>
      <c r="AE2" s="19" t="s">
        <v>148</v>
      </c>
      <c r="AF2" s="19" t="s">
        <v>149</v>
      </c>
      <c r="AG2" s="19" t="s">
        <v>150</v>
      </c>
      <c r="AH2" s="19" t="s">
        <v>151</v>
      </c>
      <c r="AI2" s="19" t="s">
        <v>152</v>
      </c>
      <c r="AJ2" s="19" t="s">
        <v>153</v>
      </c>
      <c r="AK2" s="19" t="s">
        <v>154</v>
      </c>
      <c r="AL2" s="30" t="s">
        <v>155</v>
      </c>
      <c r="AM2" s="19" t="s">
        <v>156</v>
      </c>
      <c r="AN2" s="19" t="s">
        <v>157</v>
      </c>
      <c r="AO2" s="19" t="s">
        <v>158</v>
      </c>
      <c r="AP2" s="19" t="s">
        <v>159</v>
      </c>
    </row>
    <row r="3" s="20" customFormat="1" customHeight="1" spans="1:42"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 t="str">
        <f>IF(B3="","","[{global_atk,"&amp;4*C3&amp;"}]")</f>
        <v/>
      </c>
      <c r="V3" s="31"/>
      <c r="W3" s="25"/>
      <c r="X3" s="32"/>
      <c r="Y3" s="25"/>
      <c r="Z3" s="26"/>
      <c r="AA3" s="26"/>
      <c r="AB3" s="26"/>
      <c r="AC3" s="26"/>
      <c r="AD3" s="26"/>
      <c r="AF3" s="26"/>
      <c r="AG3" s="26"/>
      <c r="AH3" s="26"/>
      <c r="AI3" s="26"/>
      <c r="AJ3" s="26"/>
      <c r="AK3" s="24"/>
      <c r="AL3" s="27"/>
      <c r="AM3" s="25"/>
      <c r="AN3" s="26"/>
      <c r="AO3" s="26"/>
    </row>
    <row r="4" s="21" customFormat="1" customHeight="1" spans="1:42">
      <c r="C4" s="33" t="s">
        <v>160</v>
      </c>
      <c r="D4" s="33"/>
      <c r="E4" s="33"/>
      <c r="F4" s="33"/>
      <c r="G4" s="33"/>
      <c r="H4" s="33"/>
      <c r="I4" s="33"/>
      <c r="J4" s="33"/>
      <c r="K4" s="33"/>
      <c r="L4" s="26"/>
      <c r="M4" s="26"/>
      <c r="N4" s="26"/>
      <c r="O4" s="26"/>
      <c r="P4" s="26"/>
      <c r="Q4" s="26"/>
      <c r="R4" s="33"/>
      <c r="S4" s="33"/>
      <c r="T4" s="33"/>
      <c r="V4" s="34"/>
      <c r="W4" s="35"/>
      <c r="X4" s="32"/>
      <c r="Y4" s="35"/>
      <c r="Z4" s="33"/>
      <c r="AA4" s="33" t="s">
        <v>160</v>
      </c>
      <c r="AB4" s="33"/>
      <c r="AC4" s="33"/>
      <c r="AD4" s="33"/>
      <c r="AF4" s="33"/>
      <c r="AG4" s="26"/>
      <c r="AH4" s="33"/>
      <c r="AI4" s="33"/>
      <c r="AJ4" s="33"/>
      <c r="AK4" s="36"/>
      <c r="AL4" s="37" t="s">
        <v>160</v>
      </c>
      <c r="AM4" s="35"/>
      <c r="AN4" s="26"/>
      <c r="AO4" s="26"/>
    </row>
    <row r="5" s="20" customFormat="1" customHeight="1" spans="1:42">
      <c r="A5" s="38" t="str">
        <f>IF(ISBLANK(AK5),"",AK5)</f>
        <v/>
      </c>
      <c r="B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>
        <v>4</v>
      </c>
      <c r="V5" s="31"/>
      <c r="W5" s="25"/>
      <c r="X5" s="32"/>
      <c r="Y5" s="25"/>
      <c r="Z5" s="26"/>
      <c r="AA5" s="32"/>
      <c r="AB5" s="32"/>
      <c r="AC5" s="32"/>
      <c r="AD5" s="32"/>
      <c r="AE5" s="26"/>
      <c r="AF5" s="26"/>
      <c r="AG5" s="26"/>
      <c r="AH5" s="26"/>
      <c r="AI5" s="26"/>
      <c r="AJ5" s="26" t="s">
        <v>161</v>
      </c>
      <c r="AK5" s="24"/>
      <c r="AL5" s="27"/>
      <c r="AM5" s="25"/>
      <c r="AN5" s="26"/>
      <c r="AO5" s="26"/>
    </row>
    <row r="6" s="20" customFormat="1" customHeight="1" spans="1:42">
      <c r="A6" s="38">
        <v>5501011</v>
      </c>
      <c r="B6" s="38" t="str">
        <f t="shared" ref="B6:B69" si="0">IF(ISBLANK(AK6),"",LEFT(AK6,6)&amp;1)</f>
        <v>5501011</v>
      </c>
      <c r="C6" s="32">
        <f t="shared" ref="C6:C69" si="1">IF(ISBLANK(AK6),"",VALUE(RIGHT(A6,1)))</f>
        <v>1</v>
      </c>
      <c r="D6" s="32"/>
      <c r="E6" s="26" t="s">
        <v>162</v>
      </c>
      <c r="F6" s="26">
        <f>IF(LEFT(E6,2)="[1",1,"")</f>
        <v>1</v>
      </c>
      <c r="G6" s="26">
        <f>IFERROR(IF(--MID($E6,2*COUNTIF($F6:F6,"&gt;"&amp;0)+2,1)=G$1,G$1,""),"")</f>
        <v>2</v>
      </c>
      <c r="H6" s="26">
        <f>IFERROR(IF(--MID($E6,2*COUNTIF($F6:G6,"&gt;"&amp;0)+2,1)=H$1,H$1,""),"")</f>
        <v>3</v>
      </c>
      <c r="I6" s="26">
        <f>IFERROR(IF(--MID($E6,2*COUNTIF($F6:H6,"&gt;"&amp;0)+2,1)=I$1,I$1,""),"")</f>
        <v>4</v>
      </c>
      <c r="J6" s="26">
        <f>IFERROR(IF(--MID($E6,2*COUNTIF($F6:I6,"&gt;"&amp;0)+2,1)=J$1,J$1,""),"")</f>
        <v>5</v>
      </c>
      <c r="K6" s="26">
        <f>IFERROR(IF(--MID($E6,2*COUNTIF($F6:J6,"&gt;"&amp;0)+2,1)=K$1,K$1,""),"")</f>
        <v>6</v>
      </c>
      <c r="L6" s="39" cm="1">
        <f t="array" ref="L6">IFERROR(IF($A6="","",IF(F6="","",_xlfn.XLOOKUP($C6&amp;"_"&amp;$AG6,符文权重!$A:$A&amp;"_"&amp;符文权重!$C:$C,符文权重!$D:$D)*$X6/SUMIFS($X:$X,F:F,F6,$C:$C,$C6,$AG:$AG,$AG6)/SUMIF(符文权重!$A:$A,$C6,符文权重!$D:$D))),"")</f>
        <v>0.05</v>
      </c>
      <c r="M6" s="39" cm="1">
        <f t="array" ref="M6">IFERROR(IF($A6="","",IF(G6="","",_xlfn.XLOOKUP($C6&amp;"_"&amp;$AG6,符文权重!$A:$A&amp;"_"&amp;符文权重!$C:$C,符文权重!$D:$D)*$X6/SUMIFS($X:$X,G:G,G6,$C:$C,$C6,$AG:$AG,$AG6)/SUMIF(符文权重!$A:$A,$C6,符文权重!$D:$D))),"")</f>
        <v>0.05</v>
      </c>
      <c r="N6" s="39" cm="1">
        <f t="array" ref="N6">IFERROR(IF($A6="","",IF(H6="","",_xlfn.XLOOKUP($C6&amp;"_"&amp;$AG6,符文权重!$A:$A&amp;"_"&amp;符文权重!$C:$C,符文权重!$D:$D)*$X6/SUMIFS($X:$X,H:H,H6,$C:$C,$C6,$AG:$AG,$AG6)/SUMIF(符文权重!$A:$A,$C6,符文权重!$D:$D))),"")</f>
        <v>0.05</v>
      </c>
      <c r="O6" s="39" cm="1">
        <f t="array" ref="O6">IFERROR(IF($A6="","",IF(I6="","",_xlfn.XLOOKUP($C6&amp;"_"&amp;$AG6,符文权重!$A:$A&amp;"_"&amp;符文权重!$C:$C,符文权重!$D:$D)*$X6/SUMIFS($X:$X,I:I,I6,$C:$C,$C6,$AG:$AG,$AG6)/SUMIF(符文权重!$A:$A,$C6,符文权重!$D:$D))),"")</f>
        <v>0.05</v>
      </c>
      <c r="P6" s="39" cm="1">
        <f t="array" ref="P6">IFERROR(IF($A6="","",IF(J6="","",_xlfn.XLOOKUP($C6&amp;"_"&amp;$AG6,符文权重!$A:$A&amp;"_"&amp;符文权重!$C:$C,符文权重!$D:$D)*$X6/SUMIFS($X:$X,J:J,J6,$C:$C,$C6,$AG:$AG,$AG6)/SUMIF(符文权重!$A:$A,$C6,符文权重!$D:$D))),"")</f>
        <v>0.05</v>
      </c>
      <c r="Q6" s="39" cm="1">
        <f t="array" ref="Q6">IFERROR(IF($A6="","",IF(K6="","",_xlfn.XLOOKUP($C6&amp;"_"&amp;$AG6,符文权重!$A:$A&amp;"_"&amp;符文权重!$C:$C,符文权重!$D:$D)*$X6/SUMIFS($X:$X,K:K,K6,$C:$C,$C6,$AG:$AG,$AG6)/SUMIF(符文权重!$A:$A,$C6,符文权重!$D:$D))),"")</f>
        <v>0.05</v>
      </c>
      <c r="R6" s="26" t="s">
        <v>163</v>
      </c>
      <c r="S6" s="26"/>
      <c r="T6" s="26" t="e">
        <f>IF(B6="","",SUBSTITUTE(SUBSTITUTE("[{global_atk,"&amp;#REF!*C6&amp;"}]",21,20),9,8))</f>
        <v>#REF!</v>
      </c>
      <c r="U6" s="40" t="str">
        <f t="shared" ref="U6:U12" si="2">"["&amp;A6&amp;"]"</f>
        <v>[5501011]</v>
      </c>
      <c r="V6" s="26" t="s">
        <v>164</v>
      </c>
      <c r="W6" s="25"/>
      <c r="X6" s="32">
        <v>100</v>
      </c>
      <c r="Y6" s="25"/>
      <c r="Z6" s="32" t="s">
        <v>165</v>
      </c>
      <c r="AA6" s="32" t="str">
        <f>SUBSTITUTE(SUBSTITUTE(SUBSTITUTE(SUBSTITUTE(AL6,"%s",AM6),"&lt;color=#54b76b&gt;",""),"&lt;/color&gt; ",""),"&lt;/color&gt;","")</f>
        <v>攻击力+20</v>
      </c>
      <c r="AB6" s="32"/>
      <c r="AC6" s="32" t="s">
        <v>166</v>
      </c>
      <c r="AD6" s="32">
        <v>1001</v>
      </c>
      <c r="AE6" s="38" t="str">
        <f t="shared" ref="AE6:AE69" si="3">IF(ISBLANK(AK6),"",B6)</f>
        <v>5501011</v>
      </c>
      <c r="AF6" s="32" t="str">
        <f t="shared" ref="AF6:AF69" si="4">IF(ISBLANK(AM6),"","["&amp;AM6&amp;"]")</f>
        <v>[20]</v>
      </c>
      <c r="AG6" s="26">
        <v>1</v>
      </c>
      <c r="AH6" s="26"/>
      <c r="AI6" s="26">
        <v>0</v>
      </c>
      <c r="AJ6" s="25" t="s">
        <v>167</v>
      </c>
      <c r="AK6" s="24">
        <v>5501011</v>
      </c>
      <c r="AL6" s="27" t="s">
        <v>168</v>
      </c>
      <c r="AM6" s="25">
        <v>20</v>
      </c>
      <c r="AN6" s="26">
        <v>1</v>
      </c>
      <c r="AO6" s="26" t="s">
        <v>25</v>
      </c>
      <c r="AP6" s="20">
        <f>1</f>
        <v>1</v>
      </c>
    </row>
    <row r="7" s="20" customFormat="1" customHeight="1" spans="1:42">
      <c r="A7" s="38">
        <v>5501012</v>
      </c>
      <c r="B7" s="38" t="str">
        <f t="shared" si="0"/>
        <v>5501011</v>
      </c>
      <c r="C7" s="32">
        <f t="shared" si="1"/>
        <v>2</v>
      </c>
      <c r="D7" s="32"/>
      <c r="E7" s="26" t="s">
        <v>162</v>
      </c>
      <c r="F7" s="26">
        <f>IF(LEFT(E7,2)="[1",1,"")</f>
        <v>1</v>
      </c>
      <c r="G7" s="26">
        <f>IFERROR(IF(--MID($E7,2*COUNTIF($F7:F7,"&gt;"&amp;0)+2,1)=G$1,G$1,""),"")</f>
        <v>2</v>
      </c>
      <c r="H7" s="26">
        <f>IFERROR(IF(--MID($E7,2*COUNTIF($F7:G7,"&gt;"&amp;0)+2,1)=H$1,H$1,""),"")</f>
        <v>3</v>
      </c>
      <c r="I7" s="26">
        <f>IFERROR(IF(--MID($E7,2*COUNTIF($F7:H7,"&gt;"&amp;0)+2,1)=I$1,I$1,""),"")</f>
        <v>4</v>
      </c>
      <c r="J7" s="26">
        <f>IFERROR(IF(--MID($E7,2*COUNTIF($F7:I7,"&gt;"&amp;0)+2,1)=J$1,J$1,""),"")</f>
        <v>5</v>
      </c>
      <c r="K7" s="26">
        <f>IFERROR(IF(--MID($E7,2*COUNTIF($F7:J7,"&gt;"&amp;0)+2,1)=K$1,K$1,""),"")</f>
        <v>6</v>
      </c>
      <c r="L7" s="39" cm="1">
        <f t="array" ref="L7">IFERROR(IF($A7="","",IF(F7="","",_xlfn.XLOOKUP($C7&amp;"_"&amp;$AG7,符文权重!$A:$A&amp;"_"&amp;符文权重!$C:$C,符文权重!$D:$D)*$X7/SUMIFS($X:$X,F:F,F7,$C:$C,$C7,$AG:$AG,$AG7)/SUMIF(符文权重!$A:$A,$C7,符文权重!$D:$D))),"")</f>
        <v>0.0363636363636364</v>
      </c>
      <c r="M7" s="39" cm="1">
        <f t="array" ref="M7">IFERROR(IF($A7="","",IF(G7="","",_xlfn.XLOOKUP($C7&amp;"_"&amp;$AG7,符文权重!$A:$A&amp;"_"&amp;符文权重!$C:$C,符文权重!$D:$D)*$X7/SUMIFS($X:$X,G:G,G7,$C:$C,$C7,$AG:$AG,$AG7)/SUMIF(符文权重!$A:$A,$C7,符文权重!$D:$D))),"")</f>
        <v>0.0363636363636364</v>
      </c>
      <c r="N7" s="39" cm="1">
        <f t="array" ref="N7">IFERROR(IF($A7="","",IF(H7="","",_xlfn.XLOOKUP($C7&amp;"_"&amp;$AG7,符文权重!$A:$A&amp;"_"&amp;符文权重!$C:$C,符文权重!$D:$D)*$X7/SUMIFS($X:$X,H:H,H7,$C:$C,$C7,$AG:$AG,$AG7)/SUMIF(符文权重!$A:$A,$C7,符文权重!$D:$D))),"")</f>
        <v>0.0363636363636364</v>
      </c>
      <c r="O7" s="39" cm="1">
        <f t="array" ref="O7">IFERROR(IF($A7="","",IF(I7="","",_xlfn.XLOOKUP($C7&amp;"_"&amp;$AG7,符文权重!$A:$A&amp;"_"&amp;符文权重!$C:$C,符文权重!$D:$D)*$X7/SUMIFS($X:$X,I:I,I7,$C:$C,$C7,$AG:$AG,$AG7)/SUMIF(符文权重!$A:$A,$C7,符文权重!$D:$D))),"")</f>
        <v>0.0363636363636364</v>
      </c>
      <c r="P7" s="39" cm="1">
        <f t="array" ref="P7">IFERROR(IF($A7="","",IF(J7="","",_xlfn.XLOOKUP($C7&amp;"_"&amp;$AG7,符文权重!$A:$A&amp;"_"&amp;符文权重!$C:$C,符文权重!$D:$D)*$X7/SUMIFS($X:$X,J:J,J7,$C:$C,$C7,$AG:$AG,$AG7)/SUMIF(符文权重!$A:$A,$C7,符文权重!$D:$D))),"")</f>
        <v>0.0363636363636364</v>
      </c>
      <c r="Q7" s="39" cm="1">
        <f t="array" ref="Q7">IFERROR(IF($A7="","",IF(K7="","",_xlfn.XLOOKUP($C7&amp;"_"&amp;$AG7,符文权重!$A:$A&amp;"_"&amp;符文权重!$C:$C,符文权重!$D:$D)*$X7/SUMIFS($X:$X,K:K,K7,$C:$C,$C7,$AG:$AG,$AG7)/SUMIF(符文权重!$A:$A,$C7,符文权重!$D:$D))),"")</f>
        <v>0.0363636363636364</v>
      </c>
      <c r="R7" s="26" t="s">
        <v>163</v>
      </c>
      <c r="S7" s="26"/>
      <c r="T7" s="26" t="e">
        <f>IF(B7="","",SUBSTITUTE(SUBSTITUTE("[{global_atk,"&amp;#REF!*C7&amp;"}]",21,20),9,8))</f>
        <v>#REF!</v>
      </c>
      <c r="U7" s="40" t="str">
        <f t="shared" si="2"/>
        <v>[5501012]</v>
      </c>
      <c r="V7" s="26" t="s">
        <v>169</v>
      </c>
      <c r="W7" s="25"/>
      <c r="X7" s="32">
        <v>100</v>
      </c>
      <c r="Y7" s="25"/>
      <c r="Z7" s="32" t="s">
        <v>170</v>
      </c>
      <c r="AA7" s="32" t="str">
        <f t="shared" ref="AA7:AA26" si="5">SUBSTITUTE(SUBSTITUTE(SUBSTITUTE(SUBSTITUTE(AL7,"%s",AM7),"&lt;color=#54b76b&gt;",""),"&lt;/color&gt; ",""),"&lt;/color&gt;","")</f>
        <v>攻击力+30</v>
      </c>
      <c r="AB7" s="32"/>
      <c r="AC7" s="32" t="s">
        <v>166</v>
      </c>
      <c r="AD7" s="32">
        <f>AD6+1</f>
        <v>1002</v>
      </c>
      <c r="AE7" s="38" t="str">
        <f t="shared" si="3"/>
        <v>5501011</v>
      </c>
      <c r="AF7" s="32" t="str">
        <f t="shared" si="4"/>
        <v>[30]</v>
      </c>
      <c r="AG7" s="26">
        <v>1</v>
      </c>
      <c r="AH7" s="26"/>
      <c r="AI7" s="26">
        <v>0</v>
      </c>
      <c r="AJ7" s="25" t="s">
        <v>167</v>
      </c>
      <c r="AK7" s="38">
        <f t="shared" ref="AK7:AK12" si="6">AK6+1</f>
        <v>5501012</v>
      </c>
      <c r="AL7" s="41" t="str">
        <f t="shared" ref="AL7:AL12" si="7">AL6</f>
        <v>攻击力&lt;color=#54b76b&gt;+%s&lt;/color&gt; </v>
      </c>
      <c r="AM7" s="25">
        <v>30</v>
      </c>
      <c r="AN7" s="26">
        <v>1</v>
      </c>
      <c r="AO7" s="26" t="s">
        <v>25</v>
      </c>
      <c r="AP7" s="20">
        <f>AP6+1</f>
        <v>2</v>
      </c>
    </row>
    <row r="8" s="20" customFormat="1" customHeight="1" spans="1:42">
      <c r="A8" s="38">
        <v>5501013</v>
      </c>
      <c r="B8" s="38" t="str">
        <f t="shared" si="0"/>
        <v>5501011</v>
      </c>
      <c r="C8" s="32">
        <f t="shared" si="1"/>
        <v>3</v>
      </c>
      <c r="D8" s="32"/>
      <c r="E8" s="26" t="s">
        <v>162</v>
      </c>
      <c r="F8" s="26">
        <f t="shared" ref="F8:F70" si="8">IF(LEFT(E8,2)="[1",1,"")</f>
        <v>1</v>
      </c>
      <c r="G8" s="26">
        <f>IFERROR(IF(--MID($E8,2*COUNTIF($F8:F8,"&gt;"&amp;0)+2,1)=G$1,G$1,""),"")</f>
        <v>2</v>
      </c>
      <c r="H8" s="26">
        <f>IFERROR(IF(--MID($E8,2*COUNTIF($F8:G8,"&gt;"&amp;0)+2,1)=H$1,H$1,""),"")</f>
        <v>3</v>
      </c>
      <c r="I8" s="26">
        <f>IFERROR(IF(--MID($E8,2*COUNTIF($F8:H8,"&gt;"&amp;0)+2,1)=I$1,I$1,""),"")</f>
        <v>4</v>
      </c>
      <c r="J8" s="26">
        <f>IFERROR(IF(--MID($E8,2*COUNTIF($F8:I8,"&gt;"&amp;0)+2,1)=J$1,J$1,""),"")</f>
        <v>5</v>
      </c>
      <c r="K8" s="26">
        <f>IFERROR(IF(--MID($E8,2*COUNTIF($F8:J8,"&gt;"&amp;0)+2,1)=K$1,K$1,""),"")</f>
        <v>6</v>
      </c>
      <c r="L8" s="39" cm="1">
        <f t="array" ref="L8">IFERROR(IF($A8="","",IF(F8="","",_xlfn.XLOOKUP($C8&amp;"_"&amp;$AG8,符文权重!$A:$A&amp;"_"&amp;符文权重!$C:$C,符文权重!$D:$D)*$X8/SUMIFS($X:$X,F:F,F8,$C:$C,$C8,$AG:$AG,$AG8)/SUMIF(符文权重!$A:$A,$C8,符文权重!$D:$D))),"")</f>
        <v>0.035</v>
      </c>
      <c r="M8" s="39" cm="1">
        <f t="array" ref="M8">IFERROR(IF($A8="","",IF(G8="","",_xlfn.XLOOKUP($C8&amp;"_"&amp;$AG8,符文权重!$A:$A&amp;"_"&amp;符文权重!$C:$C,符文权重!$D:$D)*$X8/SUMIFS($X:$X,G:G,G8,$C:$C,$C8,$AG:$AG,$AG8)/SUMIF(符文权重!$A:$A,$C8,符文权重!$D:$D))),"")</f>
        <v>0.035</v>
      </c>
      <c r="N8" s="39" cm="1">
        <f t="array" ref="N8">IFERROR(IF($A8="","",IF(H8="","",_xlfn.XLOOKUP($C8&amp;"_"&amp;$AG8,符文权重!$A:$A&amp;"_"&amp;符文权重!$C:$C,符文权重!$D:$D)*$X8/SUMIFS($X:$X,H:H,H8,$C:$C,$C8,$AG:$AG,$AG8)/SUMIF(符文权重!$A:$A,$C8,符文权重!$D:$D))),"")</f>
        <v>0.035</v>
      </c>
      <c r="O8" s="39" cm="1">
        <f t="array" ref="O8">IFERROR(IF($A8="","",IF(I8="","",_xlfn.XLOOKUP($C8&amp;"_"&amp;$AG8,符文权重!$A:$A&amp;"_"&amp;符文权重!$C:$C,符文权重!$D:$D)*$X8/SUMIFS($X:$X,I:I,I8,$C:$C,$C8,$AG:$AG,$AG8)/SUMIF(符文权重!$A:$A,$C8,符文权重!$D:$D))),"")</f>
        <v>0.035</v>
      </c>
      <c r="P8" s="39" cm="1">
        <f t="array" ref="P8">IFERROR(IF($A8="","",IF(J8="","",_xlfn.XLOOKUP($C8&amp;"_"&amp;$AG8,符文权重!$A:$A&amp;"_"&amp;符文权重!$C:$C,符文权重!$D:$D)*$X8/SUMIFS($X:$X,J:J,J8,$C:$C,$C8,$AG:$AG,$AG8)/SUMIF(符文权重!$A:$A,$C8,符文权重!$D:$D))),"")</f>
        <v>0.035</v>
      </c>
      <c r="Q8" s="39" cm="1">
        <f t="array" ref="Q8">IFERROR(IF($A8="","",IF(K8="","",_xlfn.XLOOKUP($C8&amp;"_"&amp;$AG8,符文权重!$A:$A&amp;"_"&amp;符文权重!$C:$C,符文权重!$D:$D)*$X8/SUMIFS($X:$X,K:K,K8,$C:$C,$C8,$AG:$AG,$AG8)/SUMIF(符文权重!$A:$A,$C8,符文权重!$D:$D))),"")</f>
        <v>0.035</v>
      </c>
      <c r="R8" s="26" t="s">
        <v>163</v>
      </c>
      <c r="S8" s="26"/>
      <c r="T8" s="26" t="e">
        <f>IF(B8="","",SUBSTITUTE(SUBSTITUTE("[{global_atk,"&amp;#REF!*C8&amp;"}]",21,20),9,8))</f>
        <v>#REF!</v>
      </c>
      <c r="U8" s="40" t="str">
        <f t="shared" si="2"/>
        <v>[5501013]</v>
      </c>
      <c r="V8" s="26" t="s">
        <v>171</v>
      </c>
      <c r="W8" s="25"/>
      <c r="X8" s="32">
        <v>100</v>
      </c>
      <c r="Y8" s="25"/>
      <c r="Z8" s="32" t="s">
        <v>172</v>
      </c>
      <c r="AA8" s="32" t="str">
        <f t="shared" si="5"/>
        <v>攻击力+40</v>
      </c>
      <c r="AB8" s="32"/>
      <c r="AC8" s="32" t="s">
        <v>166</v>
      </c>
      <c r="AD8" s="32">
        <f t="shared" ref="AD8:AD71" si="9">AD7+1</f>
        <v>1003</v>
      </c>
      <c r="AE8" s="38" t="str">
        <f t="shared" si="3"/>
        <v>5501011</v>
      </c>
      <c r="AF8" s="32" t="str">
        <f t="shared" si="4"/>
        <v>[40]</v>
      </c>
      <c r="AG8" s="26">
        <v>1</v>
      </c>
      <c r="AH8" s="26"/>
      <c r="AI8" s="26">
        <v>0</v>
      </c>
      <c r="AJ8" s="25" t="s">
        <v>167</v>
      </c>
      <c r="AK8" s="38">
        <f t="shared" si="6"/>
        <v>5501013</v>
      </c>
      <c r="AL8" s="41" t="str">
        <f t="shared" si="7"/>
        <v>攻击力&lt;color=#54b76b&gt;+%s&lt;/color&gt; </v>
      </c>
      <c r="AM8" s="25">
        <v>40</v>
      </c>
      <c r="AN8" s="26">
        <v>1</v>
      </c>
      <c r="AO8" s="26" t="s">
        <v>25</v>
      </c>
      <c r="AP8" s="20">
        <f t="shared" ref="AP8:AP71" si="10">AP7+1</f>
        <v>3</v>
      </c>
    </row>
    <row r="9" s="20" customFormat="1" customHeight="1" spans="1:42">
      <c r="A9" s="38">
        <v>5501014</v>
      </c>
      <c r="B9" s="38" t="str">
        <f t="shared" si="0"/>
        <v>5501011</v>
      </c>
      <c r="C9" s="32">
        <f t="shared" si="1"/>
        <v>4</v>
      </c>
      <c r="D9" s="32"/>
      <c r="E9" s="26" t="s">
        <v>162</v>
      </c>
      <c r="F9" s="26">
        <f t="shared" si="8"/>
        <v>1</v>
      </c>
      <c r="G9" s="26">
        <f>IFERROR(IF(--MID($E9,2*COUNTIF($F9:F9,"&gt;"&amp;0)+2,1)=G$1,G$1,""),"")</f>
        <v>2</v>
      </c>
      <c r="H9" s="26">
        <f>IFERROR(IF(--MID($E9,2*COUNTIF($F9:G9,"&gt;"&amp;0)+2,1)=H$1,H$1,""),"")</f>
        <v>3</v>
      </c>
      <c r="I9" s="26">
        <f>IFERROR(IF(--MID($E9,2*COUNTIF($F9:H9,"&gt;"&amp;0)+2,1)=I$1,I$1,""),"")</f>
        <v>4</v>
      </c>
      <c r="J9" s="26">
        <f>IFERROR(IF(--MID($E9,2*COUNTIF($F9:I9,"&gt;"&amp;0)+2,1)=J$1,J$1,""),"")</f>
        <v>5</v>
      </c>
      <c r="K9" s="26">
        <f>IFERROR(IF(--MID($E9,2*COUNTIF($F9:J9,"&gt;"&amp;0)+2,1)=K$1,K$1,""),"")</f>
        <v>6</v>
      </c>
      <c r="L9" s="39" cm="1">
        <f t="array" ref="L9">IFERROR(IF($A9="","",IF(F9="","",_xlfn.XLOOKUP($C9&amp;"_"&amp;$AG9,符文权重!$A:$A&amp;"_"&amp;符文权重!$C:$C,符文权重!$D:$D)*$X9/SUMIFS($X:$X,F:F,F9,$C:$C,$C9,$AG:$AG,$AG9)/SUMIF(符文权重!$A:$A,$C9,符文权重!$D:$D))),"")</f>
        <v>0.022913616398243</v>
      </c>
      <c r="M9" s="39" cm="1">
        <f t="array" ref="M9">IFERROR(IF($A9="","",IF(G9="","",_xlfn.XLOOKUP($C9&amp;"_"&amp;$AG9,符文权重!$A:$A&amp;"_"&amp;符文权重!$C:$C,符文权重!$D:$D)*$X9/SUMIFS($X:$X,G:G,G9,$C:$C,$C9,$AG:$AG,$AG9)/SUMIF(符文权重!$A:$A,$C9,符文权重!$D:$D))),"")</f>
        <v>0.022913616398243</v>
      </c>
      <c r="N9" s="39" cm="1">
        <f t="array" ref="N9">IFERROR(IF($A9="","",IF(H9="","",_xlfn.XLOOKUP($C9&amp;"_"&amp;$AG9,符文权重!$A:$A&amp;"_"&amp;符文权重!$C:$C,符文权重!$D:$D)*$X9/SUMIFS($X:$X,H:H,H9,$C:$C,$C9,$AG:$AG,$AG9)/SUMIF(符文权重!$A:$A,$C9,符文权重!$D:$D))),"")</f>
        <v>0.022913616398243</v>
      </c>
      <c r="O9" s="39" cm="1">
        <f t="array" ref="O9">IFERROR(IF($A9="","",IF(I9="","",_xlfn.XLOOKUP($C9&amp;"_"&amp;$AG9,符文权重!$A:$A&amp;"_"&amp;符文权重!$C:$C,符文权重!$D:$D)*$X9/SUMIFS($X:$X,I:I,I9,$C:$C,$C9,$AG:$AG,$AG9)/SUMIF(符文权重!$A:$A,$C9,符文权重!$D:$D))),"")</f>
        <v>0.022913616398243</v>
      </c>
      <c r="P9" s="39" cm="1">
        <f t="array" ref="P9">IFERROR(IF($A9="","",IF(J9="","",_xlfn.XLOOKUP($C9&amp;"_"&amp;$AG9,符文权重!$A:$A&amp;"_"&amp;符文权重!$C:$C,符文权重!$D:$D)*$X9/SUMIFS($X:$X,J:J,J9,$C:$C,$C9,$AG:$AG,$AG9)/SUMIF(符文权重!$A:$A,$C9,符文权重!$D:$D))),"")</f>
        <v>0.022913616398243</v>
      </c>
      <c r="Q9" s="39" cm="1">
        <f t="array" ref="Q9">IFERROR(IF($A9="","",IF(K9="","",_xlfn.XLOOKUP($C9&amp;"_"&amp;$AG9,符文权重!$A:$A&amp;"_"&amp;符文权重!$C:$C,符文权重!$D:$D)*$X9/SUMIFS($X:$X,K:K,K9,$C:$C,$C9,$AG:$AG,$AG9)/SUMIF(符文权重!$A:$A,$C9,符文权重!$D:$D))),"")</f>
        <v>0.022913616398243</v>
      </c>
      <c r="R9" s="26" t="s">
        <v>163</v>
      </c>
      <c r="S9" s="26"/>
      <c r="T9" s="26" t="e">
        <f>IF(B9="","",SUBSTITUTE(SUBSTITUTE("[{global_atk,"&amp;#REF!*C9&amp;"}]",21,20),9,8))</f>
        <v>#REF!</v>
      </c>
      <c r="U9" s="40" t="str">
        <f t="shared" si="2"/>
        <v>[5501014]</v>
      </c>
      <c r="V9" s="26" t="s">
        <v>173</v>
      </c>
      <c r="W9" s="25"/>
      <c r="X9" s="32">
        <v>100</v>
      </c>
      <c r="Y9" s="25"/>
      <c r="Z9" s="32" t="s">
        <v>174</v>
      </c>
      <c r="AA9" s="32" t="str">
        <f t="shared" si="5"/>
        <v>攻击力+50</v>
      </c>
      <c r="AB9" s="32"/>
      <c r="AC9" s="32" t="s">
        <v>166</v>
      </c>
      <c r="AD9" s="32">
        <f t="shared" si="9"/>
        <v>1004</v>
      </c>
      <c r="AE9" s="38" t="str">
        <f t="shared" si="3"/>
        <v>5501011</v>
      </c>
      <c r="AF9" s="32" t="str">
        <f t="shared" si="4"/>
        <v>[50]</v>
      </c>
      <c r="AG9" s="26">
        <v>1</v>
      </c>
      <c r="AH9" s="26"/>
      <c r="AI9" s="26">
        <v>0</v>
      </c>
      <c r="AJ9" s="25" t="s">
        <v>167</v>
      </c>
      <c r="AK9" s="38">
        <f t="shared" si="6"/>
        <v>5501014</v>
      </c>
      <c r="AL9" s="41" t="str">
        <f t="shared" si="7"/>
        <v>攻击力&lt;color=#54b76b&gt;+%s&lt;/color&gt; </v>
      </c>
      <c r="AM9" s="25">
        <v>50</v>
      </c>
      <c r="AN9" s="26">
        <v>1</v>
      </c>
      <c r="AO9" s="26" t="s">
        <v>25</v>
      </c>
      <c r="AP9" s="20">
        <f t="shared" si="10"/>
        <v>4</v>
      </c>
    </row>
    <row r="10" s="20" customFormat="1" customHeight="1" spans="1:42">
      <c r="A10" s="38">
        <v>5501015</v>
      </c>
      <c r="B10" s="38" t="str">
        <f t="shared" si="0"/>
        <v>5501011</v>
      </c>
      <c r="C10" s="32">
        <f t="shared" si="1"/>
        <v>5</v>
      </c>
      <c r="D10" s="32"/>
      <c r="E10" s="26" t="s">
        <v>162</v>
      </c>
      <c r="F10" s="26">
        <f t="shared" si="8"/>
        <v>1</v>
      </c>
      <c r="G10" s="26">
        <f>IFERROR(IF(--MID($E10,2*COUNTIF($F10:F10,"&gt;"&amp;0)+2,1)=G$1,G$1,""),"")</f>
        <v>2</v>
      </c>
      <c r="H10" s="26">
        <f>IFERROR(IF(--MID($E10,2*COUNTIF($F10:G10,"&gt;"&amp;0)+2,1)=H$1,H$1,""),"")</f>
        <v>3</v>
      </c>
      <c r="I10" s="26">
        <f>IFERROR(IF(--MID($E10,2*COUNTIF($F10:H10,"&gt;"&amp;0)+2,1)=I$1,I$1,""),"")</f>
        <v>4</v>
      </c>
      <c r="J10" s="26">
        <f>IFERROR(IF(--MID($E10,2*COUNTIF($F10:I10,"&gt;"&amp;0)+2,1)=J$1,J$1,""),"")</f>
        <v>5</v>
      </c>
      <c r="K10" s="26">
        <f>IFERROR(IF(--MID($E10,2*COUNTIF($F10:J10,"&gt;"&amp;0)+2,1)=K$1,K$1,""),"")</f>
        <v>6</v>
      </c>
      <c r="L10" s="39" cm="1">
        <f t="array" ref="L10">IFERROR(IF($A10="","",IF(F10="","",_xlfn.XLOOKUP($C10&amp;"_"&amp;$AG10,符文权重!$A:$A&amp;"_"&amp;符文权重!$C:$C,符文权重!$D:$D)*$X10/SUMIFS($X:$X,F:F,F10,$C:$C,$C10,$AG:$AG,$AG10)/SUMIF(符文权重!$A:$A,$C10,符文权重!$D:$D))),"")</f>
        <v>0.0196666666666667</v>
      </c>
      <c r="M10" s="39" cm="1">
        <f t="array" ref="M10">IFERROR(IF($A10="","",IF(G10="","",_xlfn.XLOOKUP($C10&amp;"_"&amp;$AG10,符文权重!$A:$A&amp;"_"&amp;符文权重!$C:$C,符文权重!$D:$D)*$X10/SUMIFS($X:$X,G:G,G10,$C:$C,$C10,$AG:$AG,$AG10)/SUMIF(符文权重!$A:$A,$C10,符文权重!$D:$D))),"")</f>
        <v>0.0196666666666667</v>
      </c>
      <c r="N10" s="39" cm="1">
        <f t="array" ref="N10">IFERROR(IF($A10="","",IF(H10="","",_xlfn.XLOOKUP($C10&amp;"_"&amp;$AG10,符文权重!$A:$A&amp;"_"&amp;符文权重!$C:$C,符文权重!$D:$D)*$X10/SUMIFS($X:$X,H:H,H10,$C:$C,$C10,$AG:$AG,$AG10)/SUMIF(符文权重!$A:$A,$C10,符文权重!$D:$D))),"")</f>
        <v>0.0196666666666667</v>
      </c>
      <c r="O10" s="39" cm="1">
        <f t="array" ref="O10">IFERROR(IF($A10="","",IF(I10="","",_xlfn.XLOOKUP($C10&amp;"_"&amp;$AG10,符文权重!$A:$A&amp;"_"&amp;符文权重!$C:$C,符文权重!$D:$D)*$X10/SUMIFS($X:$X,I:I,I10,$C:$C,$C10,$AG:$AG,$AG10)/SUMIF(符文权重!$A:$A,$C10,符文权重!$D:$D))),"")</f>
        <v>0.0196666666666667</v>
      </c>
      <c r="P10" s="39" cm="1">
        <f t="array" ref="P10">IFERROR(IF($A10="","",IF(J10="","",_xlfn.XLOOKUP($C10&amp;"_"&amp;$AG10,符文权重!$A:$A&amp;"_"&amp;符文权重!$C:$C,符文权重!$D:$D)*$X10/SUMIFS($X:$X,J:J,J10,$C:$C,$C10,$AG:$AG,$AG10)/SUMIF(符文权重!$A:$A,$C10,符文权重!$D:$D))),"")</f>
        <v>0.0196666666666667</v>
      </c>
      <c r="Q10" s="39" cm="1">
        <f t="array" ref="Q10">IFERROR(IF($A10="","",IF(K10="","",_xlfn.XLOOKUP($C10&amp;"_"&amp;$AG10,符文权重!$A:$A&amp;"_"&amp;符文权重!$C:$C,符文权重!$D:$D)*$X10/SUMIFS($X:$X,K:K,K10,$C:$C,$C10,$AG:$AG,$AG10)/SUMIF(符文权重!$A:$A,$C10,符文权重!$D:$D))),"")</f>
        <v>0.0196666666666667</v>
      </c>
      <c r="R10" s="26" t="s">
        <v>163</v>
      </c>
      <c r="S10" s="26"/>
      <c r="T10" s="26" t="e">
        <f>IF(B10="","",SUBSTITUTE(SUBSTITUTE("[{global_atk,"&amp;#REF!*C10&amp;"}]",21,20),9,8))</f>
        <v>#REF!</v>
      </c>
      <c r="U10" s="40" t="str">
        <f t="shared" si="2"/>
        <v>[5501015]</v>
      </c>
      <c r="V10" s="26" t="s">
        <v>175</v>
      </c>
      <c r="W10" s="25"/>
      <c r="X10" s="32">
        <v>100</v>
      </c>
      <c r="Y10" s="25"/>
      <c r="Z10" s="32" t="s">
        <v>176</v>
      </c>
      <c r="AA10" s="32" t="str">
        <f t="shared" si="5"/>
        <v>攻击力+64</v>
      </c>
      <c r="AB10" s="32"/>
      <c r="AC10" s="32" t="s">
        <v>166</v>
      </c>
      <c r="AD10" s="32">
        <f t="shared" si="9"/>
        <v>1005</v>
      </c>
      <c r="AE10" s="38" t="str">
        <f t="shared" si="3"/>
        <v>5501011</v>
      </c>
      <c r="AF10" s="32" t="str">
        <f t="shared" si="4"/>
        <v>[64]</v>
      </c>
      <c r="AG10" s="26">
        <v>1</v>
      </c>
      <c r="AH10" s="26"/>
      <c r="AI10" s="26">
        <v>0</v>
      </c>
      <c r="AJ10" s="25" t="s">
        <v>167</v>
      </c>
      <c r="AK10" s="38">
        <f t="shared" si="6"/>
        <v>5501015</v>
      </c>
      <c r="AL10" s="41" t="str">
        <f t="shared" si="7"/>
        <v>攻击力&lt;color=#54b76b&gt;+%s&lt;/color&gt; </v>
      </c>
      <c r="AM10" s="25">
        <v>64</v>
      </c>
      <c r="AN10" s="26">
        <v>1</v>
      </c>
      <c r="AO10" s="26" t="s">
        <v>25</v>
      </c>
      <c r="AP10" s="20">
        <f t="shared" si="10"/>
        <v>5</v>
      </c>
    </row>
    <row r="11" s="20" customFormat="1" customHeight="1" spans="1:42">
      <c r="A11" s="38">
        <v>5501016</v>
      </c>
      <c r="B11" s="38" t="str">
        <f t="shared" si="0"/>
        <v>5501011</v>
      </c>
      <c r="C11" s="32">
        <f t="shared" si="1"/>
        <v>6</v>
      </c>
      <c r="D11" s="32"/>
      <c r="E11" s="26" t="s">
        <v>162</v>
      </c>
      <c r="F11" s="26">
        <f t="shared" si="8"/>
        <v>1</v>
      </c>
      <c r="G11" s="26">
        <f>IFERROR(IF(--MID($E11,2*COUNTIF($F11:F11,"&gt;"&amp;0)+2,1)=G$1,G$1,""),"")</f>
        <v>2</v>
      </c>
      <c r="H11" s="26">
        <f>IFERROR(IF(--MID($E11,2*COUNTIF($F11:G11,"&gt;"&amp;0)+2,1)=H$1,H$1,""),"")</f>
        <v>3</v>
      </c>
      <c r="I11" s="26">
        <f>IFERROR(IF(--MID($E11,2*COUNTIF($F11:H11,"&gt;"&amp;0)+2,1)=I$1,I$1,""),"")</f>
        <v>4</v>
      </c>
      <c r="J11" s="26">
        <f>IFERROR(IF(--MID($E11,2*COUNTIF($F11:I11,"&gt;"&amp;0)+2,1)=J$1,J$1,""),"")</f>
        <v>5</v>
      </c>
      <c r="K11" s="26">
        <f>IFERROR(IF(--MID($E11,2*COUNTIF($F11:J11,"&gt;"&amp;0)+2,1)=K$1,K$1,""),"")</f>
        <v>6</v>
      </c>
      <c r="L11" s="39" cm="1">
        <f t="array" ref="L11">IFERROR(IF($A11="","",IF(F11="","",_xlfn.XLOOKUP($C11&amp;"_"&amp;$AG11,符文权重!$A:$A&amp;"_"&amp;符文权重!$C:$C,符文权重!$D:$D)*$X11/SUMIFS($X:$X,F:F,F11,$C:$C,$C11,$AG:$AG,$AG11)/SUMIF(符文权重!$A:$A,$C11,符文权重!$D:$D))),"")</f>
        <v>0.0196666666666667</v>
      </c>
      <c r="M11" s="39" cm="1">
        <f t="array" ref="M11">IFERROR(IF($A11="","",IF(G11="","",_xlfn.XLOOKUP($C11&amp;"_"&amp;$AG11,符文权重!$A:$A&amp;"_"&amp;符文权重!$C:$C,符文权重!$D:$D)*$X11/SUMIFS($X:$X,G:G,G11,$C:$C,$C11,$AG:$AG,$AG11)/SUMIF(符文权重!$A:$A,$C11,符文权重!$D:$D))),"")</f>
        <v>0.0196666666666667</v>
      </c>
      <c r="N11" s="39" cm="1">
        <f t="array" ref="N11">IFERROR(IF($A11="","",IF(H11="","",_xlfn.XLOOKUP($C11&amp;"_"&amp;$AG11,符文权重!$A:$A&amp;"_"&amp;符文权重!$C:$C,符文权重!$D:$D)*$X11/SUMIFS($X:$X,H:H,H11,$C:$C,$C11,$AG:$AG,$AG11)/SUMIF(符文权重!$A:$A,$C11,符文权重!$D:$D))),"")</f>
        <v>0.0196666666666667</v>
      </c>
      <c r="O11" s="39" cm="1">
        <f t="array" ref="O11">IFERROR(IF($A11="","",IF(I11="","",_xlfn.XLOOKUP($C11&amp;"_"&amp;$AG11,符文权重!$A:$A&amp;"_"&amp;符文权重!$C:$C,符文权重!$D:$D)*$X11/SUMIFS($X:$X,I:I,I11,$C:$C,$C11,$AG:$AG,$AG11)/SUMIF(符文权重!$A:$A,$C11,符文权重!$D:$D))),"")</f>
        <v>0.0196666666666667</v>
      </c>
      <c r="P11" s="39" cm="1">
        <f t="array" ref="P11">IFERROR(IF($A11="","",IF(J11="","",_xlfn.XLOOKUP($C11&amp;"_"&amp;$AG11,符文权重!$A:$A&amp;"_"&amp;符文权重!$C:$C,符文权重!$D:$D)*$X11/SUMIFS($X:$X,J:J,J11,$C:$C,$C11,$AG:$AG,$AG11)/SUMIF(符文权重!$A:$A,$C11,符文权重!$D:$D))),"")</f>
        <v>0.0196666666666667</v>
      </c>
      <c r="Q11" s="39" cm="1">
        <f t="array" ref="Q11">IFERROR(IF($A11="","",IF(K11="","",_xlfn.XLOOKUP($C11&amp;"_"&amp;$AG11,符文权重!$A:$A&amp;"_"&amp;符文权重!$C:$C,符文权重!$D:$D)*$X11/SUMIFS($X:$X,K:K,K11,$C:$C,$C11,$AG:$AG,$AG11)/SUMIF(符文权重!$A:$A,$C11,符文权重!$D:$D))),"")</f>
        <v>0.0196666666666667</v>
      </c>
      <c r="R11" s="26" t="s">
        <v>163</v>
      </c>
      <c r="S11" s="26"/>
      <c r="T11" s="26" t="e">
        <f>IF(B11="","",SUBSTITUTE(SUBSTITUTE("[{global_atk,"&amp;#REF!*C11&amp;"}]",21,20),9,8))</f>
        <v>#REF!</v>
      </c>
      <c r="U11" s="40" t="str">
        <f t="shared" si="2"/>
        <v>[5501016]</v>
      </c>
      <c r="V11" s="26" t="s">
        <v>177</v>
      </c>
      <c r="W11" s="25"/>
      <c r="X11" s="32">
        <v>100</v>
      </c>
      <c r="Y11" s="25"/>
      <c r="Z11" s="32" t="s">
        <v>178</v>
      </c>
      <c r="AA11" s="32" t="str">
        <f t="shared" si="5"/>
        <v>攻击力+80</v>
      </c>
      <c r="AB11" s="32"/>
      <c r="AC11" s="32" t="s">
        <v>166</v>
      </c>
      <c r="AD11" s="32">
        <f t="shared" si="9"/>
        <v>1006</v>
      </c>
      <c r="AE11" s="38" t="str">
        <f t="shared" si="3"/>
        <v>5501011</v>
      </c>
      <c r="AF11" s="32" t="str">
        <f t="shared" si="4"/>
        <v>[80]</v>
      </c>
      <c r="AG11" s="26">
        <v>1</v>
      </c>
      <c r="AH11" s="26"/>
      <c r="AI11" s="26">
        <v>0</v>
      </c>
      <c r="AJ11" s="25" t="s">
        <v>167</v>
      </c>
      <c r="AK11" s="38">
        <f t="shared" si="6"/>
        <v>5501016</v>
      </c>
      <c r="AL11" s="41" t="str">
        <f t="shared" si="7"/>
        <v>攻击力&lt;color=#54b76b&gt;+%s&lt;/color&gt; </v>
      </c>
      <c r="AM11" s="25">
        <v>80</v>
      </c>
      <c r="AN11" s="26">
        <v>1</v>
      </c>
      <c r="AO11" s="26" t="s">
        <v>25</v>
      </c>
      <c r="AP11" s="20">
        <f t="shared" si="10"/>
        <v>6</v>
      </c>
    </row>
    <row r="12" s="20" customFormat="1" customHeight="1" spans="1:42">
      <c r="A12" s="38">
        <v>5501017</v>
      </c>
      <c r="B12" s="38" t="str">
        <f t="shared" si="0"/>
        <v>5501011</v>
      </c>
      <c r="C12" s="32">
        <f t="shared" si="1"/>
        <v>7</v>
      </c>
      <c r="D12" s="32"/>
      <c r="E12" s="26" t="s">
        <v>162</v>
      </c>
      <c r="F12" s="26">
        <f t="shared" si="8"/>
        <v>1</v>
      </c>
      <c r="G12" s="26">
        <f>IFERROR(IF(--MID($E12,2*COUNTIF($F12:F12,"&gt;"&amp;0)+2,1)=G$1,G$1,""),"")</f>
        <v>2</v>
      </c>
      <c r="H12" s="26">
        <f>IFERROR(IF(--MID($E12,2*COUNTIF($F12:G12,"&gt;"&amp;0)+2,1)=H$1,H$1,""),"")</f>
        <v>3</v>
      </c>
      <c r="I12" s="26">
        <f>IFERROR(IF(--MID($E12,2*COUNTIF($F12:H12,"&gt;"&amp;0)+2,1)=I$1,I$1,""),"")</f>
        <v>4</v>
      </c>
      <c r="J12" s="26">
        <f>IFERROR(IF(--MID($E12,2*COUNTIF($F12:I12,"&gt;"&amp;0)+2,1)=J$1,J$1,""),"")</f>
        <v>5</v>
      </c>
      <c r="K12" s="26">
        <f>IFERROR(IF(--MID($E12,2*COUNTIF($F12:J12,"&gt;"&amp;0)+2,1)=K$1,K$1,""),"")</f>
        <v>6</v>
      </c>
      <c r="L12" s="39" cm="1">
        <f t="array" ref="L12">IFERROR(IF($A12="","",IF(F12="","",_xlfn.XLOOKUP($C12&amp;"_"&amp;$AG12,符文权重!$A:$A&amp;"_"&amp;符文权重!$C:$C,符文权重!$D:$D)*$X12/SUMIFS($X:$X,F:F,F12,$C:$C,$C12,$AG:$AG,$AG12)/SUMIF(符文权重!$A:$A,$C12,符文权重!$D:$D))),"")</f>
        <v>0.0196666666666667</v>
      </c>
      <c r="M12" s="39" cm="1">
        <f t="array" ref="M12">IFERROR(IF($A12="","",IF(G12="","",_xlfn.XLOOKUP($C12&amp;"_"&amp;$AG12,符文权重!$A:$A&amp;"_"&amp;符文权重!$C:$C,符文权重!$D:$D)*$X12/SUMIFS($X:$X,G:G,G12,$C:$C,$C12,$AG:$AG,$AG12)/SUMIF(符文权重!$A:$A,$C12,符文权重!$D:$D))),"")</f>
        <v>0.0196666666666667</v>
      </c>
      <c r="N12" s="39" cm="1">
        <f t="array" ref="N12">IFERROR(IF($A12="","",IF(H12="","",_xlfn.XLOOKUP($C12&amp;"_"&amp;$AG12,符文权重!$A:$A&amp;"_"&amp;符文权重!$C:$C,符文权重!$D:$D)*$X12/SUMIFS($X:$X,H:H,H12,$C:$C,$C12,$AG:$AG,$AG12)/SUMIF(符文权重!$A:$A,$C12,符文权重!$D:$D))),"")</f>
        <v>0.0196666666666667</v>
      </c>
      <c r="O12" s="39" cm="1">
        <f t="array" ref="O12">IFERROR(IF($A12="","",IF(I12="","",_xlfn.XLOOKUP($C12&amp;"_"&amp;$AG12,符文权重!$A:$A&amp;"_"&amp;符文权重!$C:$C,符文权重!$D:$D)*$X12/SUMIFS($X:$X,I:I,I12,$C:$C,$C12,$AG:$AG,$AG12)/SUMIF(符文权重!$A:$A,$C12,符文权重!$D:$D))),"")</f>
        <v>0.0196666666666667</v>
      </c>
      <c r="P12" s="39" cm="1">
        <f t="array" ref="P12">IFERROR(IF($A12="","",IF(J12="","",_xlfn.XLOOKUP($C12&amp;"_"&amp;$AG12,符文权重!$A:$A&amp;"_"&amp;符文权重!$C:$C,符文权重!$D:$D)*$X12/SUMIFS($X:$X,J:J,J12,$C:$C,$C12,$AG:$AG,$AG12)/SUMIF(符文权重!$A:$A,$C12,符文权重!$D:$D))),"")</f>
        <v>0.0196666666666667</v>
      </c>
      <c r="Q12" s="39" cm="1">
        <f t="array" ref="Q12">IFERROR(IF($A12="","",IF(K12="","",_xlfn.XLOOKUP($C12&amp;"_"&amp;$AG12,符文权重!$A:$A&amp;"_"&amp;符文权重!$C:$C,符文权重!$D:$D)*$X12/SUMIFS($X:$X,K:K,K12,$C:$C,$C12,$AG:$AG,$AG12)/SUMIF(符文权重!$A:$A,$C12,符文权重!$D:$D))),"")</f>
        <v>0.0196666666666667</v>
      </c>
      <c r="R12" s="26" t="s">
        <v>163</v>
      </c>
      <c r="S12" s="26"/>
      <c r="T12" s="26" t="e">
        <f>IF(B12="","",SUBSTITUTE(SUBSTITUTE("[{global_atk,"&amp;#REF!*C12&amp;"}]",21,20),9,8))</f>
        <v>#REF!</v>
      </c>
      <c r="U12" s="40" t="str">
        <f t="shared" si="2"/>
        <v>[5501017]</v>
      </c>
      <c r="V12" s="26" t="s">
        <v>179</v>
      </c>
      <c r="W12" s="25"/>
      <c r="X12" s="32">
        <v>100</v>
      </c>
      <c r="Y12" s="25"/>
      <c r="Z12" s="32" t="s">
        <v>180</v>
      </c>
      <c r="AA12" s="32" t="str">
        <f t="shared" si="5"/>
        <v>攻击力+100</v>
      </c>
      <c r="AB12" s="32"/>
      <c r="AC12" s="32" t="s">
        <v>166</v>
      </c>
      <c r="AD12" s="32">
        <f t="shared" si="9"/>
        <v>1007</v>
      </c>
      <c r="AE12" s="38" t="str">
        <f t="shared" si="3"/>
        <v>5501011</v>
      </c>
      <c r="AF12" s="32" t="str">
        <f t="shared" si="4"/>
        <v>[100]</v>
      </c>
      <c r="AG12" s="26">
        <v>1</v>
      </c>
      <c r="AH12" s="26"/>
      <c r="AI12" s="26">
        <v>0</v>
      </c>
      <c r="AJ12" s="25" t="s">
        <v>167</v>
      </c>
      <c r="AK12" s="38">
        <f t="shared" si="6"/>
        <v>5501017</v>
      </c>
      <c r="AL12" s="41" t="str">
        <f t="shared" si="7"/>
        <v>攻击力&lt;color=#54b76b&gt;+%s&lt;/color&gt; </v>
      </c>
      <c r="AM12" s="25">
        <v>100</v>
      </c>
      <c r="AN12" s="26">
        <v>1</v>
      </c>
      <c r="AO12" s="26" t="s">
        <v>25</v>
      </c>
      <c r="AP12" s="20">
        <f t="shared" si="10"/>
        <v>7</v>
      </c>
    </row>
    <row r="13" s="20" customFormat="1" customHeight="1" spans="1:42">
      <c r="A13" s="38" t="s">
        <v>167</v>
      </c>
      <c r="B13" s="38" t="str">
        <f t="shared" si="0"/>
        <v/>
      </c>
      <c r="C13" s="32" t="str">
        <f t="shared" si="1"/>
        <v/>
      </c>
      <c r="D13" s="32"/>
      <c r="E13" s="26"/>
      <c r="F13" s="26" t="str">
        <f t="shared" si="8"/>
        <v/>
      </c>
      <c r="G13" s="26" t="str">
        <f>IFERROR(IF(--MID($E13,2*COUNTIF($F13:F13,"&gt;"&amp;0)+2,1)=G$1,G$1,""),"")</f>
        <v/>
      </c>
      <c r="H13" s="26" t="str">
        <f>IFERROR(IF(--MID($E13,2*COUNTIF($F13:G13,"&gt;"&amp;0)+2,1)=H$1,H$1,""),"")</f>
        <v/>
      </c>
      <c r="I13" s="26" t="str">
        <f>IFERROR(IF(--MID($E13,2*COUNTIF($F13:H13,"&gt;"&amp;0)+2,1)=I$1,I$1,""),"")</f>
        <v/>
      </c>
      <c r="J13" s="26" t="str">
        <f>IFERROR(IF(--MID($E13,2*COUNTIF($F13:I13,"&gt;"&amp;0)+2,1)=J$1,J$1,""),"")</f>
        <v/>
      </c>
      <c r="K13" s="26" t="str">
        <f>IFERROR(IF(--MID($E13,2*COUNTIF($F13:J13,"&gt;"&amp;0)+2,1)=K$1,K$1,""),"")</f>
        <v/>
      </c>
      <c r="L13" s="39" t="str" cm="1">
        <f t="array" ref="L13">IFERROR(IF($A13="","",IF(F13="","",_xlfn.XLOOKUP($C13&amp;"_"&amp;$AG13,符文权重!$A:$A&amp;"_"&amp;符文权重!$C:$C,符文权重!$D:$D)*$X13/SUMIFS($X:$X,F:F,F13,$C:$C,$C13,$AG:$AG,$AG13)/SUMIF(符文权重!$A:$A,$C13,符文权重!$D:$D))),"")</f>
        <v/>
      </c>
      <c r="M13" s="39" t="str" cm="1">
        <f t="array" ref="M13">IFERROR(IF($A13="","",IF(G13="","",_xlfn.XLOOKUP($C13&amp;"_"&amp;$AG13,符文权重!$A:$A&amp;"_"&amp;符文权重!$C:$C,符文权重!$D:$D)*$X13/SUMIFS($X:$X,G:G,G13,$C:$C,$C13,$AG:$AG,$AG13)/SUMIF(符文权重!$A:$A,$C13,符文权重!$D:$D))),"")</f>
        <v/>
      </c>
      <c r="N13" s="39" t="str" cm="1">
        <f t="array" ref="N13">IFERROR(IF($A13="","",IF(H13="","",_xlfn.XLOOKUP($C13&amp;"_"&amp;$AG13,符文权重!$A:$A&amp;"_"&amp;符文权重!$C:$C,符文权重!$D:$D)*$X13/SUMIFS($X:$X,H:H,H13,$C:$C,$C13,$AG:$AG,$AG13)/SUMIF(符文权重!$A:$A,$C13,符文权重!$D:$D))),"")</f>
        <v/>
      </c>
      <c r="O13" s="39" t="str" cm="1">
        <f t="array" ref="O13">IFERROR(IF($A13="","",IF(I13="","",_xlfn.XLOOKUP($C13&amp;"_"&amp;$AG13,符文权重!$A:$A&amp;"_"&amp;符文权重!$C:$C,符文权重!$D:$D)*$X13/SUMIFS($X:$X,I:I,I13,$C:$C,$C13,$AG:$AG,$AG13)/SUMIF(符文权重!$A:$A,$C13,符文权重!$D:$D))),"")</f>
        <v/>
      </c>
      <c r="P13" s="39" t="str" cm="1">
        <f t="array" ref="P13">IFERROR(IF($A13="","",IF(J13="","",_xlfn.XLOOKUP($C13&amp;"_"&amp;$AG13,符文权重!$A:$A&amp;"_"&amp;符文权重!$C:$C,符文权重!$D:$D)*$X13/SUMIFS($X:$X,J:J,J13,$C:$C,$C13,$AG:$AG,$AG13)/SUMIF(符文权重!$A:$A,$C13,符文权重!$D:$D))),"")</f>
        <v/>
      </c>
      <c r="Q13" s="39" t="str" cm="1">
        <f t="array" ref="Q13">IFERROR(IF($A13="","",IF(K13="","",_xlfn.XLOOKUP($C13&amp;"_"&amp;$AG13,符文权重!$A:$A&amp;"_"&amp;符文权重!$C:$C,符文权重!$D:$D)*$X13/SUMIFS($X:$X,K:K,K13,$C:$C,$C13,$AG:$AG,$AG13)/SUMIF(符文权重!$A:$A,$C13,符文权重!$D:$D))),"")</f>
        <v/>
      </c>
      <c r="R13" s="26"/>
      <c r="S13" s="26"/>
      <c r="T13" s="26"/>
      <c r="U13" s="40"/>
      <c r="V13" s="31"/>
      <c r="W13" s="25"/>
      <c r="X13" s="32"/>
      <c r="Y13" s="25"/>
      <c r="Z13" s="32" t="s">
        <v>167</v>
      </c>
      <c r="AA13" s="32" t="str">
        <f t="shared" si="5"/>
        <v/>
      </c>
      <c r="AB13" s="32"/>
      <c r="AC13" s="32" t="s">
        <v>166</v>
      </c>
      <c r="AD13" s="32">
        <f t="shared" si="9"/>
        <v>1008</v>
      </c>
      <c r="AE13" s="38" t="str">
        <f t="shared" si="3"/>
        <v/>
      </c>
      <c r="AF13" s="32" t="str">
        <f t="shared" si="4"/>
        <v/>
      </c>
      <c r="AG13" s="26"/>
      <c r="AH13" s="26"/>
      <c r="AI13" s="26"/>
      <c r="AJ13" s="25" t="s">
        <v>167</v>
      </c>
      <c r="AK13" s="24"/>
      <c r="AL13" s="27"/>
      <c r="AM13" s="25"/>
      <c r="AN13" s="26"/>
      <c r="AO13" s="26"/>
      <c r="AP13" s="20">
        <f t="shared" si="10"/>
        <v>8</v>
      </c>
    </row>
    <row r="14" s="20" customFormat="1" customHeight="1" spans="1:42">
      <c r="A14" s="38">
        <v>5501021</v>
      </c>
      <c r="B14" s="38" t="str">
        <f t="shared" si="0"/>
        <v>5501021</v>
      </c>
      <c r="C14" s="32">
        <f t="shared" si="1"/>
        <v>1</v>
      </c>
      <c r="D14" s="32"/>
      <c r="E14" s="26" t="s">
        <v>162</v>
      </c>
      <c r="F14" s="26">
        <f t="shared" si="8"/>
        <v>1</v>
      </c>
      <c r="G14" s="26">
        <f>IFERROR(IF(--MID($E14,2*COUNTIF($F14:F14,"&gt;"&amp;0)+2,1)=G$1,G$1,""),"")</f>
        <v>2</v>
      </c>
      <c r="H14" s="26">
        <f>IFERROR(IF(--MID($E14,2*COUNTIF($F14:G14,"&gt;"&amp;0)+2,1)=H$1,H$1,""),"")</f>
        <v>3</v>
      </c>
      <c r="I14" s="26">
        <f>IFERROR(IF(--MID($E14,2*COUNTIF($F14:H14,"&gt;"&amp;0)+2,1)=I$1,I$1,""),"")</f>
        <v>4</v>
      </c>
      <c r="J14" s="26">
        <f>IFERROR(IF(--MID($E14,2*COUNTIF($F14:I14,"&gt;"&amp;0)+2,1)=J$1,J$1,""),"")</f>
        <v>5</v>
      </c>
      <c r="K14" s="26">
        <f>IFERROR(IF(--MID($E14,2*COUNTIF($F14:J14,"&gt;"&amp;0)+2,1)=K$1,K$1,""),"")</f>
        <v>6</v>
      </c>
      <c r="L14" s="39" cm="1">
        <f t="array" ref="L14">IFERROR(IF($A14="","",IF(F14="","",_xlfn.XLOOKUP($C14&amp;"_"&amp;$AG14,符文权重!$A:$A&amp;"_"&amp;符文权重!$C:$C,符文权重!$D:$D)*$X14/SUMIFS($X:$X,F:F,F14,$C:$C,$C14,$AG:$AG,$AG14)/SUMIF(符文权重!$A:$A,$C14,符文权重!$D:$D))),"")</f>
        <v>0.05</v>
      </c>
      <c r="M14" s="39" cm="1">
        <f t="array" ref="M14">IFERROR(IF($A14="","",IF(G14="","",_xlfn.XLOOKUP($C14&amp;"_"&amp;$AG14,符文权重!$A:$A&amp;"_"&amp;符文权重!$C:$C,符文权重!$D:$D)*$X14/SUMIFS($X:$X,G:G,G14,$C:$C,$C14,$AG:$AG,$AG14)/SUMIF(符文权重!$A:$A,$C14,符文权重!$D:$D))),"")</f>
        <v>0.05</v>
      </c>
      <c r="N14" s="39" cm="1">
        <f t="array" ref="N14">IFERROR(IF($A14="","",IF(H14="","",_xlfn.XLOOKUP($C14&amp;"_"&amp;$AG14,符文权重!$A:$A&amp;"_"&amp;符文权重!$C:$C,符文权重!$D:$D)*$X14/SUMIFS($X:$X,H:H,H14,$C:$C,$C14,$AG:$AG,$AG14)/SUMIF(符文权重!$A:$A,$C14,符文权重!$D:$D))),"")</f>
        <v>0.05</v>
      </c>
      <c r="O14" s="39" cm="1">
        <f t="array" ref="O14">IFERROR(IF($A14="","",IF(I14="","",_xlfn.XLOOKUP($C14&amp;"_"&amp;$AG14,符文权重!$A:$A&amp;"_"&amp;符文权重!$C:$C,符文权重!$D:$D)*$X14/SUMIFS($X:$X,I:I,I14,$C:$C,$C14,$AG:$AG,$AG14)/SUMIF(符文权重!$A:$A,$C14,符文权重!$D:$D))),"")</f>
        <v>0.05</v>
      </c>
      <c r="P14" s="39" cm="1">
        <f t="array" ref="P14">IFERROR(IF($A14="","",IF(J14="","",_xlfn.XLOOKUP($C14&amp;"_"&amp;$AG14,符文权重!$A:$A&amp;"_"&amp;符文权重!$C:$C,符文权重!$D:$D)*$X14/SUMIFS($X:$X,J:J,J14,$C:$C,$C14,$AG:$AG,$AG14)/SUMIF(符文权重!$A:$A,$C14,符文权重!$D:$D))),"")</f>
        <v>0.05</v>
      </c>
      <c r="Q14" s="39" cm="1">
        <f t="array" ref="Q14">IFERROR(IF($A14="","",IF(K14="","",_xlfn.XLOOKUP($C14&amp;"_"&amp;$AG14,符文权重!$A:$A&amp;"_"&amp;符文权重!$C:$C,符文权重!$D:$D)*$X14/SUMIFS($X:$X,K:K,K14,$C:$C,$C14,$AG:$AG,$AG14)/SUMIF(符文权重!$A:$A,$C14,符文权重!$D:$D))),"")</f>
        <v>0.05</v>
      </c>
      <c r="R14" s="26" t="s">
        <v>181</v>
      </c>
      <c r="S14" s="26" t="s">
        <v>182</v>
      </c>
      <c r="T14" s="26" t="e">
        <f>IF(B14="","",SUBSTITUTE(SUBSTITUTE("[{global_atk,"&amp;#REF!*C14&amp;"}]",21,20),9,8))</f>
        <v>#REF!</v>
      </c>
      <c r="U14" s="40" t="str">
        <f t="shared" ref="U14:U20" si="11">"["&amp;A14&amp;"]"</f>
        <v>[5501021]</v>
      </c>
      <c r="V14" s="26" t="s">
        <v>183</v>
      </c>
      <c r="W14" s="25"/>
      <c r="X14" s="32">
        <v>100</v>
      </c>
      <c r="Y14" s="25"/>
      <c r="Z14" s="32" t="s">
        <v>165</v>
      </c>
      <c r="AA14" s="32" t="str">
        <f t="shared" si="5"/>
        <v>射手职业攻击力+30</v>
      </c>
      <c r="AB14" s="32"/>
      <c r="AC14" s="32" t="s">
        <v>166</v>
      </c>
      <c r="AD14" s="32">
        <f t="shared" si="9"/>
        <v>1009</v>
      </c>
      <c r="AE14" s="38" t="str">
        <f t="shared" si="3"/>
        <v>5501021</v>
      </c>
      <c r="AF14" s="32" t="str">
        <f t="shared" si="4"/>
        <v>[30]</v>
      </c>
      <c r="AG14" s="26">
        <v>1</v>
      </c>
      <c r="AH14" s="26"/>
      <c r="AI14" s="26">
        <v>0</v>
      </c>
      <c r="AJ14" s="25" t="s">
        <v>167</v>
      </c>
      <c r="AK14" s="24">
        <v>5501021</v>
      </c>
      <c r="AL14" s="42" t="s">
        <v>184</v>
      </c>
      <c r="AM14" s="25">
        <v>30</v>
      </c>
      <c r="AN14" s="26">
        <v>1</v>
      </c>
      <c r="AO14" s="26" t="s">
        <v>31</v>
      </c>
      <c r="AP14" s="20">
        <f t="shared" si="10"/>
        <v>9</v>
      </c>
    </row>
    <row r="15" s="20" customFormat="1" customHeight="1" spans="1:42">
      <c r="A15" s="38">
        <v>5501022</v>
      </c>
      <c r="B15" s="38" t="str">
        <f t="shared" si="0"/>
        <v>5501021</v>
      </c>
      <c r="C15" s="32">
        <f t="shared" si="1"/>
        <v>2</v>
      </c>
      <c r="D15" s="32"/>
      <c r="E15" s="26" t="s">
        <v>162</v>
      </c>
      <c r="F15" s="26">
        <f t="shared" si="8"/>
        <v>1</v>
      </c>
      <c r="G15" s="26">
        <f>IFERROR(IF(--MID($E15,2*COUNTIF($F15:F15,"&gt;"&amp;0)+2,1)=G$1,G$1,""),"")</f>
        <v>2</v>
      </c>
      <c r="H15" s="26">
        <f>IFERROR(IF(--MID($E15,2*COUNTIF($F15:G15,"&gt;"&amp;0)+2,1)=H$1,H$1,""),"")</f>
        <v>3</v>
      </c>
      <c r="I15" s="26">
        <f>IFERROR(IF(--MID($E15,2*COUNTIF($F15:H15,"&gt;"&amp;0)+2,1)=I$1,I$1,""),"")</f>
        <v>4</v>
      </c>
      <c r="J15" s="26">
        <f>IFERROR(IF(--MID($E15,2*COUNTIF($F15:I15,"&gt;"&amp;0)+2,1)=J$1,J$1,""),"")</f>
        <v>5</v>
      </c>
      <c r="K15" s="26">
        <f>IFERROR(IF(--MID($E15,2*COUNTIF($F15:J15,"&gt;"&amp;0)+2,1)=K$1,K$1,""),"")</f>
        <v>6</v>
      </c>
      <c r="L15" s="39" cm="1">
        <f t="array" ref="L15">IFERROR(IF($A15="","",IF(F15="","",_xlfn.XLOOKUP($C15&amp;"_"&amp;$AG15,符文权重!$A:$A&amp;"_"&amp;符文权重!$C:$C,符文权重!$D:$D)*$X15/SUMIFS($X:$X,F:F,F15,$C:$C,$C15,$AG:$AG,$AG15)/SUMIF(符文权重!$A:$A,$C15,符文权重!$D:$D))),"")</f>
        <v>0.0363636363636364</v>
      </c>
      <c r="M15" s="39" cm="1">
        <f t="array" ref="M15">IFERROR(IF($A15="","",IF(G15="","",_xlfn.XLOOKUP($C15&amp;"_"&amp;$AG15,符文权重!$A:$A&amp;"_"&amp;符文权重!$C:$C,符文权重!$D:$D)*$X15/SUMIFS($X:$X,G:G,G15,$C:$C,$C15,$AG:$AG,$AG15)/SUMIF(符文权重!$A:$A,$C15,符文权重!$D:$D))),"")</f>
        <v>0.0363636363636364</v>
      </c>
      <c r="N15" s="39" cm="1">
        <f t="array" ref="N15">IFERROR(IF($A15="","",IF(H15="","",_xlfn.XLOOKUP($C15&amp;"_"&amp;$AG15,符文权重!$A:$A&amp;"_"&amp;符文权重!$C:$C,符文权重!$D:$D)*$X15/SUMIFS($X:$X,H:H,H15,$C:$C,$C15,$AG:$AG,$AG15)/SUMIF(符文权重!$A:$A,$C15,符文权重!$D:$D))),"")</f>
        <v>0.0363636363636364</v>
      </c>
      <c r="O15" s="39" cm="1">
        <f t="array" ref="O15">IFERROR(IF($A15="","",IF(I15="","",_xlfn.XLOOKUP($C15&amp;"_"&amp;$AG15,符文权重!$A:$A&amp;"_"&amp;符文权重!$C:$C,符文权重!$D:$D)*$X15/SUMIFS($X:$X,I:I,I15,$C:$C,$C15,$AG:$AG,$AG15)/SUMIF(符文权重!$A:$A,$C15,符文权重!$D:$D))),"")</f>
        <v>0.0363636363636364</v>
      </c>
      <c r="P15" s="39" cm="1">
        <f t="array" ref="P15">IFERROR(IF($A15="","",IF(J15="","",_xlfn.XLOOKUP($C15&amp;"_"&amp;$AG15,符文权重!$A:$A&amp;"_"&amp;符文权重!$C:$C,符文权重!$D:$D)*$X15/SUMIFS($X:$X,J:J,J15,$C:$C,$C15,$AG:$AG,$AG15)/SUMIF(符文权重!$A:$A,$C15,符文权重!$D:$D))),"")</f>
        <v>0.0363636363636364</v>
      </c>
      <c r="Q15" s="39" cm="1">
        <f t="array" ref="Q15">IFERROR(IF($A15="","",IF(K15="","",_xlfn.XLOOKUP($C15&amp;"_"&amp;$AG15,符文权重!$A:$A&amp;"_"&amp;符文权重!$C:$C,符文权重!$D:$D)*$X15/SUMIFS($X:$X,K:K,K15,$C:$C,$C15,$AG:$AG,$AG15)/SUMIF(符文权重!$A:$A,$C15,符文权重!$D:$D))),"")</f>
        <v>0.0363636363636364</v>
      </c>
      <c r="R15" s="26" t="s">
        <v>181</v>
      </c>
      <c r="S15" s="26" t="s">
        <v>182</v>
      </c>
      <c r="T15" s="26" t="e">
        <f>IF(B15="","",SUBSTITUTE(SUBSTITUTE("[{global_atk,"&amp;#REF!*C15&amp;"}]",21,20),9,8))</f>
        <v>#REF!</v>
      </c>
      <c r="U15" s="40" t="str">
        <f t="shared" si="11"/>
        <v>[5501022]</v>
      </c>
      <c r="V15" s="26" t="s">
        <v>185</v>
      </c>
      <c r="W15" s="25"/>
      <c r="X15" s="32">
        <v>100</v>
      </c>
      <c r="Y15" s="25"/>
      <c r="Z15" s="32" t="s">
        <v>170</v>
      </c>
      <c r="AA15" s="32" t="str">
        <f t="shared" si="5"/>
        <v>射手职业攻击力+40</v>
      </c>
      <c r="AB15" s="32"/>
      <c r="AC15" s="32" t="s">
        <v>166</v>
      </c>
      <c r="AD15" s="32">
        <f t="shared" si="9"/>
        <v>1010</v>
      </c>
      <c r="AE15" s="38" t="str">
        <f t="shared" si="3"/>
        <v>5501021</v>
      </c>
      <c r="AF15" s="32" t="str">
        <f t="shared" si="4"/>
        <v>[40]</v>
      </c>
      <c r="AG15" s="26">
        <v>1</v>
      </c>
      <c r="AH15" s="26"/>
      <c r="AI15" s="26">
        <v>0</v>
      </c>
      <c r="AJ15" s="25" t="s">
        <v>167</v>
      </c>
      <c r="AK15" s="38">
        <f t="shared" ref="AK15:AK20" si="12">AK14+1</f>
        <v>5501022</v>
      </c>
      <c r="AL15" s="41" t="str">
        <f t="shared" ref="AL15:AL20" si="13">AL14</f>
        <v>射手职业攻击力&lt;color=#54b76b&gt;+%s&lt;/color&gt;</v>
      </c>
      <c r="AM15" s="25">
        <v>40</v>
      </c>
      <c r="AN15" s="26">
        <v>1</v>
      </c>
      <c r="AO15" s="26" t="s">
        <v>31</v>
      </c>
      <c r="AP15" s="20">
        <f t="shared" si="10"/>
        <v>10</v>
      </c>
    </row>
    <row r="16" s="20" customFormat="1" customHeight="1" spans="1:42">
      <c r="A16" s="38">
        <v>5501023</v>
      </c>
      <c r="B16" s="38" t="str">
        <f t="shared" si="0"/>
        <v>5501021</v>
      </c>
      <c r="C16" s="32">
        <f t="shared" si="1"/>
        <v>3</v>
      </c>
      <c r="D16" s="32"/>
      <c r="E16" s="26" t="s">
        <v>162</v>
      </c>
      <c r="F16" s="26">
        <f t="shared" si="8"/>
        <v>1</v>
      </c>
      <c r="G16" s="26">
        <f>IFERROR(IF(--MID($E16,2*COUNTIF($F16:F16,"&gt;"&amp;0)+2,1)=G$1,G$1,""),"")</f>
        <v>2</v>
      </c>
      <c r="H16" s="26">
        <f>IFERROR(IF(--MID($E16,2*COUNTIF($F16:G16,"&gt;"&amp;0)+2,1)=H$1,H$1,""),"")</f>
        <v>3</v>
      </c>
      <c r="I16" s="26">
        <f>IFERROR(IF(--MID($E16,2*COUNTIF($F16:H16,"&gt;"&amp;0)+2,1)=I$1,I$1,""),"")</f>
        <v>4</v>
      </c>
      <c r="J16" s="26">
        <f>IFERROR(IF(--MID($E16,2*COUNTIF($F16:I16,"&gt;"&amp;0)+2,1)=J$1,J$1,""),"")</f>
        <v>5</v>
      </c>
      <c r="K16" s="26">
        <f>IFERROR(IF(--MID($E16,2*COUNTIF($F16:J16,"&gt;"&amp;0)+2,1)=K$1,K$1,""),"")</f>
        <v>6</v>
      </c>
      <c r="L16" s="39" cm="1">
        <f t="array" ref="L16">IFERROR(IF($A16="","",IF(F16="","",_xlfn.XLOOKUP($C16&amp;"_"&amp;$AG16,符文权重!$A:$A&amp;"_"&amp;符文权重!$C:$C,符文权重!$D:$D)*$X16/SUMIFS($X:$X,F:F,F16,$C:$C,$C16,$AG:$AG,$AG16)/SUMIF(符文权重!$A:$A,$C16,符文权重!$D:$D))),"")</f>
        <v>0.035</v>
      </c>
      <c r="M16" s="39" cm="1">
        <f t="array" ref="M16">IFERROR(IF($A16="","",IF(G16="","",_xlfn.XLOOKUP($C16&amp;"_"&amp;$AG16,符文权重!$A:$A&amp;"_"&amp;符文权重!$C:$C,符文权重!$D:$D)*$X16/SUMIFS($X:$X,G:G,G16,$C:$C,$C16,$AG:$AG,$AG16)/SUMIF(符文权重!$A:$A,$C16,符文权重!$D:$D))),"")</f>
        <v>0.035</v>
      </c>
      <c r="N16" s="39" cm="1">
        <f t="array" ref="N16">IFERROR(IF($A16="","",IF(H16="","",_xlfn.XLOOKUP($C16&amp;"_"&amp;$AG16,符文权重!$A:$A&amp;"_"&amp;符文权重!$C:$C,符文权重!$D:$D)*$X16/SUMIFS($X:$X,H:H,H16,$C:$C,$C16,$AG:$AG,$AG16)/SUMIF(符文权重!$A:$A,$C16,符文权重!$D:$D))),"")</f>
        <v>0.035</v>
      </c>
      <c r="O16" s="39" cm="1">
        <f t="array" ref="O16">IFERROR(IF($A16="","",IF(I16="","",_xlfn.XLOOKUP($C16&amp;"_"&amp;$AG16,符文权重!$A:$A&amp;"_"&amp;符文权重!$C:$C,符文权重!$D:$D)*$X16/SUMIFS($X:$X,I:I,I16,$C:$C,$C16,$AG:$AG,$AG16)/SUMIF(符文权重!$A:$A,$C16,符文权重!$D:$D))),"")</f>
        <v>0.035</v>
      </c>
      <c r="P16" s="39" cm="1">
        <f t="array" ref="P16">IFERROR(IF($A16="","",IF(J16="","",_xlfn.XLOOKUP($C16&amp;"_"&amp;$AG16,符文权重!$A:$A&amp;"_"&amp;符文权重!$C:$C,符文权重!$D:$D)*$X16/SUMIFS($X:$X,J:J,J16,$C:$C,$C16,$AG:$AG,$AG16)/SUMIF(符文权重!$A:$A,$C16,符文权重!$D:$D))),"")</f>
        <v>0.035</v>
      </c>
      <c r="Q16" s="39" cm="1">
        <f t="array" ref="Q16">IFERROR(IF($A16="","",IF(K16="","",_xlfn.XLOOKUP($C16&amp;"_"&amp;$AG16,符文权重!$A:$A&amp;"_"&amp;符文权重!$C:$C,符文权重!$D:$D)*$X16/SUMIFS($X:$X,K:K,K16,$C:$C,$C16,$AG:$AG,$AG16)/SUMIF(符文权重!$A:$A,$C16,符文权重!$D:$D))),"")</f>
        <v>0.035</v>
      </c>
      <c r="R16" s="26" t="s">
        <v>181</v>
      </c>
      <c r="S16" s="26" t="s">
        <v>182</v>
      </c>
      <c r="T16" s="26" t="e">
        <f>IF(B16="","",SUBSTITUTE(SUBSTITUTE("[{global_atk,"&amp;#REF!*C16&amp;"}]",21,20),9,8))</f>
        <v>#REF!</v>
      </c>
      <c r="U16" s="40" t="str">
        <f t="shared" si="11"/>
        <v>[5501023]</v>
      </c>
      <c r="V16" s="26" t="s">
        <v>186</v>
      </c>
      <c r="W16" s="25"/>
      <c r="X16" s="32">
        <v>100</v>
      </c>
      <c r="Y16" s="25"/>
      <c r="Z16" s="32" t="s">
        <v>172</v>
      </c>
      <c r="AA16" s="32" t="str">
        <f t="shared" si="5"/>
        <v>射手职业攻击力+50</v>
      </c>
      <c r="AB16" s="32"/>
      <c r="AC16" s="32" t="s">
        <v>166</v>
      </c>
      <c r="AD16" s="32">
        <f t="shared" si="9"/>
        <v>1011</v>
      </c>
      <c r="AE16" s="38" t="str">
        <f t="shared" si="3"/>
        <v>5501021</v>
      </c>
      <c r="AF16" s="32" t="str">
        <f t="shared" si="4"/>
        <v>[50]</v>
      </c>
      <c r="AG16" s="26">
        <v>1</v>
      </c>
      <c r="AH16" s="26"/>
      <c r="AI16" s="26">
        <v>0</v>
      </c>
      <c r="AJ16" s="25" t="s">
        <v>167</v>
      </c>
      <c r="AK16" s="38">
        <f t="shared" si="12"/>
        <v>5501023</v>
      </c>
      <c r="AL16" s="41" t="str">
        <f t="shared" si="13"/>
        <v>射手职业攻击力&lt;color=#54b76b&gt;+%s&lt;/color&gt;</v>
      </c>
      <c r="AM16" s="25">
        <v>50</v>
      </c>
      <c r="AN16" s="26">
        <v>1</v>
      </c>
      <c r="AO16" s="26" t="s">
        <v>31</v>
      </c>
      <c r="AP16" s="20">
        <f t="shared" si="10"/>
        <v>11</v>
      </c>
    </row>
    <row r="17" s="20" customFormat="1" customHeight="1" spans="1:42">
      <c r="A17" s="38">
        <v>5501024</v>
      </c>
      <c r="B17" s="38" t="str">
        <f t="shared" si="0"/>
        <v>5501021</v>
      </c>
      <c r="C17" s="32">
        <f t="shared" si="1"/>
        <v>4</v>
      </c>
      <c r="D17" s="32"/>
      <c r="E17" s="26" t="s">
        <v>162</v>
      </c>
      <c r="F17" s="26">
        <f t="shared" si="8"/>
        <v>1</v>
      </c>
      <c r="G17" s="26">
        <f>IFERROR(IF(--MID($E17,2*COUNTIF($F17:F17,"&gt;"&amp;0)+2,1)=G$1,G$1,""),"")</f>
        <v>2</v>
      </c>
      <c r="H17" s="26">
        <f>IFERROR(IF(--MID($E17,2*COUNTIF($F17:G17,"&gt;"&amp;0)+2,1)=H$1,H$1,""),"")</f>
        <v>3</v>
      </c>
      <c r="I17" s="26">
        <f>IFERROR(IF(--MID($E17,2*COUNTIF($F17:H17,"&gt;"&amp;0)+2,1)=I$1,I$1,""),"")</f>
        <v>4</v>
      </c>
      <c r="J17" s="26">
        <f>IFERROR(IF(--MID($E17,2*COUNTIF($F17:I17,"&gt;"&amp;0)+2,1)=J$1,J$1,""),"")</f>
        <v>5</v>
      </c>
      <c r="K17" s="26">
        <f>IFERROR(IF(--MID($E17,2*COUNTIF($F17:J17,"&gt;"&amp;0)+2,1)=K$1,K$1,""),"")</f>
        <v>6</v>
      </c>
      <c r="L17" s="39" cm="1">
        <f t="array" ref="L17">IFERROR(IF($A17="","",IF(F17="","",_xlfn.XLOOKUP($C17&amp;"_"&amp;$AG17,符文权重!$A:$A&amp;"_"&amp;符文权重!$C:$C,符文权重!$D:$D)*$X17/SUMIFS($X:$X,F:F,F17,$C:$C,$C17,$AG:$AG,$AG17)/SUMIF(符文权重!$A:$A,$C17,符文权重!$D:$D))),"")</f>
        <v>0.022913616398243</v>
      </c>
      <c r="M17" s="39" cm="1">
        <f t="array" ref="M17">IFERROR(IF($A17="","",IF(G17="","",_xlfn.XLOOKUP($C17&amp;"_"&amp;$AG17,符文权重!$A:$A&amp;"_"&amp;符文权重!$C:$C,符文权重!$D:$D)*$X17/SUMIFS($X:$X,G:G,G17,$C:$C,$C17,$AG:$AG,$AG17)/SUMIF(符文权重!$A:$A,$C17,符文权重!$D:$D))),"")</f>
        <v>0.022913616398243</v>
      </c>
      <c r="N17" s="39" cm="1">
        <f t="array" ref="N17">IFERROR(IF($A17="","",IF(H17="","",_xlfn.XLOOKUP($C17&amp;"_"&amp;$AG17,符文权重!$A:$A&amp;"_"&amp;符文权重!$C:$C,符文权重!$D:$D)*$X17/SUMIFS($X:$X,H:H,H17,$C:$C,$C17,$AG:$AG,$AG17)/SUMIF(符文权重!$A:$A,$C17,符文权重!$D:$D))),"")</f>
        <v>0.022913616398243</v>
      </c>
      <c r="O17" s="39" cm="1">
        <f t="array" ref="O17">IFERROR(IF($A17="","",IF(I17="","",_xlfn.XLOOKUP($C17&amp;"_"&amp;$AG17,符文权重!$A:$A&amp;"_"&amp;符文权重!$C:$C,符文权重!$D:$D)*$X17/SUMIFS($X:$X,I:I,I17,$C:$C,$C17,$AG:$AG,$AG17)/SUMIF(符文权重!$A:$A,$C17,符文权重!$D:$D))),"")</f>
        <v>0.022913616398243</v>
      </c>
      <c r="P17" s="39" cm="1">
        <f t="array" ref="P17">IFERROR(IF($A17="","",IF(J17="","",_xlfn.XLOOKUP($C17&amp;"_"&amp;$AG17,符文权重!$A:$A&amp;"_"&amp;符文权重!$C:$C,符文权重!$D:$D)*$X17/SUMIFS($X:$X,J:J,J17,$C:$C,$C17,$AG:$AG,$AG17)/SUMIF(符文权重!$A:$A,$C17,符文权重!$D:$D))),"")</f>
        <v>0.022913616398243</v>
      </c>
      <c r="Q17" s="39" cm="1">
        <f t="array" ref="Q17">IFERROR(IF($A17="","",IF(K17="","",_xlfn.XLOOKUP($C17&amp;"_"&amp;$AG17,符文权重!$A:$A&amp;"_"&amp;符文权重!$C:$C,符文权重!$D:$D)*$X17/SUMIFS($X:$X,K:K,K17,$C:$C,$C17,$AG:$AG,$AG17)/SUMIF(符文权重!$A:$A,$C17,符文权重!$D:$D))),"")</f>
        <v>0.022913616398243</v>
      </c>
      <c r="R17" s="26" t="s">
        <v>181</v>
      </c>
      <c r="S17" s="26" t="s">
        <v>182</v>
      </c>
      <c r="T17" s="26" t="e">
        <f>IF(B17="","",SUBSTITUTE(SUBSTITUTE("[{global_atk,"&amp;#REF!*C17&amp;"}]",21,20),9,8))</f>
        <v>#REF!</v>
      </c>
      <c r="U17" s="40" t="str">
        <f t="shared" si="11"/>
        <v>[5501024]</v>
      </c>
      <c r="V17" s="26" t="s">
        <v>187</v>
      </c>
      <c r="W17" s="25"/>
      <c r="X17" s="32">
        <v>100</v>
      </c>
      <c r="Y17" s="25"/>
      <c r="Z17" s="32" t="s">
        <v>174</v>
      </c>
      <c r="AA17" s="32" t="str">
        <f t="shared" si="5"/>
        <v>射手职业攻击力+75</v>
      </c>
      <c r="AB17" s="32"/>
      <c r="AC17" s="32" t="s">
        <v>166</v>
      </c>
      <c r="AD17" s="32">
        <f t="shared" si="9"/>
        <v>1012</v>
      </c>
      <c r="AE17" s="38" t="str">
        <f t="shared" si="3"/>
        <v>5501021</v>
      </c>
      <c r="AF17" s="32" t="str">
        <f t="shared" si="4"/>
        <v>[75]</v>
      </c>
      <c r="AG17" s="26">
        <v>1</v>
      </c>
      <c r="AH17" s="26"/>
      <c r="AI17" s="26">
        <v>0</v>
      </c>
      <c r="AJ17" s="25" t="s">
        <v>167</v>
      </c>
      <c r="AK17" s="38">
        <f t="shared" si="12"/>
        <v>5501024</v>
      </c>
      <c r="AL17" s="41" t="str">
        <f t="shared" si="13"/>
        <v>射手职业攻击力&lt;color=#54b76b&gt;+%s&lt;/color&gt;</v>
      </c>
      <c r="AM17" s="25">
        <v>75</v>
      </c>
      <c r="AN17" s="26">
        <v>1</v>
      </c>
      <c r="AO17" s="26" t="s">
        <v>31</v>
      </c>
      <c r="AP17" s="20">
        <f t="shared" si="10"/>
        <v>12</v>
      </c>
    </row>
    <row r="18" s="20" customFormat="1" customHeight="1" spans="1:42">
      <c r="A18" s="38">
        <v>5501025</v>
      </c>
      <c r="B18" s="38" t="str">
        <f t="shared" si="0"/>
        <v>5501021</v>
      </c>
      <c r="C18" s="32">
        <f t="shared" si="1"/>
        <v>5</v>
      </c>
      <c r="D18" s="32"/>
      <c r="E18" s="26" t="s">
        <v>162</v>
      </c>
      <c r="F18" s="26">
        <f t="shared" si="8"/>
        <v>1</v>
      </c>
      <c r="G18" s="26">
        <f>IFERROR(IF(--MID($E18,2*COUNTIF($F18:F18,"&gt;"&amp;0)+2,1)=G$1,G$1,""),"")</f>
        <v>2</v>
      </c>
      <c r="H18" s="26">
        <f>IFERROR(IF(--MID($E18,2*COUNTIF($F18:G18,"&gt;"&amp;0)+2,1)=H$1,H$1,""),"")</f>
        <v>3</v>
      </c>
      <c r="I18" s="26">
        <f>IFERROR(IF(--MID($E18,2*COUNTIF($F18:H18,"&gt;"&amp;0)+2,1)=I$1,I$1,""),"")</f>
        <v>4</v>
      </c>
      <c r="J18" s="26">
        <f>IFERROR(IF(--MID($E18,2*COUNTIF($F18:I18,"&gt;"&amp;0)+2,1)=J$1,J$1,""),"")</f>
        <v>5</v>
      </c>
      <c r="K18" s="26">
        <f>IFERROR(IF(--MID($E18,2*COUNTIF($F18:J18,"&gt;"&amp;0)+2,1)=K$1,K$1,""),"")</f>
        <v>6</v>
      </c>
      <c r="L18" s="39" cm="1">
        <f t="array" ref="L18">IFERROR(IF($A18="","",IF(F18="","",_xlfn.XLOOKUP($C18&amp;"_"&amp;$AG18,符文权重!$A:$A&amp;"_"&amp;符文权重!$C:$C,符文权重!$D:$D)*$X18/SUMIFS($X:$X,F:F,F18,$C:$C,$C18,$AG:$AG,$AG18)/SUMIF(符文权重!$A:$A,$C18,符文权重!$D:$D))),"")</f>
        <v>0.0196666666666667</v>
      </c>
      <c r="M18" s="39" cm="1">
        <f t="array" ref="M18">IFERROR(IF($A18="","",IF(G18="","",_xlfn.XLOOKUP($C18&amp;"_"&amp;$AG18,符文权重!$A:$A&amp;"_"&amp;符文权重!$C:$C,符文权重!$D:$D)*$X18/SUMIFS($X:$X,G:G,G18,$C:$C,$C18,$AG:$AG,$AG18)/SUMIF(符文权重!$A:$A,$C18,符文权重!$D:$D))),"")</f>
        <v>0.0196666666666667</v>
      </c>
      <c r="N18" s="39" cm="1">
        <f t="array" ref="N18">IFERROR(IF($A18="","",IF(H18="","",_xlfn.XLOOKUP($C18&amp;"_"&amp;$AG18,符文权重!$A:$A&amp;"_"&amp;符文权重!$C:$C,符文权重!$D:$D)*$X18/SUMIFS($X:$X,H:H,H18,$C:$C,$C18,$AG:$AG,$AG18)/SUMIF(符文权重!$A:$A,$C18,符文权重!$D:$D))),"")</f>
        <v>0.0196666666666667</v>
      </c>
      <c r="O18" s="39" cm="1">
        <f t="array" ref="O18">IFERROR(IF($A18="","",IF(I18="","",_xlfn.XLOOKUP($C18&amp;"_"&amp;$AG18,符文权重!$A:$A&amp;"_"&amp;符文权重!$C:$C,符文权重!$D:$D)*$X18/SUMIFS($X:$X,I:I,I18,$C:$C,$C18,$AG:$AG,$AG18)/SUMIF(符文权重!$A:$A,$C18,符文权重!$D:$D))),"")</f>
        <v>0.0196666666666667</v>
      </c>
      <c r="P18" s="39" cm="1">
        <f t="array" ref="P18">IFERROR(IF($A18="","",IF(J18="","",_xlfn.XLOOKUP($C18&amp;"_"&amp;$AG18,符文权重!$A:$A&amp;"_"&amp;符文权重!$C:$C,符文权重!$D:$D)*$X18/SUMIFS($X:$X,J:J,J18,$C:$C,$C18,$AG:$AG,$AG18)/SUMIF(符文权重!$A:$A,$C18,符文权重!$D:$D))),"")</f>
        <v>0.0196666666666667</v>
      </c>
      <c r="Q18" s="39" cm="1">
        <f t="array" ref="Q18">IFERROR(IF($A18="","",IF(K18="","",_xlfn.XLOOKUP($C18&amp;"_"&amp;$AG18,符文权重!$A:$A&amp;"_"&amp;符文权重!$C:$C,符文权重!$D:$D)*$X18/SUMIFS($X:$X,K:K,K18,$C:$C,$C18,$AG:$AG,$AG18)/SUMIF(符文权重!$A:$A,$C18,符文权重!$D:$D))),"")</f>
        <v>0.0196666666666667</v>
      </c>
      <c r="R18" s="26" t="s">
        <v>181</v>
      </c>
      <c r="S18" s="26" t="s">
        <v>182</v>
      </c>
      <c r="T18" s="26" t="e">
        <f>IF(B18="","",SUBSTITUTE(SUBSTITUTE("[{global_atk,"&amp;#REF!*C18&amp;"}]",21,20),9,8))</f>
        <v>#REF!</v>
      </c>
      <c r="U18" s="40" t="str">
        <f t="shared" si="11"/>
        <v>[5501025]</v>
      </c>
      <c r="V18" s="26" t="s">
        <v>188</v>
      </c>
      <c r="W18" s="25"/>
      <c r="X18" s="32">
        <v>100</v>
      </c>
      <c r="Y18" s="25"/>
      <c r="Z18" s="32" t="s">
        <v>176</v>
      </c>
      <c r="AA18" s="32" t="str">
        <f t="shared" ref="AA18:AA81" si="14">SUBSTITUTE(SUBSTITUTE(SUBSTITUTE(SUBSTITUTE(AL18,"%s",AM18),"&lt;color=#54b76b&gt;",""),"&lt;/color&gt; ",""),"&lt;/color&gt;","")</f>
        <v>射手职业攻击力+96</v>
      </c>
      <c r="AB18" s="32"/>
      <c r="AC18" s="32" t="s">
        <v>166</v>
      </c>
      <c r="AD18" s="32">
        <f t="shared" si="9"/>
        <v>1013</v>
      </c>
      <c r="AE18" s="38" t="str">
        <f t="shared" si="3"/>
        <v>5501021</v>
      </c>
      <c r="AF18" s="32" t="str">
        <f t="shared" si="4"/>
        <v>[96]</v>
      </c>
      <c r="AG18" s="26">
        <v>1</v>
      </c>
      <c r="AH18" s="26"/>
      <c r="AI18" s="26">
        <v>0</v>
      </c>
      <c r="AJ18" s="25" t="s">
        <v>167</v>
      </c>
      <c r="AK18" s="38">
        <f t="shared" si="12"/>
        <v>5501025</v>
      </c>
      <c r="AL18" s="41" t="str">
        <f t="shared" si="13"/>
        <v>射手职业攻击力&lt;color=#54b76b&gt;+%s&lt;/color&gt;</v>
      </c>
      <c r="AM18" s="25">
        <v>96</v>
      </c>
      <c r="AN18" s="26">
        <v>1</v>
      </c>
      <c r="AO18" s="26" t="s">
        <v>31</v>
      </c>
      <c r="AP18" s="20">
        <f t="shared" si="10"/>
        <v>13</v>
      </c>
    </row>
    <row r="19" s="20" customFormat="1" customHeight="1" spans="1:42">
      <c r="A19" s="38">
        <v>5501026</v>
      </c>
      <c r="B19" s="38" t="str">
        <f t="shared" si="0"/>
        <v>5501021</v>
      </c>
      <c r="C19" s="32">
        <f t="shared" si="1"/>
        <v>6</v>
      </c>
      <c r="D19" s="32"/>
      <c r="E19" s="26" t="s">
        <v>162</v>
      </c>
      <c r="F19" s="26">
        <f t="shared" si="8"/>
        <v>1</v>
      </c>
      <c r="G19" s="26">
        <f>IFERROR(IF(--MID($E19,2*COUNTIF($F19:F19,"&gt;"&amp;0)+2,1)=G$1,G$1,""),"")</f>
        <v>2</v>
      </c>
      <c r="H19" s="26">
        <f>IFERROR(IF(--MID($E19,2*COUNTIF($F19:G19,"&gt;"&amp;0)+2,1)=H$1,H$1,""),"")</f>
        <v>3</v>
      </c>
      <c r="I19" s="26">
        <f>IFERROR(IF(--MID($E19,2*COUNTIF($F19:H19,"&gt;"&amp;0)+2,1)=I$1,I$1,""),"")</f>
        <v>4</v>
      </c>
      <c r="J19" s="26">
        <f>IFERROR(IF(--MID($E19,2*COUNTIF($F19:I19,"&gt;"&amp;0)+2,1)=J$1,J$1,""),"")</f>
        <v>5</v>
      </c>
      <c r="K19" s="26">
        <f>IFERROR(IF(--MID($E19,2*COUNTIF($F19:J19,"&gt;"&amp;0)+2,1)=K$1,K$1,""),"")</f>
        <v>6</v>
      </c>
      <c r="L19" s="39" cm="1">
        <f t="array" ref="L19">IFERROR(IF($A19="","",IF(F19="","",_xlfn.XLOOKUP($C19&amp;"_"&amp;$AG19,符文权重!$A:$A&amp;"_"&amp;符文权重!$C:$C,符文权重!$D:$D)*$X19/SUMIFS($X:$X,F:F,F19,$C:$C,$C19,$AG:$AG,$AG19)/SUMIF(符文权重!$A:$A,$C19,符文权重!$D:$D))),"")</f>
        <v>0.0196666666666667</v>
      </c>
      <c r="M19" s="39" cm="1">
        <f t="array" ref="M19">IFERROR(IF($A19="","",IF(G19="","",_xlfn.XLOOKUP($C19&amp;"_"&amp;$AG19,符文权重!$A:$A&amp;"_"&amp;符文权重!$C:$C,符文权重!$D:$D)*$X19/SUMIFS($X:$X,G:G,G19,$C:$C,$C19,$AG:$AG,$AG19)/SUMIF(符文权重!$A:$A,$C19,符文权重!$D:$D))),"")</f>
        <v>0.0196666666666667</v>
      </c>
      <c r="N19" s="39" cm="1">
        <f t="array" ref="N19">IFERROR(IF($A19="","",IF(H19="","",_xlfn.XLOOKUP($C19&amp;"_"&amp;$AG19,符文权重!$A:$A&amp;"_"&amp;符文权重!$C:$C,符文权重!$D:$D)*$X19/SUMIFS($X:$X,H:H,H19,$C:$C,$C19,$AG:$AG,$AG19)/SUMIF(符文权重!$A:$A,$C19,符文权重!$D:$D))),"")</f>
        <v>0.0196666666666667</v>
      </c>
      <c r="O19" s="39" cm="1">
        <f t="array" ref="O19">IFERROR(IF($A19="","",IF(I19="","",_xlfn.XLOOKUP($C19&amp;"_"&amp;$AG19,符文权重!$A:$A&amp;"_"&amp;符文权重!$C:$C,符文权重!$D:$D)*$X19/SUMIFS($X:$X,I:I,I19,$C:$C,$C19,$AG:$AG,$AG19)/SUMIF(符文权重!$A:$A,$C19,符文权重!$D:$D))),"")</f>
        <v>0.0196666666666667</v>
      </c>
      <c r="P19" s="39" cm="1">
        <f t="array" ref="P19">IFERROR(IF($A19="","",IF(J19="","",_xlfn.XLOOKUP($C19&amp;"_"&amp;$AG19,符文权重!$A:$A&amp;"_"&amp;符文权重!$C:$C,符文权重!$D:$D)*$X19/SUMIFS($X:$X,J:J,J19,$C:$C,$C19,$AG:$AG,$AG19)/SUMIF(符文权重!$A:$A,$C19,符文权重!$D:$D))),"")</f>
        <v>0.0196666666666667</v>
      </c>
      <c r="Q19" s="39" cm="1">
        <f t="array" ref="Q19">IFERROR(IF($A19="","",IF(K19="","",_xlfn.XLOOKUP($C19&amp;"_"&amp;$AG19,符文权重!$A:$A&amp;"_"&amp;符文权重!$C:$C,符文权重!$D:$D)*$X19/SUMIFS($X:$X,K:K,K19,$C:$C,$C19,$AG:$AG,$AG19)/SUMIF(符文权重!$A:$A,$C19,符文权重!$D:$D))),"")</f>
        <v>0.0196666666666667</v>
      </c>
      <c r="R19" s="26" t="s">
        <v>181</v>
      </c>
      <c r="S19" s="26" t="s">
        <v>182</v>
      </c>
      <c r="T19" s="26" t="e">
        <f>IF(B19="","",SUBSTITUTE(SUBSTITUTE("[{global_atk,"&amp;#REF!*C19&amp;"}]",21,20),9,8))</f>
        <v>#REF!</v>
      </c>
      <c r="U19" s="40" t="str">
        <f t="shared" si="11"/>
        <v>[5501026]</v>
      </c>
      <c r="V19" s="26" t="s">
        <v>189</v>
      </c>
      <c r="W19" s="25"/>
      <c r="X19" s="32">
        <v>100</v>
      </c>
      <c r="Y19" s="25"/>
      <c r="Z19" s="32" t="s">
        <v>178</v>
      </c>
      <c r="AA19" s="32" t="str">
        <f t="shared" si="14"/>
        <v>射手职业攻击力+120</v>
      </c>
      <c r="AB19" s="32"/>
      <c r="AC19" s="32" t="s">
        <v>166</v>
      </c>
      <c r="AD19" s="32">
        <f t="shared" si="9"/>
        <v>1014</v>
      </c>
      <c r="AE19" s="38" t="str">
        <f t="shared" si="3"/>
        <v>5501021</v>
      </c>
      <c r="AF19" s="32" t="str">
        <f t="shared" si="4"/>
        <v>[120]</v>
      </c>
      <c r="AG19" s="26">
        <v>1</v>
      </c>
      <c r="AH19" s="26"/>
      <c r="AI19" s="26">
        <v>0</v>
      </c>
      <c r="AJ19" s="25" t="s">
        <v>167</v>
      </c>
      <c r="AK19" s="38">
        <f t="shared" si="12"/>
        <v>5501026</v>
      </c>
      <c r="AL19" s="41" t="str">
        <f t="shared" si="13"/>
        <v>射手职业攻击力&lt;color=#54b76b&gt;+%s&lt;/color&gt;</v>
      </c>
      <c r="AM19" s="25">
        <v>120</v>
      </c>
      <c r="AN19" s="26">
        <v>1</v>
      </c>
      <c r="AO19" s="26" t="s">
        <v>31</v>
      </c>
      <c r="AP19" s="20">
        <f t="shared" si="10"/>
        <v>14</v>
      </c>
    </row>
    <row r="20" s="20" customFormat="1" customHeight="1" spans="1:42">
      <c r="A20" s="38">
        <v>5501027</v>
      </c>
      <c r="B20" s="38" t="str">
        <f t="shared" si="0"/>
        <v>5501021</v>
      </c>
      <c r="C20" s="32">
        <f t="shared" si="1"/>
        <v>7</v>
      </c>
      <c r="D20" s="32"/>
      <c r="E20" s="26" t="s">
        <v>162</v>
      </c>
      <c r="F20" s="26">
        <f t="shared" si="8"/>
        <v>1</v>
      </c>
      <c r="G20" s="26">
        <f>IFERROR(IF(--MID($E20,2*COUNTIF($F20:F20,"&gt;"&amp;0)+2,1)=G$1,G$1,""),"")</f>
        <v>2</v>
      </c>
      <c r="H20" s="26">
        <f>IFERROR(IF(--MID($E20,2*COUNTIF($F20:G20,"&gt;"&amp;0)+2,1)=H$1,H$1,""),"")</f>
        <v>3</v>
      </c>
      <c r="I20" s="26">
        <f>IFERROR(IF(--MID($E20,2*COUNTIF($F20:H20,"&gt;"&amp;0)+2,1)=I$1,I$1,""),"")</f>
        <v>4</v>
      </c>
      <c r="J20" s="26">
        <f>IFERROR(IF(--MID($E20,2*COUNTIF($F20:I20,"&gt;"&amp;0)+2,1)=J$1,J$1,""),"")</f>
        <v>5</v>
      </c>
      <c r="K20" s="26">
        <f>IFERROR(IF(--MID($E20,2*COUNTIF($F20:J20,"&gt;"&amp;0)+2,1)=K$1,K$1,""),"")</f>
        <v>6</v>
      </c>
      <c r="L20" s="39" cm="1">
        <f t="array" ref="L20">IFERROR(IF($A20="","",IF(F20="","",_xlfn.XLOOKUP($C20&amp;"_"&amp;$AG20,符文权重!$A:$A&amp;"_"&amp;符文权重!$C:$C,符文权重!$D:$D)*$X20/SUMIFS($X:$X,F:F,F20,$C:$C,$C20,$AG:$AG,$AG20)/SUMIF(符文权重!$A:$A,$C20,符文权重!$D:$D))),"")</f>
        <v>0.0196666666666667</v>
      </c>
      <c r="M20" s="39" cm="1">
        <f t="array" ref="M20">IFERROR(IF($A20="","",IF(G20="","",_xlfn.XLOOKUP($C20&amp;"_"&amp;$AG20,符文权重!$A:$A&amp;"_"&amp;符文权重!$C:$C,符文权重!$D:$D)*$X20/SUMIFS($X:$X,G:G,G20,$C:$C,$C20,$AG:$AG,$AG20)/SUMIF(符文权重!$A:$A,$C20,符文权重!$D:$D))),"")</f>
        <v>0.0196666666666667</v>
      </c>
      <c r="N20" s="39" cm="1">
        <f t="array" ref="N20">IFERROR(IF($A20="","",IF(H20="","",_xlfn.XLOOKUP($C20&amp;"_"&amp;$AG20,符文权重!$A:$A&amp;"_"&amp;符文权重!$C:$C,符文权重!$D:$D)*$X20/SUMIFS($X:$X,H:H,H20,$C:$C,$C20,$AG:$AG,$AG20)/SUMIF(符文权重!$A:$A,$C20,符文权重!$D:$D))),"")</f>
        <v>0.0196666666666667</v>
      </c>
      <c r="O20" s="39" cm="1">
        <f t="array" ref="O20">IFERROR(IF($A20="","",IF(I20="","",_xlfn.XLOOKUP($C20&amp;"_"&amp;$AG20,符文权重!$A:$A&amp;"_"&amp;符文权重!$C:$C,符文权重!$D:$D)*$X20/SUMIFS($X:$X,I:I,I20,$C:$C,$C20,$AG:$AG,$AG20)/SUMIF(符文权重!$A:$A,$C20,符文权重!$D:$D))),"")</f>
        <v>0.0196666666666667</v>
      </c>
      <c r="P20" s="39" cm="1">
        <f t="array" ref="P20">IFERROR(IF($A20="","",IF(J20="","",_xlfn.XLOOKUP($C20&amp;"_"&amp;$AG20,符文权重!$A:$A&amp;"_"&amp;符文权重!$C:$C,符文权重!$D:$D)*$X20/SUMIFS($X:$X,J:J,J20,$C:$C,$C20,$AG:$AG,$AG20)/SUMIF(符文权重!$A:$A,$C20,符文权重!$D:$D))),"")</f>
        <v>0.0196666666666667</v>
      </c>
      <c r="Q20" s="39" cm="1">
        <f t="array" ref="Q20">IFERROR(IF($A20="","",IF(K20="","",_xlfn.XLOOKUP($C20&amp;"_"&amp;$AG20,符文权重!$A:$A&amp;"_"&amp;符文权重!$C:$C,符文权重!$D:$D)*$X20/SUMIFS($X:$X,K:K,K20,$C:$C,$C20,$AG:$AG,$AG20)/SUMIF(符文权重!$A:$A,$C20,符文权重!$D:$D))),"")</f>
        <v>0.0196666666666667</v>
      </c>
      <c r="R20" s="26" t="s">
        <v>181</v>
      </c>
      <c r="S20" s="26" t="s">
        <v>182</v>
      </c>
      <c r="T20" s="26" t="e">
        <f>IF(B20="","",SUBSTITUTE(SUBSTITUTE("[{global_atk,"&amp;#REF!*C20&amp;"}]",21,20),9,8))</f>
        <v>#REF!</v>
      </c>
      <c r="U20" s="40" t="str">
        <f t="shared" si="11"/>
        <v>[5501027]</v>
      </c>
      <c r="V20" s="26" t="s">
        <v>190</v>
      </c>
      <c r="W20" s="25"/>
      <c r="X20" s="32">
        <v>100</v>
      </c>
      <c r="Y20" s="25"/>
      <c r="Z20" s="32" t="s">
        <v>180</v>
      </c>
      <c r="AA20" s="32" t="str">
        <f t="shared" si="14"/>
        <v>射手职业攻击力+150</v>
      </c>
      <c r="AB20" s="32"/>
      <c r="AC20" s="32" t="s">
        <v>166</v>
      </c>
      <c r="AD20" s="32">
        <f t="shared" si="9"/>
        <v>1015</v>
      </c>
      <c r="AE20" s="38" t="str">
        <f t="shared" si="3"/>
        <v>5501021</v>
      </c>
      <c r="AF20" s="32" t="str">
        <f t="shared" si="4"/>
        <v>[150]</v>
      </c>
      <c r="AG20" s="26">
        <v>1</v>
      </c>
      <c r="AH20" s="26"/>
      <c r="AI20" s="26">
        <v>0</v>
      </c>
      <c r="AJ20" s="25" t="s">
        <v>167</v>
      </c>
      <c r="AK20" s="38">
        <f t="shared" si="12"/>
        <v>5501027</v>
      </c>
      <c r="AL20" s="41" t="str">
        <f t="shared" si="13"/>
        <v>射手职业攻击力&lt;color=#54b76b&gt;+%s&lt;/color&gt;</v>
      </c>
      <c r="AM20" s="25">
        <v>150</v>
      </c>
      <c r="AN20" s="26">
        <v>1</v>
      </c>
      <c r="AO20" s="26" t="s">
        <v>31</v>
      </c>
      <c r="AP20" s="20">
        <f t="shared" si="10"/>
        <v>15</v>
      </c>
    </row>
    <row r="21" s="20" customFormat="1" customHeight="1" spans="1:42">
      <c r="A21" s="38" t="s">
        <v>167</v>
      </c>
      <c r="B21" s="38" t="str">
        <f t="shared" si="0"/>
        <v/>
      </c>
      <c r="C21" s="32" t="str">
        <f t="shared" si="1"/>
        <v/>
      </c>
      <c r="D21" s="32"/>
      <c r="E21" s="26"/>
      <c r="F21" s="26" t="str">
        <f t="shared" si="8"/>
        <v/>
      </c>
      <c r="G21" s="26" t="str">
        <f>IFERROR(IF(--MID($E21,2*COUNTIF($F21:F21,"&gt;"&amp;0)+2,1)=G$1,G$1,""),"")</f>
        <v/>
      </c>
      <c r="H21" s="26" t="str">
        <f>IFERROR(IF(--MID($E21,2*COUNTIF($F21:G21,"&gt;"&amp;0)+2,1)=H$1,H$1,""),"")</f>
        <v/>
      </c>
      <c r="I21" s="26" t="str">
        <f>IFERROR(IF(--MID($E21,2*COUNTIF($F21:H21,"&gt;"&amp;0)+2,1)=I$1,I$1,""),"")</f>
        <v/>
      </c>
      <c r="J21" s="26" t="str">
        <f>IFERROR(IF(--MID($E21,2*COUNTIF($F21:I21,"&gt;"&amp;0)+2,1)=J$1,J$1,""),"")</f>
        <v/>
      </c>
      <c r="K21" s="26" t="str">
        <f>IFERROR(IF(--MID($E21,2*COUNTIF($F21:J21,"&gt;"&amp;0)+2,1)=K$1,K$1,""),"")</f>
        <v/>
      </c>
      <c r="L21" s="39" t="str" cm="1">
        <f t="array" ref="L21">IFERROR(IF($A21="","",IF(F21="","",_xlfn.XLOOKUP($C21&amp;"_"&amp;$AG21,符文权重!$A:$A&amp;"_"&amp;符文权重!$C:$C,符文权重!$D:$D)*$X21/SUMIFS($X:$X,F:F,F21,$C:$C,$C21,$AG:$AG,$AG21)/SUMIF(符文权重!$A:$A,$C21,符文权重!$D:$D))),"")</f>
        <v/>
      </c>
      <c r="M21" s="39" t="str" cm="1">
        <f t="array" ref="M21">IFERROR(IF($A21="","",IF(G21="","",_xlfn.XLOOKUP($C21&amp;"_"&amp;$AG21,符文权重!$A:$A&amp;"_"&amp;符文权重!$C:$C,符文权重!$D:$D)*$X21/SUMIFS($X:$X,G:G,G21,$C:$C,$C21,$AG:$AG,$AG21)/SUMIF(符文权重!$A:$A,$C21,符文权重!$D:$D))),"")</f>
        <v/>
      </c>
      <c r="N21" s="39" t="str" cm="1">
        <f t="array" ref="N21">IFERROR(IF($A21="","",IF(H21="","",_xlfn.XLOOKUP($C21&amp;"_"&amp;$AG21,符文权重!$A:$A&amp;"_"&amp;符文权重!$C:$C,符文权重!$D:$D)*$X21/SUMIFS($X:$X,H:H,H21,$C:$C,$C21,$AG:$AG,$AG21)/SUMIF(符文权重!$A:$A,$C21,符文权重!$D:$D))),"")</f>
        <v/>
      </c>
      <c r="O21" s="39" t="str" cm="1">
        <f t="array" ref="O21">IFERROR(IF($A21="","",IF(I21="","",_xlfn.XLOOKUP($C21&amp;"_"&amp;$AG21,符文权重!$A:$A&amp;"_"&amp;符文权重!$C:$C,符文权重!$D:$D)*$X21/SUMIFS($X:$X,I:I,I21,$C:$C,$C21,$AG:$AG,$AG21)/SUMIF(符文权重!$A:$A,$C21,符文权重!$D:$D))),"")</f>
        <v/>
      </c>
      <c r="P21" s="39" t="str" cm="1">
        <f t="array" ref="P21">IFERROR(IF($A21="","",IF(J21="","",_xlfn.XLOOKUP($C21&amp;"_"&amp;$AG21,符文权重!$A:$A&amp;"_"&amp;符文权重!$C:$C,符文权重!$D:$D)*$X21/SUMIFS($X:$X,J:J,J21,$C:$C,$C21,$AG:$AG,$AG21)/SUMIF(符文权重!$A:$A,$C21,符文权重!$D:$D))),"")</f>
        <v/>
      </c>
      <c r="Q21" s="39" t="str" cm="1">
        <f t="array" ref="Q21">IFERROR(IF($A21="","",IF(K21="","",_xlfn.XLOOKUP($C21&amp;"_"&amp;$AG21,符文权重!$A:$A&amp;"_"&amp;符文权重!$C:$C,符文权重!$D:$D)*$X21/SUMIFS($X:$X,K:K,K21,$C:$C,$C21,$AG:$AG,$AG21)/SUMIF(符文权重!$A:$A,$C21,符文权重!$D:$D))),"")</f>
        <v/>
      </c>
      <c r="R21" s="26" t="s">
        <v>167</v>
      </c>
      <c r="S21" s="26" t="s">
        <v>167</v>
      </c>
      <c r="T21" s="26"/>
      <c r="U21" s="40"/>
      <c r="V21" s="26"/>
      <c r="W21" s="25"/>
      <c r="X21" s="32"/>
      <c r="Y21" s="25"/>
      <c r="Z21" s="32" t="s">
        <v>167</v>
      </c>
      <c r="AA21" s="32" t="str">
        <f t="shared" si="14"/>
        <v/>
      </c>
      <c r="AB21" s="32"/>
      <c r="AC21" s="32" t="s">
        <v>166</v>
      </c>
      <c r="AD21" s="32">
        <f t="shared" si="9"/>
        <v>1016</v>
      </c>
      <c r="AE21" s="38" t="str">
        <f t="shared" si="3"/>
        <v/>
      </c>
      <c r="AF21" s="32" t="str">
        <f t="shared" si="4"/>
        <v/>
      </c>
      <c r="AG21" s="26"/>
      <c r="AH21" s="26"/>
      <c r="AI21" s="26"/>
      <c r="AJ21" s="25" t="s">
        <v>167</v>
      </c>
      <c r="AK21" s="24"/>
      <c r="AL21" s="42"/>
      <c r="AM21" s="25"/>
      <c r="AN21" s="26"/>
      <c r="AO21" s="26"/>
      <c r="AP21" s="20">
        <f t="shared" si="10"/>
        <v>16</v>
      </c>
    </row>
    <row r="22" s="20" customFormat="1" customHeight="1" spans="1:42">
      <c r="A22" s="38">
        <v>5501031</v>
      </c>
      <c r="B22" s="38" t="str">
        <f t="shared" si="0"/>
        <v>5501031</v>
      </c>
      <c r="C22" s="32">
        <f t="shared" si="1"/>
        <v>1</v>
      </c>
      <c r="D22" s="32"/>
      <c r="E22" s="26" t="s">
        <v>162</v>
      </c>
      <c r="F22" s="26">
        <f t="shared" si="8"/>
        <v>1</v>
      </c>
      <c r="G22" s="26">
        <f>IFERROR(IF(--MID($E22,2*COUNTIF($F22:F22,"&gt;"&amp;0)+2,1)=G$1,G$1,""),"")</f>
        <v>2</v>
      </c>
      <c r="H22" s="26">
        <f>IFERROR(IF(--MID($E22,2*COUNTIF($F22:G22,"&gt;"&amp;0)+2,1)=H$1,H$1,""),"")</f>
        <v>3</v>
      </c>
      <c r="I22" s="26">
        <f>IFERROR(IF(--MID($E22,2*COUNTIF($F22:H22,"&gt;"&amp;0)+2,1)=I$1,I$1,""),"")</f>
        <v>4</v>
      </c>
      <c r="J22" s="26">
        <f>IFERROR(IF(--MID($E22,2*COUNTIF($F22:I22,"&gt;"&amp;0)+2,1)=J$1,J$1,""),"")</f>
        <v>5</v>
      </c>
      <c r="K22" s="26">
        <f>IFERROR(IF(--MID($E22,2*COUNTIF($F22:J22,"&gt;"&amp;0)+2,1)=K$1,K$1,""),"")</f>
        <v>6</v>
      </c>
      <c r="L22" s="39" cm="1">
        <f t="array" ref="L22">IFERROR(IF($A22="","",IF(F22="","",_xlfn.XLOOKUP($C22&amp;"_"&amp;$AG22,符文权重!$A:$A&amp;"_"&amp;符文权重!$C:$C,符文权重!$D:$D)*$X22/SUMIFS($X:$X,F:F,F22,$C:$C,$C22,$AG:$AG,$AG22)/SUMIF(符文权重!$A:$A,$C22,符文权重!$D:$D))),"")</f>
        <v>0.05</v>
      </c>
      <c r="M22" s="39" cm="1">
        <f t="array" ref="M22">IFERROR(IF($A22="","",IF(G22="","",_xlfn.XLOOKUP($C22&amp;"_"&amp;$AG22,符文权重!$A:$A&amp;"_"&amp;符文权重!$C:$C,符文权重!$D:$D)*$X22/SUMIFS($X:$X,G:G,G22,$C:$C,$C22,$AG:$AG,$AG22)/SUMIF(符文权重!$A:$A,$C22,符文权重!$D:$D))),"")</f>
        <v>0.05</v>
      </c>
      <c r="N22" s="39" cm="1">
        <f t="array" ref="N22">IFERROR(IF($A22="","",IF(H22="","",_xlfn.XLOOKUP($C22&amp;"_"&amp;$AG22,符文权重!$A:$A&amp;"_"&amp;符文权重!$C:$C,符文权重!$D:$D)*$X22/SUMIFS($X:$X,H:H,H22,$C:$C,$C22,$AG:$AG,$AG22)/SUMIF(符文权重!$A:$A,$C22,符文权重!$D:$D))),"")</f>
        <v>0.05</v>
      </c>
      <c r="O22" s="39" cm="1">
        <f t="array" ref="O22">IFERROR(IF($A22="","",IF(I22="","",_xlfn.XLOOKUP($C22&amp;"_"&amp;$AG22,符文权重!$A:$A&amp;"_"&amp;符文权重!$C:$C,符文权重!$D:$D)*$X22/SUMIFS($X:$X,I:I,I22,$C:$C,$C22,$AG:$AG,$AG22)/SUMIF(符文权重!$A:$A,$C22,符文权重!$D:$D))),"")</f>
        <v>0.05</v>
      </c>
      <c r="P22" s="39" cm="1">
        <f t="array" ref="P22">IFERROR(IF($A22="","",IF(J22="","",_xlfn.XLOOKUP($C22&amp;"_"&amp;$AG22,符文权重!$A:$A&amp;"_"&amp;符文权重!$C:$C,符文权重!$D:$D)*$X22/SUMIFS($X:$X,J:J,J22,$C:$C,$C22,$AG:$AG,$AG22)/SUMIF(符文权重!$A:$A,$C22,符文权重!$D:$D))),"")</f>
        <v>0.05</v>
      </c>
      <c r="Q22" s="39" cm="1">
        <f t="array" ref="Q22">IFERROR(IF($A22="","",IF(K22="","",_xlfn.XLOOKUP($C22&amp;"_"&amp;$AG22,符文权重!$A:$A&amp;"_"&amp;符文权重!$C:$C,符文权重!$D:$D)*$X22/SUMIFS($X:$X,K:K,K22,$C:$C,$C22,$AG:$AG,$AG22)/SUMIF(符文权重!$A:$A,$C22,符文权重!$D:$D))),"")</f>
        <v>0.05</v>
      </c>
      <c r="R22" s="26" t="s">
        <v>181</v>
      </c>
      <c r="S22" s="26" t="s">
        <v>191</v>
      </c>
      <c r="T22" s="26" t="e">
        <f>IF(B22="","",SUBSTITUTE(SUBSTITUTE("[{global_atk,"&amp;#REF!*C22&amp;"}]",21,20),9,8))</f>
        <v>#REF!</v>
      </c>
      <c r="U22" s="40" t="str">
        <f t="shared" ref="U22:U28" si="15">"["&amp;A22&amp;"]"</f>
        <v>[5501031]</v>
      </c>
      <c r="V22" s="26" t="s">
        <v>192</v>
      </c>
      <c r="W22" s="25"/>
      <c r="X22" s="32">
        <v>100</v>
      </c>
      <c r="Y22" s="25"/>
      <c r="Z22" s="32" t="s">
        <v>165</v>
      </c>
      <c r="AA22" s="32" t="str">
        <f t="shared" si="14"/>
        <v>战士职业攻击力+30</v>
      </c>
      <c r="AB22" s="32"/>
      <c r="AC22" s="32" t="s">
        <v>166</v>
      </c>
      <c r="AD22" s="32">
        <f t="shared" si="9"/>
        <v>1017</v>
      </c>
      <c r="AE22" s="38" t="str">
        <f t="shared" si="3"/>
        <v>5501031</v>
      </c>
      <c r="AF22" s="32" t="str">
        <f t="shared" si="4"/>
        <v>[30]</v>
      </c>
      <c r="AG22" s="26">
        <v>1</v>
      </c>
      <c r="AH22" s="26"/>
      <c r="AI22" s="26">
        <v>0</v>
      </c>
      <c r="AJ22" s="25" t="s">
        <v>167</v>
      </c>
      <c r="AK22" s="24">
        <v>5501031</v>
      </c>
      <c r="AL22" s="42" t="s">
        <v>193</v>
      </c>
      <c r="AM22" s="25">
        <v>30</v>
      </c>
      <c r="AN22" s="26">
        <v>1</v>
      </c>
      <c r="AO22" s="26" t="s">
        <v>32</v>
      </c>
      <c r="AP22" s="20">
        <f t="shared" si="10"/>
        <v>17</v>
      </c>
    </row>
    <row r="23" s="20" customFormat="1" customHeight="1" spans="1:42">
      <c r="A23" s="38">
        <v>5501032</v>
      </c>
      <c r="B23" s="38" t="str">
        <f t="shared" si="0"/>
        <v>5501031</v>
      </c>
      <c r="C23" s="32">
        <f t="shared" si="1"/>
        <v>2</v>
      </c>
      <c r="D23" s="32"/>
      <c r="E23" s="26" t="s">
        <v>162</v>
      </c>
      <c r="F23" s="26">
        <f t="shared" si="8"/>
        <v>1</v>
      </c>
      <c r="G23" s="26">
        <f>IFERROR(IF(--MID($E23,2*COUNTIF($F23:F23,"&gt;"&amp;0)+2,1)=G$1,G$1,""),"")</f>
        <v>2</v>
      </c>
      <c r="H23" s="26">
        <f>IFERROR(IF(--MID($E23,2*COUNTIF($F23:G23,"&gt;"&amp;0)+2,1)=H$1,H$1,""),"")</f>
        <v>3</v>
      </c>
      <c r="I23" s="26">
        <f>IFERROR(IF(--MID($E23,2*COUNTIF($F23:H23,"&gt;"&amp;0)+2,1)=I$1,I$1,""),"")</f>
        <v>4</v>
      </c>
      <c r="J23" s="26">
        <f>IFERROR(IF(--MID($E23,2*COUNTIF($F23:I23,"&gt;"&amp;0)+2,1)=J$1,J$1,""),"")</f>
        <v>5</v>
      </c>
      <c r="K23" s="26">
        <f>IFERROR(IF(--MID($E23,2*COUNTIF($F23:J23,"&gt;"&amp;0)+2,1)=K$1,K$1,""),"")</f>
        <v>6</v>
      </c>
      <c r="L23" s="39" cm="1">
        <f t="array" ref="L23">IFERROR(IF($A23="","",IF(F23="","",_xlfn.XLOOKUP($C23&amp;"_"&amp;$AG23,符文权重!$A:$A&amp;"_"&amp;符文权重!$C:$C,符文权重!$D:$D)*$X23/SUMIFS($X:$X,F:F,F23,$C:$C,$C23,$AG:$AG,$AG23)/SUMIF(符文权重!$A:$A,$C23,符文权重!$D:$D))),"")</f>
        <v>0.0363636363636364</v>
      </c>
      <c r="M23" s="39" cm="1">
        <f t="array" ref="M23">IFERROR(IF($A23="","",IF(G23="","",_xlfn.XLOOKUP($C23&amp;"_"&amp;$AG23,符文权重!$A:$A&amp;"_"&amp;符文权重!$C:$C,符文权重!$D:$D)*$X23/SUMIFS($X:$X,G:G,G23,$C:$C,$C23,$AG:$AG,$AG23)/SUMIF(符文权重!$A:$A,$C23,符文权重!$D:$D))),"")</f>
        <v>0.0363636363636364</v>
      </c>
      <c r="N23" s="39" cm="1">
        <f t="array" ref="N23">IFERROR(IF($A23="","",IF(H23="","",_xlfn.XLOOKUP($C23&amp;"_"&amp;$AG23,符文权重!$A:$A&amp;"_"&amp;符文权重!$C:$C,符文权重!$D:$D)*$X23/SUMIFS($X:$X,H:H,H23,$C:$C,$C23,$AG:$AG,$AG23)/SUMIF(符文权重!$A:$A,$C23,符文权重!$D:$D))),"")</f>
        <v>0.0363636363636364</v>
      </c>
      <c r="O23" s="39" cm="1">
        <f t="array" ref="O23">IFERROR(IF($A23="","",IF(I23="","",_xlfn.XLOOKUP($C23&amp;"_"&amp;$AG23,符文权重!$A:$A&amp;"_"&amp;符文权重!$C:$C,符文权重!$D:$D)*$X23/SUMIFS($X:$X,I:I,I23,$C:$C,$C23,$AG:$AG,$AG23)/SUMIF(符文权重!$A:$A,$C23,符文权重!$D:$D))),"")</f>
        <v>0.0363636363636364</v>
      </c>
      <c r="P23" s="39" cm="1">
        <f t="array" ref="P23">IFERROR(IF($A23="","",IF(J23="","",_xlfn.XLOOKUP($C23&amp;"_"&amp;$AG23,符文权重!$A:$A&amp;"_"&amp;符文权重!$C:$C,符文权重!$D:$D)*$X23/SUMIFS($X:$X,J:J,J23,$C:$C,$C23,$AG:$AG,$AG23)/SUMIF(符文权重!$A:$A,$C23,符文权重!$D:$D))),"")</f>
        <v>0.0363636363636364</v>
      </c>
      <c r="Q23" s="39" cm="1">
        <f t="array" ref="Q23">IFERROR(IF($A23="","",IF(K23="","",_xlfn.XLOOKUP($C23&amp;"_"&amp;$AG23,符文权重!$A:$A&amp;"_"&amp;符文权重!$C:$C,符文权重!$D:$D)*$X23/SUMIFS($X:$X,K:K,K23,$C:$C,$C23,$AG:$AG,$AG23)/SUMIF(符文权重!$A:$A,$C23,符文权重!$D:$D))),"")</f>
        <v>0.0363636363636364</v>
      </c>
      <c r="R23" s="26" t="s">
        <v>181</v>
      </c>
      <c r="S23" s="26" t="s">
        <v>191</v>
      </c>
      <c r="T23" s="26" t="e">
        <f>IF(B23="","",SUBSTITUTE(SUBSTITUTE("[{global_atk,"&amp;#REF!*C23&amp;"}]",21,20),9,8))</f>
        <v>#REF!</v>
      </c>
      <c r="U23" s="40" t="str">
        <f t="shared" si="15"/>
        <v>[5501032]</v>
      </c>
      <c r="V23" s="26" t="s">
        <v>194</v>
      </c>
      <c r="W23" s="25"/>
      <c r="X23" s="32">
        <v>100</v>
      </c>
      <c r="Y23" s="25"/>
      <c r="Z23" s="32" t="s">
        <v>170</v>
      </c>
      <c r="AA23" s="32" t="str">
        <f t="shared" si="14"/>
        <v>战士职业攻击力+40</v>
      </c>
      <c r="AB23" s="32"/>
      <c r="AC23" s="32" t="s">
        <v>166</v>
      </c>
      <c r="AD23" s="32">
        <f t="shared" si="9"/>
        <v>1018</v>
      </c>
      <c r="AE23" s="38" t="str">
        <f t="shared" si="3"/>
        <v>5501031</v>
      </c>
      <c r="AF23" s="32" t="str">
        <f t="shared" si="4"/>
        <v>[40]</v>
      </c>
      <c r="AG23" s="26">
        <v>1</v>
      </c>
      <c r="AH23" s="26"/>
      <c r="AI23" s="26">
        <v>0</v>
      </c>
      <c r="AJ23" s="25" t="s">
        <v>167</v>
      </c>
      <c r="AK23" s="38">
        <f t="shared" ref="AK23:AK28" si="16">AK22+1</f>
        <v>5501032</v>
      </c>
      <c r="AL23" s="41" t="str">
        <f t="shared" ref="AL23:AL28" si="17">AL22</f>
        <v>战士职业攻击力&lt;color=#54b76b&gt;+%s&lt;/color&gt;</v>
      </c>
      <c r="AM23" s="25">
        <v>40</v>
      </c>
      <c r="AN23" s="26">
        <v>1</v>
      </c>
      <c r="AO23" s="26" t="s">
        <v>32</v>
      </c>
      <c r="AP23" s="20">
        <f t="shared" si="10"/>
        <v>18</v>
      </c>
    </row>
    <row r="24" s="20" customFormat="1" customHeight="1" spans="1:42">
      <c r="A24" s="38">
        <v>5501033</v>
      </c>
      <c r="B24" s="38" t="str">
        <f t="shared" si="0"/>
        <v>5501031</v>
      </c>
      <c r="C24" s="32">
        <f t="shared" si="1"/>
        <v>3</v>
      </c>
      <c r="D24" s="32"/>
      <c r="E24" s="26" t="s">
        <v>162</v>
      </c>
      <c r="F24" s="26">
        <f t="shared" si="8"/>
        <v>1</v>
      </c>
      <c r="G24" s="26">
        <f>IFERROR(IF(--MID($E24,2*COUNTIF($F24:F24,"&gt;"&amp;0)+2,1)=G$1,G$1,""),"")</f>
        <v>2</v>
      </c>
      <c r="H24" s="26">
        <f>IFERROR(IF(--MID($E24,2*COUNTIF($F24:G24,"&gt;"&amp;0)+2,1)=H$1,H$1,""),"")</f>
        <v>3</v>
      </c>
      <c r="I24" s="26">
        <f>IFERROR(IF(--MID($E24,2*COUNTIF($F24:H24,"&gt;"&amp;0)+2,1)=I$1,I$1,""),"")</f>
        <v>4</v>
      </c>
      <c r="J24" s="26">
        <f>IFERROR(IF(--MID($E24,2*COUNTIF($F24:I24,"&gt;"&amp;0)+2,1)=J$1,J$1,""),"")</f>
        <v>5</v>
      </c>
      <c r="K24" s="26">
        <f>IFERROR(IF(--MID($E24,2*COUNTIF($F24:J24,"&gt;"&amp;0)+2,1)=K$1,K$1,""),"")</f>
        <v>6</v>
      </c>
      <c r="L24" s="39" cm="1">
        <f t="array" ref="L24">IFERROR(IF($A24="","",IF(F24="","",_xlfn.XLOOKUP($C24&amp;"_"&amp;$AG24,符文权重!$A:$A&amp;"_"&amp;符文权重!$C:$C,符文权重!$D:$D)*$X24/SUMIFS($X:$X,F:F,F24,$C:$C,$C24,$AG:$AG,$AG24)/SUMIF(符文权重!$A:$A,$C24,符文权重!$D:$D))),"")</f>
        <v>0.035</v>
      </c>
      <c r="M24" s="39" cm="1">
        <f t="array" ref="M24">IFERROR(IF($A24="","",IF(G24="","",_xlfn.XLOOKUP($C24&amp;"_"&amp;$AG24,符文权重!$A:$A&amp;"_"&amp;符文权重!$C:$C,符文权重!$D:$D)*$X24/SUMIFS($X:$X,G:G,G24,$C:$C,$C24,$AG:$AG,$AG24)/SUMIF(符文权重!$A:$A,$C24,符文权重!$D:$D))),"")</f>
        <v>0.035</v>
      </c>
      <c r="N24" s="39" cm="1">
        <f t="array" ref="N24">IFERROR(IF($A24="","",IF(H24="","",_xlfn.XLOOKUP($C24&amp;"_"&amp;$AG24,符文权重!$A:$A&amp;"_"&amp;符文权重!$C:$C,符文权重!$D:$D)*$X24/SUMIFS($X:$X,H:H,H24,$C:$C,$C24,$AG:$AG,$AG24)/SUMIF(符文权重!$A:$A,$C24,符文权重!$D:$D))),"")</f>
        <v>0.035</v>
      </c>
      <c r="O24" s="39" cm="1">
        <f t="array" ref="O24">IFERROR(IF($A24="","",IF(I24="","",_xlfn.XLOOKUP($C24&amp;"_"&amp;$AG24,符文权重!$A:$A&amp;"_"&amp;符文权重!$C:$C,符文权重!$D:$D)*$X24/SUMIFS($X:$X,I:I,I24,$C:$C,$C24,$AG:$AG,$AG24)/SUMIF(符文权重!$A:$A,$C24,符文权重!$D:$D))),"")</f>
        <v>0.035</v>
      </c>
      <c r="P24" s="39" cm="1">
        <f t="array" ref="P24">IFERROR(IF($A24="","",IF(J24="","",_xlfn.XLOOKUP($C24&amp;"_"&amp;$AG24,符文权重!$A:$A&amp;"_"&amp;符文权重!$C:$C,符文权重!$D:$D)*$X24/SUMIFS($X:$X,J:J,J24,$C:$C,$C24,$AG:$AG,$AG24)/SUMIF(符文权重!$A:$A,$C24,符文权重!$D:$D))),"")</f>
        <v>0.035</v>
      </c>
      <c r="Q24" s="39" cm="1">
        <f t="array" ref="Q24">IFERROR(IF($A24="","",IF(K24="","",_xlfn.XLOOKUP($C24&amp;"_"&amp;$AG24,符文权重!$A:$A&amp;"_"&amp;符文权重!$C:$C,符文权重!$D:$D)*$X24/SUMIFS($X:$X,K:K,K24,$C:$C,$C24,$AG:$AG,$AG24)/SUMIF(符文权重!$A:$A,$C24,符文权重!$D:$D))),"")</f>
        <v>0.035</v>
      </c>
      <c r="R24" s="26" t="s">
        <v>181</v>
      </c>
      <c r="S24" s="26" t="s">
        <v>191</v>
      </c>
      <c r="T24" s="26" t="e">
        <f>IF(B24="","",SUBSTITUTE(SUBSTITUTE("[{global_atk,"&amp;#REF!*C24&amp;"}]",21,20),9,8))</f>
        <v>#REF!</v>
      </c>
      <c r="U24" s="40" t="str">
        <f t="shared" si="15"/>
        <v>[5501033]</v>
      </c>
      <c r="V24" s="26" t="s">
        <v>195</v>
      </c>
      <c r="W24" s="25"/>
      <c r="X24" s="32">
        <v>100</v>
      </c>
      <c r="Y24" s="25"/>
      <c r="Z24" s="32" t="s">
        <v>172</v>
      </c>
      <c r="AA24" s="32" t="str">
        <f t="shared" si="14"/>
        <v>战士职业攻击力+50</v>
      </c>
      <c r="AB24" s="32"/>
      <c r="AC24" s="32" t="s">
        <v>166</v>
      </c>
      <c r="AD24" s="32">
        <f t="shared" si="9"/>
        <v>1019</v>
      </c>
      <c r="AE24" s="38" t="str">
        <f t="shared" si="3"/>
        <v>5501031</v>
      </c>
      <c r="AF24" s="32" t="str">
        <f t="shared" si="4"/>
        <v>[50]</v>
      </c>
      <c r="AG24" s="26">
        <v>1</v>
      </c>
      <c r="AH24" s="26"/>
      <c r="AI24" s="26">
        <v>0</v>
      </c>
      <c r="AJ24" s="25" t="s">
        <v>167</v>
      </c>
      <c r="AK24" s="38">
        <f t="shared" si="16"/>
        <v>5501033</v>
      </c>
      <c r="AL24" s="41" t="str">
        <f t="shared" si="17"/>
        <v>战士职业攻击力&lt;color=#54b76b&gt;+%s&lt;/color&gt;</v>
      </c>
      <c r="AM24" s="25">
        <v>50</v>
      </c>
      <c r="AN24" s="26">
        <v>1</v>
      </c>
      <c r="AO24" s="26" t="s">
        <v>32</v>
      </c>
      <c r="AP24" s="20">
        <f t="shared" si="10"/>
        <v>19</v>
      </c>
    </row>
    <row r="25" s="20" customFormat="1" customHeight="1" spans="1:42">
      <c r="A25" s="38">
        <v>5501034</v>
      </c>
      <c r="B25" s="38" t="str">
        <f t="shared" si="0"/>
        <v>5501031</v>
      </c>
      <c r="C25" s="32">
        <f t="shared" si="1"/>
        <v>4</v>
      </c>
      <c r="D25" s="32"/>
      <c r="E25" s="26" t="s">
        <v>162</v>
      </c>
      <c r="F25" s="26">
        <f t="shared" si="8"/>
        <v>1</v>
      </c>
      <c r="G25" s="26">
        <f>IFERROR(IF(--MID($E25,2*COUNTIF($F25:F25,"&gt;"&amp;0)+2,1)=G$1,G$1,""),"")</f>
        <v>2</v>
      </c>
      <c r="H25" s="26">
        <f>IFERROR(IF(--MID($E25,2*COUNTIF($F25:G25,"&gt;"&amp;0)+2,1)=H$1,H$1,""),"")</f>
        <v>3</v>
      </c>
      <c r="I25" s="26">
        <f>IFERROR(IF(--MID($E25,2*COUNTIF($F25:H25,"&gt;"&amp;0)+2,1)=I$1,I$1,""),"")</f>
        <v>4</v>
      </c>
      <c r="J25" s="26">
        <f>IFERROR(IF(--MID($E25,2*COUNTIF($F25:I25,"&gt;"&amp;0)+2,1)=J$1,J$1,""),"")</f>
        <v>5</v>
      </c>
      <c r="K25" s="26">
        <f>IFERROR(IF(--MID($E25,2*COUNTIF($F25:J25,"&gt;"&amp;0)+2,1)=K$1,K$1,""),"")</f>
        <v>6</v>
      </c>
      <c r="L25" s="39" cm="1">
        <f t="array" ref="L25">IFERROR(IF($A25="","",IF(F25="","",_xlfn.XLOOKUP($C25&amp;"_"&amp;$AG25,符文权重!$A:$A&amp;"_"&amp;符文权重!$C:$C,符文权重!$D:$D)*$X25/SUMIFS($X:$X,F:F,F25,$C:$C,$C25,$AG:$AG,$AG25)/SUMIF(符文权重!$A:$A,$C25,符文权重!$D:$D))),"")</f>
        <v>0.022913616398243</v>
      </c>
      <c r="M25" s="39" cm="1">
        <f t="array" ref="M25">IFERROR(IF($A25="","",IF(G25="","",_xlfn.XLOOKUP($C25&amp;"_"&amp;$AG25,符文权重!$A:$A&amp;"_"&amp;符文权重!$C:$C,符文权重!$D:$D)*$X25/SUMIFS($X:$X,G:G,G25,$C:$C,$C25,$AG:$AG,$AG25)/SUMIF(符文权重!$A:$A,$C25,符文权重!$D:$D))),"")</f>
        <v>0.022913616398243</v>
      </c>
      <c r="N25" s="39" cm="1">
        <f t="array" ref="N25">IFERROR(IF($A25="","",IF(H25="","",_xlfn.XLOOKUP($C25&amp;"_"&amp;$AG25,符文权重!$A:$A&amp;"_"&amp;符文权重!$C:$C,符文权重!$D:$D)*$X25/SUMIFS($X:$X,H:H,H25,$C:$C,$C25,$AG:$AG,$AG25)/SUMIF(符文权重!$A:$A,$C25,符文权重!$D:$D))),"")</f>
        <v>0.022913616398243</v>
      </c>
      <c r="O25" s="39" cm="1">
        <f t="array" ref="O25">IFERROR(IF($A25="","",IF(I25="","",_xlfn.XLOOKUP($C25&amp;"_"&amp;$AG25,符文权重!$A:$A&amp;"_"&amp;符文权重!$C:$C,符文权重!$D:$D)*$X25/SUMIFS($X:$X,I:I,I25,$C:$C,$C25,$AG:$AG,$AG25)/SUMIF(符文权重!$A:$A,$C25,符文权重!$D:$D))),"")</f>
        <v>0.022913616398243</v>
      </c>
      <c r="P25" s="39" cm="1">
        <f t="array" ref="P25">IFERROR(IF($A25="","",IF(J25="","",_xlfn.XLOOKUP($C25&amp;"_"&amp;$AG25,符文权重!$A:$A&amp;"_"&amp;符文权重!$C:$C,符文权重!$D:$D)*$X25/SUMIFS($X:$X,J:J,J25,$C:$C,$C25,$AG:$AG,$AG25)/SUMIF(符文权重!$A:$A,$C25,符文权重!$D:$D))),"")</f>
        <v>0.022913616398243</v>
      </c>
      <c r="Q25" s="39" cm="1">
        <f t="array" ref="Q25">IFERROR(IF($A25="","",IF(K25="","",_xlfn.XLOOKUP($C25&amp;"_"&amp;$AG25,符文权重!$A:$A&amp;"_"&amp;符文权重!$C:$C,符文权重!$D:$D)*$X25/SUMIFS($X:$X,K:K,K25,$C:$C,$C25,$AG:$AG,$AG25)/SUMIF(符文权重!$A:$A,$C25,符文权重!$D:$D))),"")</f>
        <v>0.022913616398243</v>
      </c>
      <c r="R25" s="26" t="s">
        <v>181</v>
      </c>
      <c r="S25" s="26" t="s">
        <v>191</v>
      </c>
      <c r="T25" s="26" t="e">
        <f>IF(B25="","",SUBSTITUTE(SUBSTITUTE("[{global_atk,"&amp;#REF!*C25&amp;"}]",21,20),9,8))</f>
        <v>#REF!</v>
      </c>
      <c r="U25" s="40" t="str">
        <f t="shared" si="15"/>
        <v>[5501034]</v>
      </c>
      <c r="V25" s="26" t="s">
        <v>196</v>
      </c>
      <c r="W25" s="25"/>
      <c r="X25" s="32">
        <v>100</v>
      </c>
      <c r="Y25" s="25"/>
      <c r="Z25" s="32" t="s">
        <v>174</v>
      </c>
      <c r="AA25" s="32" t="str">
        <f t="shared" si="14"/>
        <v>战士职业攻击力+75</v>
      </c>
      <c r="AB25" s="32"/>
      <c r="AC25" s="32" t="s">
        <v>166</v>
      </c>
      <c r="AD25" s="32">
        <f t="shared" si="9"/>
        <v>1020</v>
      </c>
      <c r="AE25" s="38" t="str">
        <f t="shared" si="3"/>
        <v>5501031</v>
      </c>
      <c r="AF25" s="32" t="str">
        <f t="shared" si="4"/>
        <v>[75]</v>
      </c>
      <c r="AG25" s="26">
        <v>1</v>
      </c>
      <c r="AH25" s="26"/>
      <c r="AI25" s="26">
        <v>0</v>
      </c>
      <c r="AJ25" s="25" t="s">
        <v>167</v>
      </c>
      <c r="AK25" s="38">
        <f t="shared" si="16"/>
        <v>5501034</v>
      </c>
      <c r="AL25" s="41" t="str">
        <f t="shared" si="17"/>
        <v>战士职业攻击力&lt;color=#54b76b&gt;+%s&lt;/color&gt;</v>
      </c>
      <c r="AM25" s="25">
        <v>75</v>
      </c>
      <c r="AN25" s="26">
        <v>1</v>
      </c>
      <c r="AO25" s="26" t="s">
        <v>32</v>
      </c>
      <c r="AP25" s="20">
        <f t="shared" si="10"/>
        <v>20</v>
      </c>
    </row>
    <row r="26" s="20" customFormat="1" customHeight="1" spans="1:42">
      <c r="A26" s="38">
        <v>5501035</v>
      </c>
      <c r="B26" s="38" t="str">
        <f t="shared" si="0"/>
        <v>5501031</v>
      </c>
      <c r="C26" s="32">
        <f t="shared" si="1"/>
        <v>5</v>
      </c>
      <c r="D26" s="32"/>
      <c r="E26" s="26" t="s">
        <v>162</v>
      </c>
      <c r="F26" s="26">
        <f t="shared" si="8"/>
        <v>1</v>
      </c>
      <c r="G26" s="26">
        <f>IFERROR(IF(--MID($E26,2*COUNTIF($F26:F26,"&gt;"&amp;0)+2,1)=G$1,G$1,""),"")</f>
        <v>2</v>
      </c>
      <c r="H26" s="26">
        <f>IFERROR(IF(--MID($E26,2*COUNTIF($F26:G26,"&gt;"&amp;0)+2,1)=H$1,H$1,""),"")</f>
        <v>3</v>
      </c>
      <c r="I26" s="26">
        <f>IFERROR(IF(--MID($E26,2*COUNTIF($F26:H26,"&gt;"&amp;0)+2,1)=I$1,I$1,""),"")</f>
        <v>4</v>
      </c>
      <c r="J26" s="26">
        <f>IFERROR(IF(--MID($E26,2*COUNTIF($F26:I26,"&gt;"&amp;0)+2,1)=J$1,J$1,""),"")</f>
        <v>5</v>
      </c>
      <c r="K26" s="26">
        <f>IFERROR(IF(--MID($E26,2*COUNTIF($F26:J26,"&gt;"&amp;0)+2,1)=K$1,K$1,""),"")</f>
        <v>6</v>
      </c>
      <c r="L26" s="39" cm="1">
        <f t="array" ref="L26">IFERROR(IF($A26="","",IF(F26="","",_xlfn.XLOOKUP($C26&amp;"_"&amp;$AG26,符文权重!$A:$A&amp;"_"&amp;符文权重!$C:$C,符文权重!$D:$D)*$X26/SUMIFS($X:$X,F:F,F26,$C:$C,$C26,$AG:$AG,$AG26)/SUMIF(符文权重!$A:$A,$C26,符文权重!$D:$D))),"")</f>
        <v>0.0196666666666667</v>
      </c>
      <c r="M26" s="39" cm="1">
        <f t="array" ref="M26">IFERROR(IF($A26="","",IF(G26="","",_xlfn.XLOOKUP($C26&amp;"_"&amp;$AG26,符文权重!$A:$A&amp;"_"&amp;符文权重!$C:$C,符文权重!$D:$D)*$X26/SUMIFS($X:$X,G:G,G26,$C:$C,$C26,$AG:$AG,$AG26)/SUMIF(符文权重!$A:$A,$C26,符文权重!$D:$D))),"")</f>
        <v>0.0196666666666667</v>
      </c>
      <c r="N26" s="39" cm="1">
        <f t="array" ref="N26">IFERROR(IF($A26="","",IF(H26="","",_xlfn.XLOOKUP($C26&amp;"_"&amp;$AG26,符文权重!$A:$A&amp;"_"&amp;符文权重!$C:$C,符文权重!$D:$D)*$X26/SUMIFS($X:$X,H:H,H26,$C:$C,$C26,$AG:$AG,$AG26)/SUMIF(符文权重!$A:$A,$C26,符文权重!$D:$D))),"")</f>
        <v>0.0196666666666667</v>
      </c>
      <c r="O26" s="39" cm="1">
        <f t="array" ref="O26">IFERROR(IF($A26="","",IF(I26="","",_xlfn.XLOOKUP($C26&amp;"_"&amp;$AG26,符文权重!$A:$A&amp;"_"&amp;符文权重!$C:$C,符文权重!$D:$D)*$X26/SUMIFS($X:$X,I:I,I26,$C:$C,$C26,$AG:$AG,$AG26)/SUMIF(符文权重!$A:$A,$C26,符文权重!$D:$D))),"")</f>
        <v>0.0196666666666667</v>
      </c>
      <c r="P26" s="39" cm="1">
        <f t="array" ref="P26">IFERROR(IF($A26="","",IF(J26="","",_xlfn.XLOOKUP($C26&amp;"_"&amp;$AG26,符文权重!$A:$A&amp;"_"&amp;符文权重!$C:$C,符文权重!$D:$D)*$X26/SUMIFS($X:$X,J:J,J26,$C:$C,$C26,$AG:$AG,$AG26)/SUMIF(符文权重!$A:$A,$C26,符文权重!$D:$D))),"")</f>
        <v>0.0196666666666667</v>
      </c>
      <c r="Q26" s="39" cm="1">
        <f t="array" ref="Q26">IFERROR(IF($A26="","",IF(K26="","",_xlfn.XLOOKUP($C26&amp;"_"&amp;$AG26,符文权重!$A:$A&amp;"_"&amp;符文权重!$C:$C,符文权重!$D:$D)*$X26/SUMIFS($X:$X,K:K,K26,$C:$C,$C26,$AG:$AG,$AG26)/SUMIF(符文权重!$A:$A,$C26,符文权重!$D:$D))),"")</f>
        <v>0.0196666666666667</v>
      </c>
      <c r="R26" s="26" t="s">
        <v>181</v>
      </c>
      <c r="S26" s="26" t="s">
        <v>191</v>
      </c>
      <c r="T26" s="26" t="e">
        <f>IF(B26="","",SUBSTITUTE(SUBSTITUTE("[{global_atk,"&amp;#REF!*C26&amp;"}]",21,20),9,8))</f>
        <v>#REF!</v>
      </c>
      <c r="U26" s="40" t="str">
        <f t="shared" si="15"/>
        <v>[5501035]</v>
      </c>
      <c r="V26" s="26" t="s">
        <v>197</v>
      </c>
      <c r="W26" s="25"/>
      <c r="X26" s="32">
        <v>100</v>
      </c>
      <c r="Y26" s="25"/>
      <c r="Z26" s="32" t="s">
        <v>176</v>
      </c>
      <c r="AA26" s="32" t="str">
        <f t="shared" si="14"/>
        <v>战士职业攻击力+96</v>
      </c>
      <c r="AB26" s="32"/>
      <c r="AC26" s="32" t="s">
        <v>166</v>
      </c>
      <c r="AD26" s="32">
        <f t="shared" si="9"/>
        <v>1021</v>
      </c>
      <c r="AE26" s="38" t="str">
        <f t="shared" si="3"/>
        <v>5501031</v>
      </c>
      <c r="AF26" s="32" t="str">
        <f t="shared" si="4"/>
        <v>[96]</v>
      </c>
      <c r="AG26" s="26">
        <v>1</v>
      </c>
      <c r="AH26" s="26"/>
      <c r="AI26" s="26">
        <v>0</v>
      </c>
      <c r="AJ26" s="25" t="s">
        <v>167</v>
      </c>
      <c r="AK26" s="38">
        <f t="shared" si="16"/>
        <v>5501035</v>
      </c>
      <c r="AL26" s="41" t="str">
        <f t="shared" si="17"/>
        <v>战士职业攻击力&lt;color=#54b76b&gt;+%s&lt;/color&gt;</v>
      </c>
      <c r="AM26" s="25">
        <v>96</v>
      </c>
      <c r="AN26" s="26">
        <v>1</v>
      </c>
      <c r="AO26" s="26" t="s">
        <v>32</v>
      </c>
      <c r="AP26" s="20">
        <f t="shared" si="10"/>
        <v>21</v>
      </c>
    </row>
    <row r="27" s="20" customFormat="1" customHeight="1" spans="1:42">
      <c r="A27" s="38">
        <v>5501036</v>
      </c>
      <c r="B27" s="38" t="str">
        <f t="shared" si="0"/>
        <v>5501031</v>
      </c>
      <c r="C27" s="32">
        <f t="shared" si="1"/>
        <v>6</v>
      </c>
      <c r="D27" s="32"/>
      <c r="E27" s="26" t="s">
        <v>162</v>
      </c>
      <c r="F27" s="26">
        <f t="shared" si="8"/>
        <v>1</v>
      </c>
      <c r="G27" s="26">
        <f>IFERROR(IF(--MID($E27,2*COUNTIF($F27:F27,"&gt;"&amp;0)+2,1)=G$1,G$1,""),"")</f>
        <v>2</v>
      </c>
      <c r="H27" s="26">
        <f>IFERROR(IF(--MID($E27,2*COUNTIF($F27:G27,"&gt;"&amp;0)+2,1)=H$1,H$1,""),"")</f>
        <v>3</v>
      </c>
      <c r="I27" s="26">
        <f>IFERROR(IF(--MID($E27,2*COUNTIF($F27:H27,"&gt;"&amp;0)+2,1)=I$1,I$1,""),"")</f>
        <v>4</v>
      </c>
      <c r="J27" s="26">
        <f>IFERROR(IF(--MID($E27,2*COUNTIF($F27:I27,"&gt;"&amp;0)+2,1)=J$1,J$1,""),"")</f>
        <v>5</v>
      </c>
      <c r="K27" s="26">
        <f>IFERROR(IF(--MID($E27,2*COUNTIF($F27:J27,"&gt;"&amp;0)+2,1)=K$1,K$1,""),"")</f>
        <v>6</v>
      </c>
      <c r="L27" s="39" cm="1">
        <f t="array" ref="L27">IFERROR(IF($A27="","",IF(F27="","",_xlfn.XLOOKUP($C27&amp;"_"&amp;$AG27,符文权重!$A:$A&amp;"_"&amp;符文权重!$C:$C,符文权重!$D:$D)*$X27/SUMIFS($X:$X,F:F,F27,$C:$C,$C27,$AG:$AG,$AG27)/SUMIF(符文权重!$A:$A,$C27,符文权重!$D:$D))),"")</f>
        <v>0.0196666666666667</v>
      </c>
      <c r="M27" s="39" cm="1">
        <f t="array" ref="M27">IFERROR(IF($A27="","",IF(G27="","",_xlfn.XLOOKUP($C27&amp;"_"&amp;$AG27,符文权重!$A:$A&amp;"_"&amp;符文权重!$C:$C,符文权重!$D:$D)*$X27/SUMIFS($X:$X,G:G,G27,$C:$C,$C27,$AG:$AG,$AG27)/SUMIF(符文权重!$A:$A,$C27,符文权重!$D:$D))),"")</f>
        <v>0.0196666666666667</v>
      </c>
      <c r="N27" s="39" cm="1">
        <f t="array" ref="N27">IFERROR(IF($A27="","",IF(H27="","",_xlfn.XLOOKUP($C27&amp;"_"&amp;$AG27,符文权重!$A:$A&amp;"_"&amp;符文权重!$C:$C,符文权重!$D:$D)*$X27/SUMIFS($X:$X,H:H,H27,$C:$C,$C27,$AG:$AG,$AG27)/SUMIF(符文权重!$A:$A,$C27,符文权重!$D:$D))),"")</f>
        <v>0.0196666666666667</v>
      </c>
      <c r="O27" s="39" cm="1">
        <f t="array" ref="O27">IFERROR(IF($A27="","",IF(I27="","",_xlfn.XLOOKUP($C27&amp;"_"&amp;$AG27,符文权重!$A:$A&amp;"_"&amp;符文权重!$C:$C,符文权重!$D:$D)*$X27/SUMIFS($X:$X,I:I,I27,$C:$C,$C27,$AG:$AG,$AG27)/SUMIF(符文权重!$A:$A,$C27,符文权重!$D:$D))),"")</f>
        <v>0.0196666666666667</v>
      </c>
      <c r="P27" s="39" cm="1">
        <f t="array" ref="P27">IFERROR(IF($A27="","",IF(J27="","",_xlfn.XLOOKUP($C27&amp;"_"&amp;$AG27,符文权重!$A:$A&amp;"_"&amp;符文权重!$C:$C,符文权重!$D:$D)*$X27/SUMIFS($X:$X,J:J,J27,$C:$C,$C27,$AG:$AG,$AG27)/SUMIF(符文权重!$A:$A,$C27,符文权重!$D:$D))),"")</f>
        <v>0.0196666666666667</v>
      </c>
      <c r="Q27" s="39" cm="1">
        <f t="array" ref="Q27">IFERROR(IF($A27="","",IF(K27="","",_xlfn.XLOOKUP($C27&amp;"_"&amp;$AG27,符文权重!$A:$A&amp;"_"&amp;符文权重!$C:$C,符文权重!$D:$D)*$X27/SUMIFS($X:$X,K:K,K27,$C:$C,$C27,$AG:$AG,$AG27)/SUMIF(符文权重!$A:$A,$C27,符文权重!$D:$D))),"")</f>
        <v>0.0196666666666667</v>
      </c>
      <c r="R27" s="26" t="s">
        <v>181</v>
      </c>
      <c r="S27" s="26" t="s">
        <v>191</v>
      </c>
      <c r="T27" s="26" t="e">
        <f>IF(B27="","",SUBSTITUTE(SUBSTITUTE("[{global_atk,"&amp;#REF!*C27&amp;"}]",21,20),9,8))</f>
        <v>#REF!</v>
      </c>
      <c r="U27" s="40" t="str">
        <f t="shared" si="15"/>
        <v>[5501036]</v>
      </c>
      <c r="V27" s="26" t="s">
        <v>198</v>
      </c>
      <c r="W27" s="25"/>
      <c r="X27" s="32">
        <v>100</v>
      </c>
      <c r="Y27" s="25"/>
      <c r="Z27" s="32" t="s">
        <v>178</v>
      </c>
      <c r="AA27" s="32" t="str">
        <f t="shared" si="14"/>
        <v>战士职业攻击力+120</v>
      </c>
      <c r="AB27" s="32"/>
      <c r="AC27" s="32" t="s">
        <v>166</v>
      </c>
      <c r="AD27" s="32">
        <f t="shared" si="9"/>
        <v>1022</v>
      </c>
      <c r="AE27" s="38" t="str">
        <f t="shared" si="3"/>
        <v>5501031</v>
      </c>
      <c r="AF27" s="32" t="str">
        <f t="shared" si="4"/>
        <v>[120]</v>
      </c>
      <c r="AG27" s="26">
        <v>1</v>
      </c>
      <c r="AH27" s="26"/>
      <c r="AI27" s="26">
        <v>0</v>
      </c>
      <c r="AJ27" s="25" t="s">
        <v>167</v>
      </c>
      <c r="AK27" s="38">
        <f t="shared" si="16"/>
        <v>5501036</v>
      </c>
      <c r="AL27" s="41" t="str">
        <f t="shared" si="17"/>
        <v>战士职业攻击力&lt;color=#54b76b&gt;+%s&lt;/color&gt;</v>
      </c>
      <c r="AM27" s="25">
        <v>120</v>
      </c>
      <c r="AN27" s="26">
        <v>1</v>
      </c>
      <c r="AO27" s="26" t="s">
        <v>32</v>
      </c>
      <c r="AP27" s="20">
        <f t="shared" si="10"/>
        <v>22</v>
      </c>
    </row>
    <row r="28" s="20" customFormat="1" customHeight="1" spans="1:42">
      <c r="A28" s="38">
        <v>5501037</v>
      </c>
      <c r="B28" s="38" t="str">
        <f t="shared" si="0"/>
        <v>5501031</v>
      </c>
      <c r="C28" s="32">
        <f t="shared" si="1"/>
        <v>7</v>
      </c>
      <c r="D28" s="32"/>
      <c r="E28" s="26" t="s">
        <v>162</v>
      </c>
      <c r="F28" s="26">
        <f t="shared" si="8"/>
        <v>1</v>
      </c>
      <c r="G28" s="26">
        <f>IFERROR(IF(--MID($E28,2*COUNTIF($F28:F28,"&gt;"&amp;0)+2,1)=G$1,G$1,""),"")</f>
        <v>2</v>
      </c>
      <c r="H28" s="26">
        <f>IFERROR(IF(--MID($E28,2*COUNTIF($F28:G28,"&gt;"&amp;0)+2,1)=H$1,H$1,""),"")</f>
        <v>3</v>
      </c>
      <c r="I28" s="26">
        <f>IFERROR(IF(--MID($E28,2*COUNTIF($F28:H28,"&gt;"&amp;0)+2,1)=I$1,I$1,""),"")</f>
        <v>4</v>
      </c>
      <c r="J28" s="26">
        <f>IFERROR(IF(--MID($E28,2*COUNTIF($F28:I28,"&gt;"&amp;0)+2,1)=J$1,J$1,""),"")</f>
        <v>5</v>
      </c>
      <c r="K28" s="26">
        <f>IFERROR(IF(--MID($E28,2*COUNTIF($F28:J28,"&gt;"&amp;0)+2,1)=K$1,K$1,""),"")</f>
        <v>6</v>
      </c>
      <c r="L28" s="39" cm="1">
        <f t="array" ref="L28">IFERROR(IF($A28="","",IF(F28="","",_xlfn.XLOOKUP($C28&amp;"_"&amp;$AG28,符文权重!$A:$A&amp;"_"&amp;符文权重!$C:$C,符文权重!$D:$D)*$X28/SUMIFS($X:$X,F:F,F28,$C:$C,$C28,$AG:$AG,$AG28)/SUMIF(符文权重!$A:$A,$C28,符文权重!$D:$D))),"")</f>
        <v>0.0196666666666667</v>
      </c>
      <c r="M28" s="39" cm="1">
        <f t="array" ref="M28">IFERROR(IF($A28="","",IF(G28="","",_xlfn.XLOOKUP($C28&amp;"_"&amp;$AG28,符文权重!$A:$A&amp;"_"&amp;符文权重!$C:$C,符文权重!$D:$D)*$X28/SUMIFS($X:$X,G:G,G28,$C:$C,$C28,$AG:$AG,$AG28)/SUMIF(符文权重!$A:$A,$C28,符文权重!$D:$D))),"")</f>
        <v>0.0196666666666667</v>
      </c>
      <c r="N28" s="39" cm="1">
        <f t="array" ref="N28">IFERROR(IF($A28="","",IF(H28="","",_xlfn.XLOOKUP($C28&amp;"_"&amp;$AG28,符文权重!$A:$A&amp;"_"&amp;符文权重!$C:$C,符文权重!$D:$D)*$X28/SUMIFS($X:$X,H:H,H28,$C:$C,$C28,$AG:$AG,$AG28)/SUMIF(符文权重!$A:$A,$C28,符文权重!$D:$D))),"")</f>
        <v>0.0196666666666667</v>
      </c>
      <c r="O28" s="39" cm="1">
        <f t="array" ref="O28">IFERROR(IF($A28="","",IF(I28="","",_xlfn.XLOOKUP($C28&amp;"_"&amp;$AG28,符文权重!$A:$A&amp;"_"&amp;符文权重!$C:$C,符文权重!$D:$D)*$X28/SUMIFS($X:$X,I:I,I28,$C:$C,$C28,$AG:$AG,$AG28)/SUMIF(符文权重!$A:$A,$C28,符文权重!$D:$D))),"")</f>
        <v>0.0196666666666667</v>
      </c>
      <c r="P28" s="39" cm="1">
        <f t="array" ref="P28">IFERROR(IF($A28="","",IF(J28="","",_xlfn.XLOOKUP($C28&amp;"_"&amp;$AG28,符文权重!$A:$A&amp;"_"&amp;符文权重!$C:$C,符文权重!$D:$D)*$X28/SUMIFS($X:$X,J:J,J28,$C:$C,$C28,$AG:$AG,$AG28)/SUMIF(符文权重!$A:$A,$C28,符文权重!$D:$D))),"")</f>
        <v>0.0196666666666667</v>
      </c>
      <c r="Q28" s="39" cm="1">
        <f t="array" ref="Q28">IFERROR(IF($A28="","",IF(K28="","",_xlfn.XLOOKUP($C28&amp;"_"&amp;$AG28,符文权重!$A:$A&amp;"_"&amp;符文权重!$C:$C,符文权重!$D:$D)*$X28/SUMIFS($X:$X,K:K,K28,$C:$C,$C28,$AG:$AG,$AG28)/SUMIF(符文权重!$A:$A,$C28,符文权重!$D:$D))),"")</f>
        <v>0.0196666666666667</v>
      </c>
      <c r="R28" s="26" t="s">
        <v>181</v>
      </c>
      <c r="S28" s="26" t="s">
        <v>191</v>
      </c>
      <c r="T28" s="26" t="e">
        <f>IF(B28="","",SUBSTITUTE(SUBSTITUTE("[{global_atk,"&amp;#REF!*C28&amp;"}]",21,20),9,8))</f>
        <v>#REF!</v>
      </c>
      <c r="U28" s="40" t="str">
        <f t="shared" si="15"/>
        <v>[5501037]</v>
      </c>
      <c r="V28" s="26" t="s">
        <v>199</v>
      </c>
      <c r="W28" s="25"/>
      <c r="X28" s="32">
        <v>100</v>
      </c>
      <c r="Y28" s="25"/>
      <c r="Z28" s="32" t="s">
        <v>180</v>
      </c>
      <c r="AA28" s="32" t="str">
        <f t="shared" si="14"/>
        <v>战士职业攻击力+150</v>
      </c>
      <c r="AB28" s="32"/>
      <c r="AC28" s="32" t="s">
        <v>166</v>
      </c>
      <c r="AD28" s="32">
        <f t="shared" si="9"/>
        <v>1023</v>
      </c>
      <c r="AE28" s="38" t="str">
        <f t="shared" si="3"/>
        <v>5501031</v>
      </c>
      <c r="AF28" s="32" t="str">
        <f t="shared" si="4"/>
        <v>[150]</v>
      </c>
      <c r="AG28" s="26">
        <v>1</v>
      </c>
      <c r="AH28" s="26"/>
      <c r="AI28" s="26">
        <v>0</v>
      </c>
      <c r="AJ28" s="25" t="s">
        <v>167</v>
      </c>
      <c r="AK28" s="38">
        <f t="shared" si="16"/>
        <v>5501037</v>
      </c>
      <c r="AL28" s="41" t="str">
        <f t="shared" si="17"/>
        <v>战士职业攻击力&lt;color=#54b76b&gt;+%s&lt;/color&gt;</v>
      </c>
      <c r="AM28" s="25">
        <v>150</v>
      </c>
      <c r="AN28" s="26">
        <v>1</v>
      </c>
      <c r="AO28" s="26" t="s">
        <v>32</v>
      </c>
      <c r="AP28" s="20">
        <f t="shared" si="10"/>
        <v>23</v>
      </c>
    </row>
    <row r="29" s="20" customFormat="1" customHeight="1" spans="1:42">
      <c r="A29" s="38" t="s">
        <v>167</v>
      </c>
      <c r="B29" s="38" t="str">
        <f t="shared" si="0"/>
        <v/>
      </c>
      <c r="C29" s="32" t="str">
        <f t="shared" si="1"/>
        <v/>
      </c>
      <c r="D29" s="32"/>
      <c r="E29" s="26"/>
      <c r="F29" s="26" t="str">
        <f t="shared" si="8"/>
        <v/>
      </c>
      <c r="G29" s="26" t="str">
        <f>IFERROR(IF(--MID($E29,2*COUNTIF($F29:F29,"&gt;"&amp;0)+2,1)=G$1,G$1,""),"")</f>
        <v/>
      </c>
      <c r="H29" s="26" t="str">
        <f>IFERROR(IF(--MID($E29,2*COUNTIF($F29:G29,"&gt;"&amp;0)+2,1)=H$1,H$1,""),"")</f>
        <v/>
      </c>
      <c r="I29" s="26" t="str">
        <f>IFERROR(IF(--MID($E29,2*COUNTIF($F29:H29,"&gt;"&amp;0)+2,1)=I$1,I$1,""),"")</f>
        <v/>
      </c>
      <c r="J29" s="26" t="str">
        <f>IFERROR(IF(--MID($E29,2*COUNTIF($F29:I29,"&gt;"&amp;0)+2,1)=J$1,J$1,""),"")</f>
        <v/>
      </c>
      <c r="K29" s="26" t="str">
        <f>IFERROR(IF(--MID($E29,2*COUNTIF($F29:J29,"&gt;"&amp;0)+2,1)=K$1,K$1,""),"")</f>
        <v/>
      </c>
      <c r="L29" s="39" t="str" cm="1">
        <f t="array" ref="L29">IFERROR(IF($A29="","",IF(F29="","",_xlfn.XLOOKUP($C29&amp;"_"&amp;$AG29,符文权重!$A:$A&amp;"_"&amp;符文权重!$C:$C,符文权重!$D:$D)*$X29/SUMIFS($X:$X,F:F,F29,$C:$C,$C29,$AG:$AG,$AG29)/SUMIF(符文权重!$A:$A,$C29,符文权重!$D:$D))),"")</f>
        <v/>
      </c>
      <c r="M29" s="39" t="str" cm="1">
        <f t="array" ref="M29">IFERROR(IF($A29="","",IF(G29="","",_xlfn.XLOOKUP($C29&amp;"_"&amp;$AG29,符文权重!$A:$A&amp;"_"&amp;符文权重!$C:$C,符文权重!$D:$D)*$X29/SUMIFS($X:$X,G:G,G29,$C:$C,$C29,$AG:$AG,$AG29)/SUMIF(符文权重!$A:$A,$C29,符文权重!$D:$D))),"")</f>
        <v/>
      </c>
      <c r="N29" s="39" t="str" cm="1">
        <f t="array" ref="N29">IFERROR(IF($A29="","",IF(H29="","",_xlfn.XLOOKUP($C29&amp;"_"&amp;$AG29,符文权重!$A:$A&amp;"_"&amp;符文权重!$C:$C,符文权重!$D:$D)*$X29/SUMIFS($X:$X,H:H,H29,$C:$C,$C29,$AG:$AG,$AG29)/SUMIF(符文权重!$A:$A,$C29,符文权重!$D:$D))),"")</f>
        <v/>
      </c>
      <c r="O29" s="39" t="str" cm="1">
        <f t="array" ref="O29">IFERROR(IF($A29="","",IF(I29="","",_xlfn.XLOOKUP($C29&amp;"_"&amp;$AG29,符文权重!$A:$A&amp;"_"&amp;符文权重!$C:$C,符文权重!$D:$D)*$X29/SUMIFS($X:$X,I:I,I29,$C:$C,$C29,$AG:$AG,$AG29)/SUMIF(符文权重!$A:$A,$C29,符文权重!$D:$D))),"")</f>
        <v/>
      </c>
      <c r="P29" s="39" t="str" cm="1">
        <f t="array" ref="P29">IFERROR(IF($A29="","",IF(J29="","",_xlfn.XLOOKUP($C29&amp;"_"&amp;$AG29,符文权重!$A:$A&amp;"_"&amp;符文权重!$C:$C,符文权重!$D:$D)*$X29/SUMIFS($X:$X,J:J,J29,$C:$C,$C29,$AG:$AG,$AG29)/SUMIF(符文权重!$A:$A,$C29,符文权重!$D:$D))),"")</f>
        <v/>
      </c>
      <c r="Q29" s="39" t="str" cm="1">
        <f t="array" ref="Q29">IFERROR(IF($A29="","",IF(K29="","",_xlfn.XLOOKUP($C29&amp;"_"&amp;$AG29,符文权重!$A:$A&amp;"_"&amp;符文权重!$C:$C,符文权重!$D:$D)*$X29/SUMIFS($X:$X,K:K,K29,$C:$C,$C29,$AG:$AG,$AG29)/SUMIF(符文权重!$A:$A,$C29,符文权重!$D:$D))),"")</f>
        <v/>
      </c>
      <c r="R29" s="26" t="s">
        <v>167</v>
      </c>
      <c r="S29" s="26" t="s">
        <v>167</v>
      </c>
      <c r="T29" s="26"/>
      <c r="U29" s="40"/>
      <c r="V29" s="26"/>
      <c r="W29" s="25"/>
      <c r="X29" s="32"/>
      <c r="Y29" s="25"/>
      <c r="Z29" s="32" t="s">
        <v>167</v>
      </c>
      <c r="AA29" s="32" t="str">
        <f t="shared" si="14"/>
        <v/>
      </c>
      <c r="AB29" s="32"/>
      <c r="AC29" s="32" t="s">
        <v>166</v>
      </c>
      <c r="AD29" s="32">
        <f t="shared" si="9"/>
        <v>1024</v>
      </c>
      <c r="AE29" s="38" t="str">
        <f t="shared" si="3"/>
        <v/>
      </c>
      <c r="AF29" s="32" t="str">
        <f t="shared" si="4"/>
        <v/>
      </c>
      <c r="AG29" s="26"/>
      <c r="AH29" s="26"/>
      <c r="AI29" s="26"/>
      <c r="AJ29" s="25" t="s">
        <v>167</v>
      </c>
      <c r="AK29" s="24"/>
      <c r="AL29" s="42"/>
      <c r="AM29" s="25"/>
      <c r="AN29" s="26"/>
      <c r="AO29" s="26"/>
      <c r="AP29" s="20">
        <f t="shared" si="10"/>
        <v>24</v>
      </c>
    </row>
    <row r="30" s="20" customFormat="1" customHeight="1" spans="1:42">
      <c r="A30" s="38">
        <v>5501041</v>
      </c>
      <c r="B30" s="38" t="str">
        <f t="shared" si="0"/>
        <v>5501041</v>
      </c>
      <c r="C30" s="32">
        <f t="shared" si="1"/>
        <v>1</v>
      </c>
      <c r="D30" s="32"/>
      <c r="E30" s="26" t="s">
        <v>162</v>
      </c>
      <c r="F30" s="26">
        <f t="shared" si="8"/>
        <v>1</v>
      </c>
      <c r="G30" s="26">
        <f>IFERROR(IF(--MID($E30,2*COUNTIF($F30:F30,"&gt;"&amp;0)+2,1)=G$1,G$1,""),"")</f>
        <v>2</v>
      </c>
      <c r="H30" s="26">
        <f>IFERROR(IF(--MID($E30,2*COUNTIF($F30:G30,"&gt;"&amp;0)+2,1)=H$1,H$1,""),"")</f>
        <v>3</v>
      </c>
      <c r="I30" s="26">
        <f>IFERROR(IF(--MID($E30,2*COUNTIF($F30:H30,"&gt;"&amp;0)+2,1)=I$1,I$1,""),"")</f>
        <v>4</v>
      </c>
      <c r="J30" s="26">
        <f>IFERROR(IF(--MID($E30,2*COUNTIF($F30:I30,"&gt;"&amp;0)+2,1)=J$1,J$1,""),"")</f>
        <v>5</v>
      </c>
      <c r="K30" s="26">
        <f>IFERROR(IF(--MID($E30,2*COUNTIF($F30:J30,"&gt;"&amp;0)+2,1)=K$1,K$1,""),"")</f>
        <v>6</v>
      </c>
      <c r="L30" s="39" cm="1">
        <f t="array" ref="L30">IFERROR(IF($A30="","",IF(F30="","",_xlfn.XLOOKUP($C30&amp;"_"&amp;$AG30,符文权重!$A:$A&amp;"_"&amp;符文权重!$C:$C,符文权重!$D:$D)*$X30/SUMIFS($X:$X,F:F,F30,$C:$C,$C30,$AG:$AG,$AG30)/SUMIF(符文权重!$A:$A,$C30,符文权重!$D:$D))),"")</f>
        <v>0.05</v>
      </c>
      <c r="M30" s="39" cm="1">
        <f t="array" ref="M30">IFERROR(IF($A30="","",IF(G30="","",_xlfn.XLOOKUP($C30&amp;"_"&amp;$AG30,符文权重!$A:$A&amp;"_"&amp;符文权重!$C:$C,符文权重!$D:$D)*$X30/SUMIFS($X:$X,G:G,G30,$C:$C,$C30,$AG:$AG,$AG30)/SUMIF(符文权重!$A:$A,$C30,符文权重!$D:$D))),"")</f>
        <v>0.05</v>
      </c>
      <c r="N30" s="39" cm="1">
        <f t="array" ref="N30">IFERROR(IF($A30="","",IF(H30="","",_xlfn.XLOOKUP($C30&amp;"_"&amp;$AG30,符文权重!$A:$A&amp;"_"&amp;符文权重!$C:$C,符文权重!$D:$D)*$X30/SUMIFS($X:$X,H:H,H30,$C:$C,$C30,$AG:$AG,$AG30)/SUMIF(符文权重!$A:$A,$C30,符文权重!$D:$D))),"")</f>
        <v>0.05</v>
      </c>
      <c r="O30" s="39" cm="1">
        <f t="array" ref="O30">IFERROR(IF($A30="","",IF(I30="","",_xlfn.XLOOKUP($C30&amp;"_"&amp;$AG30,符文权重!$A:$A&amp;"_"&amp;符文权重!$C:$C,符文权重!$D:$D)*$X30/SUMIFS($X:$X,I:I,I30,$C:$C,$C30,$AG:$AG,$AG30)/SUMIF(符文权重!$A:$A,$C30,符文权重!$D:$D))),"")</f>
        <v>0.05</v>
      </c>
      <c r="P30" s="39" cm="1">
        <f t="array" ref="P30">IFERROR(IF($A30="","",IF(J30="","",_xlfn.XLOOKUP($C30&amp;"_"&amp;$AG30,符文权重!$A:$A&amp;"_"&amp;符文权重!$C:$C,符文权重!$D:$D)*$X30/SUMIFS($X:$X,J:J,J30,$C:$C,$C30,$AG:$AG,$AG30)/SUMIF(符文权重!$A:$A,$C30,符文权重!$D:$D))),"")</f>
        <v>0.05</v>
      </c>
      <c r="Q30" s="39" cm="1">
        <f t="array" ref="Q30">IFERROR(IF($A30="","",IF(K30="","",_xlfn.XLOOKUP($C30&amp;"_"&amp;$AG30,符文权重!$A:$A&amp;"_"&amp;符文权重!$C:$C,符文权重!$D:$D)*$X30/SUMIFS($X:$X,K:K,K30,$C:$C,$C30,$AG:$AG,$AG30)/SUMIF(符文权重!$A:$A,$C30,符文权重!$D:$D))),"")</f>
        <v>0.05</v>
      </c>
      <c r="R30" s="26" t="s">
        <v>181</v>
      </c>
      <c r="S30" s="26" t="s">
        <v>200</v>
      </c>
      <c r="T30" s="26" t="e">
        <f>IF(B30="","",SUBSTITUTE(SUBSTITUTE("[{global_atk,"&amp;#REF!*C30&amp;"}]",21,20),9,8))</f>
        <v>#REF!</v>
      </c>
      <c r="U30" s="40" t="str">
        <f t="shared" ref="U30:U36" si="18">"["&amp;A30&amp;"]"</f>
        <v>[5501041]</v>
      </c>
      <c r="V30" s="26" t="s">
        <v>201</v>
      </c>
      <c r="W30" s="25"/>
      <c r="X30" s="32">
        <v>100</v>
      </c>
      <c r="Y30" s="25"/>
      <c r="Z30" s="32" t="s">
        <v>165</v>
      </c>
      <c r="AA30" s="32" t="str">
        <f t="shared" si="14"/>
        <v>法师职业攻击力+30</v>
      </c>
      <c r="AB30" s="32"/>
      <c r="AC30" s="32" t="s">
        <v>166</v>
      </c>
      <c r="AD30" s="32">
        <f t="shared" si="9"/>
        <v>1025</v>
      </c>
      <c r="AE30" s="38" t="str">
        <f t="shared" si="3"/>
        <v>5501041</v>
      </c>
      <c r="AF30" s="32" t="str">
        <f t="shared" si="4"/>
        <v>[30]</v>
      </c>
      <c r="AG30" s="26">
        <v>1</v>
      </c>
      <c r="AH30" s="26"/>
      <c r="AI30" s="26">
        <v>0</v>
      </c>
      <c r="AJ30" s="25" t="s">
        <v>167</v>
      </c>
      <c r="AK30" s="24">
        <v>5501041</v>
      </c>
      <c r="AL30" s="42" t="s">
        <v>202</v>
      </c>
      <c r="AM30" s="25">
        <v>30</v>
      </c>
      <c r="AN30" s="26">
        <v>1</v>
      </c>
      <c r="AO30" s="26" t="s">
        <v>32</v>
      </c>
      <c r="AP30" s="20">
        <f t="shared" si="10"/>
        <v>25</v>
      </c>
    </row>
    <row r="31" s="20" customFormat="1" customHeight="1" spans="1:42">
      <c r="A31" s="38">
        <v>5501042</v>
      </c>
      <c r="B31" s="38" t="str">
        <f t="shared" si="0"/>
        <v>5501041</v>
      </c>
      <c r="C31" s="32">
        <f t="shared" si="1"/>
        <v>2</v>
      </c>
      <c r="D31" s="32"/>
      <c r="E31" s="26" t="s">
        <v>162</v>
      </c>
      <c r="F31" s="26">
        <f t="shared" si="8"/>
        <v>1</v>
      </c>
      <c r="G31" s="26">
        <f>IFERROR(IF(--MID($E31,2*COUNTIF($F31:F31,"&gt;"&amp;0)+2,1)=G$1,G$1,""),"")</f>
        <v>2</v>
      </c>
      <c r="H31" s="26">
        <f>IFERROR(IF(--MID($E31,2*COUNTIF($F31:G31,"&gt;"&amp;0)+2,1)=H$1,H$1,""),"")</f>
        <v>3</v>
      </c>
      <c r="I31" s="26">
        <f>IFERROR(IF(--MID($E31,2*COUNTIF($F31:H31,"&gt;"&amp;0)+2,1)=I$1,I$1,""),"")</f>
        <v>4</v>
      </c>
      <c r="J31" s="26">
        <f>IFERROR(IF(--MID($E31,2*COUNTIF($F31:I31,"&gt;"&amp;0)+2,1)=J$1,J$1,""),"")</f>
        <v>5</v>
      </c>
      <c r="K31" s="26">
        <f>IFERROR(IF(--MID($E31,2*COUNTIF($F31:J31,"&gt;"&amp;0)+2,1)=K$1,K$1,""),"")</f>
        <v>6</v>
      </c>
      <c r="L31" s="39" cm="1">
        <f t="array" ref="L31">IFERROR(IF($A31="","",IF(F31="","",_xlfn.XLOOKUP($C31&amp;"_"&amp;$AG31,符文权重!$A:$A&amp;"_"&amp;符文权重!$C:$C,符文权重!$D:$D)*$X31/SUMIFS($X:$X,F:F,F31,$C:$C,$C31,$AG:$AG,$AG31)/SUMIF(符文权重!$A:$A,$C31,符文权重!$D:$D))),"")</f>
        <v>0.0363636363636364</v>
      </c>
      <c r="M31" s="39" cm="1">
        <f t="array" ref="M31">IFERROR(IF($A31="","",IF(G31="","",_xlfn.XLOOKUP($C31&amp;"_"&amp;$AG31,符文权重!$A:$A&amp;"_"&amp;符文权重!$C:$C,符文权重!$D:$D)*$X31/SUMIFS($X:$X,G:G,G31,$C:$C,$C31,$AG:$AG,$AG31)/SUMIF(符文权重!$A:$A,$C31,符文权重!$D:$D))),"")</f>
        <v>0.0363636363636364</v>
      </c>
      <c r="N31" s="39" cm="1">
        <f t="array" ref="N31">IFERROR(IF($A31="","",IF(H31="","",_xlfn.XLOOKUP($C31&amp;"_"&amp;$AG31,符文权重!$A:$A&amp;"_"&amp;符文权重!$C:$C,符文权重!$D:$D)*$X31/SUMIFS($X:$X,H:H,H31,$C:$C,$C31,$AG:$AG,$AG31)/SUMIF(符文权重!$A:$A,$C31,符文权重!$D:$D))),"")</f>
        <v>0.0363636363636364</v>
      </c>
      <c r="O31" s="39" cm="1">
        <f t="array" ref="O31">IFERROR(IF($A31="","",IF(I31="","",_xlfn.XLOOKUP($C31&amp;"_"&amp;$AG31,符文权重!$A:$A&amp;"_"&amp;符文权重!$C:$C,符文权重!$D:$D)*$X31/SUMIFS($X:$X,I:I,I31,$C:$C,$C31,$AG:$AG,$AG31)/SUMIF(符文权重!$A:$A,$C31,符文权重!$D:$D))),"")</f>
        <v>0.0363636363636364</v>
      </c>
      <c r="P31" s="39" cm="1">
        <f t="array" ref="P31">IFERROR(IF($A31="","",IF(J31="","",_xlfn.XLOOKUP($C31&amp;"_"&amp;$AG31,符文权重!$A:$A&amp;"_"&amp;符文权重!$C:$C,符文权重!$D:$D)*$X31/SUMIFS($X:$X,J:J,J31,$C:$C,$C31,$AG:$AG,$AG31)/SUMIF(符文权重!$A:$A,$C31,符文权重!$D:$D))),"")</f>
        <v>0.0363636363636364</v>
      </c>
      <c r="Q31" s="39" cm="1">
        <f t="array" ref="Q31">IFERROR(IF($A31="","",IF(K31="","",_xlfn.XLOOKUP($C31&amp;"_"&amp;$AG31,符文权重!$A:$A&amp;"_"&amp;符文权重!$C:$C,符文权重!$D:$D)*$X31/SUMIFS($X:$X,K:K,K31,$C:$C,$C31,$AG:$AG,$AG31)/SUMIF(符文权重!$A:$A,$C31,符文权重!$D:$D))),"")</f>
        <v>0.0363636363636364</v>
      </c>
      <c r="R31" s="26" t="s">
        <v>181</v>
      </c>
      <c r="S31" s="26" t="s">
        <v>200</v>
      </c>
      <c r="T31" s="26" t="e">
        <f>IF(B31="","",SUBSTITUTE(SUBSTITUTE("[{global_atk,"&amp;#REF!*C31&amp;"}]",21,20),9,8))</f>
        <v>#REF!</v>
      </c>
      <c r="U31" s="40" t="str">
        <f t="shared" si="18"/>
        <v>[5501042]</v>
      </c>
      <c r="V31" s="26" t="s">
        <v>203</v>
      </c>
      <c r="W31" s="25"/>
      <c r="X31" s="32">
        <v>100</v>
      </c>
      <c r="Y31" s="25"/>
      <c r="Z31" s="32" t="s">
        <v>170</v>
      </c>
      <c r="AA31" s="32" t="str">
        <f t="shared" si="14"/>
        <v>法师职业攻击力+40</v>
      </c>
      <c r="AB31" s="32"/>
      <c r="AC31" s="32" t="s">
        <v>166</v>
      </c>
      <c r="AD31" s="32">
        <f t="shared" si="9"/>
        <v>1026</v>
      </c>
      <c r="AE31" s="38" t="str">
        <f t="shared" si="3"/>
        <v>5501041</v>
      </c>
      <c r="AF31" s="32" t="str">
        <f t="shared" si="4"/>
        <v>[40]</v>
      </c>
      <c r="AG31" s="26">
        <v>1</v>
      </c>
      <c r="AH31" s="26"/>
      <c r="AI31" s="26">
        <v>0</v>
      </c>
      <c r="AJ31" s="25" t="s">
        <v>167</v>
      </c>
      <c r="AK31" s="38">
        <f t="shared" ref="AK31:AK36" si="19">AK30+1</f>
        <v>5501042</v>
      </c>
      <c r="AL31" s="41" t="str">
        <f t="shared" ref="AL31:AL36" si="20">AL30</f>
        <v>法师职业攻击力&lt;color=#54b76b&gt;+%s&lt;/color&gt;</v>
      </c>
      <c r="AM31" s="25">
        <v>40</v>
      </c>
      <c r="AN31" s="26">
        <v>1</v>
      </c>
      <c r="AO31" s="26" t="s">
        <v>32</v>
      </c>
      <c r="AP31" s="20">
        <f t="shared" si="10"/>
        <v>26</v>
      </c>
    </row>
    <row r="32" s="20" customFormat="1" customHeight="1" spans="1:42">
      <c r="A32" s="38">
        <v>5501043</v>
      </c>
      <c r="B32" s="38" t="str">
        <f t="shared" si="0"/>
        <v>5501041</v>
      </c>
      <c r="C32" s="32">
        <f t="shared" si="1"/>
        <v>3</v>
      </c>
      <c r="D32" s="32"/>
      <c r="E32" s="26" t="s">
        <v>162</v>
      </c>
      <c r="F32" s="26">
        <f t="shared" si="8"/>
        <v>1</v>
      </c>
      <c r="G32" s="26">
        <f>IFERROR(IF(--MID($E32,2*COUNTIF($F32:F32,"&gt;"&amp;0)+2,1)=G$1,G$1,""),"")</f>
        <v>2</v>
      </c>
      <c r="H32" s="26">
        <f>IFERROR(IF(--MID($E32,2*COUNTIF($F32:G32,"&gt;"&amp;0)+2,1)=H$1,H$1,""),"")</f>
        <v>3</v>
      </c>
      <c r="I32" s="26">
        <f>IFERROR(IF(--MID($E32,2*COUNTIF($F32:H32,"&gt;"&amp;0)+2,1)=I$1,I$1,""),"")</f>
        <v>4</v>
      </c>
      <c r="J32" s="26">
        <f>IFERROR(IF(--MID($E32,2*COUNTIF($F32:I32,"&gt;"&amp;0)+2,1)=J$1,J$1,""),"")</f>
        <v>5</v>
      </c>
      <c r="K32" s="26">
        <f>IFERROR(IF(--MID($E32,2*COUNTIF($F32:J32,"&gt;"&amp;0)+2,1)=K$1,K$1,""),"")</f>
        <v>6</v>
      </c>
      <c r="L32" s="39" cm="1">
        <f t="array" ref="L32">IFERROR(IF($A32="","",IF(F32="","",_xlfn.XLOOKUP($C32&amp;"_"&amp;$AG32,符文权重!$A:$A&amp;"_"&amp;符文权重!$C:$C,符文权重!$D:$D)*$X32/SUMIFS($X:$X,F:F,F32,$C:$C,$C32,$AG:$AG,$AG32)/SUMIF(符文权重!$A:$A,$C32,符文权重!$D:$D))),"")</f>
        <v>0.035</v>
      </c>
      <c r="M32" s="39" cm="1">
        <f t="array" ref="M32">IFERROR(IF($A32="","",IF(G32="","",_xlfn.XLOOKUP($C32&amp;"_"&amp;$AG32,符文权重!$A:$A&amp;"_"&amp;符文权重!$C:$C,符文权重!$D:$D)*$X32/SUMIFS($X:$X,G:G,G32,$C:$C,$C32,$AG:$AG,$AG32)/SUMIF(符文权重!$A:$A,$C32,符文权重!$D:$D))),"")</f>
        <v>0.035</v>
      </c>
      <c r="N32" s="39" cm="1">
        <f t="array" ref="N32">IFERROR(IF($A32="","",IF(H32="","",_xlfn.XLOOKUP($C32&amp;"_"&amp;$AG32,符文权重!$A:$A&amp;"_"&amp;符文权重!$C:$C,符文权重!$D:$D)*$X32/SUMIFS($X:$X,H:H,H32,$C:$C,$C32,$AG:$AG,$AG32)/SUMIF(符文权重!$A:$A,$C32,符文权重!$D:$D))),"")</f>
        <v>0.035</v>
      </c>
      <c r="O32" s="39" cm="1">
        <f t="array" ref="O32">IFERROR(IF($A32="","",IF(I32="","",_xlfn.XLOOKUP($C32&amp;"_"&amp;$AG32,符文权重!$A:$A&amp;"_"&amp;符文权重!$C:$C,符文权重!$D:$D)*$X32/SUMIFS($X:$X,I:I,I32,$C:$C,$C32,$AG:$AG,$AG32)/SUMIF(符文权重!$A:$A,$C32,符文权重!$D:$D))),"")</f>
        <v>0.035</v>
      </c>
      <c r="P32" s="39" cm="1">
        <f t="array" ref="P32">IFERROR(IF($A32="","",IF(J32="","",_xlfn.XLOOKUP($C32&amp;"_"&amp;$AG32,符文权重!$A:$A&amp;"_"&amp;符文权重!$C:$C,符文权重!$D:$D)*$X32/SUMIFS($X:$X,J:J,J32,$C:$C,$C32,$AG:$AG,$AG32)/SUMIF(符文权重!$A:$A,$C32,符文权重!$D:$D))),"")</f>
        <v>0.035</v>
      </c>
      <c r="Q32" s="39" cm="1">
        <f t="array" ref="Q32">IFERROR(IF($A32="","",IF(K32="","",_xlfn.XLOOKUP($C32&amp;"_"&amp;$AG32,符文权重!$A:$A&amp;"_"&amp;符文权重!$C:$C,符文权重!$D:$D)*$X32/SUMIFS($X:$X,K:K,K32,$C:$C,$C32,$AG:$AG,$AG32)/SUMIF(符文权重!$A:$A,$C32,符文权重!$D:$D))),"")</f>
        <v>0.035</v>
      </c>
      <c r="R32" s="26" t="s">
        <v>181</v>
      </c>
      <c r="S32" s="26" t="s">
        <v>200</v>
      </c>
      <c r="T32" s="26" t="e">
        <f>IF(B32="","",SUBSTITUTE(SUBSTITUTE("[{global_atk,"&amp;#REF!*C32&amp;"}]",21,20),9,8))</f>
        <v>#REF!</v>
      </c>
      <c r="U32" s="40" t="str">
        <f t="shared" si="18"/>
        <v>[5501043]</v>
      </c>
      <c r="V32" s="26" t="s">
        <v>204</v>
      </c>
      <c r="W32" s="25"/>
      <c r="X32" s="32">
        <v>100</v>
      </c>
      <c r="Y32" s="25"/>
      <c r="Z32" s="32" t="s">
        <v>172</v>
      </c>
      <c r="AA32" s="32" t="str">
        <f t="shared" si="14"/>
        <v>法师职业攻击力+50</v>
      </c>
      <c r="AB32" s="32"/>
      <c r="AC32" s="32" t="s">
        <v>166</v>
      </c>
      <c r="AD32" s="32">
        <f t="shared" si="9"/>
        <v>1027</v>
      </c>
      <c r="AE32" s="38" t="str">
        <f t="shared" si="3"/>
        <v>5501041</v>
      </c>
      <c r="AF32" s="32" t="str">
        <f t="shared" si="4"/>
        <v>[50]</v>
      </c>
      <c r="AG32" s="26">
        <v>1</v>
      </c>
      <c r="AH32" s="26"/>
      <c r="AI32" s="26">
        <v>0</v>
      </c>
      <c r="AJ32" s="25" t="s">
        <v>167</v>
      </c>
      <c r="AK32" s="38">
        <f t="shared" si="19"/>
        <v>5501043</v>
      </c>
      <c r="AL32" s="41" t="str">
        <f t="shared" si="20"/>
        <v>法师职业攻击力&lt;color=#54b76b&gt;+%s&lt;/color&gt;</v>
      </c>
      <c r="AM32" s="25">
        <v>50</v>
      </c>
      <c r="AN32" s="26">
        <v>1</v>
      </c>
      <c r="AO32" s="26" t="s">
        <v>32</v>
      </c>
      <c r="AP32" s="20">
        <f t="shared" si="10"/>
        <v>27</v>
      </c>
    </row>
    <row r="33" s="20" customFormat="1" customHeight="1" spans="1:42">
      <c r="A33" s="38">
        <v>5501044</v>
      </c>
      <c r="B33" s="38" t="str">
        <f t="shared" si="0"/>
        <v>5501041</v>
      </c>
      <c r="C33" s="32">
        <f t="shared" si="1"/>
        <v>4</v>
      </c>
      <c r="D33" s="32"/>
      <c r="E33" s="26" t="s">
        <v>162</v>
      </c>
      <c r="F33" s="26">
        <f t="shared" si="8"/>
        <v>1</v>
      </c>
      <c r="G33" s="26">
        <f>IFERROR(IF(--MID($E33,2*COUNTIF($F33:F33,"&gt;"&amp;0)+2,1)=G$1,G$1,""),"")</f>
        <v>2</v>
      </c>
      <c r="H33" s="26">
        <f>IFERROR(IF(--MID($E33,2*COUNTIF($F33:G33,"&gt;"&amp;0)+2,1)=H$1,H$1,""),"")</f>
        <v>3</v>
      </c>
      <c r="I33" s="26">
        <f>IFERROR(IF(--MID($E33,2*COUNTIF($F33:H33,"&gt;"&amp;0)+2,1)=I$1,I$1,""),"")</f>
        <v>4</v>
      </c>
      <c r="J33" s="26">
        <f>IFERROR(IF(--MID($E33,2*COUNTIF($F33:I33,"&gt;"&amp;0)+2,1)=J$1,J$1,""),"")</f>
        <v>5</v>
      </c>
      <c r="K33" s="26">
        <f>IFERROR(IF(--MID($E33,2*COUNTIF($F33:J33,"&gt;"&amp;0)+2,1)=K$1,K$1,""),"")</f>
        <v>6</v>
      </c>
      <c r="L33" s="39" cm="1">
        <f t="array" ref="L33">IFERROR(IF($A33="","",IF(F33="","",_xlfn.XLOOKUP($C33&amp;"_"&amp;$AG33,符文权重!$A:$A&amp;"_"&amp;符文权重!$C:$C,符文权重!$D:$D)*$X33/SUMIFS($X:$X,F:F,F33,$C:$C,$C33,$AG:$AG,$AG33)/SUMIF(符文权重!$A:$A,$C33,符文权重!$D:$D))),"")</f>
        <v>0.022913616398243</v>
      </c>
      <c r="M33" s="39" cm="1">
        <f t="array" ref="M33">IFERROR(IF($A33="","",IF(G33="","",_xlfn.XLOOKUP($C33&amp;"_"&amp;$AG33,符文权重!$A:$A&amp;"_"&amp;符文权重!$C:$C,符文权重!$D:$D)*$X33/SUMIFS($X:$X,G:G,G33,$C:$C,$C33,$AG:$AG,$AG33)/SUMIF(符文权重!$A:$A,$C33,符文权重!$D:$D))),"")</f>
        <v>0.022913616398243</v>
      </c>
      <c r="N33" s="39" cm="1">
        <f t="array" ref="N33">IFERROR(IF($A33="","",IF(H33="","",_xlfn.XLOOKUP($C33&amp;"_"&amp;$AG33,符文权重!$A:$A&amp;"_"&amp;符文权重!$C:$C,符文权重!$D:$D)*$X33/SUMIFS($X:$X,H:H,H33,$C:$C,$C33,$AG:$AG,$AG33)/SUMIF(符文权重!$A:$A,$C33,符文权重!$D:$D))),"")</f>
        <v>0.022913616398243</v>
      </c>
      <c r="O33" s="39" cm="1">
        <f t="array" ref="O33">IFERROR(IF($A33="","",IF(I33="","",_xlfn.XLOOKUP($C33&amp;"_"&amp;$AG33,符文权重!$A:$A&amp;"_"&amp;符文权重!$C:$C,符文权重!$D:$D)*$X33/SUMIFS($X:$X,I:I,I33,$C:$C,$C33,$AG:$AG,$AG33)/SUMIF(符文权重!$A:$A,$C33,符文权重!$D:$D))),"")</f>
        <v>0.022913616398243</v>
      </c>
      <c r="P33" s="39" cm="1">
        <f t="array" ref="P33">IFERROR(IF($A33="","",IF(J33="","",_xlfn.XLOOKUP($C33&amp;"_"&amp;$AG33,符文权重!$A:$A&amp;"_"&amp;符文权重!$C:$C,符文权重!$D:$D)*$X33/SUMIFS($X:$X,J:J,J33,$C:$C,$C33,$AG:$AG,$AG33)/SUMIF(符文权重!$A:$A,$C33,符文权重!$D:$D))),"")</f>
        <v>0.022913616398243</v>
      </c>
      <c r="Q33" s="39" cm="1">
        <f t="array" ref="Q33">IFERROR(IF($A33="","",IF(K33="","",_xlfn.XLOOKUP($C33&amp;"_"&amp;$AG33,符文权重!$A:$A&amp;"_"&amp;符文权重!$C:$C,符文权重!$D:$D)*$X33/SUMIFS($X:$X,K:K,K33,$C:$C,$C33,$AG:$AG,$AG33)/SUMIF(符文权重!$A:$A,$C33,符文权重!$D:$D))),"")</f>
        <v>0.022913616398243</v>
      </c>
      <c r="R33" s="26" t="s">
        <v>181</v>
      </c>
      <c r="S33" s="26" t="s">
        <v>200</v>
      </c>
      <c r="T33" s="26" t="e">
        <f>IF(B33="","",SUBSTITUTE(SUBSTITUTE("[{global_atk,"&amp;#REF!*C33&amp;"}]",21,20),9,8))</f>
        <v>#REF!</v>
      </c>
      <c r="U33" s="40" t="str">
        <f t="shared" si="18"/>
        <v>[5501044]</v>
      </c>
      <c r="V33" s="26" t="s">
        <v>205</v>
      </c>
      <c r="W33" s="25"/>
      <c r="X33" s="32">
        <v>100</v>
      </c>
      <c r="Y33" s="25"/>
      <c r="Z33" s="32" t="s">
        <v>174</v>
      </c>
      <c r="AA33" s="32" t="str">
        <f t="shared" si="14"/>
        <v>法师职业攻击力+75</v>
      </c>
      <c r="AB33" s="32"/>
      <c r="AC33" s="32" t="s">
        <v>166</v>
      </c>
      <c r="AD33" s="32">
        <f t="shared" si="9"/>
        <v>1028</v>
      </c>
      <c r="AE33" s="38" t="str">
        <f t="shared" si="3"/>
        <v>5501041</v>
      </c>
      <c r="AF33" s="32" t="str">
        <f t="shared" si="4"/>
        <v>[75]</v>
      </c>
      <c r="AG33" s="26">
        <v>1</v>
      </c>
      <c r="AH33" s="26"/>
      <c r="AI33" s="26">
        <v>0</v>
      </c>
      <c r="AJ33" s="25" t="s">
        <v>167</v>
      </c>
      <c r="AK33" s="38">
        <f t="shared" si="19"/>
        <v>5501044</v>
      </c>
      <c r="AL33" s="41" t="str">
        <f t="shared" si="20"/>
        <v>法师职业攻击力&lt;color=#54b76b&gt;+%s&lt;/color&gt;</v>
      </c>
      <c r="AM33" s="25">
        <v>75</v>
      </c>
      <c r="AN33" s="26">
        <v>1</v>
      </c>
      <c r="AO33" s="26" t="s">
        <v>32</v>
      </c>
      <c r="AP33" s="20">
        <f t="shared" si="10"/>
        <v>28</v>
      </c>
    </row>
    <row r="34" s="20" customFormat="1" customHeight="1" spans="1:42">
      <c r="A34" s="38">
        <v>5501045</v>
      </c>
      <c r="B34" s="38" t="str">
        <f t="shared" si="0"/>
        <v>5501041</v>
      </c>
      <c r="C34" s="32">
        <f t="shared" si="1"/>
        <v>5</v>
      </c>
      <c r="D34" s="32"/>
      <c r="E34" s="26" t="s">
        <v>162</v>
      </c>
      <c r="F34" s="26">
        <f t="shared" si="8"/>
        <v>1</v>
      </c>
      <c r="G34" s="26">
        <f>IFERROR(IF(--MID($E34,2*COUNTIF($F34:F34,"&gt;"&amp;0)+2,1)=G$1,G$1,""),"")</f>
        <v>2</v>
      </c>
      <c r="H34" s="26">
        <f>IFERROR(IF(--MID($E34,2*COUNTIF($F34:G34,"&gt;"&amp;0)+2,1)=H$1,H$1,""),"")</f>
        <v>3</v>
      </c>
      <c r="I34" s="26">
        <f>IFERROR(IF(--MID($E34,2*COUNTIF($F34:H34,"&gt;"&amp;0)+2,1)=I$1,I$1,""),"")</f>
        <v>4</v>
      </c>
      <c r="J34" s="26">
        <f>IFERROR(IF(--MID($E34,2*COUNTIF($F34:I34,"&gt;"&amp;0)+2,1)=J$1,J$1,""),"")</f>
        <v>5</v>
      </c>
      <c r="K34" s="26">
        <f>IFERROR(IF(--MID($E34,2*COUNTIF($F34:J34,"&gt;"&amp;0)+2,1)=K$1,K$1,""),"")</f>
        <v>6</v>
      </c>
      <c r="L34" s="39" cm="1">
        <f t="array" ref="L34">IFERROR(IF($A34="","",IF(F34="","",_xlfn.XLOOKUP($C34&amp;"_"&amp;$AG34,符文权重!$A:$A&amp;"_"&amp;符文权重!$C:$C,符文权重!$D:$D)*$X34/SUMIFS($X:$X,F:F,F34,$C:$C,$C34,$AG:$AG,$AG34)/SUMIF(符文权重!$A:$A,$C34,符文权重!$D:$D))),"")</f>
        <v>0.0196666666666667</v>
      </c>
      <c r="M34" s="39" cm="1">
        <f t="array" ref="M34">IFERROR(IF($A34="","",IF(G34="","",_xlfn.XLOOKUP($C34&amp;"_"&amp;$AG34,符文权重!$A:$A&amp;"_"&amp;符文权重!$C:$C,符文权重!$D:$D)*$X34/SUMIFS($X:$X,G:G,G34,$C:$C,$C34,$AG:$AG,$AG34)/SUMIF(符文权重!$A:$A,$C34,符文权重!$D:$D))),"")</f>
        <v>0.0196666666666667</v>
      </c>
      <c r="N34" s="39" cm="1">
        <f t="array" ref="N34">IFERROR(IF($A34="","",IF(H34="","",_xlfn.XLOOKUP($C34&amp;"_"&amp;$AG34,符文权重!$A:$A&amp;"_"&amp;符文权重!$C:$C,符文权重!$D:$D)*$X34/SUMIFS($X:$X,H:H,H34,$C:$C,$C34,$AG:$AG,$AG34)/SUMIF(符文权重!$A:$A,$C34,符文权重!$D:$D))),"")</f>
        <v>0.0196666666666667</v>
      </c>
      <c r="O34" s="39" cm="1">
        <f t="array" ref="O34">IFERROR(IF($A34="","",IF(I34="","",_xlfn.XLOOKUP($C34&amp;"_"&amp;$AG34,符文权重!$A:$A&amp;"_"&amp;符文权重!$C:$C,符文权重!$D:$D)*$X34/SUMIFS($X:$X,I:I,I34,$C:$C,$C34,$AG:$AG,$AG34)/SUMIF(符文权重!$A:$A,$C34,符文权重!$D:$D))),"")</f>
        <v>0.0196666666666667</v>
      </c>
      <c r="P34" s="39" cm="1">
        <f t="array" ref="P34">IFERROR(IF($A34="","",IF(J34="","",_xlfn.XLOOKUP($C34&amp;"_"&amp;$AG34,符文权重!$A:$A&amp;"_"&amp;符文权重!$C:$C,符文权重!$D:$D)*$X34/SUMIFS($X:$X,J:J,J34,$C:$C,$C34,$AG:$AG,$AG34)/SUMIF(符文权重!$A:$A,$C34,符文权重!$D:$D))),"")</f>
        <v>0.0196666666666667</v>
      </c>
      <c r="Q34" s="39" cm="1">
        <f t="array" ref="Q34">IFERROR(IF($A34="","",IF(K34="","",_xlfn.XLOOKUP($C34&amp;"_"&amp;$AG34,符文权重!$A:$A&amp;"_"&amp;符文权重!$C:$C,符文权重!$D:$D)*$X34/SUMIFS($X:$X,K:K,K34,$C:$C,$C34,$AG:$AG,$AG34)/SUMIF(符文权重!$A:$A,$C34,符文权重!$D:$D))),"")</f>
        <v>0.0196666666666667</v>
      </c>
      <c r="R34" s="26" t="s">
        <v>181</v>
      </c>
      <c r="S34" s="26" t="s">
        <v>200</v>
      </c>
      <c r="T34" s="26" t="e">
        <f>IF(B34="","",SUBSTITUTE(SUBSTITUTE("[{global_atk,"&amp;#REF!*C34&amp;"}]",21,20),9,8))</f>
        <v>#REF!</v>
      </c>
      <c r="U34" s="40" t="str">
        <f t="shared" si="18"/>
        <v>[5501045]</v>
      </c>
      <c r="V34" s="26" t="s">
        <v>206</v>
      </c>
      <c r="W34" s="25"/>
      <c r="X34" s="32">
        <v>100</v>
      </c>
      <c r="Y34" s="25"/>
      <c r="Z34" s="32" t="s">
        <v>176</v>
      </c>
      <c r="AA34" s="32" t="str">
        <f t="shared" si="14"/>
        <v>法师职业攻击力+96</v>
      </c>
      <c r="AB34" s="32"/>
      <c r="AC34" s="32" t="s">
        <v>166</v>
      </c>
      <c r="AD34" s="32">
        <f t="shared" si="9"/>
        <v>1029</v>
      </c>
      <c r="AE34" s="38" t="str">
        <f t="shared" si="3"/>
        <v>5501041</v>
      </c>
      <c r="AF34" s="32" t="str">
        <f t="shared" si="4"/>
        <v>[96]</v>
      </c>
      <c r="AG34" s="26">
        <v>1</v>
      </c>
      <c r="AH34" s="26"/>
      <c r="AI34" s="26">
        <v>0</v>
      </c>
      <c r="AJ34" s="25" t="s">
        <v>167</v>
      </c>
      <c r="AK34" s="38">
        <f t="shared" si="19"/>
        <v>5501045</v>
      </c>
      <c r="AL34" s="41" t="str">
        <f t="shared" si="20"/>
        <v>法师职业攻击力&lt;color=#54b76b&gt;+%s&lt;/color&gt;</v>
      </c>
      <c r="AM34" s="25">
        <v>96</v>
      </c>
      <c r="AN34" s="26">
        <v>1</v>
      </c>
      <c r="AO34" s="26" t="s">
        <v>32</v>
      </c>
      <c r="AP34" s="20">
        <f t="shared" si="10"/>
        <v>29</v>
      </c>
    </row>
    <row r="35" s="20" customFormat="1" customHeight="1" spans="1:42">
      <c r="A35" s="38">
        <v>5501046</v>
      </c>
      <c r="B35" s="38" t="str">
        <f t="shared" si="0"/>
        <v>5501041</v>
      </c>
      <c r="C35" s="32">
        <f t="shared" si="1"/>
        <v>6</v>
      </c>
      <c r="D35" s="32"/>
      <c r="E35" s="26" t="s">
        <v>162</v>
      </c>
      <c r="F35" s="26">
        <f t="shared" si="8"/>
        <v>1</v>
      </c>
      <c r="G35" s="26">
        <f>IFERROR(IF(--MID($E35,2*COUNTIF($F35:F35,"&gt;"&amp;0)+2,1)=G$1,G$1,""),"")</f>
        <v>2</v>
      </c>
      <c r="H35" s="26">
        <f>IFERROR(IF(--MID($E35,2*COUNTIF($F35:G35,"&gt;"&amp;0)+2,1)=H$1,H$1,""),"")</f>
        <v>3</v>
      </c>
      <c r="I35" s="26">
        <f>IFERROR(IF(--MID($E35,2*COUNTIF($F35:H35,"&gt;"&amp;0)+2,1)=I$1,I$1,""),"")</f>
        <v>4</v>
      </c>
      <c r="J35" s="26">
        <f>IFERROR(IF(--MID($E35,2*COUNTIF($F35:I35,"&gt;"&amp;0)+2,1)=J$1,J$1,""),"")</f>
        <v>5</v>
      </c>
      <c r="K35" s="26">
        <f>IFERROR(IF(--MID($E35,2*COUNTIF($F35:J35,"&gt;"&amp;0)+2,1)=K$1,K$1,""),"")</f>
        <v>6</v>
      </c>
      <c r="L35" s="39" cm="1">
        <f t="array" ref="L35">IFERROR(IF($A35="","",IF(F35="","",_xlfn.XLOOKUP($C35&amp;"_"&amp;$AG35,符文权重!$A:$A&amp;"_"&amp;符文权重!$C:$C,符文权重!$D:$D)*$X35/SUMIFS($X:$X,F:F,F35,$C:$C,$C35,$AG:$AG,$AG35)/SUMIF(符文权重!$A:$A,$C35,符文权重!$D:$D))),"")</f>
        <v>0.0196666666666667</v>
      </c>
      <c r="M35" s="39" cm="1">
        <f t="array" ref="M35">IFERROR(IF($A35="","",IF(G35="","",_xlfn.XLOOKUP($C35&amp;"_"&amp;$AG35,符文权重!$A:$A&amp;"_"&amp;符文权重!$C:$C,符文权重!$D:$D)*$X35/SUMIFS($X:$X,G:G,G35,$C:$C,$C35,$AG:$AG,$AG35)/SUMIF(符文权重!$A:$A,$C35,符文权重!$D:$D))),"")</f>
        <v>0.0196666666666667</v>
      </c>
      <c r="N35" s="39" cm="1">
        <f t="array" ref="N35">IFERROR(IF($A35="","",IF(H35="","",_xlfn.XLOOKUP($C35&amp;"_"&amp;$AG35,符文权重!$A:$A&amp;"_"&amp;符文权重!$C:$C,符文权重!$D:$D)*$X35/SUMIFS($X:$X,H:H,H35,$C:$C,$C35,$AG:$AG,$AG35)/SUMIF(符文权重!$A:$A,$C35,符文权重!$D:$D))),"")</f>
        <v>0.0196666666666667</v>
      </c>
      <c r="O35" s="39" cm="1">
        <f t="array" ref="O35">IFERROR(IF($A35="","",IF(I35="","",_xlfn.XLOOKUP($C35&amp;"_"&amp;$AG35,符文权重!$A:$A&amp;"_"&amp;符文权重!$C:$C,符文权重!$D:$D)*$X35/SUMIFS($X:$X,I:I,I35,$C:$C,$C35,$AG:$AG,$AG35)/SUMIF(符文权重!$A:$A,$C35,符文权重!$D:$D))),"")</f>
        <v>0.0196666666666667</v>
      </c>
      <c r="P35" s="39" cm="1">
        <f t="array" ref="P35">IFERROR(IF($A35="","",IF(J35="","",_xlfn.XLOOKUP($C35&amp;"_"&amp;$AG35,符文权重!$A:$A&amp;"_"&amp;符文权重!$C:$C,符文权重!$D:$D)*$X35/SUMIFS($X:$X,J:J,J35,$C:$C,$C35,$AG:$AG,$AG35)/SUMIF(符文权重!$A:$A,$C35,符文权重!$D:$D))),"")</f>
        <v>0.0196666666666667</v>
      </c>
      <c r="Q35" s="39" cm="1">
        <f t="array" ref="Q35">IFERROR(IF($A35="","",IF(K35="","",_xlfn.XLOOKUP($C35&amp;"_"&amp;$AG35,符文权重!$A:$A&amp;"_"&amp;符文权重!$C:$C,符文权重!$D:$D)*$X35/SUMIFS($X:$X,K:K,K35,$C:$C,$C35,$AG:$AG,$AG35)/SUMIF(符文权重!$A:$A,$C35,符文权重!$D:$D))),"")</f>
        <v>0.0196666666666667</v>
      </c>
      <c r="R35" s="26" t="s">
        <v>181</v>
      </c>
      <c r="S35" s="26" t="s">
        <v>200</v>
      </c>
      <c r="T35" s="26" t="e">
        <f>IF(B35="","",SUBSTITUTE(SUBSTITUTE("[{global_atk,"&amp;#REF!*C35&amp;"}]",21,20),9,8))</f>
        <v>#REF!</v>
      </c>
      <c r="U35" s="40" t="str">
        <f t="shared" si="18"/>
        <v>[5501046]</v>
      </c>
      <c r="V35" s="26" t="s">
        <v>207</v>
      </c>
      <c r="W35" s="25"/>
      <c r="X35" s="32">
        <v>100</v>
      </c>
      <c r="Y35" s="25"/>
      <c r="Z35" s="32" t="s">
        <v>178</v>
      </c>
      <c r="AA35" s="32" t="str">
        <f t="shared" si="14"/>
        <v>法师职业攻击力+120</v>
      </c>
      <c r="AB35" s="32"/>
      <c r="AC35" s="32" t="s">
        <v>166</v>
      </c>
      <c r="AD35" s="32">
        <f t="shared" si="9"/>
        <v>1030</v>
      </c>
      <c r="AE35" s="38" t="str">
        <f t="shared" si="3"/>
        <v>5501041</v>
      </c>
      <c r="AF35" s="32" t="str">
        <f t="shared" si="4"/>
        <v>[120]</v>
      </c>
      <c r="AG35" s="26">
        <v>1</v>
      </c>
      <c r="AH35" s="26"/>
      <c r="AI35" s="26">
        <v>0</v>
      </c>
      <c r="AJ35" s="25" t="s">
        <v>167</v>
      </c>
      <c r="AK35" s="38">
        <f t="shared" si="19"/>
        <v>5501046</v>
      </c>
      <c r="AL35" s="41" t="str">
        <f t="shared" si="20"/>
        <v>法师职业攻击力&lt;color=#54b76b&gt;+%s&lt;/color&gt;</v>
      </c>
      <c r="AM35" s="25">
        <v>120</v>
      </c>
      <c r="AN35" s="26">
        <v>1</v>
      </c>
      <c r="AO35" s="26" t="s">
        <v>32</v>
      </c>
      <c r="AP35" s="20">
        <f t="shared" si="10"/>
        <v>30</v>
      </c>
    </row>
    <row r="36" s="20" customFormat="1" customHeight="1" spans="1:42">
      <c r="A36" s="38">
        <v>5501047</v>
      </c>
      <c r="B36" s="38" t="str">
        <f t="shared" si="0"/>
        <v>5501041</v>
      </c>
      <c r="C36" s="32">
        <f t="shared" si="1"/>
        <v>7</v>
      </c>
      <c r="D36" s="32"/>
      <c r="E36" s="26" t="s">
        <v>162</v>
      </c>
      <c r="F36" s="26">
        <f t="shared" si="8"/>
        <v>1</v>
      </c>
      <c r="G36" s="26">
        <f>IFERROR(IF(--MID($E36,2*COUNTIF($F36:F36,"&gt;"&amp;0)+2,1)=G$1,G$1,""),"")</f>
        <v>2</v>
      </c>
      <c r="H36" s="26">
        <f>IFERROR(IF(--MID($E36,2*COUNTIF($F36:G36,"&gt;"&amp;0)+2,1)=H$1,H$1,""),"")</f>
        <v>3</v>
      </c>
      <c r="I36" s="26">
        <f>IFERROR(IF(--MID($E36,2*COUNTIF($F36:H36,"&gt;"&amp;0)+2,1)=I$1,I$1,""),"")</f>
        <v>4</v>
      </c>
      <c r="J36" s="26">
        <f>IFERROR(IF(--MID($E36,2*COUNTIF($F36:I36,"&gt;"&amp;0)+2,1)=J$1,J$1,""),"")</f>
        <v>5</v>
      </c>
      <c r="K36" s="26">
        <f>IFERROR(IF(--MID($E36,2*COUNTIF($F36:J36,"&gt;"&amp;0)+2,1)=K$1,K$1,""),"")</f>
        <v>6</v>
      </c>
      <c r="L36" s="39" cm="1">
        <f t="array" ref="L36">IFERROR(IF($A36="","",IF(F36="","",_xlfn.XLOOKUP($C36&amp;"_"&amp;$AG36,符文权重!$A:$A&amp;"_"&amp;符文权重!$C:$C,符文权重!$D:$D)*$X36/SUMIFS($X:$X,F:F,F36,$C:$C,$C36,$AG:$AG,$AG36)/SUMIF(符文权重!$A:$A,$C36,符文权重!$D:$D))),"")</f>
        <v>0.0196666666666667</v>
      </c>
      <c r="M36" s="39" cm="1">
        <f t="array" ref="M36">IFERROR(IF($A36="","",IF(G36="","",_xlfn.XLOOKUP($C36&amp;"_"&amp;$AG36,符文权重!$A:$A&amp;"_"&amp;符文权重!$C:$C,符文权重!$D:$D)*$X36/SUMIFS($X:$X,G:G,G36,$C:$C,$C36,$AG:$AG,$AG36)/SUMIF(符文权重!$A:$A,$C36,符文权重!$D:$D))),"")</f>
        <v>0.0196666666666667</v>
      </c>
      <c r="N36" s="39" cm="1">
        <f t="array" ref="N36">IFERROR(IF($A36="","",IF(H36="","",_xlfn.XLOOKUP($C36&amp;"_"&amp;$AG36,符文权重!$A:$A&amp;"_"&amp;符文权重!$C:$C,符文权重!$D:$D)*$X36/SUMIFS($X:$X,H:H,H36,$C:$C,$C36,$AG:$AG,$AG36)/SUMIF(符文权重!$A:$A,$C36,符文权重!$D:$D))),"")</f>
        <v>0.0196666666666667</v>
      </c>
      <c r="O36" s="39" cm="1">
        <f t="array" ref="O36">IFERROR(IF($A36="","",IF(I36="","",_xlfn.XLOOKUP($C36&amp;"_"&amp;$AG36,符文权重!$A:$A&amp;"_"&amp;符文权重!$C:$C,符文权重!$D:$D)*$X36/SUMIFS($X:$X,I:I,I36,$C:$C,$C36,$AG:$AG,$AG36)/SUMIF(符文权重!$A:$A,$C36,符文权重!$D:$D))),"")</f>
        <v>0.0196666666666667</v>
      </c>
      <c r="P36" s="39" cm="1">
        <f t="array" ref="P36">IFERROR(IF($A36="","",IF(J36="","",_xlfn.XLOOKUP($C36&amp;"_"&amp;$AG36,符文权重!$A:$A&amp;"_"&amp;符文权重!$C:$C,符文权重!$D:$D)*$X36/SUMIFS($X:$X,J:J,J36,$C:$C,$C36,$AG:$AG,$AG36)/SUMIF(符文权重!$A:$A,$C36,符文权重!$D:$D))),"")</f>
        <v>0.0196666666666667</v>
      </c>
      <c r="Q36" s="39" cm="1">
        <f t="array" ref="Q36">IFERROR(IF($A36="","",IF(K36="","",_xlfn.XLOOKUP($C36&amp;"_"&amp;$AG36,符文权重!$A:$A&amp;"_"&amp;符文权重!$C:$C,符文权重!$D:$D)*$X36/SUMIFS($X:$X,K:K,K36,$C:$C,$C36,$AG:$AG,$AG36)/SUMIF(符文权重!$A:$A,$C36,符文权重!$D:$D))),"")</f>
        <v>0.0196666666666667</v>
      </c>
      <c r="R36" s="26" t="s">
        <v>181</v>
      </c>
      <c r="S36" s="26" t="s">
        <v>200</v>
      </c>
      <c r="T36" s="26" t="e">
        <f>IF(B36="","",SUBSTITUTE(SUBSTITUTE("[{global_atk,"&amp;#REF!*C36&amp;"}]",21,20),9,8))</f>
        <v>#REF!</v>
      </c>
      <c r="U36" s="40" t="str">
        <f t="shared" si="18"/>
        <v>[5501047]</v>
      </c>
      <c r="V36" s="26" t="s">
        <v>208</v>
      </c>
      <c r="W36" s="25"/>
      <c r="X36" s="32">
        <v>100</v>
      </c>
      <c r="Y36" s="25"/>
      <c r="Z36" s="32" t="s">
        <v>180</v>
      </c>
      <c r="AA36" s="32" t="str">
        <f t="shared" si="14"/>
        <v>法师职业攻击力+150</v>
      </c>
      <c r="AB36" s="32"/>
      <c r="AC36" s="32" t="s">
        <v>166</v>
      </c>
      <c r="AD36" s="32">
        <f t="shared" si="9"/>
        <v>1031</v>
      </c>
      <c r="AE36" s="38" t="str">
        <f t="shared" si="3"/>
        <v>5501041</v>
      </c>
      <c r="AF36" s="32" t="str">
        <f t="shared" si="4"/>
        <v>[150]</v>
      </c>
      <c r="AG36" s="26">
        <v>1</v>
      </c>
      <c r="AH36" s="26"/>
      <c r="AI36" s="26">
        <v>0</v>
      </c>
      <c r="AJ36" s="25" t="s">
        <v>167</v>
      </c>
      <c r="AK36" s="38">
        <f t="shared" si="19"/>
        <v>5501047</v>
      </c>
      <c r="AL36" s="41" t="str">
        <f t="shared" si="20"/>
        <v>法师职业攻击力&lt;color=#54b76b&gt;+%s&lt;/color&gt;</v>
      </c>
      <c r="AM36" s="25">
        <v>150</v>
      </c>
      <c r="AN36" s="26">
        <v>1</v>
      </c>
      <c r="AO36" s="26" t="s">
        <v>32</v>
      </c>
      <c r="AP36" s="20">
        <f t="shared" si="10"/>
        <v>31</v>
      </c>
    </row>
    <row r="37" s="20" customFormat="1" customHeight="1" spans="1:42">
      <c r="A37" s="38" t="s">
        <v>167</v>
      </c>
      <c r="B37" s="38" t="str">
        <f t="shared" si="0"/>
        <v/>
      </c>
      <c r="C37" s="32" t="str">
        <f t="shared" si="1"/>
        <v/>
      </c>
      <c r="D37" s="32"/>
      <c r="E37" s="26"/>
      <c r="F37" s="26" t="str">
        <f t="shared" si="8"/>
        <v/>
      </c>
      <c r="G37" s="26" t="str">
        <f>IFERROR(IF(--MID($E37,2*COUNTIF($F37:F37,"&gt;"&amp;0)+2,1)=G$1,G$1,""),"")</f>
        <v/>
      </c>
      <c r="H37" s="26" t="str">
        <f>IFERROR(IF(--MID($E37,2*COUNTIF($F37:G37,"&gt;"&amp;0)+2,1)=H$1,H$1,""),"")</f>
        <v/>
      </c>
      <c r="I37" s="26" t="str">
        <f>IFERROR(IF(--MID($E37,2*COUNTIF($F37:H37,"&gt;"&amp;0)+2,1)=I$1,I$1,""),"")</f>
        <v/>
      </c>
      <c r="J37" s="26" t="str">
        <f>IFERROR(IF(--MID($E37,2*COUNTIF($F37:I37,"&gt;"&amp;0)+2,1)=J$1,J$1,""),"")</f>
        <v/>
      </c>
      <c r="K37" s="26" t="str">
        <f>IFERROR(IF(--MID($E37,2*COUNTIF($F37:J37,"&gt;"&amp;0)+2,1)=K$1,K$1,""),"")</f>
        <v/>
      </c>
      <c r="L37" s="39" t="str" cm="1">
        <f t="array" ref="L37">IFERROR(IF($A37="","",IF(F37="","",_xlfn.XLOOKUP($C37&amp;"_"&amp;$AG37,符文权重!$A:$A&amp;"_"&amp;符文权重!$C:$C,符文权重!$D:$D)*$X37/SUMIFS($X:$X,F:F,F37,$C:$C,$C37,$AG:$AG,$AG37)/SUMIF(符文权重!$A:$A,$C37,符文权重!$D:$D))),"")</f>
        <v/>
      </c>
      <c r="M37" s="39" t="str" cm="1">
        <f t="array" ref="M37">IFERROR(IF($A37="","",IF(G37="","",_xlfn.XLOOKUP($C37&amp;"_"&amp;$AG37,符文权重!$A:$A&amp;"_"&amp;符文权重!$C:$C,符文权重!$D:$D)*$X37/SUMIFS($X:$X,G:G,G37,$C:$C,$C37,$AG:$AG,$AG37)/SUMIF(符文权重!$A:$A,$C37,符文权重!$D:$D))),"")</f>
        <v/>
      </c>
      <c r="N37" s="39" t="str" cm="1">
        <f t="array" ref="N37">IFERROR(IF($A37="","",IF(H37="","",_xlfn.XLOOKUP($C37&amp;"_"&amp;$AG37,符文权重!$A:$A&amp;"_"&amp;符文权重!$C:$C,符文权重!$D:$D)*$X37/SUMIFS($X:$X,H:H,H37,$C:$C,$C37,$AG:$AG,$AG37)/SUMIF(符文权重!$A:$A,$C37,符文权重!$D:$D))),"")</f>
        <v/>
      </c>
      <c r="O37" s="39" t="str" cm="1">
        <f t="array" ref="O37">IFERROR(IF($A37="","",IF(I37="","",_xlfn.XLOOKUP($C37&amp;"_"&amp;$AG37,符文权重!$A:$A&amp;"_"&amp;符文权重!$C:$C,符文权重!$D:$D)*$X37/SUMIFS($X:$X,I:I,I37,$C:$C,$C37,$AG:$AG,$AG37)/SUMIF(符文权重!$A:$A,$C37,符文权重!$D:$D))),"")</f>
        <v/>
      </c>
      <c r="P37" s="39" t="str" cm="1">
        <f t="array" ref="P37">IFERROR(IF($A37="","",IF(J37="","",_xlfn.XLOOKUP($C37&amp;"_"&amp;$AG37,符文权重!$A:$A&amp;"_"&amp;符文权重!$C:$C,符文权重!$D:$D)*$X37/SUMIFS($X:$X,J:J,J37,$C:$C,$C37,$AG:$AG,$AG37)/SUMIF(符文权重!$A:$A,$C37,符文权重!$D:$D))),"")</f>
        <v/>
      </c>
      <c r="Q37" s="39" t="str" cm="1">
        <f t="array" ref="Q37">IFERROR(IF($A37="","",IF(K37="","",_xlfn.XLOOKUP($C37&amp;"_"&amp;$AG37,符文权重!$A:$A&amp;"_"&amp;符文权重!$C:$C,符文权重!$D:$D)*$X37/SUMIFS($X:$X,K:K,K37,$C:$C,$C37,$AG:$AG,$AG37)/SUMIF(符文权重!$A:$A,$C37,符文权重!$D:$D))),"")</f>
        <v/>
      </c>
      <c r="R37" s="26" t="s">
        <v>167</v>
      </c>
      <c r="S37" s="26" t="s">
        <v>167</v>
      </c>
      <c r="T37" s="26"/>
      <c r="U37" s="40"/>
      <c r="V37" s="26"/>
      <c r="W37" s="25"/>
      <c r="X37" s="32"/>
      <c r="Y37" s="25"/>
      <c r="Z37" s="32" t="s">
        <v>167</v>
      </c>
      <c r="AA37" s="32" t="str">
        <f t="shared" si="14"/>
        <v/>
      </c>
      <c r="AB37" s="32"/>
      <c r="AC37" s="32" t="s">
        <v>166</v>
      </c>
      <c r="AD37" s="32">
        <f t="shared" si="9"/>
        <v>1032</v>
      </c>
      <c r="AE37" s="38" t="str">
        <f t="shared" si="3"/>
        <v/>
      </c>
      <c r="AF37" s="32" t="str">
        <f t="shared" si="4"/>
        <v/>
      </c>
      <c r="AG37" s="26"/>
      <c r="AH37" s="26"/>
      <c r="AI37" s="26"/>
      <c r="AJ37" s="25" t="s">
        <v>167</v>
      </c>
      <c r="AK37" s="24"/>
      <c r="AL37" s="42"/>
      <c r="AM37" s="25"/>
      <c r="AN37" s="26"/>
      <c r="AO37" s="26"/>
      <c r="AP37" s="20">
        <f t="shared" si="10"/>
        <v>32</v>
      </c>
    </row>
    <row r="38" s="20" customFormat="1" customHeight="1" spans="1:42">
      <c r="A38" s="38">
        <v>5501051</v>
      </c>
      <c r="B38" s="38" t="str">
        <f t="shared" si="0"/>
        <v>5501051</v>
      </c>
      <c r="C38" s="32">
        <f t="shared" si="1"/>
        <v>1</v>
      </c>
      <c r="D38" s="32"/>
      <c r="E38" s="26" t="s">
        <v>162</v>
      </c>
      <c r="F38" s="26">
        <f t="shared" si="8"/>
        <v>1</v>
      </c>
      <c r="G38" s="26">
        <f>IFERROR(IF(--MID($E38,2*COUNTIF($F38:F38,"&gt;"&amp;0)+2,1)=G$1,G$1,""),"")</f>
        <v>2</v>
      </c>
      <c r="H38" s="26">
        <f>IFERROR(IF(--MID($E38,2*COUNTIF($F38:G38,"&gt;"&amp;0)+2,1)=H$1,H$1,""),"")</f>
        <v>3</v>
      </c>
      <c r="I38" s="26">
        <f>IFERROR(IF(--MID($E38,2*COUNTIF($F38:H38,"&gt;"&amp;0)+2,1)=I$1,I$1,""),"")</f>
        <v>4</v>
      </c>
      <c r="J38" s="26">
        <f>IFERROR(IF(--MID($E38,2*COUNTIF($F38:I38,"&gt;"&amp;0)+2,1)=J$1,J$1,""),"")</f>
        <v>5</v>
      </c>
      <c r="K38" s="26">
        <f>IFERROR(IF(--MID($E38,2*COUNTIF($F38:J38,"&gt;"&amp;0)+2,1)=K$1,K$1,""),"")</f>
        <v>6</v>
      </c>
      <c r="L38" s="39" cm="1">
        <f t="array" ref="L38">IFERROR(IF($A38="","",IF(F38="","",_xlfn.XLOOKUP($C38&amp;"_"&amp;$AG38,符文权重!$A:$A&amp;"_"&amp;符文权重!$C:$C,符文权重!$D:$D)*$X38/SUMIFS($X:$X,F:F,F38,$C:$C,$C38,$AG:$AG,$AG38)/SUMIF(符文权重!$A:$A,$C38,符文权重!$D:$D))),"")</f>
        <v>0.05</v>
      </c>
      <c r="M38" s="39" cm="1">
        <f t="array" ref="M38">IFERROR(IF($A38="","",IF(G38="","",_xlfn.XLOOKUP($C38&amp;"_"&amp;$AG38,符文权重!$A:$A&amp;"_"&amp;符文权重!$C:$C,符文权重!$D:$D)*$X38/SUMIFS($X:$X,G:G,G38,$C:$C,$C38,$AG:$AG,$AG38)/SUMIF(符文权重!$A:$A,$C38,符文权重!$D:$D))),"")</f>
        <v>0.05</v>
      </c>
      <c r="N38" s="39" cm="1">
        <f t="array" ref="N38">IFERROR(IF($A38="","",IF(H38="","",_xlfn.XLOOKUP($C38&amp;"_"&amp;$AG38,符文权重!$A:$A&amp;"_"&amp;符文权重!$C:$C,符文权重!$D:$D)*$X38/SUMIFS($X:$X,H:H,H38,$C:$C,$C38,$AG:$AG,$AG38)/SUMIF(符文权重!$A:$A,$C38,符文权重!$D:$D))),"")</f>
        <v>0.05</v>
      </c>
      <c r="O38" s="39" cm="1">
        <f t="array" ref="O38">IFERROR(IF($A38="","",IF(I38="","",_xlfn.XLOOKUP($C38&amp;"_"&amp;$AG38,符文权重!$A:$A&amp;"_"&amp;符文权重!$C:$C,符文权重!$D:$D)*$X38/SUMIFS($X:$X,I:I,I38,$C:$C,$C38,$AG:$AG,$AG38)/SUMIF(符文权重!$A:$A,$C38,符文权重!$D:$D))),"")</f>
        <v>0.05</v>
      </c>
      <c r="P38" s="39" cm="1">
        <f t="array" ref="P38">IFERROR(IF($A38="","",IF(J38="","",_xlfn.XLOOKUP($C38&amp;"_"&amp;$AG38,符文权重!$A:$A&amp;"_"&amp;符文权重!$C:$C,符文权重!$D:$D)*$X38/SUMIFS($X:$X,J:J,J38,$C:$C,$C38,$AG:$AG,$AG38)/SUMIF(符文权重!$A:$A,$C38,符文权重!$D:$D))),"")</f>
        <v>0.05</v>
      </c>
      <c r="Q38" s="39" cm="1">
        <f t="array" ref="Q38">IFERROR(IF($A38="","",IF(K38="","",_xlfn.XLOOKUP($C38&amp;"_"&amp;$AG38,符文权重!$A:$A&amp;"_"&amp;符文权重!$C:$C,符文权重!$D:$D)*$X38/SUMIFS($X:$X,K:K,K38,$C:$C,$C38,$AG:$AG,$AG38)/SUMIF(符文权重!$A:$A,$C38,符文权重!$D:$D))),"")</f>
        <v>0.05</v>
      </c>
      <c r="R38" s="26" t="s">
        <v>181</v>
      </c>
      <c r="S38" s="26" t="s">
        <v>209</v>
      </c>
      <c r="T38" s="26" t="e">
        <f>IF(B38="","",SUBSTITUTE(SUBSTITUTE("[{global_atk,"&amp;#REF!*C38&amp;"}]",21,20),9,8))</f>
        <v>#REF!</v>
      </c>
      <c r="U38" s="40" t="str">
        <f t="shared" ref="U38:U44" si="21">"["&amp;A38&amp;"]"</f>
        <v>[5501051]</v>
      </c>
      <c r="V38" s="26" t="s">
        <v>210</v>
      </c>
      <c r="W38" s="25"/>
      <c r="X38" s="32">
        <v>100</v>
      </c>
      <c r="Y38" s="25"/>
      <c r="Z38" s="32" t="s">
        <v>165</v>
      </c>
      <c r="AA38" s="32" t="str">
        <f t="shared" si="14"/>
        <v>毒系职业攻击力+30</v>
      </c>
      <c r="AB38" s="32"/>
      <c r="AC38" s="32" t="s">
        <v>166</v>
      </c>
      <c r="AD38" s="32">
        <f t="shared" si="9"/>
        <v>1033</v>
      </c>
      <c r="AE38" s="38" t="str">
        <f t="shared" si="3"/>
        <v>5501051</v>
      </c>
      <c r="AF38" s="32" t="str">
        <f t="shared" si="4"/>
        <v>[30]</v>
      </c>
      <c r="AG38" s="26">
        <v>1</v>
      </c>
      <c r="AH38" s="26"/>
      <c r="AI38" s="26">
        <v>0</v>
      </c>
      <c r="AJ38" s="25" t="s">
        <v>167</v>
      </c>
      <c r="AK38" s="24">
        <v>5501051</v>
      </c>
      <c r="AL38" s="42" t="s">
        <v>211</v>
      </c>
      <c r="AM38" s="25">
        <v>30</v>
      </c>
      <c r="AN38" s="26">
        <v>1</v>
      </c>
      <c r="AO38" s="26" t="s">
        <v>32</v>
      </c>
      <c r="AP38" s="20">
        <f t="shared" si="10"/>
        <v>33</v>
      </c>
    </row>
    <row r="39" s="20" customFormat="1" customHeight="1" spans="1:42">
      <c r="A39" s="38">
        <v>5501052</v>
      </c>
      <c r="B39" s="38" t="str">
        <f t="shared" si="0"/>
        <v>5501051</v>
      </c>
      <c r="C39" s="32">
        <f t="shared" si="1"/>
        <v>2</v>
      </c>
      <c r="D39" s="32"/>
      <c r="E39" s="26" t="s">
        <v>162</v>
      </c>
      <c r="F39" s="26">
        <f t="shared" si="8"/>
        <v>1</v>
      </c>
      <c r="G39" s="26">
        <f>IFERROR(IF(--MID($E39,2*COUNTIF($F39:F39,"&gt;"&amp;0)+2,1)=G$1,G$1,""),"")</f>
        <v>2</v>
      </c>
      <c r="H39" s="26">
        <f>IFERROR(IF(--MID($E39,2*COUNTIF($F39:G39,"&gt;"&amp;0)+2,1)=H$1,H$1,""),"")</f>
        <v>3</v>
      </c>
      <c r="I39" s="26">
        <f>IFERROR(IF(--MID($E39,2*COUNTIF($F39:H39,"&gt;"&amp;0)+2,1)=I$1,I$1,""),"")</f>
        <v>4</v>
      </c>
      <c r="J39" s="26">
        <f>IFERROR(IF(--MID($E39,2*COUNTIF($F39:I39,"&gt;"&amp;0)+2,1)=J$1,J$1,""),"")</f>
        <v>5</v>
      </c>
      <c r="K39" s="26">
        <f>IFERROR(IF(--MID($E39,2*COUNTIF($F39:J39,"&gt;"&amp;0)+2,1)=K$1,K$1,""),"")</f>
        <v>6</v>
      </c>
      <c r="L39" s="39" cm="1">
        <f t="array" ref="L39">IFERROR(IF($A39="","",IF(F39="","",_xlfn.XLOOKUP($C39&amp;"_"&amp;$AG39,符文权重!$A:$A&amp;"_"&amp;符文权重!$C:$C,符文权重!$D:$D)*$X39/SUMIFS($X:$X,F:F,F39,$C:$C,$C39,$AG:$AG,$AG39)/SUMIF(符文权重!$A:$A,$C39,符文权重!$D:$D))),"")</f>
        <v>0.0363636363636364</v>
      </c>
      <c r="M39" s="39" cm="1">
        <f t="array" ref="M39">IFERROR(IF($A39="","",IF(G39="","",_xlfn.XLOOKUP($C39&amp;"_"&amp;$AG39,符文权重!$A:$A&amp;"_"&amp;符文权重!$C:$C,符文权重!$D:$D)*$X39/SUMIFS($X:$X,G:G,G39,$C:$C,$C39,$AG:$AG,$AG39)/SUMIF(符文权重!$A:$A,$C39,符文权重!$D:$D))),"")</f>
        <v>0.0363636363636364</v>
      </c>
      <c r="N39" s="39" cm="1">
        <f t="array" ref="N39">IFERROR(IF($A39="","",IF(H39="","",_xlfn.XLOOKUP($C39&amp;"_"&amp;$AG39,符文权重!$A:$A&amp;"_"&amp;符文权重!$C:$C,符文权重!$D:$D)*$X39/SUMIFS($X:$X,H:H,H39,$C:$C,$C39,$AG:$AG,$AG39)/SUMIF(符文权重!$A:$A,$C39,符文权重!$D:$D))),"")</f>
        <v>0.0363636363636364</v>
      </c>
      <c r="O39" s="39" cm="1">
        <f t="array" ref="O39">IFERROR(IF($A39="","",IF(I39="","",_xlfn.XLOOKUP($C39&amp;"_"&amp;$AG39,符文权重!$A:$A&amp;"_"&amp;符文权重!$C:$C,符文权重!$D:$D)*$X39/SUMIFS($X:$X,I:I,I39,$C:$C,$C39,$AG:$AG,$AG39)/SUMIF(符文权重!$A:$A,$C39,符文权重!$D:$D))),"")</f>
        <v>0.0363636363636364</v>
      </c>
      <c r="P39" s="39" cm="1">
        <f t="array" ref="P39">IFERROR(IF($A39="","",IF(J39="","",_xlfn.XLOOKUP($C39&amp;"_"&amp;$AG39,符文权重!$A:$A&amp;"_"&amp;符文权重!$C:$C,符文权重!$D:$D)*$X39/SUMIFS($X:$X,J:J,J39,$C:$C,$C39,$AG:$AG,$AG39)/SUMIF(符文权重!$A:$A,$C39,符文权重!$D:$D))),"")</f>
        <v>0.0363636363636364</v>
      </c>
      <c r="Q39" s="39" cm="1">
        <f t="array" ref="Q39">IFERROR(IF($A39="","",IF(K39="","",_xlfn.XLOOKUP($C39&amp;"_"&amp;$AG39,符文权重!$A:$A&amp;"_"&amp;符文权重!$C:$C,符文权重!$D:$D)*$X39/SUMIFS($X:$X,K:K,K39,$C:$C,$C39,$AG:$AG,$AG39)/SUMIF(符文权重!$A:$A,$C39,符文权重!$D:$D))),"")</f>
        <v>0.0363636363636364</v>
      </c>
      <c r="R39" s="26" t="s">
        <v>181</v>
      </c>
      <c r="S39" s="26" t="s">
        <v>209</v>
      </c>
      <c r="T39" s="26" t="e">
        <f>IF(B39="","",SUBSTITUTE(SUBSTITUTE("[{global_atk,"&amp;#REF!*C39&amp;"}]",21,20),9,8))</f>
        <v>#REF!</v>
      </c>
      <c r="U39" s="40" t="str">
        <f t="shared" si="21"/>
        <v>[5501052]</v>
      </c>
      <c r="V39" s="26" t="s">
        <v>212</v>
      </c>
      <c r="W39" s="25"/>
      <c r="X39" s="32">
        <v>100</v>
      </c>
      <c r="Y39" s="25"/>
      <c r="Z39" s="32" t="s">
        <v>170</v>
      </c>
      <c r="AA39" s="32" t="str">
        <f t="shared" si="14"/>
        <v>毒系职业攻击力+40</v>
      </c>
      <c r="AB39" s="32"/>
      <c r="AC39" s="32" t="s">
        <v>166</v>
      </c>
      <c r="AD39" s="32">
        <f t="shared" si="9"/>
        <v>1034</v>
      </c>
      <c r="AE39" s="38" t="str">
        <f t="shared" si="3"/>
        <v>5501051</v>
      </c>
      <c r="AF39" s="32" t="str">
        <f t="shared" si="4"/>
        <v>[40]</v>
      </c>
      <c r="AG39" s="26">
        <v>1</v>
      </c>
      <c r="AH39" s="26"/>
      <c r="AI39" s="26">
        <v>0</v>
      </c>
      <c r="AJ39" s="25" t="s">
        <v>167</v>
      </c>
      <c r="AK39" s="38">
        <f t="shared" ref="AK39:AK44" si="22">AK38+1</f>
        <v>5501052</v>
      </c>
      <c r="AL39" s="41" t="str">
        <f t="shared" ref="AL39:AL44" si="23">AL38</f>
        <v>毒系职业攻击力&lt;color=#54b76b&gt;+%s&lt;/color&gt;</v>
      </c>
      <c r="AM39" s="25">
        <v>40</v>
      </c>
      <c r="AN39" s="26">
        <v>1</v>
      </c>
      <c r="AO39" s="26" t="s">
        <v>32</v>
      </c>
      <c r="AP39" s="20">
        <f t="shared" si="10"/>
        <v>34</v>
      </c>
    </row>
    <row r="40" s="20" customFormat="1" customHeight="1" spans="1:42">
      <c r="A40" s="38">
        <v>5501053</v>
      </c>
      <c r="B40" s="38" t="str">
        <f t="shared" si="0"/>
        <v>5501051</v>
      </c>
      <c r="C40" s="32">
        <f t="shared" si="1"/>
        <v>3</v>
      </c>
      <c r="D40" s="32"/>
      <c r="E40" s="26" t="s">
        <v>162</v>
      </c>
      <c r="F40" s="26">
        <f t="shared" si="8"/>
        <v>1</v>
      </c>
      <c r="G40" s="26">
        <f>IFERROR(IF(--MID($E40,2*COUNTIF($F40:F40,"&gt;"&amp;0)+2,1)=G$1,G$1,""),"")</f>
        <v>2</v>
      </c>
      <c r="H40" s="26">
        <f>IFERROR(IF(--MID($E40,2*COUNTIF($F40:G40,"&gt;"&amp;0)+2,1)=H$1,H$1,""),"")</f>
        <v>3</v>
      </c>
      <c r="I40" s="26">
        <f>IFERROR(IF(--MID($E40,2*COUNTIF($F40:H40,"&gt;"&amp;0)+2,1)=I$1,I$1,""),"")</f>
        <v>4</v>
      </c>
      <c r="J40" s="26">
        <f>IFERROR(IF(--MID($E40,2*COUNTIF($F40:I40,"&gt;"&amp;0)+2,1)=J$1,J$1,""),"")</f>
        <v>5</v>
      </c>
      <c r="K40" s="26">
        <f>IFERROR(IF(--MID($E40,2*COUNTIF($F40:J40,"&gt;"&amp;0)+2,1)=K$1,K$1,""),"")</f>
        <v>6</v>
      </c>
      <c r="L40" s="39" cm="1">
        <f t="array" ref="L40">IFERROR(IF($A40="","",IF(F40="","",_xlfn.XLOOKUP($C40&amp;"_"&amp;$AG40,符文权重!$A:$A&amp;"_"&amp;符文权重!$C:$C,符文权重!$D:$D)*$X40/SUMIFS($X:$X,F:F,F40,$C:$C,$C40,$AG:$AG,$AG40)/SUMIF(符文权重!$A:$A,$C40,符文权重!$D:$D))),"")</f>
        <v>0.035</v>
      </c>
      <c r="M40" s="39" cm="1">
        <f t="array" ref="M40">IFERROR(IF($A40="","",IF(G40="","",_xlfn.XLOOKUP($C40&amp;"_"&amp;$AG40,符文权重!$A:$A&amp;"_"&amp;符文权重!$C:$C,符文权重!$D:$D)*$X40/SUMIFS($X:$X,G:G,G40,$C:$C,$C40,$AG:$AG,$AG40)/SUMIF(符文权重!$A:$A,$C40,符文权重!$D:$D))),"")</f>
        <v>0.035</v>
      </c>
      <c r="N40" s="39" cm="1">
        <f t="array" ref="N40">IFERROR(IF($A40="","",IF(H40="","",_xlfn.XLOOKUP($C40&amp;"_"&amp;$AG40,符文权重!$A:$A&amp;"_"&amp;符文权重!$C:$C,符文权重!$D:$D)*$X40/SUMIFS($X:$X,H:H,H40,$C:$C,$C40,$AG:$AG,$AG40)/SUMIF(符文权重!$A:$A,$C40,符文权重!$D:$D))),"")</f>
        <v>0.035</v>
      </c>
      <c r="O40" s="39" cm="1">
        <f t="array" ref="O40">IFERROR(IF($A40="","",IF(I40="","",_xlfn.XLOOKUP($C40&amp;"_"&amp;$AG40,符文权重!$A:$A&amp;"_"&amp;符文权重!$C:$C,符文权重!$D:$D)*$X40/SUMIFS($X:$X,I:I,I40,$C:$C,$C40,$AG:$AG,$AG40)/SUMIF(符文权重!$A:$A,$C40,符文权重!$D:$D))),"")</f>
        <v>0.035</v>
      </c>
      <c r="P40" s="39" cm="1">
        <f t="array" ref="P40">IFERROR(IF($A40="","",IF(J40="","",_xlfn.XLOOKUP($C40&amp;"_"&amp;$AG40,符文权重!$A:$A&amp;"_"&amp;符文权重!$C:$C,符文权重!$D:$D)*$X40/SUMIFS($X:$X,J:J,J40,$C:$C,$C40,$AG:$AG,$AG40)/SUMIF(符文权重!$A:$A,$C40,符文权重!$D:$D))),"")</f>
        <v>0.035</v>
      </c>
      <c r="Q40" s="39" cm="1">
        <f t="array" ref="Q40">IFERROR(IF($A40="","",IF(K40="","",_xlfn.XLOOKUP($C40&amp;"_"&amp;$AG40,符文权重!$A:$A&amp;"_"&amp;符文权重!$C:$C,符文权重!$D:$D)*$X40/SUMIFS($X:$X,K:K,K40,$C:$C,$C40,$AG:$AG,$AG40)/SUMIF(符文权重!$A:$A,$C40,符文权重!$D:$D))),"")</f>
        <v>0.035</v>
      </c>
      <c r="R40" s="26" t="s">
        <v>181</v>
      </c>
      <c r="S40" s="26" t="s">
        <v>209</v>
      </c>
      <c r="T40" s="26" t="e">
        <f>IF(B40="","",SUBSTITUTE(SUBSTITUTE("[{global_atk,"&amp;#REF!*C40&amp;"}]",21,20),9,8))</f>
        <v>#REF!</v>
      </c>
      <c r="U40" s="40" t="str">
        <f t="shared" si="21"/>
        <v>[5501053]</v>
      </c>
      <c r="V40" s="26" t="s">
        <v>213</v>
      </c>
      <c r="W40" s="25"/>
      <c r="X40" s="32">
        <v>100</v>
      </c>
      <c r="Y40" s="25"/>
      <c r="Z40" s="32" t="s">
        <v>172</v>
      </c>
      <c r="AA40" s="32" t="str">
        <f t="shared" si="14"/>
        <v>毒系职业攻击力+50</v>
      </c>
      <c r="AB40" s="32"/>
      <c r="AC40" s="32" t="s">
        <v>166</v>
      </c>
      <c r="AD40" s="32">
        <f t="shared" si="9"/>
        <v>1035</v>
      </c>
      <c r="AE40" s="38" t="str">
        <f t="shared" si="3"/>
        <v>5501051</v>
      </c>
      <c r="AF40" s="32" t="str">
        <f t="shared" si="4"/>
        <v>[50]</v>
      </c>
      <c r="AG40" s="26">
        <v>1</v>
      </c>
      <c r="AH40" s="26"/>
      <c r="AI40" s="26">
        <v>0</v>
      </c>
      <c r="AJ40" s="25" t="s">
        <v>167</v>
      </c>
      <c r="AK40" s="38">
        <f t="shared" si="22"/>
        <v>5501053</v>
      </c>
      <c r="AL40" s="41" t="str">
        <f t="shared" si="23"/>
        <v>毒系职业攻击力&lt;color=#54b76b&gt;+%s&lt;/color&gt;</v>
      </c>
      <c r="AM40" s="25">
        <v>50</v>
      </c>
      <c r="AN40" s="26">
        <v>1</v>
      </c>
      <c r="AO40" s="26" t="s">
        <v>32</v>
      </c>
      <c r="AP40" s="20">
        <f t="shared" si="10"/>
        <v>35</v>
      </c>
    </row>
    <row r="41" s="20" customFormat="1" customHeight="1" spans="1:42">
      <c r="A41" s="38">
        <v>5501054</v>
      </c>
      <c r="B41" s="38" t="str">
        <f t="shared" si="0"/>
        <v>5501051</v>
      </c>
      <c r="C41" s="32">
        <f t="shared" si="1"/>
        <v>4</v>
      </c>
      <c r="D41" s="32"/>
      <c r="E41" s="26" t="s">
        <v>162</v>
      </c>
      <c r="F41" s="26">
        <f t="shared" si="8"/>
        <v>1</v>
      </c>
      <c r="G41" s="26">
        <f>IFERROR(IF(--MID($E41,2*COUNTIF($F41:F41,"&gt;"&amp;0)+2,1)=G$1,G$1,""),"")</f>
        <v>2</v>
      </c>
      <c r="H41" s="26">
        <f>IFERROR(IF(--MID($E41,2*COUNTIF($F41:G41,"&gt;"&amp;0)+2,1)=H$1,H$1,""),"")</f>
        <v>3</v>
      </c>
      <c r="I41" s="26">
        <f>IFERROR(IF(--MID($E41,2*COUNTIF($F41:H41,"&gt;"&amp;0)+2,1)=I$1,I$1,""),"")</f>
        <v>4</v>
      </c>
      <c r="J41" s="26">
        <f>IFERROR(IF(--MID($E41,2*COUNTIF($F41:I41,"&gt;"&amp;0)+2,1)=J$1,J$1,""),"")</f>
        <v>5</v>
      </c>
      <c r="K41" s="26">
        <f>IFERROR(IF(--MID($E41,2*COUNTIF($F41:J41,"&gt;"&amp;0)+2,1)=K$1,K$1,""),"")</f>
        <v>6</v>
      </c>
      <c r="L41" s="39" cm="1">
        <f t="array" ref="L41">IFERROR(IF($A41="","",IF(F41="","",_xlfn.XLOOKUP($C41&amp;"_"&amp;$AG41,符文权重!$A:$A&amp;"_"&amp;符文权重!$C:$C,符文权重!$D:$D)*$X41/SUMIFS($X:$X,F:F,F41,$C:$C,$C41,$AG:$AG,$AG41)/SUMIF(符文权重!$A:$A,$C41,符文权重!$D:$D))),"")</f>
        <v>0.022913616398243</v>
      </c>
      <c r="M41" s="39" cm="1">
        <f t="array" ref="M41">IFERROR(IF($A41="","",IF(G41="","",_xlfn.XLOOKUP($C41&amp;"_"&amp;$AG41,符文权重!$A:$A&amp;"_"&amp;符文权重!$C:$C,符文权重!$D:$D)*$X41/SUMIFS($X:$X,G:G,G41,$C:$C,$C41,$AG:$AG,$AG41)/SUMIF(符文权重!$A:$A,$C41,符文权重!$D:$D))),"")</f>
        <v>0.022913616398243</v>
      </c>
      <c r="N41" s="39" cm="1">
        <f t="array" ref="N41">IFERROR(IF($A41="","",IF(H41="","",_xlfn.XLOOKUP($C41&amp;"_"&amp;$AG41,符文权重!$A:$A&amp;"_"&amp;符文权重!$C:$C,符文权重!$D:$D)*$X41/SUMIFS($X:$X,H:H,H41,$C:$C,$C41,$AG:$AG,$AG41)/SUMIF(符文权重!$A:$A,$C41,符文权重!$D:$D))),"")</f>
        <v>0.022913616398243</v>
      </c>
      <c r="O41" s="39" cm="1">
        <f t="array" ref="O41">IFERROR(IF($A41="","",IF(I41="","",_xlfn.XLOOKUP($C41&amp;"_"&amp;$AG41,符文权重!$A:$A&amp;"_"&amp;符文权重!$C:$C,符文权重!$D:$D)*$X41/SUMIFS($X:$X,I:I,I41,$C:$C,$C41,$AG:$AG,$AG41)/SUMIF(符文权重!$A:$A,$C41,符文权重!$D:$D))),"")</f>
        <v>0.022913616398243</v>
      </c>
      <c r="P41" s="39" cm="1">
        <f t="array" ref="P41">IFERROR(IF($A41="","",IF(J41="","",_xlfn.XLOOKUP($C41&amp;"_"&amp;$AG41,符文权重!$A:$A&amp;"_"&amp;符文权重!$C:$C,符文权重!$D:$D)*$X41/SUMIFS($X:$X,J:J,J41,$C:$C,$C41,$AG:$AG,$AG41)/SUMIF(符文权重!$A:$A,$C41,符文权重!$D:$D))),"")</f>
        <v>0.022913616398243</v>
      </c>
      <c r="Q41" s="39" cm="1">
        <f t="array" ref="Q41">IFERROR(IF($A41="","",IF(K41="","",_xlfn.XLOOKUP($C41&amp;"_"&amp;$AG41,符文权重!$A:$A&amp;"_"&amp;符文权重!$C:$C,符文权重!$D:$D)*$X41/SUMIFS($X:$X,K:K,K41,$C:$C,$C41,$AG:$AG,$AG41)/SUMIF(符文权重!$A:$A,$C41,符文权重!$D:$D))),"")</f>
        <v>0.022913616398243</v>
      </c>
      <c r="R41" s="26" t="s">
        <v>181</v>
      </c>
      <c r="S41" s="26" t="s">
        <v>209</v>
      </c>
      <c r="T41" s="26" t="e">
        <f>IF(B41="","",SUBSTITUTE(SUBSTITUTE("[{global_atk,"&amp;#REF!*C41&amp;"}]",21,20),9,8))</f>
        <v>#REF!</v>
      </c>
      <c r="U41" s="40" t="str">
        <f t="shared" si="21"/>
        <v>[5501054]</v>
      </c>
      <c r="V41" s="26" t="s">
        <v>214</v>
      </c>
      <c r="W41" s="25"/>
      <c r="X41" s="32">
        <v>100</v>
      </c>
      <c r="Y41" s="25"/>
      <c r="Z41" s="32" t="s">
        <v>174</v>
      </c>
      <c r="AA41" s="32" t="str">
        <f t="shared" si="14"/>
        <v>毒系职业攻击力+75</v>
      </c>
      <c r="AB41" s="32"/>
      <c r="AC41" s="32" t="s">
        <v>166</v>
      </c>
      <c r="AD41" s="32">
        <f t="shared" si="9"/>
        <v>1036</v>
      </c>
      <c r="AE41" s="38" t="str">
        <f t="shared" si="3"/>
        <v>5501051</v>
      </c>
      <c r="AF41" s="32" t="str">
        <f t="shared" si="4"/>
        <v>[75]</v>
      </c>
      <c r="AG41" s="26">
        <v>1</v>
      </c>
      <c r="AH41" s="26"/>
      <c r="AI41" s="26">
        <v>0</v>
      </c>
      <c r="AJ41" s="25" t="s">
        <v>167</v>
      </c>
      <c r="AK41" s="38">
        <f t="shared" si="22"/>
        <v>5501054</v>
      </c>
      <c r="AL41" s="41" t="str">
        <f t="shared" si="23"/>
        <v>毒系职业攻击力&lt;color=#54b76b&gt;+%s&lt;/color&gt;</v>
      </c>
      <c r="AM41" s="25">
        <v>75</v>
      </c>
      <c r="AN41" s="26">
        <v>1</v>
      </c>
      <c r="AO41" s="26" t="s">
        <v>32</v>
      </c>
      <c r="AP41" s="20">
        <f t="shared" si="10"/>
        <v>36</v>
      </c>
    </row>
    <row r="42" s="20" customFormat="1" customHeight="1" spans="1:42">
      <c r="A42" s="38">
        <v>5501055</v>
      </c>
      <c r="B42" s="38" t="str">
        <f t="shared" si="0"/>
        <v>5501051</v>
      </c>
      <c r="C42" s="32">
        <f t="shared" si="1"/>
        <v>5</v>
      </c>
      <c r="D42" s="32"/>
      <c r="E42" s="26" t="s">
        <v>162</v>
      </c>
      <c r="F42" s="26">
        <f t="shared" si="8"/>
        <v>1</v>
      </c>
      <c r="G42" s="26">
        <f>IFERROR(IF(--MID($E42,2*COUNTIF($F42:F42,"&gt;"&amp;0)+2,1)=G$1,G$1,""),"")</f>
        <v>2</v>
      </c>
      <c r="H42" s="26">
        <f>IFERROR(IF(--MID($E42,2*COUNTIF($F42:G42,"&gt;"&amp;0)+2,1)=H$1,H$1,""),"")</f>
        <v>3</v>
      </c>
      <c r="I42" s="26">
        <f>IFERROR(IF(--MID($E42,2*COUNTIF($F42:H42,"&gt;"&amp;0)+2,1)=I$1,I$1,""),"")</f>
        <v>4</v>
      </c>
      <c r="J42" s="26">
        <f>IFERROR(IF(--MID($E42,2*COUNTIF($F42:I42,"&gt;"&amp;0)+2,1)=J$1,J$1,""),"")</f>
        <v>5</v>
      </c>
      <c r="K42" s="26">
        <f>IFERROR(IF(--MID($E42,2*COUNTIF($F42:J42,"&gt;"&amp;0)+2,1)=K$1,K$1,""),"")</f>
        <v>6</v>
      </c>
      <c r="L42" s="39" cm="1">
        <f t="array" ref="L42">IFERROR(IF($A42="","",IF(F42="","",_xlfn.XLOOKUP($C42&amp;"_"&amp;$AG42,符文权重!$A:$A&amp;"_"&amp;符文权重!$C:$C,符文权重!$D:$D)*$X42/SUMIFS($X:$X,F:F,F42,$C:$C,$C42,$AG:$AG,$AG42)/SUMIF(符文权重!$A:$A,$C42,符文权重!$D:$D))),"")</f>
        <v>0.0196666666666667</v>
      </c>
      <c r="M42" s="39" cm="1">
        <f t="array" ref="M42">IFERROR(IF($A42="","",IF(G42="","",_xlfn.XLOOKUP($C42&amp;"_"&amp;$AG42,符文权重!$A:$A&amp;"_"&amp;符文权重!$C:$C,符文权重!$D:$D)*$X42/SUMIFS($X:$X,G:G,G42,$C:$C,$C42,$AG:$AG,$AG42)/SUMIF(符文权重!$A:$A,$C42,符文权重!$D:$D))),"")</f>
        <v>0.0196666666666667</v>
      </c>
      <c r="N42" s="39" cm="1">
        <f t="array" ref="N42">IFERROR(IF($A42="","",IF(H42="","",_xlfn.XLOOKUP($C42&amp;"_"&amp;$AG42,符文权重!$A:$A&amp;"_"&amp;符文权重!$C:$C,符文权重!$D:$D)*$X42/SUMIFS($X:$X,H:H,H42,$C:$C,$C42,$AG:$AG,$AG42)/SUMIF(符文权重!$A:$A,$C42,符文权重!$D:$D))),"")</f>
        <v>0.0196666666666667</v>
      </c>
      <c r="O42" s="39" cm="1">
        <f t="array" ref="O42">IFERROR(IF($A42="","",IF(I42="","",_xlfn.XLOOKUP($C42&amp;"_"&amp;$AG42,符文权重!$A:$A&amp;"_"&amp;符文权重!$C:$C,符文权重!$D:$D)*$X42/SUMIFS($X:$X,I:I,I42,$C:$C,$C42,$AG:$AG,$AG42)/SUMIF(符文权重!$A:$A,$C42,符文权重!$D:$D))),"")</f>
        <v>0.0196666666666667</v>
      </c>
      <c r="P42" s="39" cm="1">
        <f t="array" ref="P42">IFERROR(IF($A42="","",IF(J42="","",_xlfn.XLOOKUP($C42&amp;"_"&amp;$AG42,符文权重!$A:$A&amp;"_"&amp;符文权重!$C:$C,符文权重!$D:$D)*$X42/SUMIFS($X:$X,J:J,J42,$C:$C,$C42,$AG:$AG,$AG42)/SUMIF(符文权重!$A:$A,$C42,符文权重!$D:$D))),"")</f>
        <v>0.0196666666666667</v>
      </c>
      <c r="Q42" s="39" cm="1">
        <f t="array" ref="Q42">IFERROR(IF($A42="","",IF(K42="","",_xlfn.XLOOKUP($C42&amp;"_"&amp;$AG42,符文权重!$A:$A&amp;"_"&amp;符文权重!$C:$C,符文权重!$D:$D)*$X42/SUMIFS($X:$X,K:K,K42,$C:$C,$C42,$AG:$AG,$AG42)/SUMIF(符文权重!$A:$A,$C42,符文权重!$D:$D))),"")</f>
        <v>0.0196666666666667</v>
      </c>
      <c r="R42" s="26" t="s">
        <v>181</v>
      </c>
      <c r="S42" s="26" t="s">
        <v>209</v>
      </c>
      <c r="T42" s="26" t="e">
        <f>IF(B42="","",SUBSTITUTE(SUBSTITUTE("[{global_atk,"&amp;#REF!*C42&amp;"}]",21,20),9,8))</f>
        <v>#REF!</v>
      </c>
      <c r="U42" s="40" t="str">
        <f t="shared" si="21"/>
        <v>[5501055]</v>
      </c>
      <c r="V42" s="26" t="s">
        <v>215</v>
      </c>
      <c r="W42" s="25"/>
      <c r="X42" s="32">
        <v>100</v>
      </c>
      <c r="Y42" s="25"/>
      <c r="Z42" s="32" t="s">
        <v>176</v>
      </c>
      <c r="AA42" s="32" t="str">
        <f t="shared" si="14"/>
        <v>毒系职业攻击力+96</v>
      </c>
      <c r="AB42" s="32"/>
      <c r="AC42" s="32" t="s">
        <v>166</v>
      </c>
      <c r="AD42" s="32">
        <f t="shared" si="9"/>
        <v>1037</v>
      </c>
      <c r="AE42" s="38" t="str">
        <f t="shared" si="3"/>
        <v>5501051</v>
      </c>
      <c r="AF42" s="32" t="str">
        <f t="shared" si="4"/>
        <v>[96]</v>
      </c>
      <c r="AG42" s="26">
        <v>1</v>
      </c>
      <c r="AH42" s="26"/>
      <c r="AI42" s="26">
        <v>0</v>
      </c>
      <c r="AJ42" s="25" t="s">
        <v>167</v>
      </c>
      <c r="AK42" s="38">
        <f t="shared" si="22"/>
        <v>5501055</v>
      </c>
      <c r="AL42" s="41" t="str">
        <f t="shared" si="23"/>
        <v>毒系职业攻击力&lt;color=#54b76b&gt;+%s&lt;/color&gt;</v>
      </c>
      <c r="AM42" s="25">
        <v>96</v>
      </c>
      <c r="AN42" s="26">
        <v>1</v>
      </c>
      <c r="AO42" s="26" t="s">
        <v>32</v>
      </c>
      <c r="AP42" s="20">
        <f t="shared" si="10"/>
        <v>37</v>
      </c>
    </row>
    <row r="43" s="20" customFormat="1" customHeight="1" spans="1:42">
      <c r="A43" s="38">
        <v>5501056</v>
      </c>
      <c r="B43" s="38" t="str">
        <f t="shared" si="0"/>
        <v>5501051</v>
      </c>
      <c r="C43" s="32">
        <f t="shared" si="1"/>
        <v>6</v>
      </c>
      <c r="D43" s="32"/>
      <c r="E43" s="26" t="s">
        <v>162</v>
      </c>
      <c r="F43" s="26">
        <f t="shared" si="8"/>
        <v>1</v>
      </c>
      <c r="G43" s="26">
        <f>IFERROR(IF(--MID($E43,2*COUNTIF($F43:F43,"&gt;"&amp;0)+2,1)=G$1,G$1,""),"")</f>
        <v>2</v>
      </c>
      <c r="H43" s="26">
        <f>IFERROR(IF(--MID($E43,2*COUNTIF($F43:G43,"&gt;"&amp;0)+2,1)=H$1,H$1,""),"")</f>
        <v>3</v>
      </c>
      <c r="I43" s="26">
        <f>IFERROR(IF(--MID($E43,2*COUNTIF($F43:H43,"&gt;"&amp;0)+2,1)=I$1,I$1,""),"")</f>
        <v>4</v>
      </c>
      <c r="J43" s="26">
        <f>IFERROR(IF(--MID($E43,2*COUNTIF($F43:I43,"&gt;"&amp;0)+2,1)=J$1,J$1,""),"")</f>
        <v>5</v>
      </c>
      <c r="K43" s="26">
        <f>IFERROR(IF(--MID($E43,2*COUNTIF($F43:J43,"&gt;"&amp;0)+2,1)=K$1,K$1,""),"")</f>
        <v>6</v>
      </c>
      <c r="L43" s="39" cm="1">
        <f t="array" ref="L43">IFERROR(IF($A43="","",IF(F43="","",_xlfn.XLOOKUP($C43&amp;"_"&amp;$AG43,符文权重!$A:$A&amp;"_"&amp;符文权重!$C:$C,符文权重!$D:$D)*$X43/SUMIFS($X:$X,F:F,F43,$C:$C,$C43,$AG:$AG,$AG43)/SUMIF(符文权重!$A:$A,$C43,符文权重!$D:$D))),"")</f>
        <v>0.0196666666666667</v>
      </c>
      <c r="M43" s="39" cm="1">
        <f t="array" ref="M43">IFERROR(IF($A43="","",IF(G43="","",_xlfn.XLOOKUP($C43&amp;"_"&amp;$AG43,符文权重!$A:$A&amp;"_"&amp;符文权重!$C:$C,符文权重!$D:$D)*$X43/SUMIFS($X:$X,G:G,G43,$C:$C,$C43,$AG:$AG,$AG43)/SUMIF(符文权重!$A:$A,$C43,符文权重!$D:$D))),"")</f>
        <v>0.0196666666666667</v>
      </c>
      <c r="N43" s="39" cm="1">
        <f t="array" ref="N43">IFERROR(IF($A43="","",IF(H43="","",_xlfn.XLOOKUP($C43&amp;"_"&amp;$AG43,符文权重!$A:$A&amp;"_"&amp;符文权重!$C:$C,符文权重!$D:$D)*$X43/SUMIFS($X:$X,H:H,H43,$C:$C,$C43,$AG:$AG,$AG43)/SUMIF(符文权重!$A:$A,$C43,符文权重!$D:$D))),"")</f>
        <v>0.0196666666666667</v>
      </c>
      <c r="O43" s="39" cm="1">
        <f t="array" ref="O43">IFERROR(IF($A43="","",IF(I43="","",_xlfn.XLOOKUP($C43&amp;"_"&amp;$AG43,符文权重!$A:$A&amp;"_"&amp;符文权重!$C:$C,符文权重!$D:$D)*$X43/SUMIFS($X:$X,I:I,I43,$C:$C,$C43,$AG:$AG,$AG43)/SUMIF(符文权重!$A:$A,$C43,符文权重!$D:$D))),"")</f>
        <v>0.0196666666666667</v>
      </c>
      <c r="P43" s="39" cm="1">
        <f t="array" ref="P43">IFERROR(IF($A43="","",IF(J43="","",_xlfn.XLOOKUP($C43&amp;"_"&amp;$AG43,符文权重!$A:$A&amp;"_"&amp;符文权重!$C:$C,符文权重!$D:$D)*$X43/SUMIFS($X:$X,J:J,J43,$C:$C,$C43,$AG:$AG,$AG43)/SUMIF(符文权重!$A:$A,$C43,符文权重!$D:$D))),"")</f>
        <v>0.0196666666666667</v>
      </c>
      <c r="Q43" s="39" cm="1">
        <f t="array" ref="Q43">IFERROR(IF($A43="","",IF(K43="","",_xlfn.XLOOKUP($C43&amp;"_"&amp;$AG43,符文权重!$A:$A&amp;"_"&amp;符文权重!$C:$C,符文权重!$D:$D)*$X43/SUMIFS($X:$X,K:K,K43,$C:$C,$C43,$AG:$AG,$AG43)/SUMIF(符文权重!$A:$A,$C43,符文权重!$D:$D))),"")</f>
        <v>0.0196666666666667</v>
      </c>
      <c r="R43" s="26" t="s">
        <v>181</v>
      </c>
      <c r="S43" s="26" t="s">
        <v>209</v>
      </c>
      <c r="T43" s="26" t="e">
        <f>IF(B43="","",SUBSTITUTE(SUBSTITUTE("[{global_atk,"&amp;#REF!*C43&amp;"}]",21,20),9,8))</f>
        <v>#REF!</v>
      </c>
      <c r="U43" s="40" t="str">
        <f t="shared" si="21"/>
        <v>[5501056]</v>
      </c>
      <c r="V43" s="26" t="s">
        <v>216</v>
      </c>
      <c r="W43" s="25"/>
      <c r="X43" s="32">
        <v>100</v>
      </c>
      <c r="Y43" s="25"/>
      <c r="Z43" s="32" t="s">
        <v>178</v>
      </c>
      <c r="AA43" s="32" t="str">
        <f t="shared" si="14"/>
        <v>毒系职业攻击力+120</v>
      </c>
      <c r="AB43" s="32"/>
      <c r="AC43" s="32" t="s">
        <v>166</v>
      </c>
      <c r="AD43" s="32">
        <f t="shared" si="9"/>
        <v>1038</v>
      </c>
      <c r="AE43" s="38" t="str">
        <f t="shared" si="3"/>
        <v>5501051</v>
      </c>
      <c r="AF43" s="32" t="str">
        <f t="shared" si="4"/>
        <v>[120]</v>
      </c>
      <c r="AG43" s="26">
        <v>1</v>
      </c>
      <c r="AH43" s="26"/>
      <c r="AI43" s="26">
        <v>0</v>
      </c>
      <c r="AJ43" s="25" t="s">
        <v>167</v>
      </c>
      <c r="AK43" s="38">
        <f t="shared" si="22"/>
        <v>5501056</v>
      </c>
      <c r="AL43" s="41" t="str">
        <f t="shared" si="23"/>
        <v>毒系职业攻击力&lt;color=#54b76b&gt;+%s&lt;/color&gt;</v>
      </c>
      <c r="AM43" s="25">
        <v>120</v>
      </c>
      <c r="AN43" s="26">
        <v>1</v>
      </c>
      <c r="AO43" s="26" t="s">
        <v>32</v>
      </c>
      <c r="AP43" s="20">
        <f t="shared" si="10"/>
        <v>38</v>
      </c>
    </row>
    <row r="44" s="20" customFormat="1" customHeight="1" spans="1:42">
      <c r="A44" s="38">
        <v>5501057</v>
      </c>
      <c r="B44" s="38" t="str">
        <f t="shared" si="0"/>
        <v>5501051</v>
      </c>
      <c r="C44" s="32">
        <f t="shared" si="1"/>
        <v>7</v>
      </c>
      <c r="D44" s="32"/>
      <c r="E44" s="26" t="s">
        <v>162</v>
      </c>
      <c r="F44" s="26">
        <f t="shared" si="8"/>
        <v>1</v>
      </c>
      <c r="G44" s="26">
        <f>IFERROR(IF(--MID($E44,2*COUNTIF($F44:F44,"&gt;"&amp;0)+2,1)=G$1,G$1,""),"")</f>
        <v>2</v>
      </c>
      <c r="H44" s="26">
        <f>IFERROR(IF(--MID($E44,2*COUNTIF($F44:G44,"&gt;"&amp;0)+2,1)=H$1,H$1,""),"")</f>
        <v>3</v>
      </c>
      <c r="I44" s="26">
        <f>IFERROR(IF(--MID($E44,2*COUNTIF($F44:H44,"&gt;"&amp;0)+2,1)=I$1,I$1,""),"")</f>
        <v>4</v>
      </c>
      <c r="J44" s="26">
        <f>IFERROR(IF(--MID($E44,2*COUNTIF($F44:I44,"&gt;"&amp;0)+2,1)=J$1,J$1,""),"")</f>
        <v>5</v>
      </c>
      <c r="K44" s="26">
        <f>IFERROR(IF(--MID($E44,2*COUNTIF($F44:J44,"&gt;"&amp;0)+2,1)=K$1,K$1,""),"")</f>
        <v>6</v>
      </c>
      <c r="L44" s="39" cm="1">
        <f t="array" ref="L44">IFERROR(IF($A44="","",IF(F44="","",_xlfn.XLOOKUP($C44&amp;"_"&amp;$AG44,符文权重!$A:$A&amp;"_"&amp;符文权重!$C:$C,符文权重!$D:$D)*$X44/SUMIFS($X:$X,F:F,F44,$C:$C,$C44,$AG:$AG,$AG44)/SUMIF(符文权重!$A:$A,$C44,符文权重!$D:$D))),"")</f>
        <v>0.0196666666666667</v>
      </c>
      <c r="M44" s="39" cm="1">
        <f t="array" ref="M44">IFERROR(IF($A44="","",IF(G44="","",_xlfn.XLOOKUP($C44&amp;"_"&amp;$AG44,符文权重!$A:$A&amp;"_"&amp;符文权重!$C:$C,符文权重!$D:$D)*$X44/SUMIFS($X:$X,G:G,G44,$C:$C,$C44,$AG:$AG,$AG44)/SUMIF(符文权重!$A:$A,$C44,符文权重!$D:$D))),"")</f>
        <v>0.0196666666666667</v>
      </c>
      <c r="N44" s="39" cm="1">
        <f t="array" ref="N44">IFERROR(IF($A44="","",IF(H44="","",_xlfn.XLOOKUP($C44&amp;"_"&amp;$AG44,符文权重!$A:$A&amp;"_"&amp;符文权重!$C:$C,符文权重!$D:$D)*$X44/SUMIFS($X:$X,H:H,H44,$C:$C,$C44,$AG:$AG,$AG44)/SUMIF(符文权重!$A:$A,$C44,符文权重!$D:$D))),"")</f>
        <v>0.0196666666666667</v>
      </c>
      <c r="O44" s="39" cm="1">
        <f t="array" ref="O44">IFERROR(IF($A44="","",IF(I44="","",_xlfn.XLOOKUP($C44&amp;"_"&amp;$AG44,符文权重!$A:$A&amp;"_"&amp;符文权重!$C:$C,符文权重!$D:$D)*$X44/SUMIFS($X:$X,I:I,I44,$C:$C,$C44,$AG:$AG,$AG44)/SUMIF(符文权重!$A:$A,$C44,符文权重!$D:$D))),"")</f>
        <v>0.0196666666666667</v>
      </c>
      <c r="P44" s="39" cm="1">
        <f t="array" ref="P44">IFERROR(IF($A44="","",IF(J44="","",_xlfn.XLOOKUP($C44&amp;"_"&amp;$AG44,符文权重!$A:$A&amp;"_"&amp;符文权重!$C:$C,符文权重!$D:$D)*$X44/SUMIFS($X:$X,J:J,J44,$C:$C,$C44,$AG:$AG,$AG44)/SUMIF(符文权重!$A:$A,$C44,符文权重!$D:$D))),"")</f>
        <v>0.0196666666666667</v>
      </c>
      <c r="Q44" s="39" cm="1">
        <f t="array" ref="Q44">IFERROR(IF($A44="","",IF(K44="","",_xlfn.XLOOKUP($C44&amp;"_"&amp;$AG44,符文权重!$A:$A&amp;"_"&amp;符文权重!$C:$C,符文权重!$D:$D)*$X44/SUMIFS($X:$X,K:K,K44,$C:$C,$C44,$AG:$AG,$AG44)/SUMIF(符文权重!$A:$A,$C44,符文权重!$D:$D))),"")</f>
        <v>0.0196666666666667</v>
      </c>
      <c r="R44" s="26" t="s">
        <v>181</v>
      </c>
      <c r="S44" s="26" t="s">
        <v>209</v>
      </c>
      <c r="T44" s="26" t="e">
        <f>IF(B44="","",SUBSTITUTE(SUBSTITUTE("[{global_atk,"&amp;#REF!*C44&amp;"}]",21,20),9,8))</f>
        <v>#REF!</v>
      </c>
      <c r="U44" s="40" t="str">
        <f t="shared" si="21"/>
        <v>[5501057]</v>
      </c>
      <c r="V44" s="26" t="s">
        <v>217</v>
      </c>
      <c r="W44" s="25"/>
      <c r="X44" s="32">
        <v>100</v>
      </c>
      <c r="Y44" s="25"/>
      <c r="Z44" s="32" t="s">
        <v>180</v>
      </c>
      <c r="AA44" s="32" t="str">
        <f t="shared" si="14"/>
        <v>毒系职业攻击力+150</v>
      </c>
      <c r="AB44" s="32"/>
      <c r="AC44" s="32" t="s">
        <v>166</v>
      </c>
      <c r="AD44" s="32">
        <f t="shared" si="9"/>
        <v>1039</v>
      </c>
      <c r="AE44" s="38" t="str">
        <f t="shared" si="3"/>
        <v>5501051</v>
      </c>
      <c r="AF44" s="32" t="str">
        <f t="shared" si="4"/>
        <v>[150]</v>
      </c>
      <c r="AG44" s="26">
        <v>1</v>
      </c>
      <c r="AH44" s="26"/>
      <c r="AI44" s="26">
        <v>0</v>
      </c>
      <c r="AJ44" s="25" t="s">
        <v>167</v>
      </c>
      <c r="AK44" s="38">
        <f t="shared" si="22"/>
        <v>5501057</v>
      </c>
      <c r="AL44" s="41" t="str">
        <f t="shared" si="23"/>
        <v>毒系职业攻击力&lt;color=#54b76b&gt;+%s&lt;/color&gt;</v>
      </c>
      <c r="AM44" s="25">
        <v>150</v>
      </c>
      <c r="AN44" s="26">
        <v>1</v>
      </c>
      <c r="AO44" s="26" t="s">
        <v>32</v>
      </c>
      <c r="AP44" s="20">
        <f t="shared" si="10"/>
        <v>39</v>
      </c>
    </row>
    <row r="45" s="20" customFormat="1" customHeight="1" spans="1:42">
      <c r="A45" s="38" t="s">
        <v>167</v>
      </c>
      <c r="B45" s="38" t="str">
        <f t="shared" si="0"/>
        <v/>
      </c>
      <c r="C45" s="32" t="str">
        <f t="shared" si="1"/>
        <v/>
      </c>
      <c r="D45" s="32"/>
      <c r="E45" s="26"/>
      <c r="F45" s="26" t="str">
        <f t="shared" si="8"/>
        <v/>
      </c>
      <c r="G45" s="26" t="str">
        <f>IFERROR(IF(--MID($E45,2*COUNTIF($F45:F45,"&gt;"&amp;0)+2,1)=G$1,G$1,""),"")</f>
        <v/>
      </c>
      <c r="H45" s="26" t="str">
        <f>IFERROR(IF(--MID($E45,2*COUNTIF($F45:G45,"&gt;"&amp;0)+2,1)=H$1,H$1,""),"")</f>
        <v/>
      </c>
      <c r="I45" s="26" t="str">
        <f>IFERROR(IF(--MID($E45,2*COUNTIF($F45:H45,"&gt;"&amp;0)+2,1)=I$1,I$1,""),"")</f>
        <v/>
      </c>
      <c r="J45" s="26" t="str">
        <f>IFERROR(IF(--MID($E45,2*COUNTIF($F45:I45,"&gt;"&amp;0)+2,1)=J$1,J$1,""),"")</f>
        <v/>
      </c>
      <c r="K45" s="26" t="str">
        <f>IFERROR(IF(--MID($E45,2*COUNTIF($F45:J45,"&gt;"&amp;0)+2,1)=K$1,K$1,""),"")</f>
        <v/>
      </c>
      <c r="L45" s="39" t="str" cm="1">
        <f t="array" ref="L45">IFERROR(IF($A45="","",IF(F45="","",_xlfn.XLOOKUP($C45&amp;"_"&amp;$AG45,符文权重!$A:$A&amp;"_"&amp;符文权重!$C:$C,符文权重!$D:$D)*$X45/SUMIFS($X:$X,F:F,F45,$C:$C,$C45,$AG:$AG,$AG45)/SUMIF(符文权重!$A:$A,$C45,符文权重!$D:$D))),"")</f>
        <v/>
      </c>
      <c r="M45" s="39" t="str" cm="1">
        <f t="array" ref="M45">IFERROR(IF($A45="","",IF(G45="","",_xlfn.XLOOKUP($C45&amp;"_"&amp;$AG45,符文权重!$A:$A&amp;"_"&amp;符文权重!$C:$C,符文权重!$D:$D)*$X45/SUMIFS($X:$X,G:G,G45,$C:$C,$C45,$AG:$AG,$AG45)/SUMIF(符文权重!$A:$A,$C45,符文权重!$D:$D))),"")</f>
        <v/>
      </c>
      <c r="N45" s="39" t="str" cm="1">
        <f t="array" ref="N45">IFERROR(IF($A45="","",IF(H45="","",_xlfn.XLOOKUP($C45&amp;"_"&amp;$AG45,符文权重!$A:$A&amp;"_"&amp;符文权重!$C:$C,符文权重!$D:$D)*$X45/SUMIFS($X:$X,H:H,H45,$C:$C,$C45,$AG:$AG,$AG45)/SUMIF(符文权重!$A:$A,$C45,符文权重!$D:$D))),"")</f>
        <v/>
      </c>
      <c r="O45" s="39" t="str" cm="1">
        <f t="array" ref="O45">IFERROR(IF($A45="","",IF(I45="","",_xlfn.XLOOKUP($C45&amp;"_"&amp;$AG45,符文权重!$A:$A&amp;"_"&amp;符文权重!$C:$C,符文权重!$D:$D)*$X45/SUMIFS($X:$X,I:I,I45,$C:$C,$C45,$AG:$AG,$AG45)/SUMIF(符文权重!$A:$A,$C45,符文权重!$D:$D))),"")</f>
        <v/>
      </c>
      <c r="P45" s="39" t="str" cm="1">
        <f t="array" ref="P45">IFERROR(IF($A45="","",IF(J45="","",_xlfn.XLOOKUP($C45&amp;"_"&amp;$AG45,符文权重!$A:$A&amp;"_"&amp;符文权重!$C:$C,符文权重!$D:$D)*$X45/SUMIFS($X:$X,J:J,J45,$C:$C,$C45,$AG:$AG,$AG45)/SUMIF(符文权重!$A:$A,$C45,符文权重!$D:$D))),"")</f>
        <v/>
      </c>
      <c r="Q45" s="39" t="str" cm="1">
        <f t="array" ref="Q45">IFERROR(IF($A45="","",IF(K45="","",_xlfn.XLOOKUP($C45&amp;"_"&amp;$AG45,符文权重!$A:$A&amp;"_"&amp;符文权重!$C:$C,符文权重!$D:$D)*$X45/SUMIFS($X:$X,K:K,K45,$C:$C,$C45,$AG:$AG,$AG45)/SUMIF(符文权重!$A:$A,$C45,符文权重!$D:$D))),"")</f>
        <v/>
      </c>
      <c r="R45" s="26"/>
      <c r="S45" s="26"/>
      <c r="T45" s="26"/>
      <c r="U45" s="40"/>
      <c r="V45" s="31"/>
      <c r="W45" s="25"/>
      <c r="X45" s="32"/>
      <c r="Y45" s="25"/>
      <c r="Z45" s="32" t="s">
        <v>167</v>
      </c>
      <c r="AA45" s="32" t="str">
        <f t="shared" si="14"/>
        <v/>
      </c>
      <c r="AB45" s="32"/>
      <c r="AC45" s="32" t="s">
        <v>166</v>
      </c>
      <c r="AD45" s="32">
        <f t="shared" si="9"/>
        <v>1040</v>
      </c>
      <c r="AE45" s="38" t="str">
        <f t="shared" si="3"/>
        <v/>
      </c>
      <c r="AF45" s="32" t="str">
        <f t="shared" si="4"/>
        <v/>
      </c>
      <c r="AG45" s="26"/>
      <c r="AH45" s="26"/>
      <c r="AI45" s="26"/>
      <c r="AJ45" s="25" t="s">
        <v>167</v>
      </c>
      <c r="AK45" s="24"/>
      <c r="AL45" s="43"/>
      <c r="AM45" s="25"/>
      <c r="AN45" s="26"/>
      <c r="AO45" s="26"/>
      <c r="AP45" s="20">
        <f t="shared" si="10"/>
        <v>40</v>
      </c>
    </row>
    <row r="46" s="22" customFormat="1" customHeight="1" spans="1:42">
      <c r="A46" s="44">
        <v>5501061</v>
      </c>
      <c r="B46" s="44" t="str">
        <f t="shared" si="0"/>
        <v>5501061</v>
      </c>
      <c r="C46" s="45">
        <f t="shared" si="1"/>
        <v>1</v>
      </c>
      <c r="D46" s="45"/>
      <c r="E46" s="46" t="s">
        <v>162</v>
      </c>
      <c r="F46" s="26">
        <f t="shared" si="8"/>
        <v>1</v>
      </c>
      <c r="G46" s="26">
        <f>IFERROR(IF(--MID($E46,2*COUNTIF($F46:F46,"&gt;"&amp;0)+2,1)=G$1,G$1,""),"")</f>
        <v>2</v>
      </c>
      <c r="H46" s="26">
        <f>IFERROR(IF(--MID($E46,2*COUNTIF($F46:G46,"&gt;"&amp;0)+2,1)=H$1,H$1,""),"")</f>
        <v>3</v>
      </c>
      <c r="I46" s="26">
        <f>IFERROR(IF(--MID($E46,2*COUNTIF($F46:H46,"&gt;"&amp;0)+2,1)=I$1,I$1,""),"")</f>
        <v>4</v>
      </c>
      <c r="J46" s="26">
        <f>IFERROR(IF(--MID($E46,2*COUNTIF($F46:I46,"&gt;"&amp;0)+2,1)=J$1,J$1,""),"")</f>
        <v>5</v>
      </c>
      <c r="K46" s="26">
        <f>IFERROR(IF(--MID($E46,2*COUNTIF($F46:J46,"&gt;"&amp;0)+2,1)=K$1,K$1,""),"")</f>
        <v>6</v>
      </c>
      <c r="L46" s="39" t="str" cm="1">
        <f t="array" ref="L46">IFERROR(IF($A46="","",IF(F46="","",_xlfn.XLOOKUP($C46&amp;"_"&amp;$AG46,符文权重!$A:$A&amp;"_"&amp;符文权重!$C:$C,符文权重!$D:$D)*$X46/SUMIFS($X:$X,F:F,F46,$C:$C,$C46,$AG:$AG,$AG46)/SUMIF(符文权重!$A:$A,$C46,符文权重!$D:$D))),"")</f>
        <v/>
      </c>
      <c r="M46" s="39" t="str" cm="1">
        <f t="array" ref="M46">IFERROR(IF($A46="","",IF(G46="","",_xlfn.XLOOKUP($C46&amp;"_"&amp;$AG46,符文权重!$A:$A&amp;"_"&amp;符文权重!$C:$C,符文权重!$D:$D)*$X46/SUMIFS($X:$X,G:G,G46,$C:$C,$C46,$AG:$AG,$AG46)/SUMIF(符文权重!$A:$A,$C46,符文权重!$D:$D))),"")</f>
        <v/>
      </c>
      <c r="N46" s="39" t="str" cm="1">
        <f t="array" ref="N46">IFERROR(IF($A46="","",IF(H46="","",_xlfn.XLOOKUP($C46&amp;"_"&amp;$AG46,符文权重!$A:$A&amp;"_"&amp;符文权重!$C:$C,符文权重!$D:$D)*$X46/SUMIFS($X:$X,H:H,H46,$C:$C,$C46,$AG:$AG,$AG46)/SUMIF(符文权重!$A:$A,$C46,符文权重!$D:$D))),"")</f>
        <v/>
      </c>
      <c r="O46" s="39" t="str" cm="1">
        <f t="array" ref="O46">IFERROR(IF($A46="","",IF(I46="","",_xlfn.XLOOKUP($C46&amp;"_"&amp;$AG46,符文权重!$A:$A&amp;"_"&amp;符文权重!$C:$C,符文权重!$D:$D)*$X46/SUMIFS($X:$X,I:I,I46,$C:$C,$C46,$AG:$AG,$AG46)/SUMIF(符文权重!$A:$A,$C46,符文权重!$D:$D))),"")</f>
        <v/>
      </c>
      <c r="P46" s="39" t="str" cm="1">
        <f t="array" ref="P46">IFERROR(IF($A46="","",IF(J46="","",_xlfn.XLOOKUP($C46&amp;"_"&amp;$AG46,符文权重!$A:$A&amp;"_"&amp;符文权重!$C:$C,符文权重!$D:$D)*$X46/SUMIFS($X:$X,J:J,J46,$C:$C,$C46,$AG:$AG,$AG46)/SUMIF(符文权重!$A:$A,$C46,符文权重!$D:$D))),"")</f>
        <v/>
      </c>
      <c r="Q46" s="39" t="str" cm="1">
        <f t="array" ref="Q46">IFERROR(IF($A46="","",IF(K46="","",_xlfn.XLOOKUP($C46&amp;"_"&amp;$AG46,符文权重!$A:$A&amp;"_"&amp;符文权重!$C:$C,符文权重!$D:$D)*$X46/SUMIFS($X:$X,K:K,K46,$C:$C,$C46,$AG:$AG,$AG46)/SUMIF(符文权重!$A:$A,$C46,符文权重!$D:$D))),"")</f>
        <v/>
      </c>
      <c r="R46" s="46" t="s">
        <v>181</v>
      </c>
      <c r="S46" s="46" t="s">
        <v>218</v>
      </c>
      <c r="T46" s="46" t="e">
        <f>IF(B46="","",SUBSTITUTE(SUBSTITUTE("[{global_atk,"&amp;#REF!*C46&amp;"}]",21,20),9,8))</f>
        <v>#REF!</v>
      </c>
      <c r="U46" s="47" t="str">
        <f t="shared" ref="U46:U52" si="24">"["&amp;A46&amp;"]"</f>
        <v>[5501061]</v>
      </c>
      <c r="V46" s="46" t="s">
        <v>219</v>
      </c>
      <c r="W46" s="23"/>
      <c r="X46" s="32">
        <v>100</v>
      </c>
      <c r="Y46" s="23"/>
      <c r="Z46" s="45" t="s">
        <v>165</v>
      </c>
      <c r="AA46" s="32" t="str">
        <f t="shared" si="14"/>
        <v>控制职业攻击力+30</v>
      </c>
      <c r="AB46" s="32"/>
      <c r="AC46" s="32" t="s">
        <v>166</v>
      </c>
      <c r="AD46" s="32">
        <f t="shared" si="9"/>
        <v>1041</v>
      </c>
      <c r="AE46" s="44" t="str">
        <f t="shared" si="3"/>
        <v>5501061</v>
      </c>
      <c r="AF46" s="45" t="str">
        <f t="shared" si="4"/>
        <v>[30]</v>
      </c>
      <c r="AG46" s="26">
        <v>100</v>
      </c>
      <c r="AH46" s="46"/>
      <c r="AI46" s="46">
        <v>1</v>
      </c>
      <c r="AJ46" s="25" t="s">
        <v>167</v>
      </c>
      <c r="AK46" s="48">
        <v>5501061</v>
      </c>
      <c r="AL46" s="49" t="s">
        <v>220</v>
      </c>
      <c r="AM46" s="23">
        <v>30</v>
      </c>
      <c r="AN46" s="26">
        <v>1</v>
      </c>
      <c r="AO46" s="26" t="s">
        <v>32</v>
      </c>
      <c r="AP46" s="20">
        <f t="shared" si="10"/>
        <v>41</v>
      </c>
    </row>
    <row r="47" s="22" customFormat="1" customHeight="1" spans="1:42">
      <c r="A47" s="44">
        <v>5501062</v>
      </c>
      <c r="B47" s="44" t="str">
        <f t="shared" si="0"/>
        <v>5501061</v>
      </c>
      <c r="C47" s="45">
        <f t="shared" si="1"/>
        <v>2</v>
      </c>
      <c r="D47" s="45"/>
      <c r="E47" s="46" t="s">
        <v>162</v>
      </c>
      <c r="F47" s="26">
        <f t="shared" si="8"/>
        <v>1</v>
      </c>
      <c r="G47" s="26">
        <f>IFERROR(IF(--MID($E47,2*COUNTIF($F47:F47,"&gt;"&amp;0)+2,1)=G$1,G$1,""),"")</f>
        <v>2</v>
      </c>
      <c r="H47" s="26">
        <f>IFERROR(IF(--MID($E47,2*COUNTIF($F47:G47,"&gt;"&amp;0)+2,1)=H$1,H$1,""),"")</f>
        <v>3</v>
      </c>
      <c r="I47" s="26">
        <f>IFERROR(IF(--MID($E47,2*COUNTIF($F47:H47,"&gt;"&amp;0)+2,1)=I$1,I$1,""),"")</f>
        <v>4</v>
      </c>
      <c r="J47" s="26">
        <f>IFERROR(IF(--MID($E47,2*COUNTIF($F47:I47,"&gt;"&amp;0)+2,1)=J$1,J$1,""),"")</f>
        <v>5</v>
      </c>
      <c r="K47" s="26">
        <f>IFERROR(IF(--MID($E47,2*COUNTIF($F47:J47,"&gt;"&amp;0)+2,1)=K$1,K$1,""),"")</f>
        <v>6</v>
      </c>
      <c r="L47" s="39" t="str" cm="1">
        <f t="array" ref="L47">IFERROR(IF($A47="","",IF(F47="","",_xlfn.XLOOKUP($C47&amp;"_"&amp;$AG47,符文权重!$A:$A&amp;"_"&amp;符文权重!$C:$C,符文权重!$D:$D)*$X47/SUMIFS($X:$X,F:F,F47,$C:$C,$C47,$AG:$AG,$AG47)/SUMIF(符文权重!$A:$A,$C47,符文权重!$D:$D))),"")</f>
        <v/>
      </c>
      <c r="M47" s="39" t="str" cm="1">
        <f t="array" ref="M47">IFERROR(IF($A47="","",IF(G47="","",_xlfn.XLOOKUP($C47&amp;"_"&amp;$AG47,符文权重!$A:$A&amp;"_"&amp;符文权重!$C:$C,符文权重!$D:$D)*$X47/SUMIFS($X:$X,G:G,G47,$C:$C,$C47,$AG:$AG,$AG47)/SUMIF(符文权重!$A:$A,$C47,符文权重!$D:$D))),"")</f>
        <v/>
      </c>
      <c r="N47" s="39" t="str" cm="1">
        <f t="array" ref="N47">IFERROR(IF($A47="","",IF(H47="","",_xlfn.XLOOKUP($C47&amp;"_"&amp;$AG47,符文权重!$A:$A&amp;"_"&amp;符文权重!$C:$C,符文权重!$D:$D)*$X47/SUMIFS($X:$X,H:H,H47,$C:$C,$C47,$AG:$AG,$AG47)/SUMIF(符文权重!$A:$A,$C47,符文权重!$D:$D))),"")</f>
        <v/>
      </c>
      <c r="O47" s="39" t="str" cm="1">
        <f t="array" ref="O47">IFERROR(IF($A47="","",IF(I47="","",_xlfn.XLOOKUP($C47&amp;"_"&amp;$AG47,符文权重!$A:$A&amp;"_"&amp;符文权重!$C:$C,符文权重!$D:$D)*$X47/SUMIFS($X:$X,I:I,I47,$C:$C,$C47,$AG:$AG,$AG47)/SUMIF(符文权重!$A:$A,$C47,符文权重!$D:$D))),"")</f>
        <v/>
      </c>
      <c r="P47" s="39" t="str" cm="1">
        <f t="array" ref="P47">IFERROR(IF($A47="","",IF(J47="","",_xlfn.XLOOKUP($C47&amp;"_"&amp;$AG47,符文权重!$A:$A&amp;"_"&amp;符文权重!$C:$C,符文权重!$D:$D)*$X47/SUMIFS($X:$X,J:J,J47,$C:$C,$C47,$AG:$AG,$AG47)/SUMIF(符文权重!$A:$A,$C47,符文权重!$D:$D))),"")</f>
        <v/>
      </c>
      <c r="Q47" s="39" t="str" cm="1">
        <f t="array" ref="Q47">IFERROR(IF($A47="","",IF(K47="","",_xlfn.XLOOKUP($C47&amp;"_"&amp;$AG47,符文权重!$A:$A&amp;"_"&amp;符文权重!$C:$C,符文权重!$D:$D)*$X47/SUMIFS($X:$X,K:K,K47,$C:$C,$C47,$AG:$AG,$AG47)/SUMIF(符文权重!$A:$A,$C47,符文权重!$D:$D))),"")</f>
        <v/>
      </c>
      <c r="R47" s="46" t="s">
        <v>181</v>
      </c>
      <c r="S47" s="46" t="s">
        <v>218</v>
      </c>
      <c r="T47" s="46" t="e">
        <f>IF(B47="","",SUBSTITUTE(SUBSTITUTE("[{global_atk,"&amp;#REF!*C47&amp;"}]",21,20),9,8))</f>
        <v>#REF!</v>
      </c>
      <c r="U47" s="47" t="str">
        <f t="shared" si="24"/>
        <v>[5501062]</v>
      </c>
      <c r="V47" s="46" t="s">
        <v>221</v>
      </c>
      <c r="W47" s="23"/>
      <c r="X47" s="32">
        <v>100</v>
      </c>
      <c r="Y47" s="23"/>
      <c r="Z47" s="45" t="s">
        <v>170</v>
      </c>
      <c r="AA47" s="32" t="str">
        <f t="shared" si="14"/>
        <v>控制职业攻击力+40</v>
      </c>
      <c r="AB47" s="32"/>
      <c r="AC47" s="32" t="s">
        <v>166</v>
      </c>
      <c r="AD47" s="32">
        <f t="shared" si="9"/>
        <v>1042</v>
      </c>
      <c r="AE47" s="44" t="str">
        <f t="shared" si="3"/>
        <v>5501061</v>
      </c>
      <c r="AF47" s="45" t="str">
        <f t="shared" si="4"/>
        <v>[40]</v>
      </c>
      <c r="AG47" s="26">
        <v>100</v>
      </c>
      <c r="AH47" s="46"/>
      <c r="AI47" s="46">
        <v>1</v>
      </c>
      <c r="AJ47" s="25" t="s">
        <v>167</v>
      </c>
      <c r="AK47" s="44">
        <f t="shared" ref="AK47:AK52" si="25">AK46+1</f>
        <v>5501062</v>
      </c>
      <c r="AL47" s="50" t="str">
        <f t="shared" ref="AL47:AL52" si="26">AL46</f>
        <v>控制职业攻击力&lt;color=#54b76b&gt;+%s&lt;/color&gt;</v>
      </c>
      <c r="AM47" s="23">
        <v>40</v>
      </c>
      <c r="AN47" s="26">
        <v>1</v>
      </c>
      <c r="AO47" s="26" t="s">
        <v>32</v>
      </c>
      <c r="AP47" s="20">
        <f t="shared" si="10"/>
        <v>42</v>
      </c>
    </row>
    <row r="48" s="22" customFormat="1" customHeight="1" spans="1:42">
      <c r="A48" s="44">
        <v>5501063</v>
      </c>
      <c r="B48" s="44" t="str">
        <f t="shared" si="0"/>
        <v>5501061</v>
      </c>
      <c r="C48" s="45">
        <f t="shared" si="1"/>
        <v>3</v>
      </c>
      <c r="D48" s="45"/>
      <c r="E48" s="46" t="s">
        <v>162</v>
      </c>
      <c r="F48" s="26">
        <f t="shared" si="8"/>
        <v>1</v>
      </c>
      <c r="G48" s="26">
        <f>IFERROR(IF(--MID($E48,2*COUNTIF($F48:F48,"&gt;"&amp;0)+2,1)=G$1,G$1,""),"")</f>
        <v>2</v>
      </c>
      <c r="H48" s="26">
        <f>IFERROR(IF(--MID($E48,2*COUNTIF($F48:G48,"&gt;"&amp;0)+2,1)=H$1,H$1,""),"")</f>
        <v>3</v>
      </c>
      <c r="I48" s="26">
        <f>IFERROR(IF(--MID($E48,2*COUNTIF($F48:H48,"&gt;"&amp;0)+2,1)=I$1,I$1,""),"")</f>
        <v>4</v>
      </c>
      <c r="J48" s="26">
        <f>IFERROR(IF(--MID($E48,2*COUNTIF($F48:I48,"&gt;"&amp;0)+2,1)=J$1,J$1,""),"")</f>
        <v>5</v>
      </c>
      <c r="K48" s="26">
        <f>IFERROR(IF(--MID($E48,2*COUNTIF($F48:J48,"&gt;"&amp;0)+2,1)=K$1,K$1,""),"")</f>
        <v>6</v>
      </c>
      <c r="L48" s="39" t="str" cm="1">
        <f t="array" ref="L48">IFERROR(IF($A48="","",IF(F48="","",_xlfn.XLOOKUP($C48&amp;"_"&amp;$AG48,符文权重!$A:$A&amp;"_"&amp;符文权重!$C:$C,符文权重!$D:$D)*$X48/SUMIFS($X:$X,F:F,F48,$C:$C,$C48,$AG:$AG,$AG48)/SUMIF(符文权重!$A:$A,$C48,符文权重!$D:$D))),"")</f>
        <v/>
      </c>
      <c r="M48" s="39" t="str" cm="1">
        <f t="array" ref="M48">IFERROR(IF($A48="","",IF(G48="","",_xlfn.XLOOKUP($C48&amp;"_"&amp;$AG48,符文权重!$A:$A&amp;"_"&amp;符文权重!$C:$C,符文权重!$D:$D)*$X48/SUMIFS($X:$X,G:G,G48,$C:$C,$C48,$AG:$AG,$AG48)/SUMIF(符文权重!$A:$A,$C48,符文权重!$D:$D))),"")</f>
        <v/>
      </c>
      <c r="N48" s="39" t="str" cm="1">
        <f t="array" ref="N48">IFERROR(IF($A48="","",IF(H48="","",_xlfn.XLOOKUP($C48&amp;"_"&amp;$AG48,符文权重!$A:$A&amp;"_"&amp;符文权重!$C:$C,符文权重!$D:$D)*$X48/SUMIFS($X:$X,H:H,H48,$C:$C,$C48,$AG:$AG,$AG48)/SUMIF(符文权重!$A:$A,$C48,符文权重!$D:$D))),"")</f>
        <v/>
      </c>
      <c r="O48" s="39" t="str" cm="1">
        <f t="array" ref="O48">IFERROR(IF($A48="","",IF(I48="","",_xlfn.XLOOKUP($C48&amp;"_"&amp;$AG48,符文权重!$A:$A&amp;"_"&amp;符文权重!$C:$C,符文权重!$D:$D)*$X48/SUMIFS($X:$X,I:I,I48,$C:$C,$C48,$AG:$AG,$AG48)/SUMIF(符文权重!$A:$A,$C48,符文权重!$D:$D))),"")</f>
        <v/>
      </c>
      <c r="P48" s="39" t="str" cm="1">
        <f t="array" ref="P48">IFERROR(IF($A48="","",IF(J48="","",_xlfn.XLOOKUP($C48&amp;"_"&amp;$AG48,符文权重!$A:$A&amp;"_"&amp;符文权重!$C:$C,符文权重!$D:$D)*$X48/SUMIFS($X:$X,J:J,J48,$C:$C,$C48,$AG:$AG,$AG48)/SUMIF(符文权重!$A:$A,$C48,符文权重!$D:$D))),"")</f>
        <v/>
      </c>
      <c r="Q48" s="39" t="str" cm="1">
        <f t="array" ref="Q48">IFERROR(IF($A48="","",IF(K48="","",_xlfn.XLOOKUP($C48&amp;"_"&amp;$AG48,符文权重!$A:$A&amp;"_"&amp;符文权重!$C:$C,符文权重!$D:$D)*$X48/SUMIFS($X:$X,K:K,K48,$C:$C,$C48,$AG:$AG,$AG48)/SUMIF(符文权重!$A:$A,$C48,符文权重!$D:$D))),"")</f>
        <v/>
      </c>
      <c r="R48" s="46" t="s">
        <v>181</v>
      </c>
      <c r="S48" s="46" t="s">
        <v>218</v>
      </c>
      <c r="T48" s="46" t="e">
        <f>IF(B48="","",SUBSTITUTE(SUBSTITUTE("[{global_atk,"&amp;#REF!*C48&amp;"}]",21,20),9,8))</f>
        <v>#REF!</v>
      </c>
      <c r="U48" s="47" t="str">
        <f t="shared" si="24"/>
        <v>[5501063]</v>
      </c>
      <c r="V48" s="46" t="s">
        <v>222</v>
      </c>
      <c r="W48" s="23"/>
      <c r="X48" s="32">
        <v>100</v>
      </c>
      <c r="Y48" s="23"/>
      <c r="Z48" s="45" t="s">
        <v>172</v>
      </c>
      <c r="AA48" s="32" t="str">
        <f t="shared" si="14"/>
        <v>控制职业攻击力+50</v>
      </c>
      <c r="AB48" s="32"/>
      <c r="AC48" s="32" t="s">
        <v>166</v>
      </c>
      <c r="AD48" s="32">
        <f t="shared" si="9"/>
        <v>1043</v>
      </c>
      <c r="AE48" s="44" t="str">
        <f t="shared" si="3"/>
        <v>5501061</v>
      </c>
      <c r="AF48" s="45" t="str">
        <f t="shared" si="4"/>
        <v>[50]</v>
      </c>
      <c r="AG48" s="26">
        <v>100</v>
      </c>
      <c r="AH48" s="46"/>
      <c r="AI48" s="46">
        <v>1</v>
      </c>
      <c r="AJ48" s="25" t="s">
        <v>167</v>
      </c>
      <c r="AK48" s="44">
        <f t="shared" si="25"/>
        <v>5501063</v>
      </c>
      <c r="AL48" s="50" t="str">
        <f t="shared" si="26"/>
        <v>控制职业攻击力&lt;color=#54b76b&gt;+%s&lt;/color&gt;</v>
      </c>
      <c r="AM48" s="23">
        <v>50</v>
      </c>
      <c r="AN48" s="26">
        <v>1</v>
      </c>
      <c r="AO48" s="26" t="s">
        <v>32</v>
      </c>
      <c r="AP48" s="20">
        <f t="shared" si="10"/>
        <v>43</v>
      </c>
    </row>
    <row r="49" s="20" customFormat="1" customHeight="1" spans="1:42">
      <c r="A49" s="38">
        <v>5501064</v>
      </c>
      <c r="B49" s="38" t="str">
        <f t="shared" si="0"/>
        <v>5501061</v>
      </c>
      <c r="C49" s="32">
        <f t="shared" si="1"/>
        <v>4</v>
      </c>
      <c r="D49" s="32"/>
      <c r="E49" s="26" t="s">
        <v>162</v>
      </c>
      <c r="F49" s="26">
        <f t="shared" si="8"/>
        <v>1</v>
      </c>
      <c r="G49" s="26">
        <f>IFERROR(IF(--MID($E49,2*COUNTIF($F49:F49,"&gt;"&amp;0)+2,1)=G$1,G$1,""),"")</f>
        <v>2</v>
      </c>
      <c r="H49" s="26">
        <f>IFERROR(IF(--MID($E49,2*COUNTIF($F49:G49,"&gt;"&amp;0)+2,1)=H$1,H$1,""),"")</f>
        <v>3</v>
      </c>
      <c r="I49" s="26">
        <f>IFERROR(IF(--MID($E49,2*COUNTIF($F49:H49,"&gt;"&amp;0)+2,1)=I$1,I$1,""),"")</f>
        <v>4</v>
      </c>
      <c r="J49" s="26">
        <f>IFERROR(IF(--MID($E49,2*COUNTIF($F49:I49,"&gt;"&amp;0)+2,1)=J$1,J$1,""),"")</f>
        <v>5</v>
      </c>
      <c r="K49" s="26">
        <f>IFERROR(IF(--MID($E49,2*COUNTIF($F49:J49,"&gt;"&amp;0)+2,1)=K$1,K$1,""),"")</f>
        <v>6</v>
      </c>
      <c r="L49" s="39" cm="1">
        <f t="array" ref="L49">IFERROR(IF($A49="","",IF(F49="","",_xlfn.XLOOKUP($C49&amp;"_"&amp;$AG49,符文权重!$A:$A&amp;"_"&amp;符文权重!$C:$C,符文权重!$D:$D)*$X49/SUMIFS($X:$X,F:F,F49,$C:$C,$C49,$AG:$AG,$AG49)/SUMIF(符文权重!$A:$A,$C49,符文权重!$D:$D))),"")</f>
        <v>0.0075614934114202</v>
      </c>
      <c r="M49" s="39" cm="1">
        <f t="array" ref="M49">IFERROR(IF($A49="","",IF(G49="","",_xlfn.XLOOKUP($C49&amp;"_"&amp;$AG49,符文权重!$A:$A&amp;"_"&amp;符文权重!$C:$C,符文权重!$D:$D)*$X49/SUMIFS($X:$X,G:G,G49,$C:$C,$C49,$AG:$AG,$AG49)/SUMIF(符文权重!$A:$A,$C49,符文权重!$D:$D))),"")</f>
        <v>0.0075614934114202</v>
      </c>
      <c r="N49" s="39" cm="1">
        <f t="array" ref="N49">IFERROR(IF($A49="","",IF(H49="","",_xlfn.XLOOKUP($C49&amp;"_"&amp;$AG49,符文权重!$A:$A&amp;"_"&amp;符文权重!$C:$C,符文权重!$D:$D)*$X49/SUMIFS($X:$X,H:H,H49,$C:$C,$C49,$AG:$AG,$AG49)/SUMIF(符文权重!$A:$A,$C49,符文权重!$D:$D))),"")</f>
        <v>0.0075614934114202</v>
      </c>
      <c r="O49" s="39" cm="1">
        <f t="array" ref="O49">IFERROR(IF($A49="","",IF(I49="","",_xlfn.XLOOKUP($C49&amp;"_"&amp;$AG49,符文权重!$A:$A&amp;"_"&amp;符文权重!$C:$C,符文权重!$D:$D)*$X49/SUMIFS($X:$X,I:I,I49,$C:$C,$C49,$AG:$AG,$AG49)/SUMIF(符文权重!$A:$A,$C49,符文权重!$D:$D))),"")</f>
        <v>0.0075614934114202</v>
      </c>
      <c r="P49" s="39" cm="1">
        <f t="array" ref="P49">IFERROR(IF($A49="","",IF(J49="","",_xlfn.XLOOKUP($C49&amp;"_"&amp;$AG49,符文权重!$A:$A&amp;"_"&amp;符文权重!$C:$C,符文权重!$D:$D)*$X49/SUMIFS($X:$X,J:J,J49,$C:$C,$C49,$AG:$AG,$AG49)/SUMIF(符文权重!$A:$A,$C49,符文权重!$D:$D))),"")</f>
        <v>0.0075614934114202</v>
      </c>
      <c r="Q49" s="39" cm="1">
        <f t="array" ref="Q49">IFERROR(IF($A49="","",IF(K49="","",_xlfn.XLOOKUP($C49&amp;"_"&amp;$AG49,符文权重!$A:$A&amp;"_"&amp;符文权重!$C:$C,符文权重!$D:$D)*$X49/SUMIFS($X:$X,K:K,K49,$C:$C,$C49,$AG:$AG,$AG49)/SUMIF(符文权重!$A:$A,$C49,符文权重!$D:$D))),"")</f>
        <v>0.0075614934114202</v>
      </c>
      <c r="R49" s="26" t="s">
        <v>181</v>
      </c>
      <c r="S49" s="26" t="s">
        <v>218</v>
      </c>
      <c r="T49" s="26" t="e">
        <f>IF(B49="","",SUBSTITUTE(SUBSTITUTE("[{global_atk,"&amp;#REF!*C49&amp;"}]",21,20),9,8))</f>
        <v>#REF!</v>
      </c>
      <c r="U49" s="40" t="str">
        <f t="shared" si="24"/>
        <v>[5501064]</v>
      </c>
      <c r="V49" s="26" t="s">
        <v>223</v>
      </c>
      <c r="W49" s="25"/>
      <c r="X49" s="32">
        <v>33</v>
      </c>
      <c r="Y49" s="25"/>
      <c r="Z49" s="32" t="s">
        <v>174</v>
      </c>
      <c r="AA49" s="32" t="str">
        <f t="shared" si="14"/>
        <v>控制职业攻击力+75</v>
      </c>
      <c r="AB49" s="32"/>
      <c r="AC49" s="32" t="s">
        <v>166</v>
      </c>
      <c r="AD49" s="32">
        <f t="shared" si="9"/>
        <v>1044</v>
      </c>
      <c r="AE49" s="38" t="str">
        <f t="shared" si="3"/>
        <v>5501061</v>
      </c>
      <c r="AF49" s="32" t="str">
        <f t="shared" si="4"/>
        <v>[75]</v>
      </c>
      <c r="AG49" s="26">
        <v>1</v>
      </c>
      <c r="AH49" s="26"/>
      <c r="AI49" s="26">
        <v>0</v>
      </c>
      <c r="AJ49" s="25" t="s">
        <v>167</v>
      </c>
      <c r="AK49" s="38">
        <f t="shared" si="25"/>
        <v>5501064</v>
      </c>
      <c r="AL49" s="41" t="str">
        <f t="shared" si="26"/>
        <v>控制职业攻击力&lt;color=#54b76b&gt;+%s&lt;/color&gt;</v>
      </c>
      <c r="AM49" s="25">
        <v>75</v>
      </c>
      <c r="AN49" s="26">
        <v>1</v>
      </c>
      <c r="AO49" s="26" t="s">
        <v>32</v>
      </c>
      <c r="AP49" s="20">
        <f t="shared" si="10"/>
        <v>44</v>
      </c>
    </row>
    <row r="50" s="20" customFormat="1" customHeight="1" spans="1:42">
      <c r="A50" s="38">
        <v>5501065</v>
      </c>
      <c r="B50" s="38" t="str">
        <f t="shared" si="0"/>
        <v>5501061</v>
      </c>
      <c r="C50" s="32">
        <f t="shared" si="1"/>
        <v>5</v>
      </c>
      <c r="D50" s="32"/>
      <c r="E50" s="26" t="s">
        <v>162</v>
      </c>
      <c r="F50" s="26">
        <f t="shared" si="8"/>
        <v>1</v>
      </c>
      <c r="G50" s="26">
        <f>IFERROR(IF(--MID($E50,2*COUNTIF($F50:F50,"&gt;"&amp;0)+2,1)=G$1,G$1,""),"")</f>
        <v>2</v>
      </c>
      <c r="H50" s="26">
        <f>IFERROR(IF(--MID($E50,2*COUNTIF($F50:G50,"&gt;"&amp;0)+2,1)=H$1,H$1,""),"")</f>
        <v>3</v>
      </c>
      <c r="I50" s="26">
        <f>IFERROR(IF(--MID($E50,2*COUNTIF($F50:H50,"&gt;"&amp;0)+2,1)=I$1,I$1,""),"")</f>
        <v>4</v>
      </c>
      <c r="J50" s="26">
        <f>IFERROR(IF(--MID($E50,2*COUNTIF($F50:I50,"&gt;"&amp;0)+2,1)=J$1,J$1,""),"")</f>
        <v>5</v>
      </c>
      <c r="K50" s="26">
        <f>IFERROR(IF(--MID($E50,2*COUNTIF($F50:J50,"&gt;"&amp;0)+2,1)=K$1,K$1,""),"")</f>
        <v>6</v>
      </c>
      <c r="L50" s="39" cm="1">
        <f t="array" ref="L50">IFERROR(IF($A50="","",IF(F50="","",_xlfn.XLOOKUP($C50&amp;"_"&amp;$AG50,符文权重!$A:$A&amp;"_"&amp;符文权重!$C:$C,符文权重!$D:$D)*$X50/SUMIFS($X:$X,F:F,F50,$C:$C,$C50,$AG:$AG,$AG50)/SUMIF(符文权重!$A:$A,$C50,符文权重!$D:$D))),"")</f>
        <v>0.0196666666666667</v>
      </c>
      <c r="M50" s="39" cm="1">
        <f t="array" ref="M50">IFERROR(IF($A50="","",IF(G50="","",_xlfn.XLOOKUP($C50&amp;"_"&amp;$AG50,符文权重!$A:$A&amp;"_"&amp;符文权重!$C:$C,符文权重!$D:$D)*$X50/SUMIFS($X:$X,G:G,G50,$C:$C,$C50,$AG:$AG,$AG50)/SUMIF(符文权重!$A:$A,$C50,符文权重!$D:$D))),"")</f>
        <v>0.0196666666666667</v>
      </c>
      <c r="N50" s="39" cm="1">
        <f t="array" ref="N50">IFERROR(IF($A50="","",IF(H50="","",_xlfn.XLOOKUP($C50&amp;"_"&amp;$AG50,符文权重!$A:$A&amp;"_"&amp;符文权重!$C:$C,符文权重!$D:$D)*$X50/SUMIFS($X:$X,H:H,H50,$C:$C,$C50,$AG:$AG,$AG50)/SUMIF(符文权重!$A:$A,$C50,符文权重!$D:$D))),"")</f>
        <v>0.0196666666666667</v>
      </c>
      <c r="O50" s="39" cm="1">
        <f t="array" ref="O50">IFERROR(IF($A50="","",IF(I50="","",_xlfn.XLOOKUP($C50&amp;"_"&amp;$AG50,符文权重!$A:$A&amp;"_"&amp;符文权重!$C:$C,符文权重!$D:$D)*$X50/SUMIFS($X:$X,I:I,I50,$C:$C,$C50,$AG:$AG,$AG50)/SUMIF(符文权重!$A:$A,$C50,符文权重!$D:$D))),"")</f>
        <v>0.0196666666666667</v>
      </c>
      <c r="P50" s="39" cm="1">
        <f t="array" ref="P50">IFERROR(IF($A50="","",IF(J50="","",_xlfn.XLOOKUP($C50&amp;"_"&amp;$AG50,符文权重!$A:$A&amp;"_"&amp;符文权重!$C:$C,符文权重!$D:$D)*$X50/SUMIFS($X:$X,J:J,J50,$C:$C,$C50,$AG:$AG,$AG50)/SUMIF(符文权重!$A:$A,$C50,符文权重!$D:$D))),"")</f>
        <v>0.0196666666666667</v>
      </c>
      <c r="Q50" s="39" cm="1">
        <f t="array" ref="Q50">IFERROR(IF($A50="","",IF(K50="","",_xlfn.XLOOKUP($C50&amp;"_"&amp;$AG50,符文权重!$A:$A&amp;"_"&amp;符文权重!$C:$C,符文权重!$D:$D)*$X50/SUMIFS($X:$X,K:K,K50,$C:$C,$C50,$AG:$AG,$AG50)/SUMIF(符文权重!$A:$A,$C50,符文权重!$D:$D))),"")</f>
        <v>0.0196666666666667</v>
      </c>
      <c r="R50" s="26" t="s">
        <v>181</v>
      </c>
      <c r="S50" s="26" t="s">
        <v>218</v>
      </c>
      <c r="T50" s="26" t="e">
        <f>IF(B50="","",SUBSTITUTE(SUBSTITUTE("[{global_atk,"&amp;#REF!*C50&amp;"}]",21,20),9,8))</f>
        <v>#REF!</v>
      </c>
      <c r="U50" s="40" t="str">
        <f t="shared" si="24"/>
        <v>[5501065]</v>
      </c>
      <c r="V50" s="26" t="s">
        <v>224</v>
      </c>
      <c r="W50" s="25"/>
      <c r="X50" s="32">
        <v>100</v>
      </c>
      <c r="Y50" s="25"/>
      <c r="Z50" s="32" t="s">
        <v>176</v>
      </c>
      <c r="AA50" s="32" t="str">
        <f t="shared" si="14"/>
        <v>控制职业攻击力+96</v>
      </c>
      <c r="AB50" s="32"/>
      <c r="AC50" s="32" t="s">
        <v>166</v>
      </c>
      <c r="AD50" s="32">
        <f t="shared" si="9"/>
        <v>1045</v>
      </c>
      <c r="AE50" s="38" t="str">
        <f t="shared" si="3"/>
        <v>5501061</v>
      </c>
      <c r="AF50" s="32" t="str">
        <f t="shared" si="4"/>
        <v>[96]</v>
      </c>
      <c r="AG50" s="26">
        <v>1</v>
      </c>
      <c r="AH50" s="26"/>
      <c r="AI50" s="26">
        <v>0</v>
      </c>
      <c r="AJ50" s="25" t="s">
        <v>167</v>
      </c>
      <c r="AK50" s="38">
        <f t="shared" si="25"/>
        <v>5501065</v>
      </c>
      <c r="AL50" s="41" t="str">
        <f t="shared" si="26"/>
        <v>控制职业攻击力&lt;color=#54b76b&gt;+%s&lt;/color&gt;</v>
      </c>
      <c r="AM50" s="25">
        <v>96</v>
      </c>
      <c r="AN50" s="26">
        <v>1</v>
      </c>
      <c r="AO50" s="26" t="s">
        <v>32</v>
      </c>
      <c r="AP50" s="20">
        <f t="shared" si="10"/>
        <v>45</v>
      </c>
    </row>
    <row r="51" s="20" customFormat="1" customHeight="1" spans="1:42">
      <c r="A51" s="38">
        <v>5501066</v>
      </c>
      <c r="B51" s="38" t="str">
        <f t="shared" si="0"/>
        <v>5501061</v>
      </c>
      <c r="C51" s="32">
        <f t="shared" si="1"/>
        <v>6</v>
      </c>
      <c r="D51" s="32"/>
      <c r="E51" s="26" t="s">
        <v>162</v>
      </c>
      <c r="F51" s="26">
        <f t="shared" si="8"/>
        <v>1</v>
      </c>
      <c r="G51" s="26">
        <f>IFERROR(IF(--MID($E51,2*COUNTIF($F51:F51,"&gt;"&amp;0)+2,1)=G$1,G$1,""),"")</f>
        <v>2</v>
      </c>
      <c r="H51" s="26">
        <f>IFERROR(IF(--MID($E51,2*COUNTIF($F51:G51,"&gt;"&amp;0)+2,1)=H$1,H$1,""),"")</f>
        <v>3</v>
      </c>
      <c r="I51" s="26">
        <f>IFERROR(IF(--MID($E51,2*COUNTIF($F51:H51,"&gt;"&amp;0)+2,1)=I$1,I$1,""),"")</f>
        <v>4</v>
      </c>
      <c r="J51" s="26">
        <f>IFERROR(IF(--MID($E51,2*COUNTIF($F51:I51,"&gt;"&amp;0)+2,1)=J$1,J$1,""),"")</f>
        <v>5</v>
      </c>
      <c r="K51" s="26">
        <f>IFERROR(IF(--MID($E51,2*COUNTIF($F51:J51,"&gt;"&amp;0)+2,1)=K$1,K$1,""),"")</f>
        <v>6</v>
      </c>
      <c r="L51" s="39" cm="1">
        <f t="array" ref="L51">IFERROR(IF($A51="","",IF(F51="","",_xlfn.XLOOKUP($C51&amp;"_"&amp;$AG51,符文权重!$A:$A&amp;"_"&amp;符文权重!$C:$C,符文权重!$D:$D)*$X51/SUMIFS($X:$X,F:F,F51,$C:$C,$C51,$AG:$AG,$AG51)/SUMIF(符文权重!$A:$A,$C51,符文权重!$D:$D))),"")</f>
        <v>0.0196666666666667</v>
      </c>
      <c r="M51" s="39" cm="1">
        <f t="array" ref="M51">IFERROR(IF($A51="","",IF(G51="","",_xlfn.XLOOKUP($C51&amp;"_"&amp;$AG51,符文权重!$A:$A&amp;"_"&amp;符文权重!$C:$C,符文权重!$D:$D)*$X51/SUMIFS($X:$X,G:G,G51,$C:$C,$C51,$AG:$AG,$AG51)/SUMIF(符文权重!$A:$A,$C51,符文权重!$D:$D))),"")</f>
        <v>0.0196666666666667</v>
      </c>
      <c r="N51" s="39" cm="1">
        <f t="array" ref="N51">IFERROR(IF($A51="","",IF(H51="","",_xlfn.XLOOKUP($C51&amp;"_"&amp;$AG51,符文权重!$A:$A&amp;"_"&amp;符文权重!$C:$C,符文权重!$D:$D)*$X51/SUMIFS($X:$X,H:H,H51,$C:$C,$C51,$AG:$AG,$AG51)/SUMIF(符文权重!$A:$A,$C51,符文权重!$D:$D))),"")</f>
        <v>0.0196666666666667</v>
      </c>
      <c r="O51" s="39" cm="1">
        <f t="array" ref="O51">IFERROR(IF($A51="","",IF(I51="","",_xlfn.XLOOKUP($C51&amp;"_"&amp;$AG51,符文权重!$A:$A&amp;"_"&amp;符文权重!$C:$C,符文权重!$D:$D)*$X51/SUMIFS($X:$X,I:I,I51,$C:$C,$C51,$AG:$AG,$AG51)/SUMIF(符文权重!$A:$A,$C51,符文权重!$D:$D))),"")</f>
        <v>0.0196666666666667</v>
      </c>
      <c r="P51" s="39" cm="1">
        <f t="array" ref="P51">IFERROR(IF($A51="","",IF(J51="","",_xlfn.XLOOKUP($C51&amp;"_"&amp;$AG51,符文权重!$A:$A&amp;"_"&amp;符文权重!$C:$C,符文权重!$D:$D)*$X51/SUMIFS($X:$X,J:J,J51,$C:$C,$C51,$AG:$AG,$AG51)/SUMIF(符文权重!$A:$A,$C51,符文权重!$D:$D))),"")</f>
        <v>0.0196666666666667</v>
      </c>
      <c r="Q51" s="39" cm="1">
        <f t="array" ref="Q51">IFERROR(IF($A51="","",IF(K51="","",_xlfn.XLOOKUP($C51&amp;"_"&amp;$AG51,符文权重!$A:$A&amp;"_"&amp;符文权重!$C:$C,符文权重!$D:$D)*$X51/SUMIFS($X:$X,K:K,K51,$C:$C,$C51,$AG:$AG,$AG51)/SUMIF(符文权重!$A:$A,$C51,符文权重!$D:$D))),"")</f>
        <v>0.0196666666666667</v>
      </c>
      <c r="R51" s="26" t="s">
        <v>181</v>
      </c>
      <c r="S51" s="26" t="s">
        <v>218</v>
      </c>
      <c r="T51" s="26" t="e">
        <f>IF(B51="","",SUBSTITUTE(SUBSTITUTE("[{global_atk,"&amp;#REF!*C51&amp;"}]",21,20),9,8))</f>
        <v>#REF!</v>
      </c>
      <c r="U51" s="40" t="str">
        <f t="shared" si="24"/>
        <v>[5501066]</v>
      </c>
      <c r="V51" s="26" t="s">
        <v>225</v>
      </c>
      <c r="W51" s="25"/>
      <c r="X51" s="32">
        <v>100</v>
      </c>
      <c r="Y51" s="25"/>
      <c r="Z51" s="32" t="s">
        <v>178</v>
      </c>
      <c r="AA51" s="32" t="str">
        <f t="shared" si="14"/>
        <v>控制职业攻击力+120</v>
      </c>
      <c r="AB51" s="32"/>
      <c r="AC51" s="32" t="s">
        <v>166</v>
      </c>
      <c r="AD51" s="32">
        <f t="shared" si="9"/>
        <v>1046</v>
      </c>
      <c r="AE51" s="38" t="str">
        <f t="shared" si="3"/>
        <v>5501061</v>
      </c>
      <c r="AF51" s="32" t="str">
        <f t="shared" si="4"/>
        <v>[120]</v>
      </c>
      <c r="AG51" s="26">
        <v>1</v>
      </c>
      <c r="AH51" s="26"/>
      <c r="AI51" s="26">
        <v>0</v>
      </c>
      <c r="AJ51" s="25" t="s">
        <v>167</v>
      </c>
      <c r="AK51" s="38">
        <f t="shared" si="25"/>
        <v>5501066</v>
      </c>
      <c r="AL51" s="41" t="str">
        <f t="shared" si="26"/>
        <v>控制职业攻击力&lt;color=#54b76b&gt;+%s&lt;/color&gt;</v>
      </c>
      <c r="AM51" s="25">
        <v>120</v>
      </c>
      <c r="AN51" s="26">
        <v>1</v>
      </c>
      <c r="AO51" s="26" t="s">
        <v>32</v>
      </c>
      <c r="AP51" s="20">
        <f t="shared" si="10"/>
        <v>46</v>
      </c>
    </row>
    <row r="52" s="20" customFormat="1" customHeight="1" spans="1:42">
      <c r="A52" s="38">
        <v>5501067</v>
      </c>
      <c r="B52" s="38" t="str">
        <f t="shared" si="0"/>
        <v>5501061</v>
      </c>
      <c r="C52" s="32">
        <f t="shared" si="1"/>
        <v>7</v>
      </c>
      <c r="D52" s="32"/>
      <c r="E52" s="26" t="s">
        <v>162</v>
      </c>
      <c r="F52" s="26">
        <f t="shared" si="8"/>
        <v>1</v>
      </c>
      <c r="G52" s="26">
        <f>IFERROR(IF(--MID($E52,2*COUNTIF($F52:F52,"&gt;"&amp;0)+2,1)=G$1,G$1,""),"")</f>
        <v>2</v>
      </c>
      <c r="H52" s="26">
        <f>IFERROR(IF(--MID($E52,2*COUNTIF($F52:G52,"&gt;"&amp;0)+2,1)=H$1,H$1,""),"")</f>
        <v>3</v>
      </c>
      <c r="I52" s="26">
        <f>IFERROR(IF(--MID($E52,2*COUNTIF($F52:H52,"&gt;"&amp;0)+2,1)=I$1,I$1,""),"")</f>
        <v>4</v>
      </c>
      <c r="J52" s="26">
        <f>IFERROR(IF(--MID($E52,2*COUNTIF($F52:I52,"&gt;"&amp;0)+2,1)=J$1,J$1,""),"")</f>
        <v>5</v>
      </c>
      <c r="K52" s="26">
        <f>IFERROR(IF(--MID($E52,2*COUNTIF($F52:J52,"&gt;"&amp;0)+2,1)=K$1,K$1,""),"")</f>
        <v>6</v>
      </c>
      <c r="L52" s="39" cm="1">
        <f t="array" ref="L52">IFERROR(IF($A52="","",IF(F52="","",_xlfn.XLOOKUP($C52&amp;"_"&amp;$AG52,符文权重!$A:$A&amp;"_"&amp;符文权重!$C:$C,符文权重!$D:$D)*$X52/SUMIFS($X:$X,F:F,F52,$C:$C,$C52,$AG:$AG,$AG52)/SUMIF(符文权重!$A:$A,$C52,符文权重!$D:$D))),"")</f>
        <v>0.0196666666666667</v>
      </c>
      <c r="M52" s="39" cm="1">
        <f t="array" ref="M52">IFERROR(IF($A52="","",IF(G52="","",_xlfn.XLOOKUP($C52&amp;"_"&amp;$AG52,符文权重!$A:$A&amp;"_"&amp;符文权重!$C:$C,符文权重!$D:$D)*$X52/SUMIFS($X:$X,G:G,G52,$C:$C,$C52,$AG:$AG,$AG52)/SUMIF(符文权重!$A:$A,$C52,符文权重!$D:$D))),"")</f>
        <v>0.0196666666666667</v>
      </c>
      <c r="N52" s="39" cm="1">
        <f t="array" ref="N52">IFERROR(IF($A52="","",IF(H52="","",_xlfn.XLOOKUP($C52&amp;"_"&amp;$AG52,符文权重!$A:$A&amp;"_"&amp;符文权重!$C:$C,符文权重!$D:$D)*$X52/SUMIFS($X:$X,H:H,H52,$C:$C,$C52,$AG:$AG,$AG52)/SUMIF(符文权重!$A:$A,$C52,符文权重!$D:$D))),"")</f>
        <v>0.0196666666666667</v>
      </c>
      <c r="O52" s="39" cm="1">
        <f t="array" ref="O52">IFERROR(IF($A52="","",IF(I52="","",_xlfn.XLOOKUP($C52&amp;"_"&amp;$AG52,符文权重!$A:$A&amp;"_"&amp;符文权重!$C:$C,符文权重!$D:$D)*$X52/SUMIFS($X:$X,I:I,I52,$C:$C,$C52,$AG:$AG,$AG52)/SUMIF(符文权重!$A:$A,$C52,符文权重!$D:$D))),"")</f>
        <v>0.0196666666666667</v>
      </c>
      <c r="P52" s="39" cm="1">
        <f t="array" ref="P52">IFERROR(IF($A52="","",IF(J52="","",_xlfn.XLOOKUP($C52&amp;"_"&amp;$AG52,符文权重!$A:$A&amp;"_"&amp;符文权重!$C:$C,符文权重!$D:$D)*$X52/SUMIFS($X:$X,J:J,J52,$C:$C,$C52,$AG:$AG,$AG52)/SUMIF(符文权重!$A:$A,$C52,符文权重!$D:$D))),"")</f>
        <v>0.0196666666666667</v>
      </c>
      <c r="Q52" s="39" cm="1">
        <f t="array" ref="Q52">IFERROR(IF($A52="","",IF(K52="","",_xlfn.XLOOKUP($C52&amp;"_"&amp;$AG52,符文权重!$A:$A&amp;"_"&amp;符文权重!$C:$C,符文权重!$D:$D)*$X52/SUMIFS($X:$X,K:K,K52,$C:$C,$C52,$AG:$AG,$AG52)/SUMIF(符文权重!$A:$A,$C52,符文权重!$D:$D))),"")</f>
        <v>0.0196666666666667</v>
      </c>
      <c r="R52" s="26" t="s">
        <v>181</v>
      </c>
      <c r="S52" s="26" t="s">
        <v>218</v>
      </c>
      <c r="T52" s="26" t="e">
        <f>IF(B52="","",SUBSTITUTE(SUBSTITUTE("[{global_atk,"&amp;#REF!*C52&amp;"}]",21,20),9,8))</f>
        <v>#REF!</v>
      </c>
      <c r="U52" s="40" t="str">
        <f t="shared" si="24"/>
        <v>[5501067]</v>
      </c>
      <c r="V52" s="26" t="s">
        <v>226</v>
      </c>
      <c r="W52" s="25"/>
      <c r="X52" s="32">
        <v>100</v>
      </c>
      <c r="Y52" s="25"/>
      <c r="Z52" s="32" t="s">
        <v>180</v>
      </c>
      <c r="AA52" s="32" t="str">
        <f t="shared" si="14"/>
        <v>控制职业攻击力+150</v>
      </c>
      <c r="AB52" s="32"/>
      <c r="AC52" s="32" t="s">
        <v>166</v>
      </c>
      <c r="AD52" s="32">
        <f t="shared" si="9"/>
        <v>1047</v>
      </c>
      <c r="AE52" s="38" t="str">
        <f t="shared" si="3"/>
        <v>5501061</v>
      </c>
      <c r="AF52" s="32" t="str">
        <f t="shared" si="4"/>
        <v>[150]</v>
      </c>
      <c r="AG52" s="26">
        <v>1</v>
      </c>
      <c r="AH52" s="26"/>
      <c r="AI52" s="26">
        <v>0</v>
      </c>
      <c r="AJ52" s="25" t="s">
        <v>167</v>
      </c>
      <c r="AK52" s="38">
        <f t="shared" si="25"/>
        <v>5501067</v>
      </c>
      <c r="AL52" s="41" t="str">
        <f t="shared" si="26"/>
        <v>控制职业攻击力&lt;color=#54b76b&gt;+%s&lt;/color&gt;</v>
      </c>
      <c r="AM52" s="25">
        <v>150</v>
      </c>
      <c r="AN52" s="26">
        <v>1</v>
      </c>
      <c r="AO52" s="26" t="s">
        <v>32</v>
      </c>
      <c r="AP52" s="20">
        <f t="shared" si="10"/>
        <v>47</v>
      </c>
    </row>
    <row r="53" s="20" customFormat="1" customHeight="1" spans="1:42">
      <c r="A53" s="38" t="s">
        <v>167</v>
      </c>
      <c r="B53" s="38" t="str">
        <f t="shared" si="0"/>
        <v/>
      </c>
      <c r="C53" s="32" t="str">
        <f t="shared" si="1"/>
        <v/>
      </c>
      <c r="D53" s="32"/>
      <c r="E53" s="26"/>
      <c r="F53" s="26" t="str">
        <f t="shared" si="8"/>
        <v/>
      </c>
      <c r="G53" s="26" t="str">
        <f>IFERROR(IF(--MID($E53,2*COUNTIF($F53:F53,"&gt;"&amp;0)+2,1)=G$1,G$1,""),"")</f>
        <v/>
      </c>
      <c r="H53" s="26" t="str">
        <f>IFERROR(IF(--MID($E53,2*COUNTIF($F53:G53,"&gt;"&amp;0)+2,1)=H$1,H$1,""),"")</f>
        <v/>
      </c>
      <c r="I53" s="26" t="str">
        <f>IFERROR(IF(--MID($E53,2*COUNTIF($F53:H53,"&gt;"&amp;0)+2,1)=I$1,I$1,""),"")</f>
        <v/>
      </c>
      <c r="J53" s="26" t="str">
        <f>IFERROR(IF(--MID($E53,2*COUNTIF($F53:I53,"&gt;"&amp;0)+2,1)=J$1,J$1,""),"")</f>
        <v/>
      </c>
      <c r="K53" s="26" t="str">
        <f>IFERROR(IF(--MID($E53,2*COUNTIF($F53:J53,"&gt;"&amp;0)+2,1)=K$1,K$1,""),"")</f>
        <v/>
      </c>
      <c r="L53" s="39" t="str" cm="1">
        <f t="array" ref="L53">IFERROR(IF($A53="","",IF(F53="","",_xlfn.XLOOKUP($C53&amp;"_"&amp;$AG53,符文权重!$A:$A&amp;"_"&amp;符文权重!$C:$C,符文权重!$D:$D)*$X53/SUMIFS($X:$X,F:F,F53,$C:$C,$C53,$AG:$AG,$AG53)/SUMIF(符文权重!$A:$A,$C53,符文权重!$D:$D))),"")</f>
        <v/>
      </c>
      <c r="M53" s="39" t="str" cm="1">
        <f t="array" ref="M53">IFERROR(IF($A53="","",IF(G53="","",_xlfn.XLOOKUP($C53&amp;"_"&amp;$AG53,符文权重!$A:$A&amp;"_"&amp;符文权重!$C:$C,符文权重!$D:$D)*$X53/SUMIFS($X:$X,G:G,G53,$C:$C,$C53,$AG:$AG,$AG53)/SUMIF(符文权重!$A:$A,$C53,符文权重!$D:$D))),"")</f>
        <v/>
      </c>
      <c r="N53" s="39" t="str" cm="1">
        <f t="array" ref="N53">IFERROR(IF($A53="","",IF(H53="","",_xlfn.XLOOKUP($C53&amp;"_"&amp;$AG53,符文权重!$A:$A&amp;"_"&amp;符文权重!$C:$C,符文权重!$D:$D)*$X53/SUMIFS($X:$X,H:H,H53,$C:$C,$C53,$AG:$AG,$AG53)/SUMIF(符文权重!$A:$A,$C53,符文权重!$D:$D))),"")</f>
        <v/>
      </c>
      <c r="O53" s="39" t="str" cm="1">
        <f t="array" ref="O53">IFERROR(IF($A53="","",IF(I53="","",_xlfn.XLOOKUP($C53&amp;"_"&amp;$AG53,符文权重!$A:$A&amp;"_"&amp;符文权重!$C:$C,符文权重!$D:$D)*$X53/SUMIFS($X:$X,I:I,I53,$C:$C,$C53,$AG:$AG,$AG53)/SUMIF(符文权重!$A:$A,$C53,符文权重!$D:$D))),"")</f>
        <v/>
      </c>
      <c r="P53" s="39" t="str" cm="1">
        <f t="array" ref="P53">IFERROR(IF($A53="","",IF(J53="","",_xlfn.XLOOKUP($C53&amp;"_"&amp;$AG53,符文权重!$A:$A&amp;"_"&amp;符文权重!$C:$C,符文权重!$D:$D)*$X53/SUMIFS($X:$X,J:J,J53,$C:$C,$C53,$AG:$AG,$AG53)/SUMIF(符文权重!$A:$A,$C53,符文权重!$D:$D))),"")</f>
        <v/>
      </c>
      <c r="Q53" s="39" t="str" cm="1">
        <f t="array" ref="Q53">IFERROR(IF($A53="","",IF(K53="","",_xlfn.XLOOKUP($C53&amp;"_"&amp;$AG53,符文权重!$A:$A&amp;"_"&amp;符文权重!$C:$C,符文权重!$D:$D)*$X53/SUMIFS($X:$X,K:K,K53,$C:$C,$C53,$AG:$AG,$AG53)/SUMIF(符文权重!$A:$A,$C53,符文权重!$D:$D))),"")</f>
        <v/>
      </c>
      <c r="R53" s="26" t="s">
        <v>167</v>
      </c>
      <c r="S53" s="26" t="s">
        <v>167</v>
      </c>
      <c r="T53" s="26"/>
      <c r="U53" s="40"/>
      <c r="V53" s="26"/>
      <c r="W53" s="25"/>
      <c r="X53" s="32"/>
      <c r="Y53" s="25"/>
      <c r="Z53" s="32" t="s">
        <v>167</v>
      </c>
      <c r="AA53" s="32" t="str">
        <f t="shared" si="14"/>
        <v/>
      </c>
      <c r="AB53" s="32"/>
      <c r="AC53" s="32" t="s">
        <v>166</v>
      </c>
      <c r="AD53" s="32">
        <f t="shared" si="9"/>
        <v>1048</v>
      </c>
      <c r="AE53" s="38" t="str">
        <f t="shared" si="3"/>
        <v/>
      </c>
      <c r="AF53" s="32" t="str">
        <f t="shared" si="4"/>
        <v/>
      </c>
      <c r="AG53" s="26"/>
      <c r="AH53" s="26"/>
      <c r="AI53" s="26"/>
      <c r="AJ53" s="25" t="s">
        <v>167</v>
      </c>
      <c r="AK53" s="24"/>
      <c r="AL53" s="51"/>
      <c r="AM53" s="25"/>
      <c r="AN53" s="26"/>
      <c r="AO53" s="26"/>
      <c r="AP53" s="20">
        <f t="shared" si="10"/>
        <v>48</v>
      </c>
    </row>
    <row r="54" s="22" customFormat="1" customHeight="1" spans="1:42">
      <c r="A54" s="44">
        <v>5501071</v>
      </c>
      <c r="B54" s="44" t="str">
        <f t="shared" si="0"/>
        <v>5501071</v>
      </c>
      <c r="C54" s="45">
        <f t="shared" si="1"/>
        <v>1</v>
      </c>
      <c r="D54" s="45"/>
      <c r="E54" s="46" t="s">
        <v>162</v>
      </c>
      <c r="F54" s="26">
        <f t="shared" si="8"/>
        <v>1</v>
      </c>
      <c r="G54" s="26">
        <f>IFERROR(IF(--MID($E54,2*COUNTIF($F54:F54,"&gt;"&amp;0)+2,1)=G$1,G$1,""),"")</f>
        <v>2</v>
      </c>
      <c r="H54" s="26">
        <f>IFERROR(IF(--MID($E54,2*COUNTIF($F54:G54,"&gt;"&amp;0)+2,1)=H$1,H$1,""),"")</f>
        <v>3</v>
      </c>
      <c r="I54" s="26">
        <f>IFERROR(IF(--MID($E54,2*COUNTIF($F54:H54,"&gt;"&amp;0)+2,1)=I$1,I$1,""),"")</f>
        <v>4</v>
      </c>
      <c r="J54" s="26">
        <f>IFERROR(IF(--MID($E54,2*COUNTIF($F54:I54,"&gt;"&amp;0)+2,1)=J$1,J$1,""),"")</f>
        <v>5</v>
      </c>
      <c r="K54" s="26">
        <f>IFERROR(IF(--MID($E54,2*COUNTIF($F54:J54,"&gt;"&amp;0)+2,1)=K$1,K$1,""),"")</f>
        <v>6</v>
      </c>
      <c r="L54" s="39" t="str" cm="1">
        <f t="array" ref="L54">IFERROR(IF($A54="","",IF(F54="","",_xlfn.XLOOKUP($C54&amp;"_"&amp;$AG54,符文权重!$A:$A&amp;"_"&amp;符文权重!$C:$C,符文权重!$D:$D)*$X54/SUMIFS($X:$X,F:F,F54,$C:$C,$C54,$AG:$AG,$AG54)/SUMIF(符文权重!$A:$A,$C54,符文权重!$D:$D))),"")</f>
        <v/>
      </c>
      <c r="M54" s="39" t="str" cm="1">
        <f t="array" ref="M54">IFERROR(IF($A54="","",IF(G54="","",_xlfn.XLOOKUP($C54&amp;"_"&amp;$AG54,符文权重!$A:$A&amp;"_"&amp;符文权重!$C:$C,符文权重!$D:$D)*$X54/SUMIFS($X:$X,G:G,G54,$C:$C,$C54,$AG:$AG,$AG54)/SUMIF(符文权重!$A:$A,$C54,符文权重!$D:$D))),"")</f>
        <v/>
      </c>
      <c r="N54" s="39" t="str" cm="1">
        <f t="array" ref="N54">IFERROR(IF($A54="","",IF(H54="","",_xlfn.XLOOKUP($C54&amp;"_"&amp;$AG54,符文权重!$A:$A&amp;"_"&amp;符文权重!$C:$C,符文权重!$D:$D)*$X54/SUMIFS($X:$X,H:H,H54,$C:$C,$C54,$AG:$AG,$AG54)/SUMIF(符文权重!$A:$A,$C54,符文权重!$D:$D))),"")</f>
        <v/>
      </c>
      <c r="O54" s="39" t="str" cm="1">
        <f t="array" ref="O54">IFERROR(IF($A54="","",IF(I54="","",_xlfn.XLOOKUP($C54&amp;"_"&amp;$AG54,符文权重!$A:$A&amp;"_"&amp;符文权重!$C:$C,符文权重!$D:$D)*$X54/SUMIFS($X:$X,I:I,I54,$C:$C,$C54,$AG:$AG,$AG54)/SUMIF(符文权重!$A:$A,$C54,符文权重!$D:$D))),"")</f>
        <v/>
      </c>
      <c r="P54" s="39" t="str" cm="1">
        <f t="array" ref="P54">IFERROR(IF($A54="","",IF(J54="","",_xlfn.XLOOKUP($C54&amp;"_"&amp;$AG54,符文权重!$A:$A&amp;"_"&amp;符文权重!$C:$C,符文权重!$D:$D)*$X54/SUMIFS($X:$X,J:J,J54,$C:$C,$C54,$AG:$AG,$AG54)/SUMIF(符文权重!$A:$A,$C54,符文权重!$D:$D))),"")</f>
        <v/>
      </c>
      <c r="Q54" s="39" t="str" cm="1">
        <f t="array" ref="Q54">IFERROR(IF($A54="","",IF(K54="","",_xlfn.XLOOKUP($C54&amp;"_"&amp;$AG54,符文权重!$A:$A&amp;"_"&amp;符文权重!$C:$C,符文权重!$D:$D)*$X54/SUMIFS($X:$X,K:K,K54,$C:$C,$C54,$AG:$AG,$AG54)/SUMIF(符文权重!$A:$A,$C54,符文权重!$D:$D))),"")</f>
        <v/>
      </c>
      <c r="R54" s="46" t="s">
        <v>181</v>
      </c>
      <c r="S54" s="46" t="s">
        <v>227</v>
      </c>
      <c r="T54" s="46" t="e">
        <f>IF(B54="","",SUBSTITUTE(SUBSTITUTE("[{global_atk,"&amp;#REF!*C54&amp;"}]",21,20),9,8))</f>
        <v>#REF!</v>
      </c>
      <c r="U54" s="47" t="str">
        <f t="shared" ref="U54:U60" si="27">"["&amp;A54&amp;"]"</f>
        <v>[5501071]</v>
      </c>
      <c r="V54" s="46" t="s">
        <v>228</v>
      </c>
      <c r="W54" s="23"/>
      <c r="X54" s="32">
        <v>100</v>
      </c>
      <c r="Y54" s="23"/>
      <c r="Z54" s="45" t="s">
        <v>165</v>
      </c>
      <c r="AA54" s="32" t="str">
        <f t="shared" si="14"/>
        <v>召唤职业攻击力+30</v>
      </c>
      <c r="AB54" s="32"/>
      <c r="AC54" s="32" t="s">
        <v>166</v>
      </c>
      <c r="AD54" s="32">
        <f t="shared" si="9"/>
        <v>1049</v>
      </c>
      <c r="AE54" s="44" t="str">
        <f t="shared" si="3"/>
        <v>5501071</v>
      </c>
      <c r="AF54" s="45" t="str">
        <f t="shared" si="4"/>
        <v>[30]</v>
      </c>
      <c r="AG54" s="26">
        <v>100</v>
      </c>
      <c r="AH54" s="46"/>
      <c r="AI54" s="46">
        <v>1</v>
      </c>
      <c r="AJ54" s="25" t="s">
        <v>167</v>
      </c>
      <c r="AK54" s="48">
        <v>5501071</v>
      </c>
      <c r="AL54" s="49" t="s">
        <v>229</v>
      </c>
      <c r="AM54" s="23">
        <v>30</v>
      </c>
      <c r="AN54" s="26">
        <v>1</v>
      </c>
      <c r="AO54" s="26" t="s">
        <v>32</v>
      </c>
      <c r="AP54" s="20">
        <f t="shared" si="10"/>
        <v>49</v>
      </c>
    </row>
    <row r="55" s="22" customFormat="1" customHeight="1" spans="1:42">
      <c r="A55" s="44">
        <v>5501072</v>
      </c>
      <c r="B55" s="44" t="str">
        <f t="shared" si="0"/>
        <v>5501071</v>
      </c>
      <c r="C55" s="45">
        <f t="shared" si="1"/>
        <v>2</v>
      </c>
      <c r="D55" s="45"/>
      <c r="E55" s="46" t="s">
        <v>162</v>
      </c>
      <c r="F55" s="26">
        <f t="shared" si="8"/>
        <v>1</v>
      </c>
      <c r="G55" s="26">
        <f>IFERROR(IF(--MID($E55,2*COUNTIF($F55:F55,"&gt;"&amp;0)+2,1)=G$1,G$1,""),"")</f>
        <v>2</v>
      </c>
      <c r="H55" s="26">
        <f>IFERROR(IF(--MID($E55,2*COUNTIF($F55:G55,"&gt;"&amp;0)+2,1)=H$1,H$1,""),"")</f>
        <v>3</v>
      </c>
      <c r="I55" s="26">
        <f>IFERROR(IF(--MID($E55,2*COUNTIF($F55:H55,"&gt;"&amp;0)+2,1)=I$1,I$1,""),"")</f>
        <v>4</v>
      </c>
      <c r="J55" s="26">
        <f>IFERROR(IF(--MID($E55,2*COUNTIF($F55:I55,"&gt;"&amp;0)+2,1)=J$1,J$1,""),"")</f>
        <v>5</v>
      </c>
      <c r="K55" s="26">
        <f>IFERROR(IF(--MID($E55,2*COUNTIF($F55:J55,"&gt;"&amp;0)+2,1)=K$1,K$1,""),"")</f>
        <v>6</v>
      </c>
      <c r="L55" s="39" t="str" cm="1">
        <f t="array" ref="L55">IFERROR(IF($A55="","",IF(F55="","",_xlfn.XLOOKUP($C55&amp;"_"&amp;$AG55,符文权重!$A:$A&amp;"_"&amp;符文权重!$C:$C,符文权重!$D:$D)*$X55/SUMIFS($X:$X,F:F,F55,$C:$C,$C55,$AG:$AG,$AG55)/SUMIF(符文权重!$A:$A,$C55,符文权重!$D:$D))),"")</f>
        <v/>
      </c>
      <c r="M55" s="39" t="str" cm="1">
        <f t="array" ref="M55">IFERROR(IF($A55="","",IF(G55="","",_xlfn.XLOOKUP($C55&amp;"_"&amp;$AG55,符文权重!$A:$A&amp;"_"&amp;符文权重!$C:$C,符文权重!$D:$D)*$X55/SUMIFS($X:$X,G:G,G55,$C:$C,$C55,$AG:$AG,$AG55)/SUMIF(符文权重!$A:$A,$C55,符文权重!$D:$D))),"")</f>
        <v/>
      </c>
      <c r="N55" s="39" t="str" cm="1">
        <f t="array" ref="N55">IFERROR(IF($A55="","",IF(H55="","",_xlfn.XLOOKUP($C55&amp;"_"&amp;$AG55,符文权重!$A:$A&amp;"_"&amp;符文权重!$C:$C,符文权重!$D:$D)*$X55/SUMIFS($X:$X,H:H,H55,$C:$C,$C55,$AG:$AG,$AG55)/SUMIF(符文权重!$A:$A,$C55,符文权重!$D:$D))),"")</f>
        <v/>
      </c>
      <c r="O55" s="39" t="str" cm="1">
        <f t="array" ref="O55">IFERROR(IF($A55="","",IF(I55="","",_xlfn.XLOOKUP($C55&amp;"_"&amp;$AG55,符文权重!$A:$A&amp;"_"&amp;符文权重!$C:$C,符文权重!$D:$D)*$X55/SUMIFS($X:$X,I:I,I55,$C:$C,$C55,$AG:$AG,$AG55)/SUMIF(符文权重!$A:$A,$C55,符文权重!$D:$D))),"")</f>
        <v/>
      </c>
      <c r="P55" s="39" t="str" cm="1">
        <f t="array" ref="P55">IFERROR(IF($A55="","",IF(J55="","",_xlfn.XLOOKUP($C55&amp;"_"&amp;$AG55,符文权重!$A:$A&amp;"_"&amp;符文权重!$C:$C,符文权重!$D:$D)*$X55/SUMIFS($X:$X,J:J,J55,$C:$C,$C55,$AG:$AG,$AG55)/SUMIF(符文权重!$A:$A,$C55,符文权重!$D:$D))),"")</f>
        <v/>
      </c>
      <c r="Q55" s="39" t="str" cm="1">
        <f t="array" ref="Q55">IFERROR(IF($A55="","",IF(K55="","",_xlfn.XLOOKUP($C55&amp;"_"&amp;$AG55,符文权重!$A:$A&amp;"_"&amp;符文权重!$C:$C,符文权重!$D:$D)*$X55/SUMIFS($X:$X,K:K,K55,$C:$C,$C55,$AG:$AG,$AG55)/SUMIF(符文权重!$A:$A,$C55,符文权重!$D:$D))),"")</f>
        <v/>
      </c>
      <c r="R55" s="46" t="s">
        <v>181</v>
      </c>
      <c r="S55" s="46" t="s">
        <v>227</v>
      </c>
      <c r="T55" s="46" t="e">
        <f>IF(B55="","",SUBSTITUTE(SUBSTITUTE("[{global_atk,"&amp;#REF!*C55&amp;"}]",21,20),9,8))</f>
        <v>#REF!</v>
      </c>
      <c r="U55" s="47" t="str">
        <f t="shared" si="27"/>
        <v>[5501072]</v>
      </c>
      <c r="V55" s="46" t="s">
        <v>230</v>
      </c>
      <c r="W55" s="23"/>
      <c r="X55" s="32">
        <v>100</v>
      </c>
      <c r="Y55" s="23"/>
      <c r="Z55" s="45" t="s">
        <v>170</v>
      </c>
      <c r="AA55" s="32" t="str">
        <f t="shared" si="14"/>
        <v>召唤职业攻击力+40</v>
      </c>
      <c r="AB55" s="32"/>
      <c r="AC55" s="32" t="s">
        <v>166</v>
      </c>
      <c r="AD55" s="32">
        <f t="shared" si="9"/>
        <v>1050</v>
      </c>
      <c r="AE55" s="44" t="str">
        <f t="shared" si="3"/>
        <v>5501071</v>
      </c>
      <c r="AF55" s="45" t="str">
        <f t="shared" si="4"/>
        <v>[40]</v>
      </c>
      <c r="AG55" s="26">
        <v>100</v>
      </c>
      <c r="AH55" s="46"/>
      <c r="AI55" s="46">
        <v>1</v>
      </c>
      <c r="AJ55" s="25" t="s">
        <v>167</v>
      </c>
      <c r="AK55" s="44">
        <f t="shared" ref="AK55:AK60" si="28">AK54+1</f>
        <v>5501072</v>
      </c>
      <c r="AL55" s="50" t="str">
        <f t="shared" ref="AL55:AL60" si="29">AL54</f>
        <v>召唤职业攻击力&lt;color=#54b76b&gt;+%s&lt;/color&gt;</v>
      </c>
      <c r="AM55" s="23">
        <v>40</v>
      </c>
      <c r="AN55" s="26">
        <v>1</v>
      </c>
      <c r="AO55" s="26" t="s">
        <v>32</v>
      </c>
      <c r="AP55" s="20">
        <f t="shared" si="10"/>
        <v>50</v>
      </c>
    </row>
    <row r="56" s="22" customFormat="1" customHeight="1" spans="1:42">
      <c r="A56" s="44">
        <v>5501073</v>
      </c>
      <c r="B56" s="44" t="str">
        <f t="shared" si="0"/>
        <v>5501071</v>
      </c>
      <c r="C56" s="45">
        <f t="shared" si="1"/>
        <v>3</v>
      </c>
      <c r="D56" s="45"/>
      <c r="E56" s="46" t="s">
        <v>162</v>
      </c>
      <c r="F56" s="26">
        <f t="shared" si="8"/>
        <v>1</v>
      </c>
      <c r="G56" s="26">
        <f>IFERROR(IF(--MID($E56,2*COUNTIF($F56:F56,"&gt;"&amp;0)+2,1)=G$1,G$1,""),"")</f>
        <v>2</v>
      </c>
      <c r="H56" s="26">
        <f>IFERROR(IF(--MID($E56,2*COUNTIF($F56:G56,"&gt;"&amp;0)+2,1)=H$1,H$1,""),"")</f>
        <v>3</v>
      </c>
      <c r="I56" s="26">
        <f>IFERROR(IF(--MID($E56,2*COUNTIF($F56:H56,"&gt;"&amp;0)+2,1)=I$1,I$1,""),"")</f>
        <v>4</v>
      </c>
      <c r="J56" s="26">
        <f>IFERROR(IF(--MID($E56,2*COUNTIF($F56:I56,"&gt;"&amp;0)+2,1)=J$1,J$1,""),"")</f>
        <v>5</v>
      </c>
      <c r="K56" s="26">
        <f>IFERROR(IF(--MID($E56,2*COUNTIF($F56:J56,"&gt;"&amp;0)+2,1)=K$1,K$1,""),"")</f>
        <v>6</v>
      </c>
      <c r="L56" s="39" t="str" cm="1">
        <f t="array" ref="L56">IFERROR(IF($A56="","",IF(F56="","",_xlfn.XLOOKUP($C56&amp;"_"&amp;$AG56,符文权重!$A:$A&amp;"_"&amp;符文权重!$C:$C,符文权重!$D:$D)*$X56/SUMIFS($X:$X,F:F,F56,$C:$C,$C56,$AG:$AG,$AG56)/SUMIF(符文权重!$A:$A,$C56,符文权重!$D:$D))),"")</f>
        <v/>
      </c>
      <c r="M56" s="39" t="str" cm="1">
        <f t="array" ref="M56">IFERROR(IF($A56="","",IF(G56="","",_xlfn.XLOOKUP($C56&amp;"_"&amp;$AG56,符文权重!$A:$A&amp;"_"&amp;符文权重!$C:$C,符文权重!$D:$D)*$X56/SUMIFS($X:$X,G:G,G56,$C:$C,$C56,$AG:$AG,$AG56)/SUMIF(符文权重!$A:$A,$C56,符文权重!$D:$D))),"")</f>
        <v/>
      </c>
      <c r="N56" s="39" t="str" cm="1">
        <f t="array" ref="N56">IFERROR(IF($A56="","",IF(H56="","",_xlfn.XLOOKUP($C56&amp;"_"&amp;$AG56,符文权重!$A:$A&amp;"_"&amp;符文权重!$C:$C,符文权重!$D:$D)*$X56/SUMIFS($X:$X,H:H,H56,$C:$C,$C56,$AG:$AG,$AG56)/SUMIF(符文权重!$A:$A,$C56,符文权重!$D:$D))),"")</f>
        <v/>
      </c>
      <c r="O56" s="39" t="str" cm="1">
        <f t="array" ref="O56">IFERROR(IF($A56="","",IF(I56="","",_xlfn.XLOOKUP($C56&amp;"_"&amp;$AG56,符文权重!$A:$A&amp;"_"&amp;符文权重!$C:$C,符文权重!$D:$D)*$X56/SUMIFS($X:$X,I:I,I56,$C:$C,$C56,$AG:$AG,$AG56)/SUMIF(符文权重!$A:$A,$C56,符文权重!$D:$D))),"")</f>
        <v/>
      </c>
      <c r="P56" s="39" t="str" cm="1">
        <f t="array" ref="P56">IFERROR(IF($A56="","",IF(J56="","",_xlfn.XLOOKUP($C56&amp;"_"&amp;$AG56,符文权重!$A:$A&amp;"_"&amp;符文权重!$C:$C,符文权重!$D:$D)*$X56/SUMIFS($X:$X,J:J,J56,$C:$C,$C56,$AG:$AG,$AG56)/SUMIF(符文权重!$A:$A,$C56,符文权重!$D:$D))),"")</f>
        <v/>
      </c>
      <c r="Q56" s="39" t="str" cm="1">
        <f t="array" ref="Q56">IFERROR(IF($A56="","",IF(K56="","",_xlfn.XLOOKUP($C56&amp;"_"&amp;$AG56,符文权重!$A:$A&amp;"_"&amp;符文权重!$C:$C,符文权重!$D:$D)*$X56/SUMIFS($X:$X,K:K,K56,$C:$C,$C56,$AG:$AG,$AG56)/SUMIF(符文权重!$A:$A,$C56,符文权重!$D:$D))),"")</f>
        <v/>
      </c>
      <c r="R56" s="46" t="s">
        <v>181</v>
      </c>
      <c r="S56" s="46" t="s">
        <v>227</v>
      </c>
      <c r="T56" s="46" t="e">
        <f>IF(B56="","",SUBSTITUTE(SUBSTITUTE("[{global_atk,"&amp;#REF!*C56&amp;"}]",21,20),9,8))</f>
        <v>#REF!</v>
      </c>
      <c r="U56" s="47" t="str">
        <f t="shared" si="27"/>
        <v>[5501073]</v>
      </c>
      <c r="V56" s="46" t="s">
        <v>231</v>
      </c>
      <c r="W56" s="23"/>
      <c r="X56" s="32">
        <v>100</v>
      </c>
      <c r="Y56" s="23"/>
      <c r="Z56" s="45" t="s">
        <v>172</v>
      </c>
      <c r="AA56" s="32" t="str">
        <f t="shared" si="14"/>
        <v>召唤职业攻击力+50</v>
      </c>
      <c r="AB56" s="32"/>
      <c r="AC56" s="32" t="s">
        <v>166</v>
      </c>
      <c r="AD56" s="32">
        <f t="shared" si="9"/>
        <v>1051</v>
      </c>
      <c r="AE56" s="44" t="str">
        <f t="shared" si="3"/>
        <v>5501071</v>
      </c>
      <c r="AF56" s="45" t="str">
        <f t="shared" si="4"/>
        <v>[50]</v>
      </c>
      <c r="AG56" s="26">
        <v>100</v>
      </c>
      <c r="AH56" s="46"/>
      <c r="AI56" s="46">
        <v>1</v>
      </c>
      <c r="AJ56" s="25" t="s">
        <v>167</v>
      </c>
      <c r="AK56" s="44">
        <f t="shared" si="28"/>
        <v>5501073</v>
      </c>
      <c r="AL56" s="50" t="str">
        <f t="shared" si="29"/>
        <v>召唤职业攻击力&lt;color=#54b76b&gt;+%s&lt;/color&gt;</v>
      </c>
      <c r="AM56" s="23">
        <v>50</v>
      </c>
      <c r="AN56" s="26">
        <v>1</v>
      </c>
      <c r="AO56" s="26" t="s">
        <v>32</v>
      </c>
      <c r="AP56" s="20">
        <f t="shared" si="10"/>
        <v>51</v>
      </c>
    </row>
    <row r="57" s="20" customFormat="1" customHeight="1" spans="1:42">
      <c r="A57" s="38">
        <v>5501074</v>
      </c>
      <c r="B57" s="38" t="str">
        <f t="shared" si="0"/>
        <v>5501071</v>
      </c>
      <c r="C57" s="32">
        <f t="shared" si="1"/>
        <v>4</v>
      </c>
      <c r="D57" s="32"/>
      <c r="E57" s="26" t="s">
        <v>162</v>
      </c>
      <c r="F57" s="26">
        <f t="shared" si="8"/>
        <v>1</v>
      </c>
      <c r="G57" s="26">
        <f>IFERROR(IF(--MID($E57,2*COUNTIF($F57:F57,"&gt;"&amp;0)+2,1)=G$1,G$1,""),"")</f>
        <v>2</v>
      </c>
      <c r="H57" s="26">
        <f>IFERROR(IF(--MID($E57,2*COUNTIF($F57:G57,"&gt;"&amp;0)+2,1)=H$1,H$1,""),"")</f>
        <v>3</v>
      </c>
      <c r="I57" s="26">
        <f>IFERROR(IF(--MID($E57,2*COUNTIF($F57:H57,"&gt;"&amp;0)+2,1)=I$1,I$1,""),"")</f>
        <v>4</v>
      </c>
      <c r="J57" s="26">
        <f>IFERROR(IF(--MID($E57,2*COUNTIF($F57:I57,"&gt;"&amp;0)+2,1)=J$1,J$1,""),"")</f>
        <v>5</v>
      </c>
      <c r="K57" s="26">
        <f>IFERROR(IF(--MID($E57,2*COUNTIF($F57:J57,"&gt;"&amp;0)+2,1)=K$1,K$1,""),"")</f>
        <v>6</v>
      </c>
      <c r="L57" s="39" cm="1">
        <f t="array" ref="L57">IFERROR(IF($A57="","",IF(F57="","",_xlfn.XLOOKUP($C57&amp;"_"&amp;$AG57,符文权重!$A:$A&amp;"_"&amp;符文权重!$C:$C,符文权重!$D:$D)*$X57/SUMIFS($X:$X,F:F,F57,$C:$C,$C57,$AG:$AG,$AG57)/SUMIF(符文权重!$A:$A,$C57,符文权重!$D:$D))),"")</f>
        <v>0.0075614934114202</v>
      </c>
      <c r="M57" s="39" cm="1">
        <f t="array" ref="M57">IFERROR(IF($A57="","",IF(G57="","",_xlfn.XLOOKUP($C57&amp;"_"&amp;$AG57,符文权重!$A:$A&amp;"_"&amp;符文权重!$C:$C,符文权重!$D:$D)*$X57/SUMIFS($X:$X,G:G,G57,$C:$C,$C57,$AG:$AG,$AG57)/SUMIF(符文权重!$A:$A,$C57,符文权重!$D:$D))),"")</f>
        <v>0.0075614934114202</v>
      </c>
      <c r="N57" s="39" cm="1">
        <f t="array" ref="N57">IFERROR(IF($A57="","",IF(H57="","",_xlfn.XLOOKUP($C57&amp;"_"&amp;$AG57,符文权重!$A:$A&amp;"_"&amp;符文权重!$C:$C,符文权重!$D:$D)*$X57/SUMIFS($X:$X,H:H,H57,$C:$C,$C57,$AG:$AG,$AG57)/SUMIF(符文权重!$A:$A,$C57,符文权重!$D:$D))),"")</f>
        <v>0.0075614934114202</v>
      </c>
      <c r="O57" s="39" cm="1">
        <f t="array" ref="O57">IFERROR(IF($A57="","",IF(I57="","",_xlfn.XLOOKUP($C57&amp;"_"&amp;$AG57,符文权重!$A:$A&amp;"_"&amp;符文权重!$C:$C,符文权重!$D:$D)*$X57/SUMIFS($X:$X,I:I,I57,$C:$C,$C57,$AG:$AG,$AG57)/SUMIF(符文权重!$A:$A,$C57,符文权重!$D:$D))),"")</f>
        <v>0.0075614934114202</v>
      </c>
      <c r="P57" s="39" cm="1">
        <f t="array" ref="P57">IFERROR(IF($A57="","",IF(J57="","",_xlfn.XLOOKUP($C57&amp;"_"&amp;$AG57,符文权重!$A:$A&amp;"_"&amp;符文权重!$C:$C,符文权重!$D:$D)*$X57/SUMIFS($X:$X,J:J,J57,$C:$C,$C57,$AG:$AG,$AG57)/SUMIF(符文权重!$A:$A,$C57,符文权重!$D:$D))),"")</f>
        <v>0.0075614934114202</v>
      </c>
      <c r="Q57" s="39" cm="1">
        <f t="array" ref="Q57">IFERROR(IF($A57="","",IF(K57="","",_xlfn.XLOOKUP($C57&amp;"_"&amp;$AG57,符文权重!$A:$A&amp;"_"&amp;符文权重!$C:$C,符文权重!$D:$D)*$X57/SUMIFS($X:$X,K:K,K57,$C:$C,$C57,$AG:$AG,$AG57)/SUMIF(符文权重!$A:$A,$C57,符文权重!$D:$D))),"")</f>
        <v>0.0075614934114202</v>
      </c>
      <c r="R57" s="26" t="s">
        <v>181</v>
      </c>
      <c r="S57" s="26" t="s">
        <v>227</v>
      </c>
      <c r="T57" s="26" t="e">
        <f>IF(B57="","",SUBSTITUTE(SUBSTITUTE("[{global_atk,"&amp;#REF!*C57&amp;"}]",21,20),9,8))</f>
        <v>#REF!</v>
      </c>
      <c r="U57" s="40" t="str">
        <f t="shared" si="27"/>
        <v>[5501074]</v>
      </c>
      <c r="V57" s="26" t="s">
        <v>232</v>
      </c>
      <c r="W57" s="25"/>
      <c r="X57" s="32">
        <v>33</v>
      </c>
      <c r="Y57" s="25"/>
      <c r="Z57" s="32" t="s">
        <v>174</v>
      </c>
      <c r="AA57" s="32" t="str">
        <f t="shared" si="14"/>
        <v>召唤职业攻击力+75</v>
      </c>
      <c r="AB57" s="32"/>
      <c r="AC57" s="32" t="s">
        <v>166</v>
      </c>
      <c r="AD57" s="32">
        <f t="shared" si="9"/>
        <v>1052</v>
      </c>
      <c r="AE57" s="38" t="str">
        <f t="shared" si="3"/>
        <v>5501071</v>
      </c>
      <c r="AF57" s="32" t="str">
        <f t="shared" si="4"/>
        <v>[75]</v>
      </c>
      <c r="AG57" s="26">
        <v>1</v>
      </c>
      <c r="AH57" s="26"/>
      <c r="AI57" s="26">
        <v>0</v>
      </c>
      <c r="AJ57" s="25" t="s">
        <v>167</v>
      </c>
      <c r="AK57" s="38">
        <f t="shared" si="28"/>
        <v>5501074</v>
      </c>
      <c r="AL57" s="41" t="str">
        <f t="shared" si="29"/>
        <v>召唤职业攻击力&lt;color=#54b76b&gt;+%s&lt;/color&gt;</v>
      </c>
      <c r="AM57" s="25">
        <v>75</v>
      </c>
      <c r="AN57" s="26">
        <v>1</v>
      </c>
      <c r="AO57" s="26" t="s">
        <v>32</v>
      </c>
      <c r="AP57" s="20">
        <f t="shared" si="10"/>
        <v>52</v>
      </c>
    </row>
    <row r="58" s="20" customFormat="1" customHeight="1" spans="1:42">
      <c r="A58" s="38">
        <v>5501075</v>
      </c>
      <c r="B58" s="38" t="str">
        <f t="shared" si="0"/>
        <v>5501071</v>
      </c>
      <c r="C58" s="32">
        <f t="shared" si="1"/>
        <v>5</v>
      </c>
      <c r="D58" s="32"/>
      <c r="E58" s="26" t="s">
        <v>162</v>
      </c>
      <c r="F58" s="26">
        <f t="shared" si="8"/>
        <v>1</v>
      </c>
      <c r="G58" s="26">
        <f>IFERROR(IF(--MID($E58,2*COUNTIF($F58:F58,"&gt;"&amp;0)+2,1)=G$1,G$1,""),"")</f>
        <v>2</v>
      </c>
      <c r="H58" s="26">
        <f>IFERROR(IF(--MID($E58,2*COUNTIF($F58:G58,"&gt;"&amp;0)+2,1)=H$1,H$1,""),"")</f>
        <v>3</v>
      </c>
      <c r="I58" s="26">
        <f>IFERROR(IF(--MID($E58,2*COUNTIF($F58:H58,"&gt;"&amp;0)+2,1)=I$1,I$1,""),"")</f>
        <v>4</v>
      </c>
      <c r="J58" s="26">
        <f>IFERROR(IF(--MID($E58,2*COUNTIF($F58:I58,"&gt;"&amp;0)+2,1)=J$1,J$1,""),"")</f>
        <v>5</v>
      </c>
      <c r="K58" s="26">
        <f>IFERROR(IF(--MID($E58,2*COUNTIF($F58:J58,"&gt;"&amp;0)+2,1)=K$1,K$1,""),"")</f>
        <v>6</v>
      </c>
      <c r="L58" s="39" cm="1">
        <f t="array" ref="L58">IFERROR(IF($A58="","",IF(F58="","",_xlfn.XLOOKUP($C58&amp;"_"&amp;$AG58,符文权重!$A:$A&amp;"_"&amp;符文权重!$C:$C,符文权重!$D:$D)*$X58/SUMIFS($X:$X,F:F,F58,$C:$C,$C58,$AG:$AG,$AG58)/SUMIF(符文权重!$A:$A,$C58,符文权重!$D:$D))),"")</f>
        <v>0.0196666666666667</v>
      </c>
      <c r="M58" s="39" cm="1">
        <f t="array" ref="M58">IFERROR(IF($A58="","",IF(G58="","",_xlfn.XLOOKUP($C58&amp;"_"&amp;$AG58,符文权重!$A:$A&amp;"_"&amp;符文权重!$C:$C,符文权重!$D:$D)*$X58/SUMIFS($X:$X,G:G,G58,$C:$C,$C58,$AG:$AG,$AG58)/SUMIF(符文权重!$A:$A,$C58,符文权重!$D:$D))),"")</f>
        <v>0.0196666666666667</v>
      </c>
      <c r="N58" s="39" cm="1">
        <f t="array" ref="N58">IFERROR(IF($A58="","",IF(H58="","",_xlfn.XLOOKUP($C58&amp;"_"&amp;$AG58,符文权重!$A:$A&amp;"_"&amp;符文权重!$C:$C,符文权重!$D:$D)*$X58/SUMIFS($X:$X,H:H,H58,$C:$C,$C58,$AG:$AG,$AG58)/SUMIF(符文权重!$A:$A,$C58,符文权重!$D:$D))),"")</f>
        <v>0.0196666666666667</v>
      </c>
      <c r="O58" s="39" cm="1">
        <f t="array" ref="O58">IFERROR(IF($A58="","",IF(I58="","",_xlfn.XLOOKUP($C58&amp;"_"&amp;$AG58,符文权重!$A:$A&amp;"_"&amp;符文权重!$C:$C,符文权重!$D:$D)*$X58/SUMIFS($X:$X,I:I,I58,$C:$C,$C58,$AG:$AG,$AG58)/SUMIF(符文权重!$A:$A,$C58,符文权重!$D:$D))),"")</f>
        <v>0.0196666666666667</v>
      </c>
      <c r="P58" s="39" cm="1">
        <f t="array" ref="P58">IFERROR(IF($A58="","",IF(J58="","",_xlfn.XLOOKUP($C58&amp;"_"&amp;$AG58,符文权重!$A:$A&amp;"_"&amp;符文权重!$C:$C,符文权重!$D:$D)*$X58/SUMIFS($X:$X,J:J,J58,$C:$C,$C58,$AG:$AG,$AG58)/SUMIF(符文权重!$A:$A,$C58,符文权重!$D:$D))),"")</f>
        <v>0.0196666666666667</v>
      </c>
      <c r="Q58" s="39" cm="1">
        <f t="array" ref="Q58">IFERROR(IF($A58="","",IF(K58="","",_xlfn.XLOOKUP($C58&amp;"_"&amp;$AG58,符文权重!$A:$A&amp;"_"&amp;符文权重!$C:$C,符文权重!$D:$D)*$X58/SUMIFS($X:$X,K:K,K58,$C:$C,$C58,$AG:$AG,$AG58)/SUMIF(符文权重!$A:$A,$C58,符文权重!$D:$D))),"")</f>
        <v>0.0196666666666667</v>
      </c>
      <c r="R58" s="26" t="s">
        <v>181</v>
      </c>
      <c r="S58" s="26" t="s">
        <v>227</v>
      </c>
      <c r="T58" s="26" t="e">
        <f>IF(B58="","",SUBSTITUTE(SUBSTITUTE("[{global_atk,"&amp;#REF!*C58&amp;"}]",21,20),9,8))</f>
        <v>#REF!</v>
      </c>
      <c r="U58" s="40" t="str">
        <f t="shared" si="27"/>
        <v>[5501075]</v>
      </c>
      <c r="V58" s="26" t="s">
        <v>233</v>
      </c>
      <c r="W58" s="25"/>
      <c r="X58" s="32">
        <v>100</v>
      </c>
      <c r="Y58" s="25"/>
      <c r="Z58" s="32" t="s">
        <v>176</v>
      </c>
      <c r="AA58" s="32" t="str">
        <f t="shared" si="14"/>
        <v>召唤职业攻击力+96</v>
      </c>
      <c r="AB58" s="32"/>
      <c r="AC58" s="32" t="s">
        <v>166</v>
      </c>
      <c r="AD58" s="32">
        <f t="shared" si="9"/>
        <v>1053</v>
      </c>
      <c r="AE58" s="38" t="str">
        <f t="shared" si="3"/>
        <v>5501071</v>
      </c>
      <c r="AF58" s="32" t="str">
        <f t="shared" si="4"/>
        <v>[96]</v>
      </c>
      <c r="AG58" s="26">
        <v>1</v>
      </c>
      <c r="AH58" s="26"/>
      <c r="AI58" s="26">
        <v>0</v>
      </c>
      <c r="AJ58" s="25" t="s">
        <v>167</v>
      </c>
      <c r="AK58" s="38">
        <f t="shared" si="28"/>
        <v>5501075</v>
      </c>
      <c r="AL58" s="41" t="str">
        <f t="shared" si="29"/>
        <v>召唤职业攻击力&lt;color=#54b76b&gt;+%s&lt;/color&gt;</v>
      </c>
      <c r="AM58" s="25">
        <v>96</v>
      </c>
      <c r="AN58" s="26">
        <v>1</v>
      </c>
      <c r="AO58" s="26" t="s">
        <v>32</v>
      </c>
      <c r="AP58" s="20">
        <f t="shared" si="10"/>
        <v>53</v>
      </c>
    </row>
    <row r="59" s="20" customFormat="1" customHeight="1" spans="1:42">
      <c r="A59" s="38">
        <v>5501076</v>
      </c>
      <c r="B59" s="38" t="str">
        <f t="shared" si="0"/>
        <v>5501071</v>
      </c>
      <c r="C59" s="32">
        <f t="shared" si="1"/>
        <v>6</v>
      </c>
      <c r="D59" s="32"/>
      <c r="E59" s="26" t="s">
        <v>162</v>
      </c>
      <c r="F59" s="26">
        <f t="shared" si="8"/>
        <v>1</v>
      </c>
      <c r="G59" s="26">
        <f>IFERROR(IF(--MID($E59,2*COUNTIF($F59:F59,"&gt;"&amp;0)+2,1)=G$1,G$1,""),"")</f>
        <v>2</v>
      </c>
      <c r="H59" s="26">
        <f>IFERROR(IF(--MID($E59,2*COUNTIF($F59:G59,"&gt;"&amp;0)+2,1)=H$1,H$1,""),"")</f>
        <v>3</v>
      </c>
      <c r="I59" s="26">
        <f>IFERROR(IF(--MID($E59,2*COUNTIF($F59:H59,"&gt;"&amp;0)+2,1)=I$1,I$1,""),"")</f>
        <v>4</v>
      </c>
      <c r="J59" s="26">
        <f>IFERROR(IF(--MID($E59,2*COUNTIF($F59:I59,"&gt;"&amp;0)+2,1)=J$1,J$1,""),"")</f>
        <v>5</v>
      </c>
      <c r="K59" s="26">
        <f>IFERROR(IF(--MID($E59,2*COUNTIF($F59:J59,"&gt;"&amp;0)+2,1)=K$1,K$1,""),"")</f>
        <v>6</v>
      </c>
      <c r="L59" s="39" cm="1">
        <f t="array" ref="L59">IFERROR(IF($A59="","",IF(F59="","",_xlfn.XLOOKUP($C59&amp;"_"&amp;$AG59,符文权重!$A:$A&amp;"_"&amp;符文权重!$C:$C,符文权重!$D:$D)*$X59/SUMIFS($X:$X,F:F,F59,$C:$C,$C59,$AG:$AG,$AG59)/SUMIF(符文权重!$A:$A,$C59,符文权重!$D:$D))),"")</f>
        <v>0.0196666666666667</v>
      </c>
      <c r="M59" s="39" cm="1">
        <f t="array" ref="M59">IFERROR(IF($A59="","",IF(G59="","",_xlfn.XLOOKUP($C59&amp;"_"&amp;$AG59,符文权重!$A:$A&amp;"_"&amp;符文权重!$C:$C,符文权重!$D:$D)*$X59/SUMIFS($X:$X,G:G,G59,$C:$C,$C59,$AG:$AG,$AG59)/SUMIF(符文权重!$A:$A,$C59,符文权重!$D:$D))),"")</f>
        <v>0.0196666666666667</v>
      </c>
      <c r="N59" s="39" cm="1">
        <f t="array" ref="N59">IFERROR(IF($A59="","",IF(H59="","",_xlfn.XLOOKUP($C59&amp;"_"&amp;$AG59,符文权重!$A:$A&amp;"_"&amp;符文权重!$C:$C,符文权重!$D:$D)*$X59/SUMIFS($X:$X,H:H,H59,$C:$C,$C59,$AG:$AG,$AG59)/SUMIF(符文权重!$A:$A,$C59,符文权重!$D:$D))),"")</f>
        <v>0.0196666666666667</v>
      </c>
      <c r="O59" s="39" cm="1">
        <f t="array" ref="O59">IFERROR(IF($A59="","",IF(I59="","",_xlfn.XLOOKUP($C59&amp;"_"&amp;$AG59,符文权重!$A:$A&amp;"_"&amp;符文权重!$C:$C,符文权重!$D:$D)*$X59/SUMIFS($X:$X,I:I,I59,$C:$C,$C59,$AG:$AG,$AG59)/SUMIF(符文权重!$A:$A,$C59,符文权重!$D:$D))),"")</f>
        <v>0.0196666666666667</v>
      </c>
      <c r="P59" s="39" cm="1">
        <f t="array" ref="P59">IFERROR(IF($A59="","",IF(J59="","",_xlfn.XLOOKUP($C59&amp;"_"&amp;$AG59,符文权重!$A:$A&amp;"_"&amp;符文权重!$C:$C,符文权重!$D:$D)*$X59/SUMIFS($X:$X,J:J,J59,$C:$C,$C59,$AG:$AG,$AG59)/SUMIF(符文权重!$A:$A,$C59,符文权重!$D:$D))),"")</f>
        <v>0.0196666666666667</v>
      </c>
      <c r="Q59" s="39" cm="1">
        <f t="array" ref="Q59">IFERROR(IF($A59="","",IF(K59="","",_xlfn.XLOOKUP($C59&amp;"_"&amp;$AG59,符文权重!$A:$A&amp;"_"&amp;符文权重!$C:$C,符文权重!$D:$D)*$X59/SUMIFS($X:$X,K:K,K59,$C:$C,$C59,$AG:$AG,$AG59)/SUMIF(符文权重!$A:$A,$C59,符文权重!$D:$D))),"")</f>
        <v>0.0196666666666667</v>
      </c>
      <c r="R59" s="26" t="s">
        <v>181</v>
      </c>
      <c r="S59" s="26" t="s">
        <v>227</v>
      </c>
      <c r="T59" s="26" t="e">
        <f>IF(B59="","",SUBSTITUTE(SUBSTITUTE("[{global_atk,"&amp;#REF!*C59&amp;"}]",21,20),9,8))</f>
        <v>#REF!</v>
      </c>
      <c r="U59" s="40" t="str">
        <f t="shared" si="27"/>
        <v>[5501076]</v>
      </c>
      <c r="V59" s="26" t="s">
        <v>234</v>
      </c>
      <c r="W59" s="25"/>
      <c r="X59" s="32">
        <v>100</v>
      </c>
      <c r="Y59" s="25"/>
      <c r="Z59" s="32" t="s">
        <v>178</v>
      </c>
      <c r="AA59" s="32" t="str">
        <f t="shared" si="14"/>
        <v>召唤职业攻击力+120</v>
      </c>
      <c r="AB59" s="32"/>
      <c r="AC59" s="32" t="s">
        <v>166</v>
      </c>
      <c r="AD59" s="32">
        <f t="shared" si="9"/>
        <v>1054</v>
      </c>
      <c r="AE59" s="38" t="str">
        <f t="shared" si="3"/>
        <v>5501071</v>
      </c>
      <c r="AF59" s="32" t="str">
        <f t="shared" si="4"/>
        <v>[120]</v>
      </c>
      <c r="AG59" s="26">
        <v>1</v>
      </c>
      <c r="AH59" s="26"/>
      <c r="AI59" s="26">
        <v>0</v>
      </c>
      <c r="AJ59" s="25" t="s">
        <v>167</v>
      </c>
      <c r="AK59" s="38">
        <f t="shared" si="28"/>
        <v>5501076</v>
      </c>
      <c r="AL59" s="41" t="str">
        <f t="shared" si="29"/>
        <v>召唤职业攻击力&lt;color=#54b76b&gt;+%s&lt;/color&gt;</v>
      </c>
      <c r="AM59" s="25">
        <v>120</v>
      </c>
      <c r="AN59" s="26">
        <v>1</v>
      </c>
      <c r="AO59" s="26" t="s">
        <v>32</v>
      </c>
      <c r="AP59" s="20">
        <f t="shared" si="10"/>
        <v>54</v>
      </c>
    </row>
    <row r="60" s="20" customFormat="1" customHeight="1" spans="1:42">
      <c r="A60" s="38">
        <v>5501077</v>
      </c>
      <c r="B60" s="38" t="str">
        <f t="shared" si="0"/>
        <v>5501071</v>
      </c>
      <c r="C60" s="32">
        <f t="shared" si="1"/>
        <v>7</v>
      </c>
      <c r="D60" s="32"/>
      <c r="E60" s="26" t="s">
        <v>162</v>
      </c>
      <c r="F60" s="26">
        <f t="shared" si="8"/>
        <v>1</v>
      </c>
      <c r="G60" s="26">
        <f>IFERROR(IF(--MID($E60,2*COUNTIF($F60:F60,"&gt;"&amp;0)+2,1)=G$1,G$1,""),"")</f>
        <v>2</v>
      </c>
      <c r="H60" s="26">
        <f>IFERROR(IF(--MID($E60,2*COUNTIF($F60:G60,"&gt;"&amp;0)+2,1)=H$1,H$1,""),"")</f>
        <v>3</v>
      </c>
      <c r="I60" s="26">
        <f>IFERROR(IF(--MID($E60,2*COUNTIF($F60:H60,"&gt;"&amp;0)+2,1)=I$1,I$1,""),"")</f>
        <v>4</v>
      </c>
      <c r="J60" s="26">
        <f>IFERROR(IF(--MID($E60,2*COUNTIF($F60:I60,"&gt;"&amp;0)+2,1)=J$1,J$1,""),"")</f>
        <v>5</v>
      </c>
      <c r="K60" s="26">
        <f>IFERROR(IF(--MID($E60,2*COUNTIF($F60:J60,"&gt;"&amp;0)+2,1)=K$1,K$1,""),"")</f>
        <v>6</v>
      </c>
      <c r="L60" s="39" cm="1">
        <f t="array" ref="L60">IFERROR(IF($A60="","",IF(F60="","",_xlfn.XLOOKUP($C60&amp;"_"&amp;$AG60,符文权重!$A:$A&amp;"_"&amp;符文权重!$C:$C,符文权重!$D:$D)*$X60/SUMIFS($X:$X,F:F,F60,$C:$C,$C60,$AG:$AG,$AG60)/SUMIF(符文权重!$A:$A,$C60,符文权重!$D:$D))),"")</f>
        <v>0.0196666666666667</v>
      </c>
      <c r="M60" s="39" cm="1">
        <f t="array" ref="M60">IFERROR(IF($A60="","",IF(G60="","",_xlfn.XLOOKUP($C60&amp;"_"&amp;$AG60,符文权重!$A:$A&amp;"_"&amp;符文权重!$C:$C,符文权重!$D:$D)*$X60/SUMIFS($X:$X,G:G,G60,$C:$C,$C60,$AG:$AG,$AG60)/SUMIF(符文权重!$A:$A,$C60,符文权重!$D:$D))),"")</f>
        <v>0.0196666666666667</v>
      </c>
      <c r="N60" s="39" cm="1">
        <f t="array" ref="N60">IFERROR(IF($A60="","",IF(H60="","",_xlfn.XLOOKUP($C60&amp;"_"&amp;$AG60,符文权重!$A:$A&amp;"_"&amp;符文权重!$C:$C,符文权重!$D:$D)*$X60/SUMIFS($X:$X,H:H,H60,$C:$C,$C60,$AG:$AG,$AG60)/SUMIF(符文权重!$A:$A,$C60,符文权重!$D:$D))),"")</f>
        <v>0.0196666666666667</v>
      </c>
      <c r="O60" s="39" cm="1">
        <f t="array" ref="O60">IFERROR(IF($A60="","",IF(I60="","",_xlfn.XLOOKUP($C60&amp;"_"&amp;$AG60,符文权重!$A:$A&amp;"_"&amp;符文权重!$C:$C,符文权重!$D:$D)*$X60/SUMIFS($X:$X,I:I,I60,$C:$C,$C60,$AG:$AG,$AG60)/SUMIF(符文权重!$A:$A,$C60,符文权重!$D:$D))),"")</f>
        <v>0.0196666666666667</v>
      </c>
      <c r="P60" s="39" cm="1">
        <f t="array" ref="P60">IFERROR(IF($A60="","",IF(J60="","",_xlfn.XLOOKUP($C60&amp;"_"&amp;$AG60,符文权重!$A:$A&amp;"_"&amp;符文权重!$C:$C,符文权重!$D:$D)*$X60/SUMIFS($X:$X,J:J,J60,$C:$C,$C60,$AG:$AG,$AG60)/SUMIF(符文权重!$A:$A,$C60,符文权重!$D:$D))),"")</f>
        <v>0.0196666666666667</v>
      </c>
      <c r="Q60" s="39" cm="1">
        <f t="array" ref="Q60">IFERROR(IF($A60="","",IF(K60="","",_xlfn.XLOOKUP($C60&amp;"_"&amp;$AG60,符文权重!$A:$A&amp;"_"&amp;符文权重!$C:$C,符文权重!$D:$D)*$X60/SUMIFS($X:$X,K:K,K60,$C:$C,$C60,$AG:$AG,$AG60)/SUMIF(符文权重!$A:$A,$C60,符文权重!$D:$D))),"")</f>
        <v>0.0196666666666667</v>
      </c>
      <c r="R60" s="26" t="s">
        <v>181</v>
      </c>
      <c r="S60" s="26" t="s">
        <v>227</v>
      </c>
      <c r="T60" s="26" t="e">
        <f>IF(B60="","",SUBSTITUTE(SUBSTITUTE("[{global_atk,"&amp;#REF!*C60&amp;"}]",21,20),9,8))</f>
        <v>#REF!</v>
      </c>
      <c r="U60" s="40" t="str">
        <f t="shared" si="27"/>
        <v>[5501077]</v>
      </c>
      <c r="V60" s="26" t="s">
        <v>235</v>
      </c>
      <c r="W60" s="25"/>
      <c r="X60" s="32">
        <v>100</v>
      </c>
      <c r="Y60" s="25"/>
      <c r="Z60" s="32" t="s">
        <v>180</v>
      </c>
      <c r="AA60" s="32" t="str">
        <f t="shared" si="14"/>
        <v>召唤职业攻击力+150</v>
      </c>
      <c r="AB60" s="32"/>
      <c r="AC60" s="32" t="s">
        <v>166</v>
      </c>
      <c r="AD60" s="32">
        <f t="shared" si="9"/>
        <v>1055</v>
      </c>
      <c r="AE60" s="38" t="str">
        <f t="shared" si="3"/>
        <v>5501071</v>
      </c>
      <c r="AF60" s="32" t="str">
        <f t="shared" si="4"/>
        <v>[150]</v>
      </c>
      <c r="AG60" s="26">
        <v>1</v>
      </c>
      <c r="AH60" s="26"/>
      <c r="AI60" s="26">
        <v>0</v>
      </c>
      <c r="AJ60" s="25" t="s">
        <v>167</v>
      </c>
      <c r="AK60" s="38">
        <f t="shared" si="28"/>
        <v>5501077</v>
      </c>
      <c r="AL60" s="41" t="str">
        <f t="shared" si="29"/>
        <v>召唤职业攻击力&lt;color=#54b76b&gt;+%s&lt;/color&gt;</v>
      </c>
      <c r="AM60" s="25">
        <v>150</v>
      </c>
      <c r="AN60" s="26">
        <v>1</v>
      </c>
      <c r="AO60" s="26" t="s">
        <v>32</v>
      </c>
      <c r="AP60" s="20">
        <f t="shared" si="10"/>
        <v>55</v>
      </c>
    </row>
    <row r="61" s="20" customFormat="1" customHeight="1" spans="1:42">
      <c r="A61" s="38" t="s">
        <v>167</v>
      </c>
      <c r="B61" s="38" t="str">
        <f t="shared" si="0"/>
        <v/>
      </c>
      <c r="C61" s="32" t="str">
        <f t="shared" si="1"/>
        <v/>
      </c>
      <c r="D61" s="32"/>
      <c r="E61" s="26"/>
      <c r="F61" s="26" t="str">
        <f t="shared" si="8"/>
        <v/>
      </c>
      <c r="G61" s="26" t="str">
        <f>IFERROR(IF(--MID($E61,2*COUNTIF($F61:F61,"&gt;"&amp;0)+2,1)=G$1,G$1,""),"")</f>
        <v/>
      </c>
      <c r="H61" s="26" t="str">
        <f>IFERROR(IF(--MID($E61,2*COUNTIF($F61:G61,"&gt;"&amp;0)+2,1)=H$1,H$1,""),"")</f>
        <v/>
      </c>
      <c r="I61" s="26" t="str">
        <f>IFERROR(IF(--MID($E61,2*COUNTIF($F61:H61,"&gt;"&amp;0)+2,1)=I$1,I$1,""),"")</f>
        <v/>
      </c>
      <c r="J61" s="26" t="str">
        <f>IFERROR(IF(--MID($E61,2*COUNTIF($F61:I61,"&gt;"&amp;0)+2,1)=J$1,J$1,""),"")</f>
        <v/>
      </c>
      <c r="K61" s="26" t="str">
        <f>IFERROR(IF(--MID($E61,2*COUNTIF($F61:J61,"&gt;"&amp;0)+2,1)=K$1,K$1,""),"")</f>
        <v/>
      </c>
      <c r="L61" s="39" t="str" cm="1">
        <f t="array" ref="L61">IFERROR(IF($A61="","",IF(F61="","",_xlfn.XLOOKUP($C61&amp;"_"&amp;$AG61,符文权重!$A:$A&amp;"_"&amp;符文权重!$C:$C,符文权重!$D:$D)*$X61/SUMIFS($X:$X,F:F,F61,$C:$C,$C61,$AG:$AG,$AG61)/SUMIF(符文权重!$A:$A,$C61,符文权重!$D:$D))),"")</f>
        <v/>
      </c>
      <c r="M61" s="39" t="str" cm="1">
        <f t="array" ref="M61">IFERROR(IF($A61="","",IF(G61="","",_xlfn.XLOOKUP($C61&amp;"_"&amp;$AG61,符文权重!$A:$A&amp;"_"&amp;符文权重!$C:$C,符文权重!$D:$D)*$X61/SUMIFS($X:$X,G:G,G61,$C:$C,$C61,$AG:$AG,$AG61)/SUMIF(符文权重!$A:$A,$C61,符文权重!$D:$D))),"")</f>
        <v/>
      </c>
      <c r="N61" s="39" t="str" cm="1">
        <f t="array" ref="N61">IFERROR(IF($A61="","",IF(H61="","",_xlfn.XLOOKUP($C61&amp;"_"&amp;$AG61,符文权重!$A:$A&amp;"_"&amp;符文权重!$C:$C,符文权重!$D:$D)*$X61/SUMIFS($X:$X,H:H,H61,$C:$C,$C61,$AG:$AG,$AG61)/SUMIF(符文权重!$A:$A,$C61,符文权重!$D:$D))),"")</f>
        <v/>
      </c>
      <c r="O61" s="39" t="str" cm="1">
        <f t="array" ref="O61">IFERROR(IF($A61="","",IF(I61="","",_xlfn.XLOOKUP($C61&amp;"_"&amp;$AG61,符文权重!$A:$A&amp;"_"&amp;符文权重!$C:$C,符文权重!$D:$D)*$X61/SUMIFS($X:$X,I:I,I61,$C:$C,$C61,$AG:$AG,$AG61)/SUMIF(符文权重!$A:$A,$C61,符文权重!$D:$D))),"")</f>
        <v/>
      </c>
      <c r="P61" s="39" t="str" cm="1">
        <f t="array" ref="P61">IFERROR(IF($A61="","",IF(J61="","",_xlfn.XLOOKUP($C61&amp;"_"&amp;$AG61,符文权重!$A:$A&amp;"_"&amp;符文权重!$C:$C,符文权重!$D:$D)*$X61/SUMIFS($X:$X,J:J,J61,$C:$C,$C61,$AG:$AG,$AG61)/SUMIF(符文权重!$A:$A,$C61,符文权重!$D:$D))),"")</f>
        <v/>
      </c>
      <c r="Q61" s="39" t="str" cm="1">
        <f t="array" ref="Q61">IFERROR(IF($A61="","",IF(K61="","",_xlfn.XLOOKUP($C61&amp;"_"&amp;$AG61,符文权重!$A:$A&amp;"_"&amp;符文权重!$C:$C,符文权重!$D:$D)*$X61/SUMIFS($X:$X,K:K,K61,$C:$C,$C61,$AG:$AG,$AG61)/SUMIF(符文权重!$A:$A,$C61,符文权重!$D:$D))),"")</f>
        <v/>
      </c>
      <c r="R61" s="26"/>
      <c r="S61" s="26"/>
      <c r="T61" s="26"/>
      <c r="U61" s="40"/>
      <c r="V61" s="31"/>
      <c r="W61" s="25"/>
      <c r="X61" s="32"/>
      <c r="Y61" s="25"/>
      <c r="Z61" s="32" t="s">
        <v>167</v>
      </c>
      <c r="AA61" s="32" t="str">
        <f t="shared" si="14"/>
        <v/>
      </c>
      <c r="AB61" s="32"/>
      <c r="AC61" s="32" t="s">
        <v>166</v>
      </c>
      <c r="AD61" s="32">
        <f t="shared" si="9"/>
        <v>1056</v>
      </c>
      <c r="AE61" s="38" t="str">
        <f t="shared" si="3"/>
        <v/>
      </c>
      <c r="AF61" s="32" t="str">
        <f t="shared" si="4"/>
        <v/>
      </c>
      <c r="AG61" s="26"/>
      <c r="AH61" s="26"/>
      <c r="AI61" s="26"/>
      <c r="AJ61" s="25" t="s">
        <v>167</v>
      </c>
      <c r="AK61" s="24"/>
      <c r="AL61" s="43"/>
      <c r="AM61" s="25"/>
      <c r="AN61" s="26"/>
      <c r="AO61" s="26"/>
      <c r="AP61" s="20">
        <f t="shared" si="10"/>
        <v>56</v>
      </c>
    </row>
    <row r="62" s="22" customFormat="1" customHeight="1" spans="1:42">
      <c r="A62" s="44">
        <v>5501081</v>
      </c>
      <c r="B62" s="44" t="str">
        <f t="shared" si="0"/>
        <v>5501081</v>
      </c>
      <c r="C62" s="45">
        <f t="shared" si="1"/>
        <v>1</v>
      </c>
      <c r="D62" s="45"/>
      <c r="E62" s="46" t="s">
        <v>162</v>
      </c>
      <c r="F62" s="26">
        <f t="shared" si="8"/>
        <v>1</v>
      </c>
      <c r="G62" s="26">
        <f>IFERROR(IF(--MID($E62,2*COUNTIF($F62:F62,"&gt;"&amp;0)+2,1)=G$1,G$1,""),"")</f>
        <v>2</v>
      </c>
      <c r="H62" s="26">
        <f>IFERROR(IF(--MID($E62,2*COUNTIF($F62:G62,"&gt;"&amp;0)+2,1)=H$1,H$1,""),"")</f>
        <v>3</v>
      </c>
      <c r="I62" s="26">
        <f>IFERROR(IF(--MID($E62,2*COUNTIF($F62:H62,"&gt;"&amp;0)+2,1)=I$1,I$1,""),"")</f>
        <v>4</v>
      </c>
      <c r="J62" s="26">
        <f>IFERROR(IF(--MID($E62,2*COUNTIF($F62:I62,"&gt;"&amp;0)+2,1)=J$1,J$1,""),"")</f>
        <v>5</v>
      </c>
      <c r="K62" s="26">
        <f>IFERROR(IF(--MID($E62,2*COUNTIF($F62:J62,"&gt;"&amp;0)+2,1)=K$1,K$1,""),"")</f>
        <v>6</v>
      </c>
      <c r="L62" s="39" t="str" cm="1">
        <f t="array" ref="L62">IFERROR(IF($A62="","",IF(F62="","",_xlfn.XLOOKUP($C62&amp;"_"&amp;$AG62,符文权重!$A:$A&amp;"_"&amp;符文权重!$C:$C,符文权重!$D:$D)*$X62/SUMIFS($X:$X,F:F,F62,$C:$C,$C62,$AG:$AG,$AG62)/SUMIF(符文权重!$A:$A,$C62,符文权重!$D:$D))),"")</f>
        <v/>
      </c>
      <c r="M62" s="39" t="str" cm="1">
        <f t="array" ref="M62">IFERROR(IF($A62="","",IF(G62="","",_xlfn.XLOOKUP($C62&amp;"_"&amp;$AG62,符文权重!$A:$A&amp;"_"&amp;符文权重!$C:$C,符文权重!$D:$D)*$X62/SUMIFS($X:$X,G:G,G62,$C:$C,$C62,$AG:$AG,$AG62)/SUMIF(符文权重!$A:$A,$C62,符文权重!$D:$D))),"")</f>
        <v/>
      </c>
      <c r="N62" s="39" t="str" cm="1">
        <f t="array" ref="N62">IFERROR(IF($A62="","",IF(H62="","",_xlfn.XLOOKUP($C62&amp;"_"&amp;$AG62,符文权重!$A:$A&amp;"_"&amp;符文权重!$C:$C,符文权重!$D:$D)*$X62/SUMIFS($X:$X,H:H,H62,$C:$C,$C62,$AG:$AG,$AG62)/SUMIF(符文权重!$A:$A,$C62,符文权重!$D:$D))),"")</f>
        <v/>
      </c>
      <c r="O62" s="39" t="str" cm="1">
        <f t="array" ref="O62">IFERROR(IF($A62="","",IF(I62="","",_xlfn.XLOOKUP($C62&amp;"_"&amp;$AG62,符文权重!$A:$A&amp;"_"&amp;符文权重!$C:$C,符文权重!$D:$D)*$X62/SUMIFS($X:$X,I:I,I62,$C:$C,$C62,$AG:$AG,$AG62)/SUMIF(符文权重!$A:$A,$C62,符文权重!$D:$D))),"")</f>
        <v/>
      </c>
      <c r="P62" s="39" t="str" cm="1">
        <f t="array" ref="P62">IFERROR(IF($A62="","",IF(J62="","",_xlfn.XLOOKUP($C62&amp;"_"&amp;$AG62,符文权重!$A:$A&amp;"_"&amp;符文权重!$C:$C,符文权重!$D:$D)*$X62/SUMIFS($X:$X,J:J,J62,$C:$C,$C62,$AG:$AG,$AG62)/SUMIF(符文权重!$A:$A,$C62,符文权重!$D:$D))),"")</f>
        <v/>
      </c>
      <c r="Q62" s="39" t="str" cm="1">
        <f t="array" ref="Q62">IFERROR(IF($A62="","",IF(K62="","",_xlfn.XLOOKUP($C62&amp;"_"&amp;$AG62,符文权重!$A:$A&amp;"_"&amp;符文权重!$C:$C,符文权重!$D:$D)*$X62/SUMIFS($X:$X,K:K,K62,$C:$C,$C62,$AG:$AG,$AG62)/SUMIF(符文权重!$A:$A,$C62,符文权重!$D:$D))),"")</f>
        <v/>
      </c>
      <c r="R62" s="46" t="s">
        <v>163</v>
      </c>
      <c r="S62" s="46"/>
      <c r="T62" s="46" t="e">
        <f>IF(B62="","",SUBSTITUTE(SUBSTITUTE("[{global_atk,"&amp;#REF!*C62&amp;"}]",21,20),9,8))</f>
        <v>#REF!</v>
      </c>
      <c r="U62" s="47" t="str">
        <f t="shared" ref="U62:U68" si="30">"["&amp;A62&amp;"]"</f>
        <v>[5501081]</v>
      </c>
      <c r="V62" s="46" t="s">
        <v>236</v>
      </c>
      <c r="W62" s="23"/>
      <c r="X62" s="32">
        <v>100</v>
      </c>
      <c r="Y62" s="23"/>
      <c r="Z62" s="45" t="s">
        <v>165</v>
      </c>
      <c r="AA62" s="32" t="str">
        <f t="shared" si="14"/>
        <v>队长和梦灵伤害+3%</v>
      </c>
      <c r="AB62" s="32"/>
      <c r="AC62" s="32" t="s">
        <v>166</v>
      </c>
      <c r="AD62" s="32">
        <f t="shared" si="9"/>
        <v>1057</v>
      </c>
      <c r="AE62" s="44" t="str">
        <f t="shared" si="3"/>
        <v>5501081</v>
      </c>
      <c r="AF62" s="45" t="str">
        <f t="shared" si="4"/>
        <v>[3]</v>
      </c>
      <c r="AG62" s="26">
        <v>100</v>
      </c>
      <c r="AH62" s="46"/>
      <c r="AI62" s="46">
        <v>1</v>
      </c>
      <c r="AJ62" s="25" t="s">
        <v>167</v>
      </c>
      <c r="AK62" s="48">
        <v>5501081</v>
      </c>
      <c r="AL62" s="49" t="s">
        <v>237</v>
      </c>
      <c r="AM62" s="23">
        <v>3</v>
      </c>
      <c r="AN62" s="26">
        <v>1</v>
      </c>
      <c r="AO62" s="26" t="s">
        <v>25</v>
      </c>
      <c r="AP62" s="20">
        <f t="shared" si="10"/>
        <v>57</v>
      </c>
    </row>
    <row r="63" s="20" customFormat="1" customHeight="1" spans="1:42">
      <c r="A63" s="38">
        <v>5501082</v>
      </c>
      <c r="B63" s="38" t="str">
        <f t="shared" si="0"/>
        <v>5501081</v>
      </c>
      <c r="C63" s="32">
        <f t="shared" si="1"/>
        <v>2</v>
      </c>
      <c r="D63" s="32"/>
      <c r="E63" s="26" t="s">
        <v>162</v>
      </c>
      <c r="F63" s="26">
        <f t="shared" si="8"/>
        <v>1</v>
      </c>
      <c r="G63" s="26">
        <f>IFERROR(IF(--MID($E63,2*COUNTIF($F63:F63,"&gt;"&amp;0)+2,1)=G$1,G$1,""),"")</f>
        <v>2</v>
      </c>
      <c r="H63" s="26">
        <f>IFERROR(IF(--MID($E63,2*COUNTIF($F63:G63,"&gt;"&amp;0)+2,1)=H$1,H$1,""),"")</f>
        <v>3</v>
      </c>
      <c r="I63" s="26">
        <f>IFERROR(IF(--MID($E63,2*COUNTIF($F63:H63,"&gt;"&amp;0)+2,1)=I$1,I$1,""),"")</f>
        <v>4</v>
      </c>
      <c r="J63" s="26">
        <f>IFERROR(IF(--MID($E63,2*COUNTIF($F63:I63,"&gt;"&amp;0)+2,1)=J$1,J$1,""),"")</f>
        <v>5</v>
      </c>
      <c r="K63" s="26">
        <f>IFERROR(IF(--MID($E63,2*COUNTIF($F63:J63,"&gt;"&amp;0)+2,1)=K$1,K$1,""),"")</f>
        <v>6</v>
      </c>
      <c r="L63" s="39" cm="1">
        <f t="array" ref="L63">IFERROR(IF($A63="","",IF(F63="","",_xlfn.XLOOKUP($C63&amp;"_"&amp;$AG63,符文权重!$A:$A&amp;"_"&amp;符文权重!$C:$C,符文权重!$D:$D)*$X63/SUMIFS($X:$X,F:F,F63,$C:$C,$C63,$AG:$AG,$AG63)/SUMIF(符文权重!$A:$A,$C63,符文权重!$D:$D))),"")</f>
        <v>0.0363636363636364</v>
      </c>
      <c r="M63" s="39" cm="1">
        <f t="array" ref="M63">IFERROR(IF($A63="","",IF(G63="","",_xlfn.XLOOKUP($C63&amp;"_"&amp;$AG63,符文权重!$A:$A&amp;"_"&amp;符文权重!$C:$C,符文权重!$D:$D)*$X63/SUMIFS($X:$X,G:G,G63,$C:$C,$C63,$AG:$AG,$AG63)/SUMIF(符文权重!$A:$A,$C63,符文权重!$D:$D))),"")</f>
        <v>0.0363636363636364</v>
      </c>
      <c r="N63" s="39" cm="1">
        <f t="array" ref="N63">IFERROR(IF($A63="","",IF(H63="","",_xlfn.XLOOKUP($C63&amp;"_"&amp;$AG63,符文权重!$A:$A&amp;"_"&amp;符文权重!$C:$C,符文权重!$D:$D)*$X63/SUMIFS($X:$X,H:H,H63,$C:$C,$C63,$AG:$AG,$AG63)/SUMIF(符文权重!$A:$A,$C63,符文权重!$D:$D))),"")</f>
        <v>0.0363636363636364</v>
      </c>
      <c r="O63" s="39" cm="1">
        <f t="array" ref="O63">IFERROR(IF($A63="","",IF(I63="","",_xlfn.XLOOKUP($C63&amp;"_"&amp;$AG63,符文权重!$A:$A&amp;"_"&amp;符文权重!$C:$C,符文权重!$D:$D)*$X63/SUMIFS($X:$X,I:I,I63,$C:$C,$C63,$AG:$AG,$AG63)/SUMIF(符文权重!$A:$A,$C63,符文权重!$D:$D))),"")</f>
        <v>0.0363636363636364</v>
      </c>
      <c r="P63" s="39" cm="1">
        <f t="array" ref="P63">IFERROR(IF($A63="","",IF(J63="","",_xlfn.XLOOKUP($C63&amp;"_"&amp;$AG63,符文权重!$A:$A&amp;"_"&amp;符文权重!$C:$C,符文权重!$D:$D)*$X63/SUMIFS($X:$X,J:J,J63,$C:$C,$C63,$AG:$AG,$AG63)/SUMIF(符文权重!$A:$A,$C63,符文权重!$D:$D))),"")</f>
        <v>0.0363636363636364</v>
      </c>
      <c r="Q63" s="39" cm="1">
        <f t="array" ref="Q63">IFERROR(IF($A63="","",IF(K63="","",_xlfn.XLOOKUP($C63&amp;"_"&amp;$AG63,符文权重!$A:$A&amp;"_"&amp;符文权重!$C:$C,符文权重!$D:$D)*$X63/SUMIFS($X:$X,K:K,K63,$C:$C,$C63,$AG:$AG,$AG63)/SUMIF(符文权重!$A:$A,$C63,符文权重!$D:$D))),"")</f>
        <v>0.0363636363636364</v>
      </c>
      <c r="R63" s="26" t="s">
        <v>163</v>
      </c>
      <c r="S63" s="26"/>
      <c r="T63" s="26" t="e">
        <f>IF(B63="","",SUBSTITUTE(SUBSTITUTE("[{global_atk,"&amp;#REF!*C63&amp;"}]",21,20),9,8))</f>
        <v>#REF!</v>
      </c>
      <c r="U63" s="40" t="str">
        <f t="shared" si="30"/>
        <v>[5501082]</v>
      </c>
      <c r="V63" s="26" t="s">
        <v>238</v>
      </c>
      <c r="W63" s="25"/>
      <c r="X63" s="32">
        <v>100</v>
      </c>
      <c r="Y63" s="25"/>
      <c r="Z63" s="32" t="s">
        <v>170</v>
      </c>
      <c r="AA63" s="32" t="str">
        <f t="shared" si="14"/>
        <v>队长和梦灵伤害+4%</v>
      </c>
      <c r="AB63" s="32"/>
      <c r="AC63" s="32" t="s">
        <v>166</v>
      </c>
      <c r="AD63" s="32">
        <f t="shared" si="9"/>
        <v>1058</v>
      </c>
      <c r="AE63" s="38" t="str">
        <f t="shared" si="3"/>
        <v>5501081</v>
      </c>
      <c r="AF63" s="32" t="str">
        <f t="shared" si="4"/>
        <v>[4]</v>
      </c>
      <c r="AG63" s="26">
        <v>1</v>
      </c>
      <c r="AH63" s="26"/>
      <c r="AI63" s="26">
        <v>0</v>
      </c>
      <c r="AJ63" s="25" t="s">
        <v>167</v>
      </c>
      <c r="AK63" s="38">
        <f t="shared" ref="AK63:AK68" si="31">AK62+1</f>
        <v>5501082</v>
      </c>
      <c r="AL63" s="41" t="str">
        <f t="shared" ref="AL63:AL68" si="32">AL62</f>
        <v>队长和梦灵伤害&lt;color=#54b76b&gt;+%s%&lt;/color&gt;</v>
      </c>
      <c r="AM63" s="25">
        <v>4</v>
      </c>
      <c r="AN63" s="26">
        <v>1</v>
      </c>
      <c r="AO63" s="26" t="s">
        <v>25</v>
      </c>
      <c r="AP63" s="20">
        <f t="shared" si="10"/>
        <v>58</v>
      </c>
    </row>
    <row r="64" s="20" customFormat="1" customHeight="1" spans="1:42">
      <c r="A64" s="38">
        <v>5501083</v>
      </c>
      <c r="B64" s="38" t="str">
        <f t="shared" si="0"/>
        <v>5501081</v>
      </c>
      <c r="C64" s="32">
        <f t="shared" si="1"/>
        <v>3</v>
      </c>
      <c r="D64" s="32"/>
      <c r="E64" s="26" t="s">
        <v>162</v>
      </c>
      <c r="F64" s="26">
        <f t="shared" si="8"/>
        <v>1</v>
      </c>
      <c r="G64" s="26">
        <f>IFERROR(IF(--MID($E64,2*COUNTIF($F64:F64,"&gt;"&amp;0)+2,1)=G$1,G$1,""),"")</f>
        <v>2</v>
      </c>
      <c r="H64" s="26">
        <f>IFERROR(IF(--MID($E64,2*COUNTIF($F64:G64,"&gt;"&amp;0)+2,1)=H$1,H$1,""),"")</f>
        <v>3</v>
      </c>
      <c r="I64" s="26">
        <f>IFERROR(IF(--MID($E64,2*COUNTIF($F64:H64,"&gt;"&amp;0)+2,1)=I$1,I$1,""),"")</f>
        <v>4</v>
      </c>
      <c r="J64" s="26">
        <f>IFERROR(IF(--MID($E64,2*COUNTIF($F64:I64,"&gt;"&amp;0)+2,1)=J$1,J$1,""),"")</f>
        <v>5</v>
      </c>
      <c r="K64" s="26">
        <f>IFERROR(IF(--MID($E64,2*COUNTIF($F64:J64,"&gt;"&amp;0)+2,1)=K$1,K$1,""),"")</f>
        <v>6</v>
      </c>
      <c r="L64" s="39" cm="1">
        <f t="array" ref="L64">IFERROR(IF($A64="","",IF(F64="","",_xlfn.XLOOKUP($C64&amp;"_"&amp;$AG64,符文权重!$A:$A&amp;"_"&amp;符文权重!$C:$C,符文权重!$D:$D)*$X64/SUMIFS($X:$X,F:F,F64,$C:$C,$C64,$AG:$AG,$AG64)/SUMIF(符文权重!$A:$A,$C64,符文权重!$D:$D))),"")</f>
        <v>0.035</v>
      </c>
      <c r="M64" s="39" cm="1">
        <f t="array" ref="M64">IFERROR(IF($A64="","",IF(G64="","",_xlfn.XLOOKUP($C64&amp;"_"&amp;$AG64,符文权重!$A:$A&amp;"_"&amp;符文权重!$C:$C,符文权重!$D:$D)*$X64/SUMIFS($X:$X,G:G,G64,$C:$C,$C64,$AG:$AG,$AG64)/SUMIF(符文权重!$A:$A,$C64,符文权重!$D:$D))),"")</f>
        <v>0.035</v>
      </c>
      <c r="N64" s="39" cm="1">
        <f t="array" ref="N64">IFERROR(IF($A64="","",IF(H64="","",_xlfn.XLOOKUP($C64&amp;"_"&amp;$AG64,符文权重!$A:$A&amp;"_"&amp;符文权重!$C:$C,符文权重!$D:$D)*$X64/SUMIFS($X:$X,H:H,H64,$C:$C,$C64,$AG:$AG,$AG64)/SUMIF(符文权重!$A:$A,$C64,符文权重!$D:$D))),"")</f>
        <v>0.035</v>
      </c>
      <c r="O64" s="39" cm="1">
        <f t="array" ref="O64">IFERROR(IF($A64="","",IF(I64="","",_xlfn.XLOOKUP($C64&amp;"_"&amp;$AG64,符文权重!$A:$A&amp;"_"&amp;符文权重!$C:$C,符文权重!$D:$D)*$X64/SUMIFS($X:$X,I:I,I64,$C:$C,$C64,$AG:$AG,$AG64)/SUMIF(符文权重!$A:$A,$C64,符文权重!$D:$D))),"")</f>
        <v>0.035</v>
      </c>
      <c r="P64" s="39" cm="1">
        <f t="array" ref="P64">IFERROR(IF($A64="","",IF(J64="","",_xlfn.XLOOKUP($C64&amp;"_"&amp;$AG64,符文权重!$A:$A&amp;"_"&amp;符文权重!$C:$C,符文权重!$D:$D)*$X64/SUMIFS($X:$X,J:J,J64,$C:$C,$C64,$AG:$AG,$AG64)/SUMIF(符文权重!$A:$A,$C64,符文权重!$D:$D))),"")</f>
        <v>0.035</v>
      </c>
      <c r="Q64" s="39" cm="1">
        <f t="array" ref="Q64">IFERROR(IF($A64="","",IF(K64="","",_xlfn.XLOOKUP($C64&amp;"_"&amp;$AG64,符文权重!$A:$A&amp;"_"&amp;符文权重!$C:$C,符文权重!$D:$D)*$X64/SUMIFS($X:$X,K:K,K64,$C:$C,$C64,$AG:$AG,$AG64)/SUMIF(符文权重!$A:$A,$C64,符文权重!$D:$D))),"")</f>
        <v>0.035</v>
      </c>
      <c r="R64" s="26" t="s">
        <v>163</v>
      </c>
      <c r="S64" s="26"/>
      <c r="T64" s="26" t="e">
        <f>IF(B64="","",SUBSTITUTE(SUBSTITUTE("[{global_atk,"&amp;#REF!*C64&amp;"}]",21,20),9,8))</f>
        <v>#REF!</v>
      </c>
      <c r="U64" s="40" t="str">
        <f t="shared" si="30"/>
        <v>[5501083]</v>
      </c>
      <c r="V64" s="26" t="s">
        <v>239</v>
      </c>
      <c r="W64" s="25"/>
      <c r="X64" s="32">
        <v>100</v>
      </c>
      <c r="Y64" s="25"/>
      <c r="Z64" s="32" t="s">
        <v>172</v>
      </c>
      <c r="AA64" s="32" t="str">
        <f t="shared" si="14"/>
        <v>队长和梦灵伤害+5%</v>
      </c>
      <c r="AB64" s="32"/>
      <c r="AC64" s="32" t="s">
        <v>166</v>
      </c>
      <c r="AD64" s="32">
        <f t="shared" si="9"/>
        <v>1059</v>
      </c>
      <c r="AE64" s="38" t="str">
        <f t="shared" si="3"/>
        <v>5501081</v>
      </c>
      <c r="AF64" s="32" t="str">
        <f t="shared" si="4"/>
        <v>[5]</v>
      </c>
      <c r="AG64" s="26">
        <v>1</v>
      </c>
      <c r="AH64" s="26"/>
      <c r="AI64" s="26">
        <v>0</v>
      </c>
      <c r="AJ64" s="25" t="s">
        <v>167</v>
      </c>
      <c r="AK64" s="38">
        <f t="shared" si="31"/>
        <v>5501083</v>
      </c>
      <c r="AL64" s="41" t="str">
        <f t="shared" si="32"/>
        <v>队长和梦灵伤害&lt;color=#54b76b&gt;+%s%&lt;/color&gt;</v>
      </c>
      <c r="AM64" s="25">
        <v>5</v>
      </c>
      <c r="AN64" s="26">
        <v>1</v>
      </c>
      <c r="AO64" s="26" t="s">
        <v>25</v>
      </c>
      <c r="AP64" s="20">
        <f t="shared" si="10"/>
        <v>59</v>
      </c>
    </row>
    <row r="65" s="20" customFormat="1" customHeight="1" spans="1:42">
      <c r="A65" s="38">
        <v>5501084</v>
      </c>
      <c r="B65" s="38" t="str">
        <f t="shared" si="0"/>
        <v>5501081</v>
      </c>
      <c r="C65" s="32">
        <f t="shared" si="1"/>
        <v>4</v>
      </c>
      <c r="D65" s="32"/>
      <c r="E65" s="26" t="s">
        <v>162</v>
      </c>
      <c r="F65" s="26">
        <f t="shared" si="8"/>
        <v>1</v>
      </c>
      <c r="G65" s="26">
        <f>IFERROR(IF(--MID($E65,2*COUNTIF($F65:F65,"&gt;"&amp;0)+2,1)=G$1,G$1,""),"")</f>
        <v>2</v>
      </c>
      <c r="H65" s="26">
        <f>IFERROR(IF(--MID($E65,2*COUNTIF($F65:G65,"&gt;"&amp;0)+2,1)=H$1,H$1,""),"")</f>
        <v>3</v>
      </c>
      <c r="I65" s="26">
        <f>IFERROR(IF(--MID($E65,2*COUNTIF($F65:H65,"&gt;"&amp;0)+2,1)=I$1,I$1,""),"")</f>
        <v>4</v>
      </c>
      <c r="J65" s="26">
        <f>IFERROR(IF(--MID($E65,2*COUNTIF($F65:I65,"&gt;"&amp;0)+2,1)=J$1,J$1,""),"")</f>
        <v>5</v>
      </c>
      <c r="K65" s="26">
        <f>IFERROR(IF(--MID($E65,2*COUNTIF($F65:J65,"&gt;"&amp;0)+2,1)=K$1,K$1,""),"")</f>
        <v>6</v>
      </c>
      <c r="L65" s="39" cm="1">
        <f t="array" ref="L65">IFERROR(IF($A65="","",IF(F65="","",_xlfn.XLOOKUP($C65&amp;"_"&amp;$AG65,符文权重!$A:$A&amp;"_"&amp;符文权重!$C:$C,符文权重!$D:$D)*$X65/SUMIFS($X:$X,F:F,F65,$C:$C,$C65,$AG:$AG,$AG65)/SUMIF(符文权重!$A:$A,$C65,符文权重!$D:$D))),"")</f>
        <v>0.022913616398243</v>
      </c>
      <c r="M65" s="39" cm="1">
        <f t="array" ref="M65">IFERROR(IF($A65="","",IF(G65="","",_xlfn.XLOOKUP($C65&amp;"_"&amp;$AG65,符文权重!$A:$A&amp;"_"&amp;符文权重!$C:$C,符文权重!$D:$D)*$X65/SUMIFS($X:$X,G:G,G65,$C:$C,$C65,$AG:$AG,$AG65)/SUMIF(符文权重!$A:$A,$C65,符文权重!$D:$D))),"")</f>
        <v>0.022913616398243</v>
      </c>
      <c r="N65" s="39" cm="1">
        <f t="array" ref="N65">IFERROR(IF($A65="","",IF(H65="","",_xlfn.XLOOKUP($C65&amp;"_"&amp;$AG65,符文权重!$A:$A&amp;"_"&amp;符文权重!$C:$C,符文权重!$D:$D)*$X65/SUMIFS($X:$X,H:H,H65,$C:$C,$C65,$AG:$AG,$AG65)/SUMIF(符文权重!$A:$A,$C65,符文权重!$D:$D))),"")</f>
        <v>0.022913616398243</v>
      </c>
      <c r="O65" s="39" cm="1">
        <f t="array" ref="O65">IFERROR(IF($A65="","",IF(I65="","",_xlfn.XLOOKUP($C65&amp;"_"&amp;$AG65,符文权重!$A:$A&amp;"_"&amp;符文权重!$C:$C,符文权重!$D:$D)*$X65/SUMIFS($X:$X,I:I,I65,$C:$C,$C65,$AG:$AG,$AG65)/SUMIF(符文权重!$A:$A,$C65,符文权重!$D:$D))),"")</f>
        <v>0.022913616398243</v>
      </c>
      <c r="P65" s="39" cm="1">
        <f t="array" ref="P65">IFERROR(IF($A65="","",IF(J65="","",_xlfn.XLOOKUP($C65&amp;"_"&amp;$AG65,符文权重!$A:$A&amp;"_"&amp;符文权重!$C:$C,符文权重!$D:$D)*$X65/SUMIFS($X:$X,J:J,J65,$C:$C,$C65,$AG:$AG,$AG65)/SUMIF(符文权重!$A:$A,$C65,符文权重!$D:$D))),"")</f>
        <v>0.022913616398243</v>
      </c>
      <c r="Q65" s="39" cm="1">
        <f t="array" ref="Q65">IFERROR(IF($A65="","",IF(K65="","",_xlfn.XLOOKUP($C65&amp;"_"&amp;$AG65,符文权重!$A:$A&amp;"_"&amp;符文权重!$C:$C,符文权重!$D:$D)*$X65/SUMIFS($X:$X,K:K,K65,$C:$C,$C65,$AG:$AG,$AG65)/SUMIF(符文权重!$A:$A,$C65,符文权重!$D:$D))),"")</f>
        <v>0.022913616398243</v>
      </c>
      <c r="R65" s="26" t="s">
        <v>163</v>
      </c>
      <c r="S65" s="26"/>
      <c r="T65" s="26" t="e">
        <f>IF(B65="","",SUBSTITUTE(SUBSTITUTE("[{global_atk,"&amp;#REF!*C65&amp;"}]",21,20),9,8))</f>
        <v>#REF!</v>
      </c>
      <c r="U65" s="40" t="str">
        <f t="shared" si="30"/>
        <v>[5501084]</v>
      </c>
      <c r="V65" s="26" t="s">
        <v>240</v>
      </c>
      <c r="W65" s="25"/>
      <c r="X65" s="32">
        <v>100</v>
      </c>
      <c r="Y65" s="25"/>
      <c r="Z65" s="32" t="s">
        <v>174</v>
      </c>
      <c r="AA65" s="32" t="str">
        <f t="shared" si="14"/>
        <v>队长和梦灵伤害+6%</v>
      </c>
      <c r="AB65" s="32"/>
      <c r="AC65" s="32" t="s">
        <v>166</v>
      </c>
      <c r="AD65" s="32">
        <f t="shared" si="9"/>
        <v>1060</v>
      </c>
      <c r="AE65" s="38" t="str">
        <f t="shared" si="3"/>
        <v>5501081</v>
      </c>
      <c r="AF65" s="32" t="str">
        <f t="shared" si="4"/>
        <v>[6]</v>
      </c>
      <c r="AG65" s="26">
        <v>1</v>
      </c>
      <c r="AH65" s="26"/>
      <c r="AI65" s="26">
        <v>0</v>
      </c>
      <c r="AJ65" s="25" t="s">
        <v>167</v>
      </c>
      <c r="AK65" s="38">
        <f t="shared" si="31"/>
        <v>5501084</v>
      </c>
      <c r="AL65" s="41" t="str">
        <f t="shared" si="32"/>
        <v>队长和梦灵伤害&lt;color=#54b76b&gt;+%s%&lt;/color&gt;</v>
      </c>
      <c r="AM65" s="25">
        <v>6</v>
      </c>
      <c r="AN65" s="26">
        <v>1</v>
      </c>
      <c r="AO65" s="26" t="s">
        <v>25</v>
      </c>
      <c r="AP65" s="20">
        <f t="shared" si="10"/>
        <v>60</v>
      </c>
    </row>
    <row r="66" s="20" customFormat="1" customHeight="1" spans="1:42">
      <c r="A66" s="38">
        <v>5501085</v>
      </c>
      <c r="B66" s="38" t="str">
        <f t="shared" si="0"/>
        <v>5501081</v>
      </c>
      <c r="C66" s="32">
        <f t="shared" si="1"/>
        <v>5</v>
      </c>
      <c r="D66" s="32"/>
      <c r="E66" s="26" t="s">
        <v>162</v>
      </c>
      <c r="F66" s="26">
        <f t="shared" si="8"/>
        <v>1</v>
      </c>
      <c r="G66" s="26">
        <f>IFERROR(IF(--MID($E66,2*COUNTIF($F66:F66,"&gt;"&amp;0)+2,1)=G$1,G$1,""),"")</f>
        <v>2</v>
      </c>
      <c r="H66" s="26">
        <f>IFERROR(IF(--MID($E66,2*COUNTIF($F66:G66,"&gt;"&amp;0)+2,1)=H$1,H$1,""),"")</f>
        <v>3</v>
      </c>
      <c r="I66" s="26">
        <f>IFERROR(IF(--MID($E66,2*COUNTIF($F66:H66,"&gt;"&amp;0)+2,1)=I$1,I$1,""),"")</f>
        <v>4</v>
      </c>
      <c r="J66" s="26">
        <f>IFERROR(IF(--MID($E66,2*COUNTIF($F66:I66,"&gt;"&amp;0)+2,1)=J$1,J$1,""),"")</f>
        <v>5</v>
      </c>
      <c r="K66" s="26">
        <f>IFERROR(IF(--MID($E66,2*COUNTIF($F66:J66,"&gt;"&amp;0)+2,1)=K$1,K$1,""),"")</f>
        <v>6</v>
      </c>
      <c r="L66" s="39" cm="1">
        <f t="array" ref="L66">IFERROR(IF($A66="","",IF(F66="","",_xlfn.XLOOKUP($C66&amp;"_"&amp;$AG66,符文权重!$A:$A&amp;"_"&amp;符文权重!$C:$C,符文权重!$D:$D)*$X66/SUMIFS($X:$X,F:F,F66,$C:$C,$C66,$AG:$AG,$AG66)/SUMIF(符文权重!$A:$A,$C66,符文权重!$D:$D))),"")</f>
        <v>0.0196666666666667</v>
      </c>
      <c r="M66" s="39" cm="1">
        <f t="array" ref="M66">IFERROR(IF($A66="","",IF(G66="","",_xlfn.XLOOKUP($C66&amp;"_"&amp;$AG66,符文权重!$A:$A&amp;"_"&amp;符文权重!$C:$C,符文权重!$D:$D)*$X66/SUMIFS($X:$X,G:G,G66,$C:$C,$C66,$AG:$AG,$AG66)/SUMIF(符文权重!$A:$A,$C66,符文权重!$D:$D))),"")</f>
        <v>0.0196666666666667</v>
      </c>
      <c r="N66" s="39" cm="1">
        <f t="array" ref="N66">IFERROR(IF($A66="","",IF(H66="","",_xlfn.XLOOKUP($C66&amp;"_"&amp;$AG66,符文权重!$A:$A&amp;"_"&amp;符文权重!$C:$C,符文权重!$D:$D)*$X66/SUMIFS($X:$X,H:H,H66,$C:$C,$C66,$AG:$AG,$AG66)/SUMIF(符文权重!$A:$A,$C66,符文权重!$D:$D))),"")</f>
        <v>0.0196666666666667</v>
      </c>
      <c r="O66" s="39" cm="1">
        <f t="array" ref="O66">IFERROR(IF($A66="","",IF(I66="","",_xlfn.XLOOKUP($C66&amp;"_"&amp;$AG66,符文权重!$A:$A&amp;"_"&amp;符文权重!$C:$C,符文权重!$D:$D)*$X66/SUMIFS($X:$X,I:I,I66,$C:$C,$C66,$AG:$AG,$AG66)/SUMIF(符文权重!$A:$A,$C66,符文权重!$D:$D))),"")</f>
        <v>0.0196666666666667</v>
      </c>
      <c r="P66" s="39" cm="1">
        <f t="array" ref="P66">IFERROR(IF($A66="","",IF(J66="","",_xlfn.XLOOKUP($C66&amp;"_"&amp;$AG66,符文权重!$A:$A&amp;"_"&amp;符文权重!$C:$C,符文权重!$D:$D)*$X66/SUMIFS($X:$X,J:J,J66,$C:$C,$C66,$AG:$AG,$AG66)/SUMIF(符文权重!$A:$A,$C66,符文权重!$D:$D))),"")</f>
        <v>0.0196666666666667</v>
      </c>
      <c r="Q66" s="39" cm="1">
        <f t="array" ref="Q66">IFERROR(IF($A66="","",IF(K66="","",_xlfn.XLOOKUP($C66&amp;"_"&amp;$AG66,符文权重!$A:$A&amp;"_"&amp;符文权重!$C:$C,符文权重!$D:$D)*$X66/SUMIFS($X:$X,K:K,K66,$C:$C,$C66,$AG:$AG,$AG66)/SUMIF(符文权重!$A:$A,$C66,符文权重!$D:$D))),"")</f>
        <v>0.0196666666666667</v>
      </c>
      <c r="R66" s="26" t="s">
        <v>163</v>
      </c>
      <c r="S66" s="26"/>
      <c r="T66" s="26" t="e">
        <f>IF(B66="","",SUBSTITUTE(SUBSTITUTE("[{global_atk,"&amp;#REF!*C66&amp;"}]",21,20),9,8))</f>
        <v>#REF!</v>
      </c>
      <c r="U66" s="40" t="str">
        <f t="shared" si="30"/>
        <v>[5501085]</v>
      </c>
      <c r="V66" s="26" t="s">
        <v>241</v>
      </c>
      <c r="W66" s="25"/>
      <c r="X66" s="32">
        <v>100</v>
      </c>
      <c r="Y66" s="25"/>
      <c r="Z66" s="32" t="s">
        <v>176</v>
      </c>
      <c r="AA66" s="32" t="str">
        <f t="shared" si="14"/>
        <v>队长和梦灵伤害+8%</v>
      </c>
      <c r="AB66" s="32"/>
      <c r="AC66" s="32" t="s">
        <v>166</v>
      </c>
      <c r="AD66" s="32">
        <f t="shared" si="9"/>
        <v>1061</v>
      </c>
      <c r="AE66" s="38" t="str">
        <f t="shared" si="3"/>
        <v>5501081</v>
      </c>
      <c r="AF66" s="32" t="str">
        <f t="shared" si="4"/>
        <v>[8]</v>
      </c>
      <c r="AG66" s="26">
        <v>1</v>
      </c>
      <c r="AH66" s="26"/>
      <c r="AI66" s="26">
        <v>0</v>
      </c>
      <c r="AJ66" s="25" t="s">
        <v>167</v>
      </c>
      <c r="AK66" s="38">
        <f t="shared" si="31"/>
        <v>5501085</v>
      </c>
      <c r="AL66" s="41" t="str">
        <f t="shared" si="32"/>
        <v>队长和梦灵伤害&lt;color=#54b76b&gt;+%s%&lt;/color&gt;</v>
      </c>
      <c r="AM66" s="25">
        <v>8</v>
      </c>
      <c r="AN66" s="26">
        <v>1</v>
      </c>
      <c r="AO66" s="26" t="s">
        <v>25</v>
      </c>
      <c r="AP66" s="20">
        <f t="shared" si="10"/>
        <v>61</v>
      </c>
    </row>
    <row r="67" s="20" customFormat="1" customHeight="1" spans="1:42">
      <c r="A67" s="38">
        <v>5501086</v>
      </c>
      <c r="B67" s="38" t="str">
        <f t="shared" si="0"/>
        <v>5501081</v>
      </c>
      <c r="C67" s="32">
        <f t="shared" si="1"/>
        <v>6</v>
      </c>
      <c r="D67" s="32"/>
      <c r="E67" s="26" t="s">
        <v>162</v>
      </c>
      <c r="F67" s="26">
        <f t="shared" si="8"/>
        <v>1</v>
      </c>
      <c r="G67" s="26">
        <f>IFERROR(IF(--MID($E67,2*COUNTIF($F67:F67,"&gt;"&amp;0)+2,1)=G$1,G$1,""),"")</f>
        <v>2</v>
      </c>
      <c r="H67" s="26">
        <f>IFERROR(IF(--MID($E67,2*COUNTIF($F67:G67,"&gt;"&amp;0)+2,1)=H$1,H$1,""),"")</f>
        <v>3</v>
      </c>
      <c r="I67" s="26">
        <f>IFERROR(IF(--MID($E67,2*COUNTIF($F67:H67,"&gt;"&amp;0)+2,1)=I$1,I$1,""),"")</f>
        <v>4</v>
      </c>
      <c r="J67" s="26">
        <f>IFERROR(IF(--MID($E67,2*COUNTIF($F67:I67,"&gt;"&amp;0)+2,1)=J$1,J$1,""),"")</f>
        <v>5</v>
      </c>
      <c r="K67" s="26">
        <f>IFERROR(IF(--MID($E67,2*COUNTIF($F67:J67,"&gt;"&amp;0)+2,1)=K$1,K$1,""),"")</f>
        <v>6</v>
      </c>
      <c r="L67" s="39" cm="1">
        <f t="array" ref="L67">IFERROR(IF($A67="","",IF(F67="","",_xlfn.XLOOKUP($C67&amp;"_"&amp;$AG67,符文权重!$A:$A&amp;"_"&amp;符文权重!$C:$C,符文权重!$D:$D)*$X67/SUMIFS($X:$X,F:F,F67,$C:$C,$C67,$AG:$AG,$AG67)/SUMIF(符文权重!$A:$A,$C67,符文权重!$D:$D))),"")</f>
        <v>0.0196666666666667</v>
      </c>
      <c r="M67" s="39" cm="1">
        <f t="array" ref="M67">IFERROR(IF($A67="","",IF(G67="","",_xlfn.XLOOKUP($C67&amp;"_"&amp;$AG67,符文权重!$A:$A&amp;"_"&amp;符文权重!$C:$C,符文权重!$D:$D)*$X67/SUMIFS($X:$X,G:G,G67,$C:$C,$C67,$AG:$AG,$AG67)/SUMIF(符文权重!$A:$A,$C67,符文权重!$D:$D))),"")</f>
        <v>0.0196666666666667</v>
      </c>
      <c r="N67" s="39" cm="1">
        <f t="array" ref="N67">IFERROR(IF($A67="","",IF(H67="","",_xlfn.XLOOKUP($C67&amp;"_"&amp;$AG67,符文权重!$A:$A&amp;"_"&amp;符文权重!$C:$C,符文权重!$D:$D)*$X67/SUMIFS($X:$X,H:H,H67,$C:$C,$C67,$AG:$AG,$AG67)/SUMIF(符文权重!$A:$A,$C67,符文权重!$D:$D))),"")</f>
        <v>0.0196666666666667</v>
      </c>
      <c r="O67" s="39" cm="1">
        <f t="array" ref="O67">IFERROR(IF($A67="","",IF(I67="","",_xlfn.XLOOKUP($C67&amp;"_"&amp;$AG67,符文权重!$A:$A&amp;"_"&amp;符文权重!$C:$C,符文权重!$D:$D)*$X67/SUMIFS($X:$X,I:I,I67,$C:$C,$C67,$AG:$AG,$AG67)/SUMIF(符文权重!$A:$A,$C67,符文权重!$D:$D))),"")</f>
        <v>0.0196666666666667</v>
      </c>
      <c r="P67" s="39" cm="1">
        <f t="array" ref="P67">IFERROR(IF($A67="","",IF(J67="","",_xlfn.XLOOKUP($C67&amp;"_"&amp;$AG67,符文权重!$A:$A&amp;"_"&amp;符文权重!$C:$C,符文权重!$D:$D)*$X67/SUMIFS($X:$X,J:J,J67,$C:$C,$C67,$AG:$AG,$AG67)/SUMIF(符文权重!$A:$A,$C67,符文权重!$D:$D))),"")</f>
        <v>0.0196666666666667</v>
      </c>
      <c r="Q67" s="39" cm="1">
        <f t="array" ref="Q67">IFERROR(IF($A67="","",IF(K67="","",_xlfn.XLOOKUP($C67&amp;"_"&amp;$AG67,符文权重!$A:$A&amp;"_"&amp;符文权重!$C:$C,符文权重!$D:$D)*$X67/SUMIFS($X:$X,K:K,K67,$C:$C,$C67,$AG:$AG,$AG67)/SUMIF(符文权重!$A:$A,$C67,符文权重!$D:$D))),"")</f>
        <v>0.0196666666666667</v>
      </c>
      <c r="R67" s="26" t="s">
        <v>163</v>
      </c>
      <c r="S67" s="26"/>
      <c r="T67" s="26" t="e">
        <f>IF(B67="","",SUBSTITUTE(SUBSTITUTE("[{global_atk,"&amp;#REF!*C67&amp;"}]",21,20),9,8))</f>
        <v>#REF!</v>
      </c>
      <c r="U67" s="40" t="str">
        <f t="shared" si="30"/>
        <v>[5501086]</v>
      </c>
      <c r="V67" s="26" t="s">
        <v>242</v>
      </c>
      <c r="W67" s="25"/>
      <c r="X67" s="32">
        <v>100</v>
      </c>
      <c r="Y67" s="25"/>
      <c r="Z67" s="32" t="s">
        <v>178</v>
      </c>
      <c r="AA67" s="32" t="str">
        <f t="shared" si="14"/>
        <v>队长和梦灵伤害+10%</v>
      </c>
      <c r="AB67" s="32"/>
      <c r="AC67" s="32" t="s">
        <v>166</v>
      </c>
      <c r="AD67" s="32">
        <f t="shared" si="9"/>
        <v>1062</v>
      </c>
      <c r="AE67" s="38" t="str">
        <f t="shared" si="3"/>
        <v>5501081</v>
      </c>
      <c r="AF67" s="32" t="str">
        <f t="shared" si="4"/>
        <v>[10]</v>
      </c>
      <c r="AG67" s="26">
        <v>1</v>
      </c>
      <c r="AH67" s="26"/>
      <c r="AI67" s="26">
        <v>0</v>
      </c>
      <c r="AJ67" s="25" t="s">
        <v>167</v>
      </c>
      <c r="AK67" s="38">
        <f t="shared" si="31"/>
        <v>5501086</v>
      </c>
      <c r="AL67" s="41" t="str">
        <f t="shared" si="32"/>
        <v>队长和梦灵伤害&lt;color=#54b76b&gt;+%s%&lt;/color&gt;</v>
      </c>
      <c r="AM67" s="25">
        <v>10</v>
      </c>
      <c r="AN67" s="26">
        <v>1</v>
      </c>
      <c r="AO67" s="26" t="s">
        <v>25</v>
      </c>
      <c r="AP67" s="20">
        <f t="shared" si="10"/>
        <v>62</v>
      </c>
    </row>
    <row r="68" s="20" customFormat="1" customHeight="1" spans="1:42">
      <c r="A68" s="38">
        <v>5501087</v>
      </c>
      <c r="B68" s="38" t="str">
        <f t="shared" si="0"/>
        <v>5501081</v>
      </c>
      <c r="C68" s="32">
        <f t="shared" si="1"/>
        <v>7</v>
      </c>
      <c r="D68" s="32"/>
      <c r="E68" s="26" t="s">
        <v>162</v>
      </c>
      <c r="F68" s="26">
        <f t="shared" si="8"/>
        <v>1</v>
      </c>
      <c r="G68" s="26">
        <f>IFERROR(IF(--MID($E68,2*COUNTIF($F68:F68,"&gt;"&amp;0)+2,1)=G$1,G$1,""),"")</f>
        <v>2</v>
      </c>
      <c r="H68" s="26">
        <f>IFERROR(IF(--MID($E68,2*COUNTIF($F68:G68,"&gt;"&amp;0)+2,1)=H$1,H$1,""),"")</f>
        <v>3</v>
      </c>
      <c r="I68" s="26">
        <f>IFERROR(IF(--MID($E68,2*COUNTIF($F68:H68,"&gt;"&amp;0)+2,1)=I$1,I$1,""),"")</f>
        <v>4</v>
      </c>
      <c r="J68" s="26">
        <f>IFERROR(IF(--MID($E68,2*COUNTIF($F68:I68,"&gt;"&amp;0)+2,1)=J$1,J$1,""),"")</f>
        <v>5</v>
      </c>
      <c r="K68" s="26">
        <f>IFERROR(IF(--MID($E68,2*COUNTIF($F68:J68,"&gt;"&amp;0)+2,1)=K$1,K$1,""),"")</f>
        <v>6</v>
      </c>
      <c r="L68" s="39" cm="1">
        <f t="array" ref="L68">IFERROR(IF($A68="","",IF(F68="","",_xlfn.XLOOKUP($C68&amp;"_"&amp;$AG68,符文权重!$A:$A&amp;"_"&amp;符文权重!$C:$C,符文权重!$D:$D)*$X68/SUMIFS($X:$X,F:F,F68,$C:$C,$C68,$AG:$AG,$AG68)/SUMIF(符文权重!$A:$A,$C68,符文权重!$D:$D))),"")</f>
        <v>0.0196666666666667</v>
      </c>
      <c r="M68" s="39" cm="1">
        <f t="array" ref="M68">IFERROR(IF($A68="","",IF(G68="","",_xlfn.XLOOKUP($C68&amp;"_"&amp;$AG68,符文权重!$A:$A&amp;"_"&amp;符文权重!$C:$C,符文权重!$D:$D)*$X68/SUMIFS($X:$X,G:G,G68,$C:$C,$C68,$AG:$AG,$AG68)/SUMIF(符文权重!$A:$A,$C68,符文权重!$D:$D))),"")</f>
        <v>0.0196666666666667</v>
      </c>
      <c r="N68" s="39" cm="1">
        <f t="array" ref="N68">IFERROR(IF($A68="","",IF(H68="","",_xlfn.XLOOKUP($C68&amp;"_"&amp;$AG68,符文权重!$A:$A&amp;"_"&amp;符文权重!$C:$C,符文权重!$D:$D)*$X68/SUMIFS($X:$X,H:H,H68,$C:$C,$C68,$AG:$AG,$AG68)/SUMIF(符文权重!$A:$A,$C68,符文权重!$D:$D))),"")</f>
        <v>0.0196666666666667</v>
      </c>
      <c r="O68" s="39" cm="1">
        <f t="array" ref="O68">IFERROR(IF($A68="","",IF(I68="","",_xlfn.XLOOKUP($C68&amp;"_"&amp;$AG68,符文权重!$A:$A&amp;"_"&amp;符文权重!$C:$C,符文权重!$D:$D)*$X68/SUMIFS($X:$X,I:I,I68,$C:$C,$C68,$AG:$AG,$AG68)/SUMIF(符文权重!$A:$A,$C68,符文权重!$D:$D))),"")</f>
        <v>0.0196666666666667</v>
      </c>
      <c r="P68" s="39" cm="1">
        <f t="array" ref="P68">IFERROR(IF($A68="","",IF(J68="","",_xlfn.XLOOKUP($C68&amp;"_"&amp;$AG68,符文权重!$A:$A&amp;"_"&amp;符文权重!$C:$C,符文权重!$D:$D)*$X68/SUMIFS($X:$X,J:J,J68,$C:$C,$C68,$AG:$AG,$AG68)/SUMIF(符文权重!$A:$A,$C68,符文权重!$D:$D))),"")</f>
        <v>0.0196666666666667</v>
      </c>
      <c r="Q68" s="39" cm="1">
        <f t="array" ref="Q68">IFERROR(IF($A68="","",IF(K68="","",_xlfn.XLOOKUP($C68&amp;"_"&amp;$AG68,符文权重!$A:$A&amp;"_"&amp;符文权重!$C:$C,符文权重!$D:$D)*$X68/SUMIFS($X:$X,K:K,K68,$C:$C,$C68,$AG:$AG,$AG68)/SUMIF(符文权重!$A:$A,$C68,符文权重!$D:$D))),"")</f>
        <v>0.0196666666666667</v>
      </c>
      <c r="R68" s="26" t="s">
        <v>163</v>
      </c>
      <c r="S68" s="26"/>
      <c r="T68" s="26" t="e">
        <f>IF(B68="","",SUBSTITUTE(SUBSTITUTE("[{global_atk,"&amp;#REF!*C68&amp;"}]",21,20),9,8))</f>
        <v>#REF!</v>
      </c>
      <c r="U68" s="40" t="str">
        <f t="shared" si="30"/>
        <v>[5501087]</v>
      </c>
      <c r="V68" s="26" t="s">
        <v>243</v>
      </c>
      <c r="W68" s="25"/>
      <c r="X68" s="32">
        <v>100</v>
      </c>
      <c r="Y68" s="25"/>
      <c r="Z68" s="32" t="s">
        <v>180</v>
      </c>
      <c r="AA68" s="32" t="str">
        <f t="shared" si="14"/>
        <v>队长和梦灵伤害+12%</v>
      </c>
      <c r="AB68" s="32"/>
      <c r="AC68" s="32" t="s">
        <v>166</v>
      </c>
      <c r="AD68" s="32">
        <f t="shared" si="9"/>
        <v>1063</v>
      </c>
      <c r="AE68" s="38" t="str">
        <f t="shared" si="3"/>
        <v>5501081</v>
      </c>
      <c r="AF68" s="32" t="str">
        <f t="shared" si="4"/>
        <v>[12]</v>
      </c>
      <c r="AG68" s="26">
        <v>1</v>
      </c>
      <c r="AH68" s="26"/>
      <c r="AI68" s="26">
        <v>0</v>
      </c>
      <c r="AJ68" s="25" t="s">
        <v>167</v>
      </c>
      <c r="AK68" s="38">
        <f t="shared" si="31"/>
        <v>5501087</v>
      </c>
      <c r="AL68" s="41" t="str">
        <f t="shared" si="32"/>
        <v>队长和梦灵伤害&lt;color=#54b76b&gt;+%s%&lt;/color&gt;</v>
      </c>
      <c r="AM68" s="25">
        <v>12</v>
      </c>
      <c r="AN68" s="26">
        <v>1</v>
      </c>
      <c r="AO68" s="26" t="s">
        <v>25</v>
      </c>
      <c r="AP68" s="20">
        <f t="shared" si="10"/>
        <v>63</v>
      </c>
    </row>
    <row r="69" s="20" customFormat="1" customHeight="1" spans="1:42">
      <c r="A69" s="38" t="s">
        <v>167</v>
      </c>
      <c r="B69" s="38" t="str">
        <f t="shared" si="0"/>
        <v/>
      </c>
      <c r="C69" s="32" t="str">
        <f t="shared" si="1"/>
        <v/>
      </c>
      <c r="D69" s="32"/>
      <c r="E69" s="26"/>
      <c r="F69" s="26" t="str">
        <f t="shared" si="8"/>
        <v/>
      </c>
      <c r="G69" s="26" t="str">
        <f>IFERROR(IF(--MID($E69,2*COUNTIF($F69:F69,"&gt;"&amp;0)+2,1)=G$1,G$1,""),"")</f>
        <v/>
      </c>
      <c r="H69" s="26" t="str">
        <f>IFERROR(IF(--MID($E69,2*COUNTIF($F69:G69,"&gt;"&amp;0)+2,1)=H$1,H$1,""),"")</f>
        <v/>
      </c>
      <c r="I69" s="26" t="str">
        <f>IFERROR(IF(--MID($E69,2*COUNTIF($F69:H69,"&gt;"&amp;0)+2,1)=I$1,I$1,""),"")</f>
        <v/>
      </c>
      <c r="J69" s="26" t="str">
        <f>IFERROR(IF(--MID($E69,2*COUNTIF($F69:I69,"&gt;"&amp;0)+2,1)=J$1,J$1,""),"")</f>
        <v/>
      </c>
      <c r="K69" s="26" t="str">
        <f>IFERROR(IF(--MID($E69,2*COUNTIF($F69:J69,"&gt;"&amp;0)+2,1)=K$1,K$1,""),"")</f>
        <v/>
      </c>
      <c r="L69" s="39" t="str" cm="1">
        <f t="array" ref="L69">IFERROR(IF($A69="","",IF(F69="","",_xlfn.XLOOKUP($C69&amp;"_"&amp;$AG69,符文权重!$A:$A&amp;"_"&amp;符文权重!$C:$C,符文权重!$D:$D)*$X69/SUMIFS($X:$X,F:F,F69,$C:$C,$C69,$AG:$AG,$AG69)/SUMIF(符文权重!$A:$A,$C69,符文权重!$D:$D))),"")</f>
        <v/>
      </c>
      <c r="M69" s="39" t="str" cm="1">
        <f t="array" ref="M69">IFERROR(IF($A69="","",IF(G69="","",_xlfn.XLOOKUP($C69&amp;"_"&amp;$AG69,符文权重!$A:$A&amp;"_"&amp;符文权重!$C:$C,符文权重!$D:$D)*$X69/SUMIFS($X:$X,G:G,G69,$C:$C,$C69,$AG:$AG,$AG69)/SUMIF(符文权重!$A:$A,$C69,符文权重!$D:$D))),"")</f>
        <v/>
      </c>
      <c r="N69" s="39" t="str" cm="1">
        <f t="array" ref="N69">IFERROR(IF($A69="","",IF(H69="","",_xlfn.XLOOKUP($C69&amp;"_"&amp;$AG69,符文权重!$A:$A&amp;"_"&amp;符文权重!$C:$C,符文权重!$D:$D)*$X69/SUMIFS($X:$X,H:H,H69,$C:$C,$C69,$AG:$AG,$AG69)/SUMIF(符文权重!$A:$A,$C69,符文权重!$D:$D))),"")</f>
        <v/>
      </c>
      <c r="O69" s="39" t="str" cm="1">
        <f t="array" ref="O69">IFERROR(IF($A69="","",IF(I69="","",_xlfn.XLOOKUP($C69&amp;"_"&amp;$AG69,符文权重!$A:$A&amp;"_"&amp;符文权重!$C:$C,符文权重!$D:$D)*$X69/SUMIFS($X:$X,I:I,I69,$C:$C,$C69,$AG:$AG,$AG69)/SUMIF(符文权重!$A:$A,$C69,符文权重!$D:$D))),"")</f>
        <v/>
      </c>
      <c r="P69" s="39" t="str" cm="1">
        <f t="array" ref="P69">IFERROR(IF($A69="","",IF(J69="","",_xlfn.XLOOKUP($C69&amp;"_"&amp;$AG69,符文权重!$A:$A&amp;"_"&amp;符文权重!$C:$C,符文权重!$D:$D)*$X69/SUMIFS($X:$X,J:J,J69,$C:$C,$C69,$AG:$AG,$AG69)/SUMIF(符文权重!$A:$A,$C69,符文权重!$D:$D))),"")</f>
        <v/>
      </c>
      <c r="Q69" s="39" t="str" cm="1">
        <f t="array" ref="Q69">IFERROR(IF($A69="","",IF(K69="","",_xlfn.XLOOKUP($C69&amp;"_"&amp;$AG69,符文权重!$A:$A&amp;"_"&amp;符文权重!$C:$C,符文权重!$D:$D)*$X69/SUMIFS($X:$X,K:K,K69,$C:$C,$C69,$AG:$AG,$AG69)/SUMIF(符文权重!$A:$A,$C69,符文权重!$D:$D))),"")</f>
        <v/>
      </c>
      <c r="R69" s="26" t="s">
        <v>167</v>
      </c>
      <c r="S69" s="26" t="s">
        <v>167</v>
      </c>
      <c r="T69" s="26"/>
      <c r="U69" s="40"/>
      <c r="V69" s="26"/>
      <c r="W69" s="25"/>
      <c r="X69" s="32"/>
      <c r="Y69" s="25"/>
      <c r="Z69" s="32" t="s">
        <v>167</v>
      </c>
      <c r="AA69" s="32" t="str">
        <f t="shared" si="14"/>
        <v/>
      </c>
      <c r="AB69" s="32"/>
      <c r="AC69" s="32" t="s">
        <v>166</v>
      </c>
      <c r="AD69" s="32">
        <f t="shared" si="9"/>
        <v>1064</v>
      </c>
      <c r="AE69" s="38" t="str">
        <f t="shared" si="3"/>
        <v/>
      </c>
      <c r="AF69" s="32" t="str">
        <f t="shared" si="4"/>
        <v/>
      </c>
      <c r="AG69" s="26"/>
      <c r="AH69" s="26"/>
      <c r="AI69" s="26"/>
      <c r="AJ69" s="25" t="s">
        <v>167</v>
      </c>
      <c r="AK69" s="24"/>
      <c r="AL69" s="51"/>
      <c r="AM69" s="25"/>
      <c r="AN69" s="26"/>
      <c r="AO69" s="26"/>
      <c r="AP69" s="20">
        <f t="shared" si="10"/>
        <v>64</v>
      </c>
    </row>
    <row r="70" s="20" customFormat="1" customHeight="1" spans="1:42">
      <c r="A70" s="38">
        <v>5501091</v>
      </c>
      <c r="B70" s="38" t="str">
        <f t="shared" ref="B70:B132" si="33">IF(ISBLANK(AK70),"",LEFT(AK70,6)&amp;1)</f>
        <v>5501091</v>
      </c>
      <c r="C70" s="32">
        <f t="shared" ref="C70:C132" si="34">IF(ISBLANK(AK70),"",VALUE(RIGHT(A70,1)))</f>
        <v>1</v>
      </c>
      <c r="D70" s="32"/>
      <c r="E70" s="26" t="s">
        <v>162</v>
      </c>
      <c r="F70" s="26">
        <f t="shared" si="8"/>
        <v>1</v>
      </c>
      <c r="G70" s="26">
        <f>IFERROR(IF(--MID($E70,2*COUNTIF($F70:F70,"&gt;"&amp;0)+2,1)=G$1,G$1,""),"")</f>
        <v>2</v>
      </c>
      <c r="H70" s="26">
        <f>IFERROR(IF(--MID($E70,2*COUNTIF($F70:G70,"&gt;"&amp;0)+2,1)=H$1,H$1,""),"")</f>
        <v>3</v>
      </c>
      <c r="I70" s="26">
        <f>IFERROR(IF(--MID($E70,2*COUNTIF($F70:H70,"&gt;"&amp;0)+2,1)=I$1,I$1,""),"")</f>
        <v>4</v>
      </c>
      <c r="J70" s="26">
        <f>IFERROR(IF(--MID($E70,2*COUNTIF($F70:I70,"&gt;"&amp;0)+2,1)=J$1,J$1,""),"")</f>
        <v>5</v>
      </c>
      <c r="K70" s="26">
        <f>IFERROR(IF(--MID($E70,2*COUNTIF($F70:J70,"&gt;"&amp;0)+2,1)=K$1,K$1,""),"")</f>
        <v>6</v>
      </c>
      <c r="L70" s="39" cm="1">
        <f t="array" ref="L70">IFERROR(IF($A70="","",IF(F70="","",_xlfn.XLOOKUP($C70&amp;"_"&amp;$AG70,符文权重!$A:$A&amp;"_"&amp;符文权重!$C:$C,符文权重!$D:$D)*$X70/SUMIFS($X:$X,F:F,F70,$C:$C,$C70,$AG:$AG,$AG70)/SUMIF(符文权重!$A:$A,$C70,符文权重!$D:$D))),"")</f>
        <v>0.05</v>
      </c>
      <c r="M70" s="39" cm="1">
        <f t="array" ref="M70">IFERROR(IF($A70="","",IF(G70="","",_xlfn.XLOOKUP($C70&amp;"_"&amp;$AG70,符文权重!$A:$A&amp;"_"&amp;符文权重!$C:$C,符文权重!$D:$D)*$X70/SUMIFS($X:$X,G:G,G70,$C:$C,$C70,$AG:$AG,$AG70)/SUMIF(符文权重!$A:$A,$C70,符文权重!$D:$D))),"")</f>
        <v>0.05</v>
      </c>
      <c r="N70" s="39" cm="1">
        <f t="array" ref="N70">IFERROR(IF($A70="","",IF(H70="","",_xlfn.XLOOKUP($C70&amp;"_"&amp;$AG70,符文权重!$A:$A&amp;"_"&amp;符文权重!$C:$C,符文权重!$D:$D)*$X70/SUMIFS($X:$X,H:H,H70,$C:$C,$C70,$AG:$AG,$AG70)/SUMIF(符文权重!$A:$A,$C70,符文权重!$D:$D))),"")</f>
        <v>0.05</v>
      </c>
      <c r="O70" s="39" cm="1">
        <f t="array" ref="O70">IFERROR(IF($A70="","",IF(I70="","",_xlfn.XLOOKUP($C70&amp;"_"&amp;$AG70,符文权重!$A:$A&amp;"_"&amp;符文权重!$C:$C,符文权重!$D:$D)*$X70/SUMIFS($X:$X,I:I,I70,$C:$C,$C70,$AG:$AG,$AG70)/SUMIF(符文权重!$A:$A,$C70,符文权重!$D:$D))),"")</f>
        <v>0.05</v>
      </c>
      <c r="P70" s="39" cm="1">
        <f t="array" ref="P70">IFERROR(IF($A70="","",IF(J70="","",_xlfn.XLOOKUP($C70&amp;"_"&amp;$AG70,符文权重!$A:$A&amp;"_"&amp;符文权重!$C:$C,符文权重!$D:$D)*$X70/SUMIFS($X:$X,J:J,J70,$C:$C,$C70,$AG:$AG,$AG70)/SUMIF(符文权重!$A:$A,$C70,符文权重!$D:$D))),"")</f>
        <v>0.05</v>
      </c>
      <c r="Q70" s="39" cm="1">
        <f t="array" ref="Q70">IFERROR(IF($A70="","",IF(K70="","",_xlfn.XLOOKUP($C70&amp;"_"&amp;$AG70,符文权重!$A:$A&amp;"_"&amp;符文权重!$C:$C,符文权重!$D:$D)*$X70/SUMIFS($X:$X,K:K,K70,$C:$C,$C70,$AG:$AG,$AG70)/SUMIF(符文权重!$A:$A,$C70,符文权重!$D:$D))),"")</f>
        <v>0.05</v>
      </c>
      <c r="R70" s="26" t="s">
        <v>244</v>
      </c>
      <c r="S70" s="26"/>
      <c r="T70" s="26" t="e">
        <f>IF(B70="","",SUBSTITUTE(SUBSTITUTE("[{global_atk,"&amp;#REF!*C70&amp;"}]",21,20),9,8))</f>
        <v>#REF!</v>
      </c>
      <c r="U70" s="40" t="str">
        <f t="shared" ref="U70:U76" si="35">"["&amp;A70&amp;"]"</f>
        <v>[5501091]</v>
      </c>
      <c r="V70" s="26" t="s">
        <v>245</v>
      </c>
      <c r="W70" s="25"/>
      <c r="X70" s="32">
        <v>100</v>
      </c>
      <c r="Y70" s="25"/>
      <c r="Z70" s="32" t="s">
        <v>165</v>
      </c>
      <c r="AA70" s="32" t="str">
        <f t="shared" si="14"/>
        <v>队长伤害+10%</v>
      </c>
      <c r="AB70" s="32"/>
      <c r="AC70" s="32" t="s">
        <v>166</v>
      </c>
      <c r="AD70" s="32">
        <f t="shared" si="9"/>
        <v>1065</v>
      </c>
      <c r="AE70" s="38" t="str">
        <f t="shared" ref="AE70:AE132" si="36">IF(ISBLANK(AK70),"",B70)</f>
        <v>5501091</v>
      </c>
      <c r="AF70" s="32" t="str">
        <f t="shared" ref="AF70:AF132" si="37">IF(ISBLANK(AM70),"","["&amp;AM70&amp;"]")</f>
        <v>[10]</v>
      </c>
      <c r="AG70" s="26">
        <v>1</v>
      </c>
      <c r="AH70" s="26"/>
      <c r="AI70" s="26">
        <v>0</v>
      </c>
      <c r="AJ70" s="25" t="s">
        <v>167</v>
      </c>
      <c r="AK70" s="24">
        <v>5501091</v>
      </c>
      <c r="AL70" s="42" t="s">
        <v>246</v>
      </c>
      <c r="AM70" s="26">
        <v>10</v>
      </c>
      <c r="AN70" s="26">
        <v>1</v>
      </c>
      <c r="AO70" s="26" t="s">
        <v>32</v>
      </c>
      <c r="AP70" s="20">
        <f t="shared" si="10"/>
        <v>65</v>
      </c>
    </row>
    <row r="71" s="20" customFormat="1" customHeight="1" spans="1:42">
      <c r="A71" s="38">
        <v>5501092</v>
      </c>
      <c r="B71" s="38" t="str">
        <f t="shared" si="33"/>
        <v>5501091</v>
      </c>
      <c r="C71" s="32">
        <f t="shared" si="34"/>
        <v>2</v>
      </c>
      <c r="D71" s="32"/>
      <c r="E71" s="26" t="s">
        <v>162</v>
      </c>
      <c r="F71" s="26">
        <f t="shared" ref="F71:F134" si="38">IF(LEFT(E71,2)="[1",1,"")</f>
        <v>1</v>
      </c>
      <c r="G71" s="26">
        <f>IFERROR(IF(--MID($E71,2*COUNTIF($F71:F71,"&gt;"&amp;0)+2,1)=G$1,G$1,""),"")</f>
        <v>2</v>
      </c>
      <c r="H71" s="26">
        <f>IFERROR(IF(--MID($E71,2*COUNTIF($F71:G71,"&gt;"&amp;0)+2,1)=H$1,H$1,""),"")</f>
        <v>3</v>
      </c>
      <c r="I71" s="26">
        <f>IFERROR(IF(--MID($E71,2*COUNTIF($F71:H71,"&gt;"&amp;0)+2,1)=I$1,I$1,""),"")</f>
        <v>4</v>
      </c>
      <c r="J71" s="26">
        <f>IFERROR(IF(--MID($E71,2*COUNTIF($F71:I71,"&gt;"&amp;0)+2,1)=J$1,J$1,""),"")</f>
        <v>5</v>
      </c>
      <c r="K71" s="26">
        <f>IFERROR(IF(--MID($E71,2*COUNTIF($F71:J71,"&gt;"&amp;0)+2,1)=K$1,K$1,""),"")</f>
        <v>6</v>
      </c>
      <c r="L71" s="39" cm="1">
        <f t="array" ref="L71">IFERROR(IF($A71="","",IF(F71="","",_xlfn.XLOOKUP($C71&amp;"_"&amp;$AG71,符文权重!$A:$A&amp;"_"&amp;符文权重!$C:$C,符文权重!$D:$D)*$X71/SUMIFS($X:$X,F:F,F71,$C:$C,$C71,$AG:$AG,$AG71)/SUMIF(符文权重!$A:$A,$C71,符文权重!$D:$D))),"")</f>
        <v>0.0363636363636364</v>
      </c>
      <c r="M71" s="39" cm="1">
        <f t="array" ref="M71">IFERROR(IF($A71="","",IF(G71="","",_xlfn.XLOOKUP($C71&amp;"_"&amp;$AG71,符文权重!$A:$A&amp;"_"&amp;符文权重!$C:$C,符文权重!$D:$D)*$X71/SUMIFS($X:$X,G:G,G71,$C:$C,$C71,$AG:$AG,$AG71)/SUMIF(符文权重!$A:$A,$C71,符文权重!$D:$D))),"")</f>
        <v>0.0363636363636364</v>
      </c>
      <c r="N71" s="39" cm="1">
        <f t="array" ref="N71">IFERROR(IF($A71="","",IF(H71="","",_xlfn.XLOOKUP($C71&amp;"_"&amp;$AG71,符文权重!$A:$A&amp;"_"&amp;符文权重!$C:$C,符文权重!$D:$D)*$X71/SUMIFS($X:$X,H:H,H71,$C:$C,$C71,$AG:$AG,$AG71)/SUMIF(符文权重!$A:$A,$C71,符文权重!$D:$D))),"")</f>
        <v>0.0363636363636364</v>
      </c>
      <c r="O71" s="39" cm="1">
        <f t="array" ref="O71">IFERROR(IF($A71="","",IF(I71="","",_xlfn.XLOOKUP($C71&amp;"_"&amp;$AG71,符文权重!$A:$A&amp;"_"&amp;符文权重!$C:$C,符文权重!$D:$D)*$X71/SUMIFS($X:$X,I:I,I71,$C:$C,$C71,$AG:$AG,$AG71)/SUMIF(符文权重!$A:$A,$C71,符文权重!$D:$D))),"")</f>
        <v>0.0363636363636364</v>
      </c>
      <c r="P71" s="39" cm="1">
        <f t="array" ref="P71">IFERROR(IF($A71="","",IF(J71="","",_xlfn.XLOOKUP($C71&amp;"_"&amp;$AG71,符文权重!$A:$A&amp;"_"&amp;符文权重!$C:$C,符文权重!$D:$D)*$X71/SUMIFS($X:$X,J:J,J71,$C:$C,$C71,$AG:$AG,$AG71)/SUMIF(符文权重!$A:$A,$C71,符文权重!$D:$D))),"")</f>
        <v>0.0363636363636364</v>
      </c>
      <c r="Q71" s="39" cm="1">
        <f t="array" ref="Q71">IFERROR(IF($A71="","",IF(K71="","",_xlfn.XLOOKUP($C71&amp;"_"&amp;$AG71,符文权重!$A:$A&amp;"_"&amp;符文权重!$C:$C,符文权重!$D:$D)*$X71/SUMIFS($X:$X,K:K,K71,$C:$C,$C71,$AG:$AG,$AG71)/SUMIF(符文权重!$A:$A,$C71,符文权重!$D:$D))),"")</f>
        <v>0.0363636363636364</v>
      </c>
      <c r="R71" s="26" t="s">
        <v>244</v>
      </c>
      <c r="S71" s="26"/>
      <c r="T71" s="26" t="e">
        <f>IF(B71="","",SUBSTITUTE(SUBSTITUTE("[{global_atk,"&amp;#REF!*C71&amp;"}]",21,20),9,8))</f>
        <v>#REF!</v>
      </c>
      <c r="U71" s="40" t="str">
        <f t="shared" si="35"/>
        <v>[5501092]</v>
      </c>
      <c r="V71" s="26" t="s">
        <v>247</v>
      </c>
      <c r="W71" s="25"/>
      <c r="X71" s="32">
        <v>100</v>
      </c>
      <c r="Y71" s="25"/>
      <c r="Z71" s="32" t="s">
        <v>170</v>
      </c>
      <c r="AA71" s="32" t="str">
        <f t="shared" si="14"/>
        <v>队长伤害+15%</v>
      </c>
      <c r="AB71" s="32"/>
      <c r="AC71" s="32" t="s">
        <v>166</v>
      </c>
      <c r="AD71" s="32">
        <f t="shared" si="9"/>
        <v>1066</v>
      </c>
      <c r="AE71" s="38" t="str">
        <f t="shared" si="36"/>
        <v>5501091</v>
      </c>
      <c r="AF71" s="32" t="str">
        <f t="shared" si="37"/>
        <v>[15]</v>
      </c>
      <c r="AG71" s="26">
        <v>1</v>
      </c>
      <c r="AH71" s="26"/>
      <c r="AI71" s="26">
        <v>0</v>
      </c>
      <c r="AJ71" s="25" t="s">
        <v>167</v>
      </c>
      <c r="AK71" s="38">
        <f t="shared" ref="AK71:AK76" si="39">AK70+1</f>
        <v>5501092</v>
      </c>
      <c r="AL71" s="41" t="str">
        <f t="shared" ref="AL71:AL76" si="40">AL70</f>
        <v>队长伤害&lt;color=#54b76b&gt;+%s%&lt;/color&gt;</v>
      </c>
      <c r="AM71" s="26">
        <v>15</v>
      </c>
      <c r="AN71" s="26">
        <v>1</v>
      </c>
      <c r="AO71" s="26" t="s">
        <v>32</v>
      </c>
      <c r="AP71" s="20">
        <f t="shared" si="10"/>
        <v>66</v>
      </c>
    </row>
    <row r="72" s="20" customFormat="1" customHeight="1" spans="1:42">
      <c r="A72" s="38">
        <v>5501093</v>
      </c>
      <c r="B72" s="38" t="str">
        <f t="shared" si="33"/>
        <v>5501091</v>
      </c>
      <c r="C72" s="32">
        <f t="shared" si="34"/>
        <v>3</v>
      </c>
      <c r="D72" s="32"/>
      <c r="E72" s="26" t="s">
        <v>162</v>
      </c>
      <c r="F72" s="26">
        <f t="shared" si="38"/>
        <v>1</v>
      </c>
      <c r="G72" s="26">
        <f>IFERROR(IF(--MID($E72,2*COUNTIF($F72:F72,"&gt;"&amp;0)+2,1)=G$1,G$1,""),"")</f>
        <v>2</v>
      </c>
      <c r="H72" s="26">
        <f>IFERROR(IF(--MID($E72,2*COUNTIF($F72:G72,"&gt;"&amp;0)+2,1)=H$1,H$1,""),"")</f>
        <v>3</v>
      </c>
      <c r="I72" s="26">
        <f>IFERROR(IF(--MID($E72,2*COUNTIF($F72:H72,"&gt;"&amp;0)+2,1)=I$1,I$1,""),"")</f>
        <v>4</v>
      </c>
      <c r="J72" s="26">
        <f>IFERROR(IF(--MID($E72,2*COUNTIF($F72:I72,"&gt;"&amp;0)+2,1)=J$1,J$1,""),"")</f>
        <v>5</v>
      </c>
      <c r="K72" s="26">
        <f>IFERROR(IF(--MID($E72,2*COUNTIF($F72:J72,"&gt;"&amp;0)+2,1)=K$1,K$1,""),"")</f>
        <v>6</v>
      </c>
      <c r="L72" s="39" cm="1">
        <f t="array" ref="L72">IFERROR(IF($A72="","",IF(F72="","",_xlfn.XLOOKUP($C72&amp;"_"&amp;$AG72,符文权重!$A:$A&amp;"_"&amp;符文权重!$C:$C,符文权重!$D:$D)*$X72/SUMIFS($X:$X,F:F,F72,$C:$C,$C72,$AG:$AG,$AG72)/SUMIF(符文权重!$A:$A,$C72,符文权重!$D:$D))),"")</f>
        <v>0.035</v>
      </c>
      <c r="M72" s="39" cm="1">
        <f t="array" ref="M72">IFERROR(IF($A72="","",IF(G72="","",_xlfn.XLOOKUP($C72&amp;"_"&amp;$AG72,符文权重!$A:$A&amp;"_"&amp;符文权重!$C:$C,符文权重!$D:$D)*$X72/SUMIFS($X:$X,G:G,G72,$C:$C,$C72,$AG:$AG,$AG72)/SUMIF(符文权重!$A:$A,$C72,符文权重!$D:$D))),"")</f>
        <v>0.035</v>
      </c>
      <c r="N72" s="39" cm="1">
        <f t="array" ref="N72">IFERROR(IF($A72="","",IF(H72="","",_xlfn.XLOOKUP($C72&amp;"_"&amp;$AG72,符文权重!$A:$A&amp;"_"&amp;符文权重!$C:$C,符文权重!$D:$D)*$X72/SUMIFS($X:$X,H:H,H72,$C:$C,$C72,$AG:$AG,$AG72)/SUMIF(符文权重!$A:$A,$C72,符文权重!$D:$D))),"")</f>
        <v>0.035</v>
      </c>
      <c r="O72" s="39" cm="1">
        <f t="array" ref="O72">IFERROR(IF($A72="","",IF(I72="","",_xlfn.XLOOKUP($C72&amp;"_"&amp;$AG72,符文权重!$A:$A&amp;"_"&amp;符文权重!$C:$C,符文权重!$D:$D)*$X72/SUMIFS($X:$X,I:I,I72,$C:$C,$C72,$AG:$AG,$AG72)/SUMIF(符文权重!$A:$A,$C72,符文权重!$D:$D))),"")</f>
        <v>0.035</v>
      </c>
      <c r="P72" s="39" cm="1">
        <f t="array" ref="P72">IFERROR(IF($A72="","",IF(J72="","",_xlfn.XLOOKUP($C72&amp;"_"&amp;$AG72,符文权重!$A:$A&amp;"_"&amp;符文权重!$C:$C,符文权重!$D:$D)*$X72/SUMIFS($X:$X,J:J,J72,$C:$C,$C72,$AG:$AG,$AG72)/SUMIF(符文权重!$A:$A,$C72,符文权重!$D:$D))),"")</f>
        <v>0.035</v>
      </c>
      <c r="Q72" s="39" cm="1">
        <f t="array" ref="Q72">IFERROR(IF($A72="","",IF(K72="","",_xlfn.XLOOKUP($C72&amp;"_"&amp;$AG72,符文权重!$A:$A&amp;"_"&amp;符文权重!$C:$C,符文权重!$D:$D)*$X72/SUMIFS($X:$X,K:K,K72,$C:$C,$C72,$AG:$AG,$AG72)/SUMIF(符文权重!$A:$A,$C72,符文权重!$D:$D))),"")</f>
        <v>0.035</v>
      </c>
      <c r="R72" s="26" t="s">
        <v>244</v>
      </c>
      <c r="S72" s="26"/>
      <c r="T72" s="26" t="e">
        <f>IF(B72="","",SUBSTITUTE(SUBSTITUTE("[{global_atk,"&amp;#REF!*C72&amp;"}]",21,20),9,8))</f>
        <v>#REF!</v>
      </c>
      <c r="U72" s="40" t="str">
        <f t="shared" si="35"/>
        <v>[5501093]</v>
      </c>
      <c r="V72" s="26" t="s">
        <v>248</v>
      </c>
      <c r="W72" s="25"/>
      <c r="X72" s="32">
        <v>100</v>
      </c>
      <c r="Y72" s="25"/>
      <c r="Z72" s="32" t="s">
        <v>172</v>
      </c>
      <c r="AA72" s="32" t="str">
        <f t="shared" si="14"/>
        <v>队长伤害+20%</v>
      </c>
      <c r="AB72" s="32"/>
      <c r="AC72" s="32" t="s">
        <v>166</v>
      </c>
      <c r="AD72" s="32">
        <f t="shared" ref="AD72:AD135" si="41">AD71+1</f>
        <v>1067</v>
      </c>
      <c r="AE72" s="38" t="str">
        <f t="shared" si="36"/>
        <v>5501091</v>
      </c>
      <c r="AF72" s="32" t="str">
        <f t="shared" si="37"/>
        <v>[20]</v>
      </c>
      <c r="AG72" s="26">
        <v>1</v>
      </c>
      <c r="AH72" s="26"/>
      <c r="AI72" s="26">
        <v>0</v>
      </c>
      <c r="AJ72" s="25" t="s">
        <v>167</v>
      </c>
      <c r="AK72" s="38">
        <f t="shared" si="39"/>
        <v>5501093</v>
      </c>
      <c r="AL72" s="41" t="str">
        <f t="shared" si="40"/>
        <v>队长伤害&lt;color=#54b76b&gt;+%s%&lt;/color&gt;</v>
      </c>
      <c r="AM72" s="26">
        <v>20</v>
      </c>
      <c r="AN72" s="26">
        <v>1</v>
      </c>
      <c r="AO72" s="26" t="s">
        <v>32</v>
      </c>
      <c r="AP72" s="20">
        <f t="shared" ref="AP72:AP135" si="42">AP71+1</f>
        <v>67</v>
      </c>
    </row>
    <row r="73" s="20" customFormat="1" customHeight="1" spans="1:42">
      <c r="A73" s="38">
        <v>5501094</v>
      </c>
      <c r="B73" s="38" t="str">
        <f t="shared" si="33"/>
        <v>5501091</v>
      </c>
      <c r="C73" s="32">
        <f t="shared" si="34"/>
        <v>4</v>
      </c>
      <c r="D73" s="32"/>
      <c r="E73" s="26" t="s">
        <v>162</v>
      </c>
      <c r="F73" s="26">
        <f t="shared" si="38"/>
        <v>1</v>
      </c>
      <c r="G73" s="26">
        <f>IFERROR(IF(--MID($E73,2*COUNTIF($F73:F73,"&gt;"&amp;0)+2,1)=G$1,G$1,""),"")</f>
        <v>2</v>
      </c>
      <c r="H73" s="26">
        <f>IFERROR(IF(--MID($E73,2*COUNTIF($F73:G73,"&gt;"&amp;0)+2,1)=H$1,H$1,""),"")</f>
        <v>3</v>
      </c>
      <c r="I73" s="26">
        <f>IFERROR(IF(--MID($E73,2*COUNTIF($F73:H73,"&gt;"&amp;0)+2,1)=I$1,I$1,""),"")</f>
        <v>4</v>
      </c>
      <c r="J73" s="26">
        <f>IFERROR(IF(--MID($E73,2*COUNTIF($F73:I73,"&gt;"&amp;0)+2,1)=J$1,J$1,""),"")</f>
        <v>5</v>
      </c>
      <c r="K73" s="26">
        <f>IFERROR(IF(--MID($E73,2*COUNTIF($F73:J73,"&gt;"&amp;0)+2,1)=K$1,K$1,""),"")</f>
        <v>6</v>
      </c>
      <c r="L73" s="39" cm="1">
        <f t="array" ref="L73">IFERROR(IF($A73="","",IF(F73="","",_xlfn.XLOOKUP($C73&amp;"_"&amp;$AG73,符文权重!$A:$A&amp;"_"&amp;符文权重!$C:$C,符文权重!$D:$D)*$X73/SUMIFS($X:$X,F:F,F73,$C:$C,$C73,$AG:$AG,$AG73)/SUMIF(符文权重!$A:$A,$C73,符文权重!$D:$D))),"")</f>
        <v>0.022913616398243</v>
      </c>
      <c r="M73" s="39" cm="1">
        <f t="array" ref="M73">IFERROR(IF($A73="","",IF(G73="","",_xlfn.XLOOKUP($C73&amp;"_"&amp;$AG73,符文权重!$A:$A&amp;"_"&amp;符文权重!$C:$C,符文权重!$D:$D)*$X73/SUMIFS($X:$X,G:G,G73,$C:$C,$C73,$AG:$AG,$AG73)/SUMIF(符文权重!$A:$A,$C73,符文权重!$D:$D))),"")</f>
        <v>0.022913616398243</v>
      </c>
      <c r="N73" s="39" cm="1">
        <f t="array" ref="N73">IFERROR(IF($A73="","",IF(H73="","",_xlfn.XLOOKUP($C73&amp;"_"&amp;$AG73,符文权重!$A:$A&amp;"_"&amp;符文权重!$C:$C,符文权重!$D:$D)*$X73/SUMIFS($X:$X,H:H,H73,$C:$C,$C73,$AG:$AG,$AG73)/SUMIF(符文权重!$A:$A,$C73,符文权重!$D:$D))),"")</f>
        <v>0.022913616398243</v>
      </c>
      <c r="O73" s="39" cm="1">
        <f t="array" ref="O73">IFERROR(IF($A73="","",IF(I73="","",_xlfn.XLOOKUP($C73&amp;"_"&amp;$AG73,符文权重!$A:$A&amp;"_"&amp;符文权重!$C:$C,符文权重!$D:$D)*$X73/SUMIFS($X:$X,I:I,I73,$C:$C,$C73,$AG:$AG,$AG73)/SUMIF(符文权重!$A:$A,$C73,符文权重!$D:$D))),"")</f>
        <v>0.022913616398243</v>
      </c>
      <c r="P73" s="39" cm="1">
        <f t="array" ref="P73">IFERROR(IF($A73="","",IF(J73="","",_xlfn.XLOOKUP($C73&amp;"_"&amp;$AG73,符文权重!$A:$A&amp;"_"&amp;符文权重!$C:$C,符文权重!$D:$D)*$X73/SUMIFS($X:$X,J:J,J73,$C:$C,$C73,$AG:$AG,$AG73)/SUMIF(符文权重!$A:$A,$C73,符文权重!$D:$D))),"")</f>
        <v>0.022913616398243</v>
      </c>
      <c r="Q73" s="39" cm="1">
        <f t="array" ref="Q73">IFERROR(IF($A73="","",IF(K73="","",_xlfn.XLOOKUP($C73&amp;"_"&amp;$AG73,符文权重!$A:$A&amp;"_"&amp;符文权重!$C:$C,符文权重!$D:$D)*$X73/SUMIFS($X:$X,K:K,K73,$C:$C,$C73,$AG:$AG,$AG73)/SUMIF(符文权重!$A:$A,$C73,符文权重!$D:$D))),"")</f>
        <v>0.022913616398243</v>
      </c>
      <c r="R73" s="26" t="s">
        <v>244</v>
      </c>
      <c r="S73" s="26"/>
      <c r="T73" s="26" t="e">
        <f>IF(B73="","",SUBSTITUTE(SUBSTITUTE("[{global_atk,"&amp;#REF!*C73&amp;"}]",21,20),9,8))</f>
        <v>#REF!</v>
      </c>
      <c r="U73" s="40" t="str">
        <f t="shared" si="35"/>
        <v>[5501094]</v>
      </c>
      <c r="V73" s="26" t="s">
        <v>249</v>
      </c>
      <c r="W73" s="25"/>
      <c r="X73" s="32">
        <v>100</v>
      </c>
      <c r="Y73" s="25"/>
      <c r="Z73" s="32" t="s">
        <v>174</v>
      </c>
      <c r="AA73" s="32" t="str">
        <f t="shared" si="14"/>
        <v>队长伤害+25%</v>
      </c>
      <c r="AB73" s="32"/>
      <c r="AC73" s="32" t="s">
        <v>166</v>
      </c>
      <c r="AD73" s="32">
        <f t="shared" si="41"/>
        <v>1068</v>
      </c>
      <c r="AE73" s="38" t="str">
        <f t="shared" si="36"/>
        <v>5501091</v>
      </c>
      <c r="AF73" s="32" t="str">
        <f t="shared" si="37"/>
        <v>[25]</v>
      </c>
      <c r="AG73" s="26">
        <v>1</v>
      </c>
      <c r="AH73" s="26"/>
      <c r="AI73" s="26">
        <v>0</v>
      </c>
      <c r="AJ73" s="25" t="s">
        <v>167</v>
      </c>
      <c r="AK73" s="38">
        <f t="shared" si="39"/>
        <v>5501094</v>
      </c>
      <c r="AL73" s="41" t="str">
        <f t="shared" si="40"/>
        <v>队长伤害&lt;color=#54b76b&gt;+%s%&lt;/color&gt;</v>
      </c>
      <c r="AM73" s="26">
        <v>25</v>
      </c>
      <c r="AN73" s="26">
        <v>1</v>
      </c>
      <c r="AO73" s="26" t="s">
        <v>32</v>
      </c>
      <c r="AP73" s="20">
        <f t="shared" si="42"/>
        <v>68</v>
      </c>
    </row>
    <row r="74" s="20" customFormat="1" customHeight="1" spans="1:42">
      <c r="A74" s="38">
        <v>5501095</v>
      </c>
      <c r="B74" s="38" t="str">
        <f t="shared" si="33"/>
        <v>5501091</v>
      </c>
      <c r="C74" s="32">
        <f t="shared" si="34"/>
        <v>5</v>
      </c>
      <c r="D74" s="32"/>
      <c r="E74" s="26" t="s">
        <v>162</v>
      </c>
      <c r="F74" s="26">
        <f t="shared" si="38"/>
        <v>1</v>
      </c>
      <c r="G74" s="26">
        <f>IFERROR(IF(--MID($E74,2*COUNTIF($F74:F74,"&gt;"&amp;0)+2,1)=G$1,G$1,""),"")</f>
        <v>2</v>
      </c>
      <c r="H74" s="26">
        <f>IFERROR(IF(--MID($E74,2*COUNTIF($F74:G74,"&gt;"&amp;0)+2,1)=H$1,H$1,""),"")</f>
        <v>3</v>
      </c>
      <c r="I74" s="26">
        <f>IFERROR(IF(--MID($E74,2*COUNTIF($F74:H74,"&gt;"&amp;0)+2,1)=I$1,I$1,""),"")</f>
        <v>4</v>
      </c>
      <c r="J74" s="26">
        <f>IFERROR(IF(--MID($E74,2*COUNTIF($F74:I74,"&gt;"&amp;0)+2,1)=J$1,J$1,""),"")</f>
        <v>5</v>
      </c>
      <c r="K74" s="26">
        <f>IFERROR(IF(--MID($E74,2*COUNTIF($F74:J74,"&gt;"&amp;0)+2,1)=K$1,K$1,""),"")</f>
        <v>6</v>
      </c>
      <c r="L74" s="39" cm="1">
        <f t="array" ref="L74">IFERROR(IF($A74="","",IF(F74="","",_xlfn.XLOOKUP($C74&amp;"_"&amp;$AG74,符文权重!$A:$A&amp;"_"&amp;符文权重!$C:$C,符文权重!$D:$D)*$X74/SUMIFS($X:$X,F:F,F74,$C:$C,$C74,$AG:$AG,$AG74)/SUMIF(符文权重!$A:$A,$C74,符文权重!$D:$D))),"")</f>
        <v>0.0196666666666667</v>
      </c>
      <c r="M74" s="39" cm="1">
        <f t="array" ref="M74">IFERROR(IF($A74="","",IF(G74="","",_xlfn.XLOOKUP($C74&amp;"_"&amp;$AG74,符文权重!$A:$A&amp;"_"&amp;符文权重!$C:$C,符文权重!$D:$D)*$X74/SUMIFS($X:$X,G:G,G74,$C:$C,$C74,$AG:$AG,$AG74)/SUMIF(符文权重!$A:$A,$C74,符文权重!$D:$D))),"")</f>
        <v>0.0196666666666667</v>
      </c>
      <c r="N74" s="39" cm="1">
        <f t="array" ref="N74">IFERROR(IF($A74="","",IF(H74="","",_xlfn.XLOOKUP($C74&amp;"_"&amp;$AG74,符文权重!$A:$A&amp;"_"&amp;符文权重!$C:$C,符文权重!$D:$D)*$X74/SUMIFS($X:$X,H:H,H74,$C:$C,$C74,$AG:$AG,$AG74)/SUMIF(符文权重!$A:$A,$C74,符文权重!$D:$D))),"")</f>
        <v>0.0196666666666667</v>
      </c>
      <c r="O74" s="39" cm="1">
        <f t="array" ref="O74">IFERROR(IF($A74="","",IF(I74="","",_xlfn.XLOOKUP($C74&amp;"_"&amp;$AG74,符文权重!$A:$A&amp;"_"&amp;符文权重!$C:$C,符文权重!$D:$D)*$X74/SUMIFS($X:$X,I:I,I74,$C:$C,$C74,$AG:$AG,$AG74)/SUMIF(符文权重!$A:$A,$C74,符文权重!$D:$D))),"")</f>
        <v>0.0196666666666667</v>
      </c>
      <c r="P74" s="39" cm="1">
        <f t="array" ref="P74">IFERROR(IF($A74="","",IF(J74="","",_xlfn.XLOOKUP($C74&amp;"_"&amp;$AG74,符文权重!$A:$A&amp;"_"&amp;符文权重!$C:$C,符文权重!$D:$D)*$X74/SUMIFS($X:$X,J:J,J74,$C:$C,$C74,$AG:$AG,$AG74)/SUMIF(符文权重!$A:$A,$C74,符文权重!$D:$D))),"")</f>
        <v>0.0196666666666667</v>
      </c>
      <c r="Q74" s="39" cm="1">
        <f t="array" ref="Q74">IFERROR(IF($A74="","",IF(K74="","",_xlfn.XLOOKUP($C74&amp;"_"&amp;$AG74,符文权重!$A:$A&amp;"_"&amp;符文权重!$C:$C,符文权重!$D:$D)*$X74/SUMIFS($X:$X,K:K,K74,$C:$C,$C74,$AG:$AG,$AG74)/SUMIF(符文权重!$A:$A,$C74,符文权重!$D:$D))),"")</f>
        <v>0.0196666666666667</v>
      </c>
      <c r="R74" s="26" t="s">
        <v>244</v>
      </c>
      <c r="S74" s="26"/>
      <c r="T74" s="26" t="e">
        <f>IF(B74="","",SUBSTITUTE(SUBSTITUTE("[{global_atk,"&amp;#REF!*C74&amp;"}]",21,20),9,8))</f>
        <v>#REF!</v>
      </c>
      <c r="U74" s="40" t="str">
        <f t="shared" si="35"/>
        <v>[5501095]</v>
      </c>
      <c r="V74" s="26" t="s">
        <v>250</v>
      </c>
      <c r="W74" s="25"/>
      <c r="X74" s="32">
        <v>100</v>
      </c>
      <c r="Y74" s="25"/>
      <c r="Z74" s="32" t="s">
        <v>176</v>
      </c>
      <c r="AA74" s="32" t="str">
        <f t="shared" si="14"/>
        <v>队长伤害+32%</v>
      </c>
      <c r="AB74" s="32"/>
      <c r="AC74" s="32" t="s">
        <v>166</v>
      </c>
      <c r="AD74" s="32">
        <f t="shared" si="41"/>
        <v>1069</v>
      </c>
      <c r="AE74" s="38" t="str">
        <f t="shared" si="36"/>
        <v>5501091</v>
      </c>
      <c r="AF74" s="32" t="str">
        <f t="shared" si="37"/>
        <v>[32]</v>
      </c>
      <c r="AG74" s="26">
        <v>1</v>
      </c>
      <c r="AH74" s="26"/>
      <c r="AI74" s="26">
        <v>0</v>
      </c>
      <c r="AJ74" s="25" t="s">
        <v>167</v>
      </c>
      <c r="AK74" s="38">
        <f t="shared" si="39"/>
        <v>5501095</v>
      </c>
      <c r="AL74" s="41" t="str">
        <f t="shared" si="40"/>
        <v>队长伤害&lt;color=#54b76b&gt;+%s%&lt;/color&gt;</v>
      </c>
      <c r="AM74" s="26">
        <v>32</v>
      </c>
      <c r="AN74" s="26">
        <v>1</v>
      </c>
      <c r="AO74" s="26" t="s">
        <v>32</v>
      </c>
      <c r="AP74" s="20">
        <f t="shared" si="42"/>
        <v>69</v>
      </c>
    </row>
    <row r="75" s="20" customFormat="1" customHeight="1" spans="1:42">
      <c r="A75" s="38">
        <v>5501096</v>
      </c>
      <c r="B75" s="38" t="str">
        <f t="shared" si="33"/>
        <v>5501091</v>
      </c>
      <c r="C75" s="32">
        <f t="shared" si="34"/>
        <v>6</v>
      </c>
      <c r="D75" s="32"/>
      <c r="E75" s="26" t="s">
        <v>162</v>
      </c>
      <c r="F75" s="26">
        <f t="shared" si="38"/>
        <v>1</v>
      </c>
      <c r="G75" s="26">
        <f>IFERROR(IF(--MID($E75,2*COUNTIF($F75:F75,"&gt;"&amp;0)+2,1)=G$1,G$1,""),"")</f>
        <v>2</v>
      </c>
      <c r="H75" s="26">
        <f>IFERROR(IF(--MID($E75,2*COUNTIF($F75:G75,"&gt;"&amp;0)+2,1)=H$1,H$1,""),"")</f>
        <v>3</v>
      </c>
      <c r="I75" s="26">
        <f>IFERROR(IF(--MID($E75,2*COUNTIF($F75:H75,"&gt;"&amp;0)+2,1)=I$1,I$1,""),"")</f>
        <v>4</v>
      </c>
      <c r="J75" s="26">
        <f>IFERROR(IF(--MID($E75,2*COUNTIF($F75:I75,"&gt;"&amp;0)+2,1)=J$1,J$1,""),"")</f>
        <v>5</v>
      </c>
      <c r="K75" s="26">
        <f>IFERROR(IF(--MID($E75,2*COUNTIF($F75:J75,"&gt;"&amp;0)+2,1)=K$1,K$1,""),"")</f>
        <v>6</v>
      </c>
      <c r="L75" s="39" cm="1">
        <f t="array" ref="L75">IFERROR(IF($A75="","",IF(F75="","",_xlfn.XLOOKUP($C75&amp;"_"&amp;$AG75,符文权重!$A:$A&amp;"_"&amp;符文权重!$C:$C,符文权重!$D:$D)*$X75/SUMIFS($X:$X,F:F,F75,$C:$C,$C75,$AG:$AG,$AG75)/SUMIF(符文权重!$A:$A,$C75,符文权重!$D:$D))),"")</f>
        <v>0.0196666666666667</v>
      </c>
      <c r="M75" s="39" cm="1">
        <f t="array" ref="M75">IFERROR(IF($A75="","",IF(G75="","",_xlfn.XLOOKUP($C75&amp;"_"&amp;$AG75,符文权重!$A:$A&amp;"_"&amp;符文权重!$C:$C,符文权重!$D:$D)*$X75/SUMIFS($X:$X,G:G,G75,$C:$C,$C75,$AG:$AG,$AG75)/SUMIF(符文权重!$A:$A,$C75,符文权重!$D:$D))),"")</f>
        <v>0.0196666666666667</v>
      </c>
      <c r="N75" s="39" cm="1">
        <f t="array" ref="N75">IFERROR(IF($A75="","",IF(H75="","",_xlfn.XLOOKUP($C75&amp;"_"&amp;$AG75,符文权重!$A:$A&amp;"_"&amp;符文权重!$C:$C,符文权重!$D:$D)*$X75/SUMIFS($X:$X,H:H,H75,$C:$C,$C75,$AG:$AG,$AG75)/SUMIF(符文权重!$A:$A,$C75,符文权重!$D:$D))),"")</f>
        <v>0.0196666666666667</v>
      </c>
      <c r="O75" s="39" cm="1">
        <f t="array" ref="O75">IFERROR(IF($A75="","",IF(I75="","",_xlfn.XLOOKUP($C75&amp;"_"&amp;$AG75,符文权重!$A:$A&amp;"_"&amp;符文权重!$C:$C,符文权重!$D:$D)*$X75/SUMIFS($X:$X,I:I,I75,$C:$C,$C75,$AG:$AG,$AG75)/SUMIF(符文权重!$A:$A,$C75,符文权重!$D:$D))),"")</f>
        <v>0.0196666666666667</v>
      </c>
      <c r="P75" s="39" cm="1">
        <f t="array" ref="P75">IFERROR(IF($A75="","",IF(J75="","",_xlfn.XLOOKUP($C75&amp;"_"&amp;$AG75,符文权重!$A:$A&amp;"_"&amp;符文权重!$C:$C,符文权重!$D:$D)*$X75/SUMIFS($X:$X,J:J,J75,$C:$C,$C75,$AG:$AG,$AG75)/SUMIF(符文权重!$A:$A,$C75,符文权重!$D:$D))),"")</f>
        <v>0.0196666666666667</v>
      </c>
      <c r="Q75" s="39" cm="1">
        <f t="array" ref="Q75">IFERROR(IF($A75="","",IF(K75="","",_xlfn.XLOOKUP($C75&amp;"_"&amp;$AG75,符文权重!$A:$A&amp;"_"&amp;符文权重!$C:$C,符文权重!$D:$D)*$X75/SUMIFS($X:$X,K:K,K75,$C:$C,$C75,$AG:$AG,$AG75)/SUMIF(符文权重!$A:$A,$C75,符文权重!$D:$D))),"")</f>
        <v>0.0196666666666667</v>
      </c>
      <c r="R75" s="26" t="s">
        <v>244</v>
      </c>
      <c r="S75" s="26"/>
      <c r="T75" s="26" t="e">
        <f>IF(B75="","",SUBSTITUTE(SUBSTITUTE("[{global_atk,"&amp;#REF!*C75&amp;"}]",21,20),9,8))</f>
        <v>#REF!</v>
      </c>
      <c r="U75" s="40" t="str">
        <f t="shared" si="35"/>
        <v>[5501096]</v>
      </c>
      <c r="V75" s="26" t="s">
        <v>251</v>
      </c>
      <c r="W75" s="25"/>
      <c r="X75" s="32">
        <v>100</v>
      </c>
      <c r="Y75" s="25"/>
      <c r="Z75" s="32" t="s">
        <v>178</v>
      </c>
      <c r="AA75" s="32" t="str">
        <f t="shared" si="14"/>
        <v>队长伤害+40%</v>
      </c>
      <c r="AB75" s="32"/>
      <c r="AC75" s="32" t="s">
        <v>166</v>
      </c>
      <c r="AD75" s="32">
        <f t="shared" si="41"/>
        <v>1070</v>
      </c>
      <c r="AE75" s="38" t="str">
        <f t="shared" si="36"/>
        <v>5501091</v>
      </c>
      <c r="AF75" s="32" t="str">
        <f t="shared" si="37"/>
        <v>[40]</v>
      </c>
      <c r="AG75" s="26">
        <v>1</v>
      </c>
      <c r="AH75" s="26"/>
      <c r="AI75" s="26">
        <v>0</v>
      </c>
      <c r="AJ75" s="25" t="s">
        <v>167</v>
      </c>
      <c r="AK75" s="38">
        <f t="shared" si="39"/>
        <v>5501096</v>
      </c>
      <c r="AL75" s="41" t="str">
        <f t="shared" si="40"/>
        <v>队长伤害&lt;color=#54b76b&gt;+%s%&lt;/color&gt;</v>
      </c>
      <c r="AM75" s="26">
        <v>40</v>
      </c>
      <c r="AN75" s="26">
        <v>1</v>
      </c>
      <c r="AO75" s="26" t="s">
        <v>32</v>
      </c>
      <c r="AP75" s="20">
        <f t="shared" si="42"/>
        <v>70</v>
      </c>
    </row>
    <row r="76" s="20" customFormat="1" customHeight="1" spans="1:42">
      <c r="A76" s="38">
        <v>5501097</v>
      </c>
      <c r="B76" s="38" t="str">
        <f t="shared" si="33"/>
        <v>5501091</v>
      </c>
      <c r="C76" s="32">
        <f t="shared" si="34"/>
        <v>7</v>
      </c>
      <c r="D76" s="32"/>
      <c r="E76" s="26" t="s">
        <v>162</v>
      </c>
      <c r="F76" s="26">
        <f t="shared" si="38"/>
        <v>1</v>
      </c>
      <c r="G76" s="26">
        <f>IFERROR(IF(--MID($E76,2*COUNTIF($F76:F76,"&gt;"&amp;0)+2,1)=G$1,G$1,""),"")</f>
        <v>2</v>
      </c>
      <c r="H76" s="26">
        <f>IFERROR(IF(--MID($E76,2*COUNTIF($F76:G76,"&gt;"&amp;0)+2,1)=H$1,H$1,""),"")</f>
        <v>3</v>
      </c>
      <c r="I76" s="26">
        <f>IFERROR(IF(--MID($E76,2*COUNTIF($F76:H76,"&gt;"&amp;0)+2,1)=I$1,I$1,""),"")</f>
        <v>4</v>
      </c>
      <c r="J76" s="26">
        <f>IFERROR(IF(--MID($E76,2*COUNTIF($F76:I76,"&gt;"&amp;0)+2,1)=J$1,J$1,""),"")</f>
        <v>5</v>
      </c>
      <c r="K76" s="26">
        <f>IFERROR(IF(--MID($E76,2*COUNTIF($F76:J76,"&gt;"&amp;0)+2,1)=K$1,K$1,""),"")</f>
        <v>6</v>
      </c>
      <c r="L76" s="39" cm="1">
        <f t="array" ref="L76">IFERROR(IF($A76="","",IF(F76="","",_xlfn.XLOOKUP($C76&amp;"_"&amp;$AG76,符文权重!$A:$A&amp;"_"&amp;符文权重!$C:$C,符文权重!$D:$D)*$X76/SUMIFS($X:$X,F:F,F76,$C:$C,$C76,$AG:$AG,$AG76)/SUMIF(符文权重!$A:$A,$C76,符文权重!$D:$D))),"")</f>
        <v>0.0196666666666667</v>
      </c>
      <c r="M76" s="39" cm="1">
        <f t="array" ref="M76">IFERROR(IF($A76="","",IF(G76="","",_xlfn.XLOOKUP($C76&amp;"_"&amp;$AG76,符文权重!$A:$A&amp;"_"&amp;符文权重!$C:$C,符文权重!$D:$D)*$X76/SUMIFS($X:$X,G:G,G76,$C:$C,$C76,$AG:$AG,$AG76)/SUMIF(符文权重!$A:$A,$C76,符文权重!$D:$D))),"")</f>
        <v>0.0196666666666667</v>
      </c>
      <c r="N76" s="39" cm="1">
        <f t="array" ref="N76">IFERROR(IF($A76="","",IF(H76="","",_xlfn.XLOOKUP($C76&amp;"_"&amp;$AG76,符文权重!$A:$A&amp;"_"&amp;符文权重!$C:$C,符文权重!$D:$D)*$X76/SUMIFS($X:$X,H:H,H76,$C:$C,$C76,$AG:$AG,$AG76)/SUMIF(符文权重!$A:$A,$C76,符文权重!$D:$D))),"")</f>
        <v>0.0196666666666667</v>
      </c>
      <c r="O76" s="39" cm="1">
        <f t="array" ref="O76">IFERROR(IF($A76="","",IF(I76="","",_xlfn.XLOOKUP($C76&amp;"_"&amp;$AG76,符文权重!$A:$A&amp;"_"&amp;符文权重!$C:$C,符文权重!$D:$D)*$X76/SUMIFS($X:$X,I:I,I76,$C:$C,$C76,$AG:$AG,$AG76)/SUMIF(符文权重!$A:$A,$C76,符文权重!$D:$D))),"")</f>
        <v>0.0196666666666667</v>
      </c>
      <c r="P76" s="39" cm="1">
        <f t="array" ref="P76">IFERROR(IF($A76="","",IF(J76="","",_xlfn.XLOOKUP($C76&amp;"_"&amp;$AG76,符文权重!$A:$A&amp;"_"&amp;符文权重!$C:$C,符文权重!$D:$D)*$X76/SUMIFS($X:$X,J:J,J76,$C:$C,$C76,$AG:$AG,$AG76)/SUMIF(符文权重!$A:$A,$C76,符文权重!$D:$D))),"")</f>
        <v>0.0196666666666667</v>
      </c>
      <c r="Q76" s="39" cm="1">
        <f t="array" ref="Q76">IFERROR(IF($A76="","",IF(K76="","",_xlfn.XLOOKUP($C76&amp;"_"&amp;$AG76,符文权重!$A:$A&amp;"_"&amp;符文权重!$C:$C,符文权重!$D:$D)*$X76/SUMIFS($X:$X,K:K,K76,$C:$C,$C76,$AG:$AG,$AG76)/SUMIF(符文权重!$A:$A,$C76,符文权重!$D:$D))),"")</f>
        <v>0.0196666666666667</v>
      </c>
      <c r="R76" s="26" t="s">
        <v>244</v>
      </c>
      <c r="S76" s="26"/>
      <c r="T76" s="26" t="e">
        <f>IF(B76="","",SUBSTITUTE(SUBSTITUTE("[{global_atk,"&amp;#REF!*C76&amp;"}]",21,20),9,8))</f>
        <v>#REF!</v>
      </c>
      <c r="U76" s="40" t="str">
        <f t="shared" si="35"/>
        <v>[5501097]</v>
      </c>
      <c r="V76" s="26" t="s">
        <v>252</v>
      </c>
      <c r="W76" s="25"/>
      <c r="X76" s="32">
        <v>100</v>
      </c>
      <c r="Y76" s="25"/>
      <c r="Z76" s="32" t="s">
        <v>180</v>
      </c>
      <c r="AA76" s="32" t="str">
        <f t="shared" si="14"/>
        <v>队长伤害+50%</v>
      </c>
      <c r="AB76" s="32"/>
      <c r="AC76" s="32" t="s">
        <v>166</v>
      </c>
      <c r="AD76" s="32">
        <f t="shared" si="41"/>
        <v>1071</v>
      </c>
      <c r="AE76" s="38" t="str">
        <f t="shared" si="36"/>
        <v>5501091</v>
      </c>
      <c r="AF76" s="32" t="str">
        <f t="shared" si="37"/>
        <v>[50]</v>
      </c>
      <c r="AG76" s="26">
        <v>1</v>
      </c>
      <c r="AH76" s="26"/>
      <c r="AI76" s="26">
        <v>0</v>
      </c>
      <c r="AJ76" s="25" t="s">
        <v>167</v>
      </c>
      <c r="AK76" s="38">
        <f t="shared" si="39"/>
        <v>5501097</v>
      </c>
      <c r="AL76" s="41" t="str">
        <f t="shared" si="40"/>
        <v>队长伤害&lt;color=#54b76b&gt;+%s%&lt;/color&gt;</v>
      </c>
      <c r="AM76" s="26">
        <v>50</v>
      </c>
      <c r="AN76" s="26">
        <v>1</v>
      </c>
      <c r="AO76" s="26" t="s">
        <v>32</v>
      </c>
      <c r="AP76" s="20">
        <f t="shared" si="42"/>
        <v>71</v>
      </c>
    </row>
    <row r="77" s="20" customFormat="1" customHeight="1" spans="1:42">
      <c r="A77" s="38" t="s">
        <v>167</v>
      </c>
      <c r="B77" s="38" t="str">
        <f t="shared" si="33"/>
        <v/>
      </c>
      <c r="C77" s="32" t="str">
        <f t="shared" si="34"/>
        <v/>
      </c>
      <c r="D77" s="32"/>
      <c r="E77" s="26"/>
      <c r="F77" s="26" t="str">
        <f t="shared" si="38"/>
        <v/>
      </c>
      <c r="G77" s="26" t="str">
        <f>IFERROR(IF(--MID($E77,2*COUNTIF($F77:F77,"&gt;"&amp;0)+2,1)=G$1,G$1,""),"")</f>
        <v/>
      </c>
      <c r="H77" s="26" t="str">
        <f>IFERROR(IF(--MID($E77,2*COUNTIF($F77:G77,"&gt;"&amp;0)+2,1)=H$1,H$1,""),"")</f>
        <v/>
      </c>
      <c r="I77" s="26" t="str">
        <f>IFERROR(IF(--MID($E77,2*COUNTIF($F77:H77,"&gt;"&amp;0)+2,1)=I$1,I$1,""),"")</f>
        <v/>
      </c>
      <c r="J77" s="26" t="str">
        <f>IFERROR(IF(--MID($E77,2*COUNTIF($F77:I77,"&gt;"&amp;0)+2,1)=J$1,J$1,""),"")</f>
        <v/>
      </c>
      <c r="K77" s="26" t="str">
        <f>IFERROR(IF(--MID($E77,2*COUNTIF($F77:J77,"&gt;"&amp;0)+2,1)=K$1,K$1,""),"")</f>
        <v/>
      </c>
      <c r="L77" s="39" t="str" cm="1">
        <f t="array" ref="L77">IFERROR(IF($A77="","",IF(F77="","",_xlfn.XLOOKUP($C77&amp;"_"&amp;$AG77,符文权重!$A:$A&amp;"_"&amp;符文权重!$C:$C,符文权重!$D:$D)*$X77/SUMIFS($X:$X,F:F,F77,$C:$C,$C77,$AG:$AG,$AG77)/SUMIF(符文权重!$A:$A,$C77,符文权重!$D:$D))),"")</f>
        <v/>
      </c>
      <c r="M77" s="39" t="str" cm="1">
        <f t="array" ref="M77">IFERROR(IF($A77="","",IF(G77="","",_xlfn.XLOOKUP($C77&amp;"_"&amp;$AG77,符文权重!$A:$A&amp;"_"&amp;符文权重!$C:$C,符文权重!$D:$D)*$X77/SUMIFS($X:$X,G:G,G77,$C:$C,$C77,$AG:$AG,$AG77)/SUMIF(符文权重!$A:$A,$C77,符文权重!$D:$D))),"")</f>
        <v/>
      </c>
      <c r="N77" s="39" t="str" cm="1">
        <f t="array" ref="N77">IFERROR(IF($A77="","",IF(H77="","",_xlfn.XLOOKUP($C77&amp;"_"&amp;$AG77,符文权重!$A:$A&amp;"_"&amp;符文权重!$C:$C,符文权重!$D:$D)*$X77/SUMIFS($X:$X,H:H,H77,$C:$C,$C77,$AG:$AG,$AG77)/SUMIF(符文权重!$A:$A,$C77,符文权重!$D:$D))),"")</f>
        <v/>
      </c>
      <c r="O77" s="39" t="str" cm="1">
        <f t="array" ref="O77">IFERROR(IF($A77="","",IF(I77="","",_xlfn.XLOOKUP($C77&amp;"_"&amp;$AG77,符文权重!$A:$A&amp;"_"&amp;符文权重!$C:$C,符文权重!$D:$D)*$X77/SUMIFS($X:$X,I:I,I77,$C:$C,$C77,$AG:$AG,$AG77)/SUMIF(符文权重!$A:$A,$C77,符文权重!$D:$D))),"")</f>
        <v/>
      </c>
      <c r="P77" s="39" t="str" cm="1">
        <f t="array" ref="P77">IFERROR(IF($A77="","",IF(J77="","",_xlfn.XLOOKUP($C77&amp;"_"&amp;$AG77,符文权重!$A:$A&amp;"_"&amp;符文权重!$C:$C,符文权重!$D:$D)*$X77/SUMIFS($X:$X,J:J,J77,$C:$C,$C77,$AG:$AG,$AG77)/SUMIF(符文权重!$A:$A,$C77,符文权重!$D:$D))),"")</f>
        <v/>
      </c>
      <c r="Q77" s="39" t="str" cm="1">
        <f t="array" ref="Q77">IFERROR(IF($A77="","",IF(K77="","",_xlfn.XLOOKUP($C77&amp;"_"&amp;$AG77,符文权重!$A:$A&amp;"_"&amp;符文权重!$C:$C,符文权重!$D:$D)*$X77/SUMIFS($X:$X,K:K,K77,$C:$C,$C77,$AG:$AG,$AG77)/SUMIF(符文权重!$A:$A,$C77,符文权重!$D:$D))),"")</f>
        <v/>
      </c>
      <c r="R77" s="26"/>
      <c r="S77" s="26"/>
      <c r="T77" s="26"/>
      <c r="U77" s="40"/>
      <c r="V77" s="31"/>
      <c r="W77" s="25"/>
      <c r="X77" s="32"/>
      <c r="Y77" s="25"/>
      <c r="Z77" s="32" t="s">
        <v>167</v>
      </c>
      <c r="AA77" s="32" t="str">
        <f t="shared" si="14"/>
        <v/>
      </c>
      <c r="AB77" s="32"/>
      <c r="AC77" s="32" t="s">
        <v>166</v>
      </c>
      <c r="AD77" s="32">
        <f t="shared" si="41"/>
        <v>1072</v>
      </c>
      <c r="AE77" s="38" t="str">
        <f t="shared" si="36"/>
        <v/>
      </c>
      <c r="AF77" s="32" t="str">
        <f t="shared" si="37"/>
        <v/>
      </c>
      <c r="AG77" s="26"/>
      <c r="AH77" s="26"/>
      <c r="AI77" s="26"/>
      <c r="AJ77" s="25" t="s">
        <v>167</v>
      </c>
      <c r="AK77" s="24"/>
      <c r="AL77" s="43"/>
      <c r="AM77" s="26"/>
      <c r="AN77" s="26"/>
      <c r="AO77" s="26"/>
      <c r="AP77" s="20">
        <f t="shared" si="42"/>
        <v>72</v>
      </c>
    </row>
    <row r="78" s="20" customFormat="1" customHeight="1" spans="1:42">
      <c r="A78" s="38">
        <v>5501101</v>
      </c>
      <c r="B78" s="38" t="str">
        <f t="shared" si="33"/>
        <v>5501101</v>
      </c>
      <c r="C78" s="32">
        <f t="shared" si="34"/>
        <v>1</v>
      </c>
      <c r="D78" s="32"/>
      <c r="E78" s="26" t="s">
        <v>162</v>
      </c>
      <c r="F78" s="26">
        <f t="shared" si="38"/>
        <v>1</v>
      </c>
      <c r="G78" s="26">
        <f>IFERROR(IF(--MID($E78,2*COUNTIF($F78:F78,"&gt;"&amp;0)+2,1)=G$1,G$1,""),"")</f>
        <v>2</v>
      </c>
      <c r="H78" s="26">
        <f>IFERROR(IF(--MID($E78,2*COUNTIF($F78:G78,"&gt;"&amp;0)+2,1)=H$1,H$1,""),"")</f>
        <v>3</v>
      </c>
      <c r="I78" s="26">
        <f>IFERROR(IF(--MID($E78,2*COUNTIF($F78:H78,"&gt;"&amp;0)+2,1)=I$1,I$1,""),"")</f>
        <v>4</v>
      </c>
      <c r="J78" s="26">
        <f>IFERROR(IF(--MID($E78,2*COUNTIF($F78:I78,"&gt;"&amp;0)+2,1)=J$1,J$1,""),"")</f>
        <v>5</v>
      </c>
      <c r="K78" s="26">
        <f>IFERROR(IF(--MID($E78,2*COUNTIF($F78:J78,"&gt;"&amp;0)+2,1)=K$1,K$1,""),"")</f>
        <v>6</v>
      </c>
      <c r="L78" s="39" cm="1">
        <f t="array" ref="L78">IFERROR(IF($A78="","",IF(F78="","",_xlfn.XLOOKUP($C78&amp;"_"&amp;$AG78,符文权重!$A:$A&amp;"_"&amp;符文权重!$C:$C,符文权重!$D:$D)*$X78/SUMIFS($X:$X,F:F,F78,$C:$C,$C78,$AG:$AG,$AG78)/SUMIF(符文权重!$A:$A,$C78,符文权重!$D:$D))),"")</f>
        <v>0.05</v>
      </c>
      <c r="M78" s="39" cm="1">
        <f t="array" ref="M78">IFERROR(IF($A78="","",IF(G78="","",_xlfn.XLOOKUP($C78&amp;"_"&amp;$AG78,符文权重!$A:$A&amp;"_"&amp;符文权重!$C:$C,符文权重!$D:$D)*$X78/SUMIFS($X:$X,G:G,G78,$C:$C,$C78,$AG:$AG,$AG78)/SUMIF(符文权重!$A:$A,$C78,符文权重!$D:$D))),"")</f>
        <v>0.05</v>
      </c>
      <c r="N78" s="39" cm="1">
        <f t="array" ref="N78">IFERROR(IF($A78="","",IF(H78="","",_xlfn.XLOOKUP($C78&amp;"_"&amp;$AG78,符文权重!$A:$A&amp;"_"&amp;符文权重!$C:$C,符文权重!$D:$D)*$X78/SUMIFS($X:$X,H:H,H78,$C:$C,$C78,$AG:$AG,$AG78)/SUMIF(符文权重!$A:$A,$C78,符文权重!$D:$D))),"")</f>
        <v>0.05</v>
      </c>
      <c r="O78" s="39" cm="1">
        <f t="array" ref="O78">IFERROR(IF($A78="","",IF(I78="","",_xlfn.XLOOKUP($C78&amp;"_"&amp;$AG78,符文权重!$A:$A&amp;"_"&amp;符文权重!$C:$C,符文权重!$D:$D)*$X78/SUMIFS($X:$X,I:I,I78,$C:$C,$C78,$AG:$AG,$AG78)/SUMIF(符文权重!$A:$A,$C78,符文权重!$D:$D))),"")</f>
        <v>0.05</v>
      </c>
      <c r="P78" s="39" cm="1">
        <f t="array" ref="P78">IFERROR(IF($A78="","",IF(J78="","",_xlfn.XLOOKUP($C78&amp;"_"&amp;$AG78,符文权重!$A:$A&amp;"_"&amp;符文权重!$C:$C,符文权重!$D:$D)*$X78/SUMIFS($X:$X,J:J,J78,$C:$C,$C78,$AG:$AG,$AG78)/SUMIF(符文权重!$A:$A,$C78,符文权重!$D:$D))),"")</f>
        <v>0.05</v>
      </c>
      <c r="Q78" s="39" cm="1">
        <f t="array" ref="Q78">IFERROR(IF($A78="","",IF(K78="","",_xlfn.XLOOKUP($C78&amp;"_"&amp;$AG78,符文权重!$A:$A&amp;"_"&amp;符文权重!$C:$C,符文权重!$D:$D)*$X78/SUMIFS($X:$X,K:K,K78,$C:$C,$C78,$AG:$AG,$AG78)/SUMIF(符文权重!$A:$A,$C78,符文权重!$D:$D))),"")</f>
        <v>0.05</v>
      </c>
      <c r="R78" s="26" t="s">
        <v>181</v>
      </c>
      <c r="S78" s="26" t="s">
        <v>191</v>
      </c>
      <c r="T78" s="26" t="e">
        <f>IF(B78="","",SUBSTITUTE(SUBSTITUTE("[{global_atk,"&amp;#REF!*C78&amp;"}]",21,20),9,8))</f>
        <v>#REF!</v>
      </c>
      <c r="U78" s="40" t="str">
        <f t="shared" ref="U78:U84" si="43">"["&amp;A78&amp;"]"</f>
        <v>[5501101]</v>
      </c>
      <c r="V78" s="26" t="s">
        <v>253</v>
      </c>
      <c r="W78" s="25"/>
      <c r="X78" s="32">
        <v>100</v>
      </c>
      <c r="Y78" s="25"/>
      <c r="Z78" s="32" t="s">
        <v>165</v>
      </c>
      <c r="AA78" s="32" t="str">
        <f t="shared" si="14"/>
        <v>战士职业伤害+4%</v>
      </c>
      <c r="AB78" s="32"/>
      <c r="AC78" s="32" t="s">
        <v>166</v>
      </c>
      <c r="AD78" s="32">
        <f t="shared" si="41"/>
        <v>1073</v>
      </c>
      <c r="AE78" s="38" t="str">
        <f t="shared" si="36"/>
        <v>5501101</v>
      </c>
      <c r="AF78" s="32" t="str">
        <f t="shared" si="37"/>
        <v>[4]</v>
      </c>
      <c r="AG78" s="26">
        <v>1</v>
      </c>
      <c r="AH78" s="26"/>
      <c r="AI78" s="26">
        <v>0</v>
      </c>
      <c r="AJ78" s="25" t="s">
        <v>167</v>
      </c>
      <c r="AK78" s="24">
        <v>5501101</v>
      </c>
      <c r="AL78" s="42" t="s">
        <v>254</v>
      </c>
      <c r="AM78" s="26">
        <v>4</v>
      </c>
      <c r="AN78" s="26">
        <v>1</v>
      </c>
      <c r="AO78" s="26" t="s">
        <v>32</v>
      </c>
      <c r="AP78" s="20">
        <f t="shared" si="42"/>
        <v>73</v>
      </c>
    </row>
    <row r="79" s="20" customFormat="1" customHeight="1" spans="1:42">
      <c r="A79" s="38">
        <v>5501102</v>
      </c>
      <c r="B79" s="38" t="str">
        <f t="shared" si="33"/>
        <v>5501101</v>
      </c>
      <c r="C79" s="32">
        <f t="shared" si="34"/>
        <v>2</v>
      </c>
      <c r="D79" s="32"/>
      <c r="E79" s="26" t="s">
        <v>162</v>
      </c>
      <c r="F79" s="26">
        <f t="shared" si="38"/>
        <v>1</v>
      </c>
      <c r="G79" s="26">
        <f>IFERROR(IF(--MID($E79,2*COUNTIF($F79:F79,"&gt;"&amp;0)+2,1)=G$1,G$1,""),"")</f>
        <v>2</v>
      </c>
      <c r="H79" s="26">
        <f>IFERROR(IF(--MID($E79,2*COUNTIF($F79:G79,"&gt;"&amp;0)+2,1)=H$1,H$1,""),"")</f>
        <v>3</v>
      </c>
      <c r="I79" s="26">
        <f>IFERROR(IF(--MID($E79,2*COUNTIF($F79:H79,"&gt;"&amp;0)+2,1)=I$1,I$1,""),"")</f>
        <v>4</v>
      </c>
      <c r="J79" s="26">
        <f>IFERROR(IF(--MID($E79,2*COUNTIF($F79:I79,"&gt;"&amp;0)+2,1)=J$1,J$1,""),"")</f>
        <v>5</v>
      </c>
      <c r="K79" s="26">
        <f>IFERROR(IF(--MID($E79,2*COUNTIF($F79:J79,"&gt;"&amp;0)+2,1)=K$1,K$1,""),"")</f>
        <v>6</v>
      </c>
      <c r="L79" s="39" cm="1">
        <f t="array" ref="L79">IFERROR(IF($A79="","",IF(F79="","",_xlfn.XLOOKUP($C79&amp;"_"&amp;$AG79,符文权重!$A:$A&amp;"_"&amp;符文权重!$C:$C,符文权重!$D:$D)*$X79/SUMIFS($X:$X,F:F,F79,$C:$C,$C79,$AG:$AG,$AG79)/SUMIF(符文权重!$A:$A,$C79,符文权重!$D:$D))),"")</f>
        <v>0.0363636363636364</v>
      </c>
      <c r="M79" s="39" cm="1">
        <f t="array" ref="M79">IFERROR(IF($A79="","",IF(G79="","",_xlfn.XLOOKUP($C79&amp;"_"&amp;$AG79,符文权重!$A:$A&amp;"_"&amp;符文权重!$C:$C,符文权重!$D:$D)*$X79/SUMIFS($X:$X,G:G,G79,$C:$C,$C79,$AG:$AG,$AG79)/SUMIF(符文权重!$A:$A,$C79,符文权重!$D:$D))),"")</f>
        <v>0.0363636363636364</v>
      </c>
      <c r="N79" s="39" cm="1">
        <f t="array" ref="N79">IFERROR(IF($A79="","",IF(H79="","",_xlfn.XLOOKUP($C79&amp;"_"&amp;$AG79,符文权重!$A:$A&amp;"_"&amp;符文权重!$C:$C,符文权重!$D:$D)*$X79/SUMIFS($X:$X,H:H,H79,$C:$C,$C79,$AG:$AG,$AG79)/SUMIF(符文权重!$A:$A,$C79,符文权重!$D:$D))),"")</f>
        <v>0.0363636363636364</v>
      </c>
      <c r="O79" s="39" cm="1">
        <f t="array" ref="O79">IFERROR(IF($A79="","",IF(I79="","",_xlfn.XLOOKUP($C79&amp;"_"&amp;$AG79,符文权重!$A:$A&amp;"_"&amp;符文权重!$C:$C,符文权重!$D:$D)*$X79/SUMIFS($X:$X,I:I,I79,$C:$C,$C79,$AG:$AG,$AG79)/SUMIF(符文权重!$A:$A,$C79,符文权重!$D:$D))),"")</f>
        <v>0.0363636363636364</v>
      </c>
      <c r="P79" s="39" cm="1">
        <f t="array" ref="P79">IFERROR(IF($A79="","",IF(J79="","",_xlfn.XLOOKUP($C79&amp;"_"&amp;$AG79,符文权重!$A:$A&amp;"_"&amp;符文权重!$C:$C,符文权重!$D:$D)*$X79/SUMIFS($X:$X,J:J,J79,$C:$C,$C79,$AG:$AG,$AG79)/SUMIF(符文权重!$A:$A,$C79,符文权重!$D:$D))),"")</f>
        <v>0.0363636363636364</v>
      </c>
      <c r="Q79" s="39" cm="1">
        <f t="array" ref="Q79">IFERROR(IF($A79="","",IF(K79="","",_xlfn.XLOOKUP($C79&amp;"_"&amp;$AG79,符文权重!$A:$A&amp;"_"&amp;符文权重!$C:$C,符文权重!$D:$D)*$X79/SUMIFS($X:$X,K:K,K79,$C:$C,$C79,$AG:$AG,$AG79)/SUMIF(符文权重!$A:$A,$C79,符文权重!$D:$D))),"")</f>
        <v>0.0363636363636364</v>
      </c>
      <c r="R79" s="26" t="s">
        <v>181</v>
      </c>
      <c r="S79" s="26" t="s">
        <v>191</v>
      </c>
      <c r="T79" s="26" t="e">
        <f>IF(B79="","",SUBSTITUTE(SUBSTITUTE("[{global_atk,"&amp;#REF!*C79&amp;"}]",21,20),9,8))</f>
        <v>#REF!</v>
      </c>
      <c r="U79" s="40" t="str">
        <f t="shared" si="43"/>
        <v>[5501102]</v>
      </c>
      <c r="V79" s="26" t="s">
        <v>255</v>
      </c>
      <c r="W79" s="25"/>
      <c r="X79" s="32">
        <v>100</v>
      </c>
      <c r="Y79" s="25"/>
      <c r="Z79" s="32" t="s">
        <v>170</v>
      </c>
      <c r="AA79" s="32" t="str">
        <f t="shared" si="14"/>
        <v>战士职业伤害+6%</v>
      </c>
      <c r="AB79" s="32"/>
      <c r="AC79" s="32" t="s">
        <v>166</v>
      </c>
      <c r="AD79" s="32">
        <f t="shared" si="41"/>
        <v>1074</v>
      </c>
      <c r="AE79" s="38" t="str">
        <f t="shared" si="36"/>
        <v>5501101</v>
      </c>
      <c r="AF79" s="32" t="str">
        <f t="shared" si="37"/>
        <v>[6]</v>
      </c>
      <c r="AG79" s="26">
        <v>1</v>
      </c>
      <c r="AH79" s="26"/>
      <c r="AI79" s="26">
        <v>0</v>
      </c>
      <c r="AJ79" s="25" t="s">
        <v>167</v>
      </c>
      <c r="AK79" s="38">
        <f t="shared" ref="AK79:AK84" si="44">AK78+1</f>
        <v>5501102</v>
      </c>
      <c r="AL79" s="41" t="str">
        <f t="shared" ref="AL79:AL84" si="45">AL78</f>
        <v>战士职业伤害&lt;color=#54b76b&gt;+%s%&lt;/color&gt;</v>
      </c>
      <c r="AM79" s="26">
        <v>6</v>
      </c>
      <c r="AN79" s="26">
        <v>1</v>
      </c>
      <c r="AO79" s="26" t="s">
        <v>32</v>
      </c>
      <c r="AP79" s="20">
        <f t="shared" si="42"/>
        <v>74</v>
      </c>
    </row>
    <row r="80" s="20" customFormat="1" customHeight="1" spans="1:42">
      <c r="A80" s="38">
        <v>5501103</v>
      </c>
      <c r="B80" s="38" t="str">
        <f t="shared" si="33"/>
        <v>5501101</v>
      </c>
      <c r="C80" s="32">
        <f t="shared" si="34"/>
        <v>3</v>
      </c>
      <c r="D80" s="32"/>
      <c r="E80" s="26" t="s">
        <v>162</v>
      </c>
      <c r="F80" s="26">
        <f t="shared" si="38"/>
        <v>1</v>
      </c>
      <c r="G80" s="26">
        <f>IFERROR(IF(--MID($E80,2*COUNTIF($F80:F80,"&gt;"&amp;0)+2,1)=G$1,G$1,""),"")</f>
        <v>2</v>
      </c>
      <c r="H80" s="26">
        <f>IFERROR(IF(--MID($E80,2*COUNTIF($F80:G80,"&gt;"&amp;0)+2,1)=H$1,H$1,""),"")</f>
        <v>3</v>
      </c>
      <c r="I80" s="26">
        <f>IFERROR(IF(--MID($E80,2*COUNTIF($F80:H80,"&gt;"&amp;0)+2,1)=I$1,I$1,""),"")</f>
        <v>4</v>
      </c>
      <c r="J80" s="26">
        <f>IFERROR(IF(--MID($E80,2*COUNTIF($F80:I80,"&gt;"&amp;0)+2,1)=J$1,J$1,""),"")</f>
        <v>5</v>
      </c>
      <c r="K80" s="26">
        <f>IFERROR(IF(--MID($E80,2*COUNTIF($F80:J80,"&gt;"&amp;0)+2,1)=K$1,K$1,""),"")</f>
        <v>6</v>
      </c>
      <c r="L80" s="39" cm="1">
        <f t="array" ref="L80">IFERROR(IF($A80="","",IF(F80="","",_xlfn.XLOOKUP($C80&amp;"_"&amp;$AG80,符文权重!$A:$A&amp;"_"&amp;符文权重!$C:$C,符文权重!$D:$D)*$X80/SUMIFS($X:$X,F:F,F80,$C:$C,$C80,$AG:$AG,$AG80)/SUMIF(符文权重!$A:$A,$C80,符文权重!$D:$D))),"")</f>
        <v>0.035</v>
      </c>
      <c r="M80" s="39" cm="1">
        <f t="array" ref="M80">IFERROR(IF($A80="","",IF(G80="","",_xlfn.XLOOKUP($C80&amp;"_"&amp;$AG80,符文权重!$A:$A&amp;"_"&amp;符文权重!$C:$C,符文权重!$D:$D)*$X80/SUMIFS($X:$X,G:G,G80,$C:$C,$C80,$AG:$AG,$AG80)/SUMIF(符文权重!$A:$A,$C80,符文权重!$D:$D))),"")</f>
        <v>0.035</v>
      </c>
      <c r="N80" s="39" cm="1">
        <f t="array" ref="N80">IFERROR(IF($A80="","",IF(H80="","",_xlfn.XLOOKUP($C80&amp;"_"&amp;$AG80,符文权重!$A:$A&amp;"_"&amp;符文权重!$C:$C,符文权重!$D:$D)*$X80/SUMIFS($X:$X,H:H,H80,$C:$C,$C80,$AG:$AG,$AG80)/SUMIF(符文权重!$A:$A,$C80,符文权重!$D:$D))),"")</f>
        <v>0.035</v>
      </c>
      <c r="O80" s="39" cm="1">
        <f t="array" ref="O80">IFERROR(IF($A80="","",IF(I80="","",_xlfn.XLOOKUP($C80&amp;"_"&amp;$AG80,符文权重!$A:$A&amp;"_"&amp;符文权重!$C:$C,符文权重!$D:$D)*$X80/SUMIFS($X:$X,I:I,I80,$C:$C,$C80,$AG:$AG,$AG80)/SUMIF(符文权重!$A:$A,$C80,符文权重!$D:$D))),"")</f>
        <v>0.035</v>
      </c>
      <c r="P80" s="39" cm="1">
        <f t="array" ref="P80">IFERROR(IF($A80="","",IF(J80="","",_xlfn.XLOOKUP($C80&amp;"_"&amp;$AG80,符文权重!$A:$A&amp;"_"&amp;符文权重!$C:$C,符文权重!$D:$D)*$X80/SUMIFS($X:$X,J:J,J80,$C:$C,$C80,$AG:$AG,$AG80)/SUMIF(符文权重!$A:$A,$C80,符文权重!$D:$D))),"")</f>
        <v>0.035</v>
      </c>
      <c r="Q80" s="39" cm="1">
        <f t="array" ref="Q80">IFERROR(IF($A80="","",IF(K80="","",_xlfn.XLOOKUP($C80&amp;"_"&amp;$AG80,符文权重!$A:$A&amp;"_"&amp;符文权重!$C:$C,符文权重!$D:$D)*$X80/SUMIFS($X:$X,K:K,K80,$C:$C,$C80,$AG:$AG,$AG80)/SUMIF(符文权重!$A:$A,$C80,符文权重!$D:$D))),"")</f>
        <v>0.035</v>
      </c>
      <c r="R80" s="26" t="s">
        <v>181</v>
      </c>
      <c r="S80" s="26" t="s">
        <v>191</v>
      </c>
      <c r="T80" s="26" t="e">
        <f>IF(B80="","",SUBSTITUTE(SUBSTITUTE("[{global_atk,"&amp;#REF!*C80&amp;"}]",21,20),9,8))</f>
        <v>#REF!</v>
      </c>
      <c r="U80" s="40" t="str">
        <f t="shared" si="43"/>
        <v>[5501103]</v>
      </c>
      <c r="V80" s="26" t="s">
        <v>256</v>
      </c>
      <c r="W80" s="25"/>
      <c r="X80" s="32">
        <v>100</v>
      </c>
      <c r="Y80" s="25"/>
      <c r="Z80" s="32" t="s">
        <v>172</v>
      </c>
      <c r="AA80" s="32" t="str">
        <f t="shared" si="14"/>
        <v>战士职业伤害+8%</v>
      </c>
      <c r="AB80" s="32"/>
      <c r="AC80" s="32" t="s">
        <v>166</v>
      </c>
      <c r="AD80" s="32">
        <f t="shared" si="41"/>
        <v>1075</v>
      </c>
      <c r="AE80" s="38" t="str">
        <f t="shared" si="36"/>
        <v>5501101</v>
      </c>
      <c r="AF80" s="32" t="str">
        <f t="shared" si="37"/>
        <v>[8]</v>
      </c>
      <c r="AG80" s="26">
        <v>1</v>
      </c>
      <c r="AH80" s="26"/>
      <c r="AI80" s="26">
        <v>0</v>
      </c>
      <c r="AJ80" s="25" t="s">
        <v>167</v>
      </c>
      <c r="AK80" s="38">
        <f t="shared" si="44"/>
        <v>5501103</v>
      </c>
      <c r="AL80" s="41" t="str">
        <f t="shared" si="45"/>
        <v>战士职业伤害&lt;color=#54b76b&gt;+%s%&lt;/color&gt;</v>
      </c>
      <c r="AM80" s="26">
        <v>8</v>
      </c>
      <c r="AN80" s="26">
        <v>1</v>
      </c>
      <c r="AO80" s="26" t="s">
        <v>32</v>
      </c>
      <c r="AP80" s="20">
        <f t="shared" si="42"/>
        <v>75</v>
      </c>
    </row>
    <row r="81" s="20" customFormat="1" customHeight="1" spans="1:42">
      <c r="A81" s="38">
        <v>5501104</v>
      </c>
      <c r="B81" s="38" t="str">
        <f t="shared" si="33"/>
        <v>5501101</v>
      </c>
      <c r="C81" s="32">
        <f t="shared" si="34"/>
        <v>4</v>
      </c>
      <c r="D81" s="32"/>
      <c r="E81" s="26" t="s">
        <v>162</v>
      </c>
      <c r="F81" s="26">
        <f t="shared" si="38"/>
        <v>1</v>
      </c>
      <c r="G81" s="26">
        <f>IFERROR(IF(--MID($E81,2*COUNTIF($F81:F81,"&gt;"&amp;0)+2,1)=G$1,G$1,""),"")</f>
        <v>2</v>
      </c>
      <c r="H81" s="26">
        <f>IFERROR(IF(--MID($E81,2*COUNTIF($F81:G81,"&gt;"&amp;0)+2,1)=H$1,H$1,""),"")</f>
        <v>3</v>
      </c>
      <c r="I81" s="26">
        <f>IFERROR(IF(--MID($E81,2*COUNTIF($F81:H81,"&gt;"&amp;0)+2,1)=I$1,I$1,""),"")</f>
        <v>4</v>
      </c>
      <c r="J81" s="26">
        <f>IFERROR(IF(--MID($E81,2*COUNTIF($F81:I81,"&gt;"&amp;0)+2,1)=J$1,J$1,""),"")</f>
        <v>5</v>
      </c>
      <c r="K81" s="26">
        <f>IFERROR(IF(--MID($E81,2*COUNTIF($F81:J81,"&gt;"&amp;0)+2,1)=K$1,K$1,""),"")</f>
        <v>6</v>
      </c>
      <c r="L81" s="39" cm="1">
        <f t="array" ref="L81">IFERROR(IF($A81="","",IF(F81="","",_xlfn.XLOOKUP($C81&amp;"_"&amp;$AG81,符文权重!$A:$A&amp;"_"&amp;符文权重!$C:$C,符文权重!$D:$D)*$X81/SUMIFS($X:$X,F:F,F81,$C:$C,$C81,$AG:$AG,$AG81)/SUMIF(符文权重!$A:$A,$C81,符文权重!$D:$D))),"")</f>
        <v>0.022913616398243</v>
      </c>
      <c r="M81" s="39" cm="1">
        <f t="array" ref="M81">IFERROR(IF($A81="","",IF(G81="","",_xlfn.XLOOKUP($C81&amp;"_"&amp;$AG81,符文权重!$A:$A&amp;"_"&amp;符文权重!$C:$C,符文权重!$D:$D)*$X81/SUMIFS($X:$X,G:G,G81,$C:$C,$C81,$AG:$AG,$AG81)/SUMIF(符文权重!$A:$A,$C81,符文权重!$D:$D))),"")</f>
        <v>0.022913616398243</v>
      </c>
      <c r="N81" s="39" cm="1">
        <f t="array" ref="N81">IFERROR(IF($A81="","",IF(H81="","",_xlfn.XLOOKUP($C81&amp;"_"&amp;$AG81,符文权重!$A:$A&amp;"_"&amp;符文权重!$C:$C,符文权重!$D:$D)*$X81/SUMIFS($X:$X,H:H,H81,$C:$C,$C81,$AG:$AG,$AG81)/SUMIF(符文权重!$A:$A,$C81,符文权重!$D:$D))),"")</f>
        <v>0.022913616398243</v>
      </c>
      <c r="O81" s="39" cm="1">
        <f t="array" ref="O81">IFERROR(IF($A81="","",IF(I81="","",_xlfn.XLOOKUP($C81&amp;"_"&amp;$AG81,符文权重!$A:$A&amp;"_"&amp;符文权重!$C:$C,符文权重!$D:$D)*$X81/SUMIFS($X:$X,I:I,I81,$C:$C,$C81,$AG:$AG,$AG81)/SUMIF(符文权重!$A:$A,$C81,符文权重!$D:$D))),"")</f>
        <v>0.022913616398243</v>
      </c>
      <c r="P81" s="39" cm="1">
        <f t="array" ref="P81">IFERROR(IF($A81="","",IF(J81="","",_xlfn.XLOOKUP($C81&amp;"_"&amp;$AG81,符文权重!$A:$A&amp;"_"&amp;符文权重!$C:$C,符文权重!$D:$D)*$X81/SUMIFS($X:$X,J:J,J81,$C:$C,$C81,$AG:$AG,$AG81)/SUMIF(符文权重!$A:$A,$C81,符文权重!$D:$D))),"")</f>
        <v>0.022913616398243</v>
      </c>
      <c r="Q81" s="39" cm="1">
        <f t="array" ref="Q81">IFERROR(IF($A81="","",IF(K81="","",_xlfn.XLOOKUP($C81&amp;"_"&amp;$AG81,符文权重!$A:$A&amp;"_"&amp;符文权重!$C:$C,符文权重!$D:$D)*$X81/SUMIFS($X:$X,K:K,K81,$C:$C,$C81,$AG:$AG,$AG81)/SUMIF(符文权重!$A:$A,$C81,符文权重!$D:$D))),"")</f>
        <v>0.022913616398243</v>
      </c>
      <c r="R81" s="26" t="s">
        <v>181</v>
      </c>
      <c r="S81" s="26" t="s">
        <v>191</v>
      </c>
      <c r="T81" s="26" t="e">
        <f>IF(B81="","",SUBSTITUTE(SUBSTITUTE("[{global_atk,"&amp;#REF!*C81&amp;"}]",21,20),9,8))</f>
        <v>#REF!</v>
      </c>
      <c r="U81" s="40" t="str">
        <f t="shared" si="43"/>
        <v>[5501104]</v>
      </c>
      <c r="V81" s="26" t="s">
        <v>257</v>
      </c>
      <c r="W81" s="25"/>
      <c r="X81" s="32">
        <v>100</v>
      </c>
      <c r="Y81" s="25"/>
      <c r="Z81" s="32" t="s">
        <v>174</v>
      </c>
      <c r="AA81" s="32" t="str">
        <f t="shared" si="14"/>
        <v>战士职业伤害+10%</v>
      </c>
      <c r="AB81" s="32"/>
      <c r="AC81" s="32" t="s">
        <v>166</v>
      </c>
      <c r="AD81" s="32">
        <f t="shared" si="41"/>
        <v>1076</v>
      </c>
      <c r="AE81" s="38" t="str">
        <f t="shared" si="36"/>
        <v>5501101</v>
      </c>
      <c r="AF81" s="32" t="str">
        <f t="shared" si="37"/>
        <v>[10]</v>
      </c>
      <c r="AG81" s="26">
        <v>1</v>
      </c>
      <c r="AH81" s="26"/>
      <c r="AI81" s="26">
        <v>0</v>
      </c>
      <c r="AJ81" s="25" t="s">
        <v>167</v>
      </c>
      <c r="AK81" s="38">
        <f t="shared" si="44"/>
        <v>5501104</v>
      </c>
      <c r="AL81" s="41" t="str">
        <f t="shared" si="45"/>
        <v>战士职业伤害&lt;color=#54b76b&gt;+%s%&lt;/color&gt;</v>
      </c>
      <c r="AM81" s="26">
        <v>10</v>
      </c>
      <c r="AN81" s="26">
        <v>1</v>
      </c>
      <c r="AO81" s="26" t="s">
        <v>32</v>
      </c>
      <c r="AP81" s="20">
        <f t="shared" si="42"/>
        <v>76</v>
      </c>
    </row>
    <row r="82" s="20" customFormat="1" customHeight="1" spans="1:42">
      <c r="A82" s="38">
        <v>5501105</v>
      </c>
      <c r="B82" s="38" t="str">
        <f t="shared" si="33"/>
        <v>5501101</v>
      </c>
      <c r="C82" s="32">
        <f t="shared" si="34"/>
        <v>5</v>
      </c>
      <c r="D82" s="32"/>
      <c r="E82" s="26" t="s">
        <v>162</v>
      </c>
      <c r="F82" s="26">
        <f t="shared" si="38"/>
        <v>1</v>
      </c>
      <c r="G82" s="26">
        <f>IFERROR(IF(--MID($E82,2*COUNTIF($F82:F82,"&gt;"&amp;0)+2,1)=G$1,G$1,""),"")</f>
        <v>2</v>
      </c>
      <c r="H82" s="26">
        <f>IFERROR(IF(--MID($E82,2*COUNTIF($F82:G82,"&gt;"&amp;0)+2,1)=H$1,H$1,""),"")</f>
        <v>3</v>
      </c>
      <c r="I82" s="26">
        <f>IFERROR(IF(--MID($E82,2*COUNTIF($F82:H82,"&gt;"&amp;0)+2,1)=I$1,I$1,""),"")</f>
        <v>4</v>
      </c>
      <c r="J82" s="26">
        <f>IFERROR(IF(--MID($E82,2*COUNTIF($F82:I82,"&gt;"&amp;0)+2,1)=J$1,J$1,""),"")</f>
        <v>5</v>
      </c>
      <c r="K82" s="26">
        <f>IFERROR(IF(--MID($E82,2*COUNTIF($F82:J82,"&gt;"&amp;0)+2,1)=K$1,K$1,""),"")</f>
        <v>6</v>
      </c>
      <c r="L82" s="39" cm="1">
        <f t="array" ref="L82">IFERROR(IF($A82="","",IF(F82="","",_xlfn.XLOOKUP($C82&amp;"_"&amp;$AG82,符文权重!$A:$A&amp;"_"&amp;符文权重!$C:$C,符文权重!$D:$D)*$X82/SUMIFS($X:$X,F:F,F82,$C:$C,$C82,$AG:$AG,$AG82)/SUMIF(符文权重!$A:$A,$C82,符文权重!$D:$D))),"")</f>
        <v>0.0196666666666667</v>
      </c>
      <c r="M82" s="39" cm="1">
        <f t="array" ref="M82">IFERROR(IF($A82="","",IF(G82="","",_xlfn.XLOOKUP($C82&amp;"_"&amp;$AG82,符文权重!$A:$A&amp;"_"&amp;符文权重!$C:$C,符文权重!$D:$D)*$X82/SUMIFS($X:$X,G:G,G82,$C:$C,$C82,$AG:$AG,$AG82)/SUMIF(符文权重!$A:$A,$C82,符文权重!$D:$D))),"")</f>
        <v>0.0196666666666667</v>
      </c>
      <c r="N82" s="39" cm="1">
        <f t="array" ref="N82">IFERROR(IF($A82="","",IF(H82="","",_xlfn.XLOOKUP($C82&amp;"_"&amp;$AG82,符文权重!$A:$A&amp;"_"&amp;符文权重!$C:$C,符文权重!$D:$D)*$X82/SUMIFS($X:$X,H:H,H82,$C:$C,$C82,$AG:$AG,$AG82)/SUMIF(符文权重!$A:$A,$C82,符文权重!$D:$D))),"")</f>
        <v>0.0196666666666667</v>
      </c>
      <c r="O82" s="39" cm="1">
        <f t="array" ref="O82">IFERROR(IF($A82="","",IF(I82="","",_xlfn.XLOOKUP($C82&amp;"_"&amp;$AG82,符文权重!$A:$A&amp;"_"&amp;符文权重!$C:$C,符文权重!$D:$D)*$X82/SUMIFS($X:$X,I:I,I82,$C:$C,$C82,$AG:$AG,$AG82)/SUMIF(符文权重!$A:$A,$C82,符文权重!$D:$D))),"")</f>
        <v>0.0196666666666667</v>
      </c>
      <c r="P82" s="39" cm="1">
        <f t="array" ref="P82">IFERROR(IF($A82="","",IF(J82="","",_xlfn.XLOOKUP($C82&amp;"_"&amp;$AG82,符文权重!$A:$A&amp;"_"&amp;符文权重!$C:$C,符文权重!$D:$D)*$X82/SUMIFS($X:$X,J:J,J82,$C:$C,$C82,$AG:$AG,$AG82)/SUMIF(符文权重!$A:$A,$C82,符文权重!$D:$D))),"")</f>
        <v>0.0196666666666667</v>
      </c>
      <c r="Q82" s="39" cm="1">
        <f t="array" ref="Q82">IFERROR(IF($A82="","",IF(K82="","",_xlfn.XLOOKUP($C82&amp;"_"&amp;$AG82,符文权重!$A:$A&amp;"_"&amp;符文权重!$C:$C,符文权重!$D:$D)*$X82/SUMIFS($X:$X,K:K,K82,$C:$C,$C82,$AG:$AG,$AG82)/SUMIF(符文权重!$A:$A,$C82,符文权重!$D:$D))),"")</f>
        <v>0.0196666666666667</v>
      </c>
      <c r="R82" s="26" t="s">
        <v>181</v>
      </c>
      <c r="S82" s="26" t="s">
        <v>191</v>
      </c>
      <c r="T82" s="26" t="e">
        <f>IF(B82="","",SUBSTITUTE(SUBSTITUTE("[{global_atk,"&amp;#REF!*C82&amp;"}]",21,20),9,8))</f>
        <v>#REF!</v>
      </c>
      <c r="U82" s="40" t="str">
        <f t="shared" si="43"/>
        <v>[5501105]</v>
      </c>
      <c r="V82" s="26" t="s">
        <v>258</v>
      </c>
      <c r="W82" s="25"/>
      <c r="X82" s="32">
        <v>100</v>
      </c>
      <c r="Y82" s="25"/>
      <c r="Z82" s="32" t="s">
        <v>176</v>
      </c>
      <c r="AA82" s="32" t="str">
        <f t="shared" ref="AA82:AA145" si="46">SUBSTITUTE(SUBSTITUTE(SUBSTITUTE(SUBSTITUTE(AL82,"%s",AM82),"&lt;color=#54b76b&gt;",""),"&lt;/color&gt; ",""),"&lt;/color&gt;","")</f>
        <v>战士职业伤害+12.5%</v>
      </c>
      <c r="AB82" s="32"/>
      <c r="AC82" s="32" t="s">
        <v>166</v>
      </c>
      <c r="AD82" s="32">
        <f t="shared" si="41"/>
        <v>1077</v>
      </c>
      <c r="AE82" s="38" t="str">
        <f t="shared" si="36"/>
        <v>5501101</v>
      </c>
      <c r="AF82" s="32" t="str">
        <f t="shared" si="37"/>
        <v>[12.5]</v>
      </c>
      <c r="AG82" s="26">
        <v>1</v>
      </c>
      <c r="AH82" s="26"/>
      <c r="AI82" s="26">
        <v>0</v>
      </c>
      <c r="AJ82" s="25" t="s">
        <v>167</v>
      </c>
      <c r="AK82" s="38">
        <f t="shared" si="44"/>
        <v>5501105</v>
      </c>
      <c r="AL82" s="41" t="str">
        <f t="shared" si="45"/>
        <v>战士职业伤害&lt;color=#54b76b&gt;+%s%&lt;/color&gt;</v>
      </c>
      <c r="AM82" s="26">
        <v>12.5</v>
      </c>
      <c r="AN82" s="26">
        <v>1</v>
      </c>
      <c r="AO82" s="26" t="s">
        <v>32</v>
      </c>
      <c r="AP82" s="20">
        <f t="shared" si="42"/>
        <v>77</v>
      </c>
    </row>
    <row r="83" s="20" customFormat="1" customHeight="1" spans="1:42">
      <c r="A83" s="38">
        <v>5501106</v>
      </c>
      <c r="B83" s="38" t="str">
        <f t="shared" si="33"/>
        <v>5501101</v>
      </c>
      <c r="C83" s="32">
        <f t="shared" si="34"/>
        <v>6</v>
      </c>
      <c r="D83" s="32"/>
      <c r="E83" s="26" t="s">
        <v>162</v>
      </c>
      <c r="F83" s="26">
        <f t="shared" si="38"/>
        <v>1</v>
      </c>
      <c r="G83" s="26">
        <f>IFERROR(IF(--MID($E83,2*COUNTIF($F83:F83,"&gt;"&amp;0)+2,1)=G$1,G$1,""),"")</f>
        <v>2</v>
      </c>
      <c r="H83" s="26">
        <f>IFERROR(IF(--MID($E83,2*COUNTIF($F83:G83,"&gt;"&amp;0)+2,1)=H$1,H$1,""),"")</f>
        <v>3</v>
      </c>
      <c r="I83" s="26">
        <f>IFERROR(IF(--MID($E83,2*COUNTIF($F83:H83,"&gt;"&amp;0)+2,1)=I$1,I$1,""),"")</f>
        <v>4</v>
      </c>
      <c r="J83" s="26">
        <f>IFERROR(IF(--MID($E83,2*COUNTIF($F83:I83,"&gt;"&amp;0)+2,1)=J$1,J$1,""),"")</f>
        <v>5</v>
      </c>
      <c r="K83" s="26">
        <f>IFERROR(IF(--MID($E83,2*COUNTIF($F83:J83,"&gt;"&amp;0)+2,1)=K$1,K$1,""),"")</f>
        <v>6</v>
      </c>
      <c r="L83" s="39" cm="1">
        <f t="array" ref="L83">IFERROR(IF($A83="","",IF(F83="","",_xlfn.XLOOKUP($C83&amp;"_"&amp;$AG83,符文权重!$A:$A&amp;"_"&amp;符文权重!$C:$C,符文权重!$D:$D)*$X83/SUMIFS($X:$X,F:F,F83,$C:$C,$C83,$AG:$AG,$AG83)/SUMIF(符文权重!$A:$A,$C83,符文权重!$D:$D))),"")</f>
        <v>0.0196666666666667</v>
      </c>
      <c r="M83" s="39" cm="1">
        <f t="array" ref="M83">IFERROR(IF($A83="","",IF(G83="","",_xlfn.XLOOKUP($C83&amp;"_"&amp;$AG83,符文权重!$A:$A&amp;"_"&amp;符文权重!$C:$C,符文权重!$D:$D)*$X83/SUMIFS($X:$X,G:G,G83,$C:$C,$C83,$AG:$AG,$AG83)/SUMIF(符文权重!$A:$A,$C83,符文权重!$D:$D))),"")</f>
        <v>0.0196666666666667</v>
      </c>
      <c r="N83" s="39" cm="1">
        <f t="array" ref="N83">IFERROR(IF($A83="","",IF(H83="","",_xlfn.XLOOKUP($C83&amp;"_"&amp;$AG83,符文权重!$A:$A&amp;"_"&amp;符文权重!$C:$C,符文权重!$D:$D)*$X83/SUMIFS($X:$X,H:H,H83,$C:$C,$C83,$AG:$AG,$AG83)/SUMIF(符文权重!$A:$A,$C83,符文权重!$D:$D))),"")</f>
        <v>0.0196666666666667</v>
      </c>
      <c r="O83" s="39" cm="1">
        <f t="array" ref="O83">IFERROR(IF($A83="","",IF(I83="","",_xlfn.XLOOKUP($C83&amp;"_"&amp;$AG83,符文权重!$A:$A&amp;"_"&amp;符文权重!$C:$C,符文权重!$D:$D)*$X83/SUMIFS($X:$X,I:I,I83,$C:$C,$C83,$AG:$AG,$AG83)/SUMIF(符文权重!$A:$A,$C83,符文权重!$D:$D))),"")</f>
        <v>0.0196666666666667</v>
      </c>
      <c r="P83" s="39" cm="1">
        <f t="array" ref="P83">IFERROR(IF($A83="","",IF(J83="","",_xlfn.XLOOKUP($C83&amp;"_"&amp;$AG83,符文权重!$A:$A&amp;"_"&amp;符文权重!$C:$C,符文权重!$D:$D)*$X83/SUMIFS($X:$X,J:J,J83,$C:$C,$C83,$AG:$AG,$AG83)/SUMIF(符文权重!$A:$A,$C83,符文权重!$D:$D))),"")</f>
        <v>0.0196666666666667</v>
      </c>
      <c r="Q83" s="39" cm="1">
        <f t="array" ref="Q83">IFERROR(IF($A83="","",IF(K83="","",_xlfn.XLOOKUP($C83&amp;"_"&amp;$AG83,符文权重!$A:$A&amp;"_"&amp;符文权重!$C:$C,符文权重!$D:$D)*$X83/SUMIFS($X:$X,K:K,K83,$C:$C,$C83,$AG:$AG,$AG83)/SUMIF(符文权重!$A:$A,$C83,符文权重!$D:$D))),"")</f>
        <v>0.0196666666666667</v>
      </c>
      <c r="R83" s="26" t="s">
        <v>181</v>
      </c>
      <c r="S83" s="26" t="s">
        <v>191</v>
      </c>
      <c r="T83" s="26" t="e">
        <f>IF(B83="","",SUBSTITUTE(SUBSTITUTE("[{global_atk,"&amp;#REF!*C83&amp;"}]",21,20),9,8))</f>
        <v>#REF!</v>
      </c>
      <c r="U83" s="40" t="str">
        <f t="shared" si="43"/>
        <v>[5501106]</v>
      </c>
      <c r="V83" s="26" t="s">
        <v>259</v>
      </c>
      <c r="W83" s="25"/>
      <c r="X83" s="32">
        <v>100</v>
      </c>
      <c r="Y83" s="25"/>
      <c r="Z83" s="32" t="s">
        <v>178</v>
      </c>
      <c r="AA83" s="32" t="str">
        <f t="shared" si="46"/>
        <v>战士职业伤害+15%</v>
      </c>
      <c r="AB83" s="32"/>
      <c r="AC83" s="32" t="s">
        <v>166</v>
      </c>
      <c r="AD83" s="32">
        <f t="shared" si="41"/>
        <v>1078</v>
      </c>
      <c r="AE83" s="38" t="str">
        <f t="shared" si="36"/>
        <v>5501101</v>
      </c>
      <c r="AF83" s="32" t="str">
        <f t="shared" si="37"/>
        <v>[15]</v>
      </c>
      <c r="AG83" s="26">
        <v>1</v>
      </c>
      <c r="AH83" s="26"/>
      <c r="AI83" s="26">
        <v>0</v>
      </c>
      <c r="AJ83" s="25" t="s">
        <v>167</v>
      </c>
      <c r="AK83" s="38">
        <f t="shared" si="44"/>
        <v>5501106</v>
      </c>
      <c r="AL83" s="41" t="str">
        <f t="shared" si="45"/>
        <v>战士职业伤害&lt;color=#54b76b&gt;+%s%&lt;/color&gt;</v>
      </c>
      <c r="AM83" s="26">
        <v>15</v>
      </c>
      <c r="AN83" s="26">
        <v>1</v>
      </c>
      <c r="AO83" s="26" t="s">
        <v>32</v>
      </c>
      <c r="AP83" s="20">
        <f t="shared" si="42"/>
        <v>78</v>
      </c>
    </row>
    <row r="84" s="20" customFormat="1" customHeight="1" spans="1:42">
      <c r="A84" s="38">
        <v>5501107</v>
      </c>
      <c r="B84" s="38" t="str">
        <f t="shared" si="33"/>
        <v>5501101</v>
      </c>
      <c r="C84" s="32">
        <f t="shared" si="34"/>
        <v>7</v>
      </c>
      <c r="D84" s="32"/>
      <c r="E84" s="26" t="s">
        <v>162</v>
      </c>
      <c r="F84" s="26">
        <f t="shared" si="38"/>
        <v>1</v>
      </c>
      <c r="G84" s="26">
        <f>IFERROR(IF(--MID($E84,2*COUNTIF($F84:F84,"&gt;"&amp;0)+2,1)=G$1,G$1,""),"")</f>
        <v>2</v>
      </c>
      <c r="H84" s="26">
        <f>IFERROR(IF(--MID($E84,2*COUNTIF($F84:G84,"&gt;"&amp;0)+2,1)=H$1,H$1,""),"")</f>
        <v>3</v>
      </c>
      <c r="I84" s="26">
        <f>IFERROR(IF(--MID($E84,2*COUNTIF($F84:H84,"&gt;"&amp;0)+2,1)=I$1,I$1,""),"")</f>
        <v>4</v>
      </c>
      <c r="J84" s="26">
        <f>IFERROR(IF(--MID($E84,2*COUNTIF($F84:I84,"&gt;"&amp;0)+2,1)=J$1,J$1,""),"")</f>
        <v>5</v>
      </c>
      <c r="K84" s="26">
        <f>IFERROR(IF(--MID($E84,2*COUNTIF($F84:J84,"&gt;"&amp;0)+2,1)=K$1,K$1,""),"")</f>
        <v>6</v>
      </c>
      <c r="L84" s="39" cm="1">
        <f t="array" ref="L84">IFERROR(IF($A84="","",IF(F84="","",_xlfn.XLOOKUP($C84&amp;"_"&amp;$AG84,符文权重!$A:$A&amp;"_"&amp;符文权重!$C:$C,符文权重!$D:$D)*$X84/SUMIFS($X:$X,F:F,F84,$C:$C,$C84,$AG:$AG,$AG84)/SUMIF(符文权重!$A:$A,$C84,符文权重!$D:$D))),"")</f>
        <v>0.0196666666666667</v>
      </c>
      <c r="M84" s="39" cm="1">
        <f t="array" ref="M84">IFERROR(IF($A84="","",IF(G84="","",_xlfn.XLOOKUP($C84&amp;"_"&amp;$AG84,符文权重!$A:$A&amp;"_"&amp;符文权重!$C:$C,符文权重!$D:$D)*$X84/SUMIFS($X:$X,G:G,G84,$C:$C,$C84,$AG:$AG,$AG84)/SUMIF(符文权重!$A:$A,$C84,符文权重!$D:$D))),"")</f>
        <v>0.0196666666666667</v>
      </c>
      <c r="N84" s="39" cm="1">
        <f t="array" ref="N84">IFERROR(IF($A84="","",IF(H84="","",_xlfn.XLOOKUP($C84&amp;"_"&amp;$AG84,符文权重!$A:$A&amp;"_"&amp;符文权重!$C:$C,符文权重!$D:$D)*$X84/SUMIFS($X:$X,H:H,H84,$C:$C,$C84,$AG:$AG,$AG84)/SUMIF(符文权重!$A:$A,$C84,符文权重!$D:$D))),"")</f>
        <v>0.0196666666666667</v>
      </c>
      <c r="O84" s="39" cm="1">
        <f t="array" ref="O84">IFERROR(IF($A84="","",IF(I84="","",_xlfn.XLOOKUP($C84&amp;"_"&amp;$AG84,符文权重!$A:$A&amp;"_"&amp;符文权重!$C:$C,符文权重!$D:$D)*$X84/SUMIFS($X:$X,I:I,I84,$C:$C,$C84,$AG:$AG,$AG84)/SUMIF(符文权重!$A:$A,$C84,符文权重!$D:$D))),"")</f>
        <v>0.0196666666666667</v>
      </c>
      <c r="P84" s="39" cm="1">
        <f t="array" ref="P84">IFERROR(IF($A84="","",IF(J84="","",_xlfn.XLOOKUP($C84&amp;"_"&amp;$AG84,符文权重!$A:$A&amp;"_"&amp;符文权重!$C:$C,符文权重!$D:$D)*$X84/SUMIFS($X:$X,J:J,J84,$C:$C,$C84,$AG:$AG,$AG84)/SUMIF(符文权重!$A:$A,$C84,符文权重!$D:$D))),"")</f>
        <v>0.0196666666666667</v>
      </c>
      <c r="Q84" s="39" cm="1">
        <f t="array" ref="Q84">IFERROR(IF($A84="","",IF(K84="","",_xlfn.XLOOKUP($C84&amp;"_"&amp;$AG84,符文权重!$A:$A&amp;"_"&amp;符文权重!$C:$C,符文权重!$D:$D)*$X84/SUMIFS($X:$X,K:K,K84,$C:$C,$C84,$AG:$AG,$AG84)/SUMIF(符文权重!$A:$A,$C84,符文权重!$D:$D))),"")</f>
        <v>0.0196666666666667</v>
      </c>
      <c r="R84" s="26" t="s">
        <v>181</v>
      </c>
      <c r="S84" s="26" t="s">
        <v>191</v>
      </c>
      <c r="T84" s="26" t="e">
        <f>IF(B84="","",SUBSTITUTE(SUBSTITUTE("[{global_atk,"&amp;#REF!*C84&amp;"}]",21,20),9,8))</f>
        <v>#REF!</v>
      </c>
      <c r="U84" s="40" t="str">
        <f t="shared" si="43"/>
        <v>[5501107]</v>
      </c>
      <c r="V84" s="26" t="s">
        <v>260</v>
      </c>
      <c r="W84" s="25"/>
      <c r="X84" s="32">
        <v>100</v>
      </c>
      <c r="Y84" s="25"/>
      <c r="Z84" s="32" t="s">
        <v>180</v>
      </c>
      <c r="AA84" s="32" t="str">
        <f t="shared" si="46"/>
        <v>战士职业伤害+20%</v>
      </c>
      <c r="AB84" s="32"/>
      <c r="AC84" s="32" t="s">
        <v>166</v>
      </c>
      <c r="AD84" s="32">
        <f t="shared" si="41"/>
        <v>1079</v>
      </c>
      <c r="AE84" s="38" t="str">
        <f t="shared" si="36"/>
        <v>5501101</v>
      </c>
      <c r="AF84" s="32" t="str">
        <f t="shared" si="37"/>
        <v>[20]</v>
      </c>
      <c r="AG84" s="26">
        <v>1</v>
      </c>
      <c r="AH84" s="26"/>
      <c r="AI84" s="26">
        <v>0</v>
      </c>
      <c r="AJ84" s="25" t="s">
        <v>167</v>
      </c>
      <c r="AK84" s="38">
        <f t="shared" si="44"/>
        <v>5501107</v>
      </c>
      <c r="AL84" s="41" t="str">
        <f t="shared" si="45"/>
        <v>战士职业伤害&lt;color=#54b76b&gt;+%s%&lt;/color&gt;</v>
      </c>
      <c r="AM84" s="26">
        <v>20</v>
      </c>
      <c r="AN84" s="26">
        <v>1</v>
      </c>
      <c r="AO84" s="26" t="s">
        <v>32</v>
      </c>
      <c r="AP84" s="20">
        <f t="shared" si="42"/>
        <v>79</v>
      </c>
    </row>
    <row r="85" s="20" customFormat="1" customHeight="1" spans="1:42">
      <c r="A85" s="38" t="s">
        <v>167</v>
      </c>
      <c r="B85" s="38" t="str">
        <f t="shared" si="33"/>
        <v/>
      </c>
      <c r="C85" s="32" t="str">
        <f t="shared" si="34"/>
        <v/>
      </c>
      <c r="D85" s="32"/>
      <c r="E85" s="26"/>
      <c r="F85" s="26" t="str">
        <f t="shared" si="38"/>
        <v/>
      </c>
      <c r="G85" s="26" t="str">
        <f>IFERROR(IF(--MID($E85,2*COUNTIF($F85:F85,"&gt;"&amp;0)+2,1)=G$1,G$1,""),"")</f>
        <v/>
      </c>
      <c r="H85" s="26" t="str">
        <f>IFERROR(IF(--MID($E85,2*COUNTIF($F85:G85,"&gt;"&amp;0)+2,1)=H$1,H$1,""),"")</f>
        <v/>
      </c>
      <c r="I85" s="26" t="str">
        <f>IFERROR(IF(--MID($E85,2*COUNTIF($F85:H85,"&gt;"&amp;0)+2,1)=I$1,I$1,""),"")</f>
        <v/>
      </c>
      <c r="J85" s="26" t="str">
        <f>IFERROR(IF(--MID($E85,2*COUNTIF($F85:I85,"&gt;"&amp;0)+2,1)=J$1,J$1,""),"")</f>
        <v/>
      </c>
      <c r="K85" s="26" t="str">
        <f>IFERROR(IF(--MID($E85,2*COUNTIF($F85:J85,"&gt;"&amp;0)+2,1)=K$1,K$1,""),"")</f>
        <v/>
      </c>
      <c r="L85" s="39" t="str" cm="1">
        <f t="array" ref="L85">IFERROR(IF($A85="","",IF(F85="","",_xlfn.XLOOKUP($C85&amp;"_"&amp;$AG85,符文权重!$A:$A&amp;"_"&amp;符文权重!$C:$C,符文权重!$D:$D)*$X85/SUMIFS($X:$X,F:F,F85,$C:$C,$C85,$AG:$AG,$AG85)/SUMIF(符文权重!$A:$A,$C85,符文权重!$D:$D))),"")</f>
        <v/>
      </c>
      <c r="M85" s="39" t="str" cm="1">
        <f t="array" ref="M85">IFERROR(IF($A85="","",IF(G85="","",_xlfn.XLOOKUP($C85&amp;"_"&amp;$AG85,符文权重!$A:$A&amp;"_"&amp;符文权重!$C:$C,符文权重!$D:$D)*$X85/SUMIFS($X:$X,G:G,G85,$C:$C,$C85,$AG:$AG,$AG85)/SUMIF(符文权重!$A:$A,$C85,符文权重!$D:$D))),"")</f>
        <v/>
      </c>
      <c r="N85" s="39" t="str" cm="1">
        <f t="array" ref="N85">IFERROR(IF($A85="","",IF(H85="","",_xlfn.XLOOKUP($C85&amp;"_"&amp;$AG85,符文权重!$A:$A&amp;"_"&amp;符文权重!$C:$C,符文权重!$D:$D)*$X85/SUMIFS($X:$X,H:H,H85,$C:$C,$C85,$AG:$AG,$AG85)/SUMIF(符文权重!$A:$A,$C85,符文权重!$D:$D))),"")</f>
        <v/>
      </c>
      <c r="O85" s="39" t="str" cm="1">
        <f t="array" ref="O85">IFERROR(IF($A85="","",IF(I85="","",_xlfn.XLOOKUP($C85&amp;"_"&amp;$AG85,符文权重!$A:$A&amp;"_"&amp;符文权重!$C:$C,符文权重!$D:$D)*$X85/SUMIFS($X:$X,I:I,I85,$C:$C,$C85,$AG:$AG,$AG85)/SUMIF(符文权重!$A:$A,$C85,符文权重!$D:$D))),"")</f>
        <v/>
      </c>
      <c r="P85" s="39" t="str" cm="1">
        <f t="array" ref="P85">IFERROR(IF($A85="","",IF(J85="","",_xlfn.XLOOKUP($C85&amp;"_"&amp;$AG85,符文权重!$A:$A&amp;"_"&amp;符文权重!$C:$C,符文权重!$D:$D)*$X85/SUMIFS($X:$X,J:J,J85,$C:$C,$C85,$AG:$AG,$AG85)/SUMIF(符文权重!$A:$A,$C85,符文权重!$D:$D))),"")</f>
        <v/>
      </c>
      <c r="Q85" s="39" t="str" cm="1">
        <f t="array" ref="Q85">IFERROR(IF($A85="","",IF(K85="","",_xlfn.XLOOKUP($C85&amp;"_"&amp;$AG85,符文权重!$A:$A&amp;"_"&amp;符文权重!$C:$C,符文权重!$D:$D)*$X85/SUMIFS($X:$X,K:K,K85,$C:$C,$C85,$AG:$AG,$AG85)/SUMIF(符文权重!$A:$A,$C85,符文权重!$D:$D))),"")</f>
        <v/>
      </c>
      <c r="R85" s="26"/>
      <c r="S85" s="26"/>
      <c r="T85" s="26"/>
      <c r="U85" s="40"/>
      <c r="V85" s="26"/>
      <c r="W85" s="25"/>
      <c r="X85" s="32"/>
      <c r="Y85" s="25"/>
      <c r="Z85" s="32" t="s">
        <v>167</v>
      </c>
      <c r="AA85" s="32" t="str">
        <f t="shared" si="46"/>
        <v/>
      </c>
      <c r="AB85" s="32"/>
      <c r="AC85" s="32" t="s">
        <v>166</v>
      </c>
      <c r="AD85" s="32">
        <f t="shared" si="41"/>
        <v>1080</v>
      </c>
      <c r="AE85" s="38" t="str">
        <f t="shared" si="36"/>
        <v/>
      </c>
      <c r="AF85" s="32" t="str">
        <f t="shared" si="37"/>
        <v/>
      </c>
      <c r="AG85" s="26"/>
      <c r="AH85" s="26"/>
      <c r="AI85" s="26"/>
      <c r="AJ85" s="25" t="s">
        <v>167</v>
      </c>
      <c r="AK85" s="24"/>
      <c r="AL85" s="43"/>
      <c r="AM85" s="26"/>
      <c r="AN85" s="26"/>
      <c r="AO85" s="26"/>
      <c r="AP85" s="20">
        <f t="shared" si="42"/>
        <v>80</v>
      </c>
    </row>
    <row r="86" s="20" customFormat="1" customHeight="1" spans="1:42">
      <c r="A86" s="38">
        <v>5501111</v>
      </c>
      <c r="B86" s="38" t="str">
        <f t="shared" si="33"/>
        <v>5501111</v>
      </c>
      <c r="C86" s="32">
        <f t="shared" si="34"/>
        <v>1</v>
      </c>
      <c r="D86" s="32"/>
      <c r="E86" s="26" t="s">
        <v>162</v>
      </c>
      <c r="F86" s="26">
        <f t="shared" si="38"/>
        <v>1</v>
      </c>
      <c r="G86" s="26">
        <f>IFERROR(IF(--MID($E86,2*COUNTIF($F86:F86,"&gt;"&amp;0)+2,1)=G$1,G$1,""),"")</f>
        <v>2</v>
      </c>
      <c r="H86" s="26">
        <f>IFERROR(IF(--MID($E86,2*COUNTIF($F86:G86,"&gt;"&amp;0)+2,1)=H$1,H$1,""),"")</f>
        <v>3</v>
      </c>
      <c r="I86" s="26">
        <f>IFERROR(IF(--MID($E86,2*COUNTIF($F86:H86,"&gt;"&amp;0)+2,1)=I$1,I$1,""),"")</f>
        <v>4</v>
      </c>
      <c r="J86" s="26">
        <f>IFERROR(IF(--MID($E86,2*COUNTIF($F86:I86,"&gt;"&amp;0)+2,1)=J$1,J$1,""),"")</f>
        <v>5</v>
      </c>
      <c r="K86" s="26">
        <f>IFERROR(IF(--MID($E86,2*COUNTIF($F86:J86,"&gt;"&amp;0)+2,1)=K$1,K$1,""),"")</f>
        <v>6</v>
      </c>
      <c r="L86" s="39" cm="1">
        <f t="array" ref="L86">IFERROR(IF($A86="","",IF(F86="","",_xlfn.XLOOKUP($C86&amp;"_"&amp;$AG86,符文权重!$A:$A&amp;"_"&amp;符文权重!$C:$C,符文权重!$D:$D)*$X86/SUMIFS($X:$X,F:F,F86,$C:$C,$C86,$AG:$AG,$AG86)/SUMIF(符文权重!$A:$A,$C86,符文权重!$D:$D))),"")</f>
        <v>0.05</v>
      </c>
      <c r="M86" s="39" cm="1">
        <f t="array" ref="M86">IFERROR(IF($A86="","",IF(G86="","",_xlfn.XLOOKUP($C86&amp;"_"&amp;$AG86,符文权重!$A:$A&amp;"_"&amp;符文权重!$C:$C,符文权重!$D:$D)*$X86/SUMIFS($X:$X,G:G,G86,$C:$C,$C86,$AG:$AG,$AG86)/SUMIF(符文权重!$A:$A,$C86,符文权重!$D:$D))),"")</f>
        <v>0.05</v>
      </c>
      <c r="N86" s="39" cm="1">
        <f t="array" ref="N86">IFERROR(IF($A86="","",IF(H86="","",_xlfn.XLOOKUP($C86&amp;"_"&amp;$AG86,符文权重!$A:$A&amp;"_"&amp;符文权重!$C:$C,符文权重!$D:$D)*$X86/SUMIFS($X:$X,H:H,H86,$C:$C,$C86,$AG:$AG,$AG86)/SUMIF(符文权重!$A:$A,$C86,符文权重!$D:$D))),"")</f>
        <v>0.05</v>
      </c>
      <c r="O86" s="39" cm="1">
        <f t="array" ref="O86">IFERROR(IF($A86="","",IF(I86="","",_xlfn.XLOOKUP($C86&amp;"_"&amp;$AG86,符文权重!$A:$A&amp;"_"&amp;符文权重!$C:$C,符文权重!$D:$D)*$X86/SUMIFS($X:$X,I:I,I86,$C:$C,$C86,$AG:$AG,$AG86)/SUMIF(符文权重!$A:$A,$C86,符文权重!$D:$D))),"")</f>
        <v>0.05</v>
      </c>
      <c r="P86" s="39" cm="1">
        <f t="array" ref="P86">IFERROR(IF($A86="","",IF(J86="","",_xlfn.XLOOKUP($C86&amp;"_"&amp;$AG86,符文权重!$A:$A&amp;"_"&amp;符文权重!$C:$C,符文权重!$D:$D)*$X86/SUMIFS($X:$X,J:J,J86,$C:$C,$C86,$AG:$AG,$AG86)/SUMIF(符文权重!$A:$A,$C86,符文权重!$D:$D))),"")</f>
        <v>0.05</v>
      </c>
      <c r="Q86" s="39" cm="1">
        <f t="array" ref="Q86">IFERROR(IF($A86="","",IF(K86="","",_xlfn.XLOOKUP($C86&amp;"_"&amp;$AG86,符文权重!$A:$A&amp;"_"&amp;符文权重!$C:$C,符文权重!$D:$D)*$X86/SUMIFS($X:$X,K:K,K86,$C:$C,$C86,$AG:$AG,$AG86)/SUMIF(符文权重!$A:$A,$C86,符文权重!$D:$D))),"")</f>
        <v>0.05</v>
      </c>
      <c r="R86" s="26" t="s">
        <v>181</v>
      </c>
      <c r="S86" s="26" t="s">
        <v>182</v>
      </c>
      <c r="T86" s="26" t="e">
        <f>IF(B86="","",SUBSTITUTE(SUBSTITUTE("[{global_atk,"&amp;#REF!*C86&amp;"}]",21,20),9,8))</f>
        <v>#REF!</v>
      </c>
      <c r="U86" s="40" t="str">
        <f t="shared" ref="U86:U92" si="47">"["&amp;A86&amp;"]"</f>
        <v>[5501111]</v>
      </c>
      <c r="V86" s="26" t="s">
        <v>261</v>
      </c>
      <c r="W86" s="25"/>
      <c r="X86" s="32">
        <v>100</v>
      </c>
      <c r="Y86" s="25"/>
      <c r="Z86" s="32" t="s">
        <v>165</v>
      </c>
      <c r="AA86" s="32" t="str">
        <f t="shared" si="46"/>
        <v>射手职业伤害+4%</v>
      </c>
      <c r="AB86" s="32"/>
      <c r="AC86" s="32" t="s">
        <v>166</v>
      </c>
      <c r="AD86" s="32">
        <f t="shared" si="41"/>
        <v>1081</v>
      </c>
      <c r="AE86" s="38" t="str">
        <f t="shared" si="36"/>
        <v>5501111</v>
      </c>
      <c r="AF86" s="32" t="str">
        <f t="shared" si="37"/>
        <v>[4]</v>
      </c>
      <c r="AG86" s="26">
        <v>1</v>
      </c>
      <c r="AH86" s="26"/>
      <c r="AI86" s="26">
        <v>0</v>
      </c>
      <c r="AJ86" s="25" t="s">
        <v>167</v>
      </c>
      <c r="AK86" s="24">
        <v>5501111</v>
      </c>
      <c r="AL86" s="42" t="s">
        <v>262</v>
      </c>
      <c r="AM86" s="26">
        <v>4</v>
      </c>
      <c r="AN86" s="26">
        <v>1</v>
      </c>
      <c r="AO86" s="26" t="s">
        <v>31</v>
      </c>
      <c r="AP86" s="20">
        <f t="shared" si="42"/>
        <v>81</v>
      </c>
    </row>
    <row r="87" s="20" customFormat="1" customHeight="1" spans="1:42">
      <c r="A87" s="38">
        <v>5501112</v>
      </c>
      <c r="B87" s="38" t="str">
        <f t="shared" si="33"/>
        <v>5501111</v>
      </c>
      <c r="C87" s="32">
        <f t="shared" si="34"/>
        <v>2</v>
      </c>
      <c r="D87" s="32"/>
      <c r="E87" s="26" t="s">
        <v>162</v>
      </c>
      <c r="F87" s="26">
        <f t="shared" si="38"/>
        <v>1</v>
      </c>
      <c r="G87" s="26">
        <f>IFERROR(IF(--MID($E87,2*COUNTIF($F87:F87,"&gt;"&amp;0)+2,1)=G$1,G$1,""),"")</f>
        <v>2</v>
      </c>
      <c r="H87" s="26">
        <f>IFERROR(IF(--MID($E87,2*COUNTIF($F87:G87,"&gt;"&amp;0)+2,1)=H$1,H$1,""),"")</f>
        <v>3</v>
      </c>
      <c r="I87" s="26">
        <f>IFERROR(IF(--MID($E87,2*COUNTIF($F87:H87,"&gt;"&amp;0)+2,1)=I$1,I$1,""),"")</f>
        <v>4</v>
      </c>
      <c r="J87" s="26">
        <f>IFERROR(IF(--MID($E87,2*COUNTIF($F87:I87,"&gt;"&amp;0)+2,1)=J$1,J$1,""),"")</f>
        <v>5</v>
      </c>
      <c r="K87" s="26">
        <f>IFERROR(IF(--MID($E87,2*COUNTIF($F87:J87,"&gt;"&amp;0)+2,1)=K$1,K$1,""),"")</f>
        <v>6</v>
      </c>
      <c r="L87" s="39" cm="1">
        <f t="array" ref="L87">IFERROR(IF($A87="","",IF(F87="","",_xlfn.XLOOKUP($C87&amp;"_"&amp;$AG87,符文权重!$A:$A&amp;"_"&amp;符文权重!$C:$C,符文权重!$D:$D)*$X87/SUMIFS($X:$X,F:F,F87,$C:$C,$C87,$AG:$AG,$AG87)/SUMIF(符文权重!$A:$A,$C87,符文权重!$D:$D))),"")</f>
        <v>0.0363636363636364</v>
      </c>
      <c r="M87" s="39" cm="1">
        <f t="array" ref="M87">IFERROR(IF($A87="","",IF(G87="","",_xlfn.XLOOKUP($C87&amp;"_"&amp;$AG87,符文权重!$A:$A&amp;"_"&amp;符文权重!$C:$C,符文权重!$D:$D)*$X87/SUMIFS($X:$X,G:G,G87,$C:$C,$C87,$AG:$AG,$AG87)/SUMIF(符文权重!$A:$A,$C87,符文权重!$D:$D))),"")</f>
        <v>0.0363636363636364</v>
      </c>
      <c r="N87" s="39" cm="1">
        <f t="array" ref="N87">IFERROR(IF($A87="","",IF(H87="","",_xlfn.XLOOKUP($C87&amp;"_"&amp;$AG87,符文权重!$A:$A&amp;"_"&amp;符文权重!$C:$C,符文权重!$D:$D)*$X87/SUMIFS($X:$X,H:H,H87,$C:$C,$C87,$AG:$AG,$AG87)/SUMIF(符文权重!$A:$A,$C87,符文权重!$D:$D))),"")</f>
        <v>0.0363636363636364</v>
      </c>
      <c r="O87" s="39" cm="1">
        <f t="array" ref="O87">IFERROR(IF($A87="","",IF(I87="","",_xlfn.XLOOKUP($C87&amp;"_"&amp;$AG87,符文权重!$A:$A&amp;"_"&amp;符文权重!$C:$C,符文权重!$D:$D)*$X87/SUMIFS($X:$X,I:I,I87,$C:$C,$C87,$AG:$AG,$AG87)/SUMIF(符文权重!$A:$A,$C87,符文权重!$D:$D))),"")</f>
        <v>0.0363636363636364</v>
      </c>
      <c r="P87" s="39" cm="1">
        <f t="array" ref="P87">IFERROR(IF($A87="","",IF(J87="","",_xlfn.XLOOKUP($C87&amp;"_"&amp;$AG87,符文权重!$A:$A&amp;"_"&amp;符文权重!$C:$C,符文权重!$D:$D)*$X87/SUMIFS($X:$X,J:J,J87,$C:$C,$C87,$AG:$AG,$AG87)/SUMIF(符文权重!$A:$A,$C87,符文权重!$D:$D))),"")</f>
        <v>0.0363636363636364</v>
      </c>
      <c r="Q87" s="39" cm="1">
        <f t="array" ref="Q87">IFERROR(IF($A87="","",IF(K87="","",_xlfn.XLOOKUP($C87&amp;"_"&amp;$AG87,符文权重!$A:$A&amp;"_"&amp;符文权重!$C:$C,符文权重!$D:$D)*$X87/SUMIFS($X:$X,K:K,K87,$C:$C,$C87,$AG:$AG,$AG87)/SUMIF(符文权重!$A:$A,$C87,符文权重!$D:$D))),"")</f>
        <v>0.0363636363636364</v>
      </c>
      <c r="R87" s="26" t="s">
        <v>181</v>
      </c>
      <c r="S87" s="26" t="s">
        <v>182</v>
      </c>
      <c r="T87" s="26" t="e">
        <f>IF(B87="","",SUBSTITUTE(SUBSTITUTE("[{global_atk,"&amp;#REF!*C87&amp;"}]",21,20),9,8))</f>
        <v>#REF!</v>
      </c>
      <c r="U87" s="40" t="str">
        <f t="shared" si="47"/>
        <v>[5501112]</v>
      </c>
      <c r="V87" s="26" t="s">
        <v>263</v>
      </c>
      <c r="W87" s="25"/>
      <c r="X87" s="32">
        <v>100</v>
      </c>
      <c r="Y87" s="25"/>
      <c r="Z87" s="32" t="s">
        <v>170</v>
      </c>
      <c r="AA87" s="32" t="str">
        <f t="shared" si="46"/>
        <v>射手职业伤害+6%</v>
      </c>
      <c r="AB87" s="32"/>
      <c r="AC87" s="32" t="s">
        <v>166</v>
      </c>
      <c r="AD87" s="32">
        <f t="shared" si="41"/>
        <v>1082</v>
      </c>
      <c r="AE87" s="38" t="str">
        <f t="shared" si="36"/>
        <v>5501111</v>
      </c>
      <c r="AF87" s="32" t="str">
        <f t="shared" si="37"/>
        <v>[6]</v>
      </c>
      <c r="AG87" s="26">
        <v>1</v>
      </c>
      <c r="AH87" s="26"/>
      <c r="AI87" s="26">
        <v>0</v>
      </c>
      <c r="AJ87" s="25" t="s">
        <v>167</v>
      </c>
      <c r="AK87" s="38">
        <f t="shared" ref="AK87:AK92" si="48">AK86+1</f>
        <v>5501112</v>
      </c>
      <c r="AL87" s="41" t="str">
        <f t="shared" ref="AL87:AL92" si="49">AL86</f>
        <v>射手职业伤害&lt;color=#54b76b&gt;+%s%&lt;/color&gt;</v>
      </c>
      <c r="AM87" s="26">
        <v>6</v>
      </c>
      <c r="AN87" s="26">
        <v>1</v>
      </c>
      <c r="AO87" s="26" t="s">
        <v>31</v>
      </c>
      <c r="AP87" s="20">
        <f t="shared" si="42"/>
        <v>82</v>
      </c>
    </row>
    <row r="88" s="20" customFormat="1" customHeight="1" spans="1:42">
      <c r="A88" s="38">
        <v>5501113</v>
      </c>
      <c r="B88" s="38" t="str">
        <f t="shared" si="33"/>
        <v>5501111</v>
      </c>
      <c r="C88" s="32">
        <f t="shared" si="34"/>
        <v>3</v>
      </c>
      <c r="D88" s="32"/>
      <c r="E88" s="26" t="s">
        <v>162</v>
      </c>
      <c r="F88" s="26">
        <f t="shared" si="38"/>
        <v>1</v>
      </c>
      <c r="G88" s="26">
        <f>IFERROR(IF(--MID($E88,2*COUNTIF($F88:F88,"&gt;"&amp;0)+2,1)=G$1,G$1,""),"")</f>
        <v>2</v>
      </c>
      <c r="H88" s="26">
        <f>IFERROR(IF(--MID($E88,2*COUNTIF($F88:G88,"&gt;"&amp;0)+2,1)=H$1,H$1,""),"")</f>
        <v>3</v>
      </c>
      <c r="I88" s="26">
        <f>IFERROR(IF(--MID($E88,2*COUNTIF($F88:H88,"&gt;"&amp;0)+2,1)=I$1,I$1,""),"")</f>
        <v>4</v>
      </c>
      <c r="J88" s="26">
        <f>IFERROR(IF(--MID($E88,2*COUNTIF($F88:I88,"&gt;"&amp;0)+2,1)=J$1,J$1,""),"")</f>
        <v>5</v>
      </c>
      <c r="K88" s="26">
        <f>IFERROR(IF(--MID($E88,2*COUNTIF($F88:J88,"&gt;"&amp;0)+2,1)=K$1,K$1,""),"")</f>
        <v>6</v>
      </c>
      <c r="L88" s="39" cm="1">
        <f t="array" ref="L88">IFERROR(IF($A88="","",IF(F88="","",_xlfn.XLOOKUP($C88&amp;"_"&amp;$AG88,符文权重!$A:$A&amp;"_"&amp;符文权重!$C:$C,符文权重!$D:$D)*$X88/SUMIFS($X:$X,F:F,F88,$C:$C,$C88,$AG:$AG,$AG88)/SUMIF(符文权重!$A:$A,$C88,符文权重!$D:$D))),"")</f>
        <v>0.035</v>
      </c>
      <c r="M88" s="39" cm="1">
        <f t="array" ref="M88">IFERROR(IF($A88="","",IF(G88="","",_xlfn.XLOOKUP($C88&amp;"_"&amp;$AG88,符文权重!$A:$A&amp;"_"&amp;符文权重!$C:$C,符文权重!$D:$D)*$X88/SUMIFS($X:$X,G:G,G88,$C:$C,$C88,$AG:$AG,$AG88)/SUMIF(符文权重!$A:$A,$C88,符文权重!$D:$D))),"")</f>
        <v>0.035</v>
      </c>
      <c r="N88" s="39" cm="1">
        <f t="array" ref="N88">IFERROR(IF($A88="","",IF(H88="","",_xlfn.XLOOKUP($C88&amp;"_"&amp;$AG88,符文权重!$A:$A&amp;"_"&amp;符文权重!$C:$C,符文权重!$D:$D)*$X88/SUMIFS($X:$X,H:H,H88,$C:$C,$C88,$AG:$AG,$AG88)/SUMIF(符文权重!$A:$A,$C88,符文权重!$D:$D))),"")</f>
        <v>0.035</v>
      </c>
      <c r="O88" s="39" cm="1">
        <f t="array" ref="O88">IFERROR(IF($A88="","",IF(I88="","",_xlfn.XLOOKUP($C88&amp;"_"&amp;$AG88,符文权重!$A:$A&amp;"_"&amp;符文权重!$C:$C,符文权重!$D:$D)*$X88/SUMIFS($X:$X,I:I,I88,$C:$C,$C88,$AG:$AG,$AG88)/SUMIF(符文权重!$A:$A,$C88,符文权重!$D:$D))),"")</f>
        <v>0.035</v>
      </c>
      <c r="P88" s="39" cm="1">
        <f t="array" ref="P88">IFERROR(IF($A88="","",IF(J88="","",_xlfn.XLOOKUP($C88&amp;"_"&amp;$AG88,符文权重!$A:$A&amp;"_"&amp;符文权重!$C:$C,符文权重!$D:$D)*$X88/SUMIFS($X:$X,J:J,J88,$C:$C,$C88,$AG:$AG,$AG88)/SUMIF(符文权重!$A:$A,$C88,符文权重!$D:$D))),"")</f>
        <v>0.035</v>
      </c>
      <c r="Q88" s="39" cm="1">
        <f t="array" ref="Q88">IFERROR(IF($A88="","",IF(K88="","",_xlfn.XLOOKUP($C88&amp;"_"&amp;$AG88,符文权重!$A:$A&amp;"_"&amp;符文权重!$C:$C,符文权重!$D:$D)*$X88/SUMIFS($X:$X,K:K,K88,$C:$C,$C88,$AG:$AG,$AG88)/SUMIF(符文权重!$A:$A,$C88,符文权重!$D:$D))),"")</f>
        <v>0.035</v>
      </c>
      <c r="R88" s="26" t="s">
        <v>181</v>
      </c>
      <c r="S88" s="26" t="s">
        <v>182</v>
      </c>
      <c r="T88" s="26" t="e">
        <f>IF(B88="","",SUBSTITUTE(SUBSTITUTE("[{global_atk,"&amp;#REF!*C88&amp;"}]",21,20),9,8))</f>
        <v>#REF!</v>
      </c>
      <c r="U88" s="40" t="str">
        <f t="shared" si="47"/>
        <v>[5501113]</v>
      </c>
      <c r="V88" s="26" t="s">
        <v>264</v>
      </c>
      <c r="W88" s="25"/>
      <c r="X88" s="32">
        <v>100</v>
      </c>
      <c r="Y88" s="25"/>
      <c r="Z88" s="32" t="s">
        <v>172</v>
      </c>
      <c r="AA88" s="32" t="str">
        <f t="shared" si="46"/>
        <v>射手职业伤害+8%</v>
      </c>
      <c r="AB88" s="32"/>
      <c r="AC88" s="32" t="s">
        <v>166</v>
      </c>
      <c r="AD88" s="32">
        <f t="shared" si="41"/>
        <v>1083</v>
      </c>
      <c r="AE88" s="38" t="str">
        <f t="shared" si="36"/>
        <v>5501111</v>
      </c>
      <c r="AF88" s="32" t="str">
        <f t="shared" si="37"/>
        <v>[8]</v>
      </c>
      <c r="AG88" s="26">
        <v>1</v>
      </c>
      <c r="AH88" s="26"/>
      <c r="AI88" s="26">
        <v>0</v>
      </c>
      <c r="AJ88" s="25" t="s">
        <v>167</v>
      </c>
      <c r="AK88" s="38">
        <f t="shared" si="48"/>
        <v>5501113</v>
      </c>
      <c r="AL88" s="41" t="str">
        <f t="shared" si="49"/>
        <v>射手职业伤害&lt;color=#54b76b&gt;+%s%&lt;/color&gt;</v>
      </c>
      <c r="AM88" s="26">
        <v>8</v>
      </c>
      <c r="AN88" s="26">
        <v>1</v>
      </c>
      <c r="AO88" s="26" t="s">
        <v>31</v>
      </c>
      <c r="AP88" s="20">
        <f t="shared" si="42"/>
        <v>83</v>
      </c>
    </row>
    <row r="89" s="20" customFormat="1" customHeight="1" spans="1:42">
      <c r="A89" s="38">
        <v>5501114</v>
      </c>
      <c r="B89" s="38" t="str">
        <f t="shared" si="33"/>
        <v>5501111</v>
      </c>
      <c r="C89" s="32">
        <f t="shared" si="34"/>
        <v>4</v>
      </c>
      <c r="D89" s="32"/>
      <c r="E89" s="26" t="s">
        <v>162</v>
      </c>
      <c r="F89" s="26">
        <f t="shared" si="38"/>
        <v>1</v>
      </c>
      <c r="G89" s="26">
        <f>IFERROR(IF(--MID($E89,2*COUNTIF($F89:F89,"&gt;"&amp;0)+2,1)=G$1,G$1,""),"")</f>
        <v>2</v>
      </c>
      <c r="H89" s="26">
        <f>IFERROR(IF(--MID($E89,2*COUNTIF($F89:G89,"&gt;"&amp;0)+2,1)=H$1,H$1,""),"")</f>
        <v>3</v>
      </c>
      <c r="I89" s="26">
        <f>IFERROR(IF(--MID($E89,2*COUNTIF($F89:H89,"&gt;"&amp;0)+2,1)=I$1,I$1,""),"")</f>
        <v>4</v>
      </c>
      <c r="J89" s="26">
        <f>IFERROR(IF(--MID($E89,2*COUNTIF($F89:I89,"&gt;"&amp;0)+2,1)=J$1,J$1,""),"")</f>
        <v>5</v>
      </c>
      <c r="K89" s="26">
        <f>IFERROR(IF(--MID($E89,2*COUNTIF($F89:J89,"&gt;"&amp;0)+2,1)=K$1,K$1,""),"")</f>
        <v>6</v>
      </c>
      <c r="L89" s="39" cm="1">
        <f t="array" ref="L89">IFERROR(IF($A89="","",IF(F89="","",_xlfn.XLOOKUP($C89&amp;"_"&amp;$AG89,符文权重!$A:$A&amp;"_"&amp;符文权重!$C:$C,符文权重!$D:$D)*$X89/SUMIFS($X:$X,F:F,F89,$C:$C,$C89,$AG:$AG,$AG89)/SUMIF(符文权重!$A:$A,$C89,符文权重!$D:$D))),"")</f>
        <v>0.022913616398243</v>
      </c>
      <c r="M89" s="39" cm="1">
        <f t="array" ref="M89">IFERROR(IF($A89="","",IF(G89="","",_xlfn.XLOOKUP($C89&amp;"_"&amp;$AG89,符文权重!$A:$A&amp;"_"&amp;符文权重!$C:$C,符文权重!$D:$D)*$X89/SUMIFS($X:$X,G:G,G89,$C:$C,$C89,$AG:$AG,$AG89)/SUMIF(符文权重!$A:$A,$C89,符文权重!$D:$D))),"")</f>
        <v>0.022913616398243</v>
      </c>
      <c r="N89" s="39" cm="1">
        <f t="array" ref="N89">IFERROR(IF($A89="","",IF(H89="","",_xlfn.XLOOKUP($C89&amp;"_"&amp;$AG89,符文权重!$A:$A&amp;"_"&amp;符文权重!$C:$C,符文权重!$D:$D)*$X89/SUMIFS($X:$X,H:H,H89,$C:$C,$C89,$AG:$AG,$AG89)/SUMIF(符文权重!$A:$A,$C89,符文权重!$D:$D))),"")</f>
        <v>0.022913616398243</v>
      </c>
      <c r="O89" s="39" cm="1">
        <f t="array" ref="O89">IFERROR(IF($A89="","",IF(I89="","",_xlfn.XLOOKUP($C89&amp;"_"&amp;$AG89,符文权重!$A:$A&amp;"_"&amp;符文权重!$C:$C,符文权重!$D:$D)*$X89/SUMIFS($X:$X,I:I,I89,$C:$C,$C89,$AG:$AG,$AG89)/SUMIF(符文权重!$A:$A,$C89,符文权重!$D:$D))),"")</f>
        <v>0.022913616398243</v>
      </c>
      <c r="P89" s="39" cm="1">
        <f t="array" ref="P89">IFERROR(IF($A89="","",IF(J89="","",_xlfn.XLOOKUP($C89&amp;"_"&amp;$AG89,符文权重!$A:$A&amp;"_"&amp;符文权重!$C:$C,符文权重!$D:$D)*$X89/SUMIFS($X:$X,J:J,J89,$C:$C,$C89,$AG:$AG,$AG89)/SUMIF(符文权重!$A:$A,$C89,符文权重!$D:$D))),"")</f>
        <v>0.022913616398243</v>
      </c>
      <c r="Q89" s="39" cm="1">
        <f t="array" ref="Q89">IFERROR(IF($A89="","",IF(K89="","",_xlfn.XLOOKUP($C89&amp;"_"&amp;$AG89,符文权重!$A:$A&amp;"_"&amp;符文权重!$C:$C,符文权重!$D:$D)*$X89/SUMIFS($X:$X,K:K,K89,$C:$C,$C89,$AG:$AG,$AG89)/SUMIF(符文权重!$A:$A,$C89,符文权重!$D:$D))),"")</f>
        <v>0.022913616398243</v>
      </c>
      <c r="R89" s="26" t="s">
        <v>181</v>
      </c>
      <c r="S89" s="26" t="s">
        <v>182</v>
      </c>
      <c r="T89" s="26" t="e">
        <f>IF(B89="","",SUBSTITUTE(SUBSTITUTE("[{global_atk,"&amp;#REF!*C89&amp;"}]",21,20),9,8))</f>
        <v>#REF!</v>
      </c>
      <c r="U89" s="40" t="str">
        <f t="shared" si="47"/>
        <v>[5501114]</v>
      </c>
      <c r="V89" s="26" t="s">
        <v>265</v>
      </c>
      <c r="W89" s="25"/>
      <c r="X89" s="32">
        <v>100</v>
      </c>
      <c r="Y89" s="25"/>
      <c r="Z89" s="32" t="s">
        <v>174</v>
      </c>
      <c r="AA89" s="32" t="str">
        <f t="shared" si="46"/>
        <v>射手职业伤害+10%</v>
      </c>
      <c r="AB89" s="32"/>
      <c r="AC89" s="32" t="s">
        <v>166</v>
      </c>
      <c r="AD89" s="32">
        <f t="shared" si="41"/>
        <v>1084</v>
      </c>
      <c r="AE89" s="38" t="str">
        <f t="shared" si="36"/>
        <v>5501111</v>
      </c>
      <c r="AF89" s="32" t="str">
        <f t="shared" si="37"/>
        <v>[10]</v>
      </c>
      <c r="AG89" s="26">
        <v>1</v>
      </c>
      <c r="AH89" s="26"/>
      <c r="AI89" s="26">
        <v>0</v>
      </c>
      <c r="AJ89" s="25" t="s">
        <v>167</v>
      </c>
      <c r="AK89" s="38">
        <f t="shared" si="48"/>
        <v>5501114</v>
      </c>
      <c r="AL89" s="41" t="str">
        <f t="shared" si="49"/>
        <v>射手职业伤害&lt;color=#54b76b&gt;+%s%&lt;/color&gt;</v>
      </c>
      <c r="AM89" s="26">
        <v>10</v>
      </c>
      <c r="AN89" s="26">
        <v>1</v>
      </c>
      <c r="AO89" s="26" t="s">
        <v>31</v>
      </c>
      <c r="AP89" s="20">
        <f t="shared" si="42"/>
        <v>84</v>
      </c>
    </row>
    <row r="90" s="20" customFormat="1" customHeight="1" spans="1:42">
      <c r="A90" s="38">
        <v>5501115</v>
      </c>
      <c r="B90" s="38" t="str">
        <f t="shared" si="33"/>
        <v>5501111</v>
      </c>
      <c r="C90" s="32">
        <f t="shared" si="34"/>
        <v>5</v>
      </c>
      <c r="D90" s="32"/>
      <c r="E90" s="26" t="s">
        <v>162</v>
      </c>
      <c r="F90" s="26">
        <f t="shared" si="38"/>
        <v>1</v>
      </c>
      <c r="G90" s="26">
        <f>IFERROR(IF(--MID($E90,2*COUNTIF($F90:F90,"&gt;"&amp;0)+2,1)=G$1,G$1,""),"")</f>
        <v>2</v>
      </c>
      <c r="H90" s="26">
        <f>IFERROR(IF(--MID($E90,2*COUNTIF($F90:G90,"&gt;"&amp;0)+2,1)=H$1,H$1,""),"")</f>
        <v>3</v>
      </c>
      <c r="I90" s="26">
        <f>IFERROR(IF(--MID($E90,2*COUNTIF($F90:H90,"&gt;"&amp;0)+2,1)=I$1,I$1,""),"")</f>
        <v>4</v>
      </c>
      <c r="J90" s="26">
        <f>IFERROR(IF(--MID($E90,2*COUNTIF($F90:I90,"&gt;"&amp;0)+2,1)=J$1,J$1,""),"")</f>
        <v>5</v>
      </c>
      <c r="K90" s="26">
        <f>IFERROR(IF(--MID($E90,2*COUNTIF($F90:J90,"&gt;"&amp;0)+2,1)=K$1,K$1,""),"")</f>
        <v>6</v>
      </c>
      <c r="L90" s="39" cm="1">
        <f t="array" ref="L90">IFERROR(IF($A90="","",IF(F90="","",_xlfn.XLOOKUP($C90&amp;"_"&amp;$AG90,符文权重!$A:$A&amp;"_"&amp;符文权重!$C:$C,符文权重!$D:$D)*$X90/SUMIFS($X:$X,F:F,F90,$C:$C,$C90,$AG:$AG,$AG90)/SUMIF(符文权重!$A:$A,$C90,符文权重!$D:$D))),"")</f>
        <v>0.0196666666666667</v>
      </c>
      <c r="M90" s="39" cm="1">
        <f t="array" ref="M90">IFERROR(IF($A90="","",IF(G90="","",_xlfn.XLOOKUP($C90&amp;"_"&amp;$AG90,符文权重!$A:$A&amp;"_"&amp;符文权重!$C:$C,符文权重!$D:$D)*$X90/SUMIFS($X:$X,G:G,G90,$C:$C,$C90,$AG:$AG,$AG90)/SUMIF(符文权重!$A:$A,$C90,符文权重!$D:$D))),"")</f>
        <v>0.0196666666666667</v>
      </c>
      <c r="N90" s="39" cm="1">
        <f t="array" ref="N90">IFERROR(IF($A90="","",IF(H90="","",_xlfn.XLOOKUP($C90&amp;"_"&amp;$AG90,符文权重!$A:$A&amp;"_"&amp;符文权重!$C:$C,符文权重!$D:$D)*$X90/SUMIFS($X:$X,H:H,H90,$C:$C,$C90,$AG:$AG,$AG90)/SUMIF(符文权重!$A:$A,$C90,符文权重!$D:$D))),"")</f>
        <v>0.0196666666666667</v>
      </c>
      <c r="O90" s="39" cm="1">
        <f t="array" ref="O90">IFERROR(IF($A90="","",IF(I90="","",_xlfn.XLOOKUP($C90&amp;"_"&amp;$AG90,符文权重!$A:$A&amp;"_"&amp;符文权重!$C:$C,符文权重!$D:$D)*$X90/SUMIFS($X:$X,I:I,I90,$C:$C,$C90,$AG:$AG,$AG90)/SUMIF(符文权重!$A:$A,$C90,符文权重!$D:$D))),"")</f>
        <v>0.0196666666666667</v>
      </c>
      <c r="P90" s="39" cm="1">
        <f t="array" ref="P90">IFERROR(IF($A90="","",IF(J90="","",_xlfn.XLOOKUP($C90&amp;"_"&amp;$AG90,符文权重!$A:$A&amp;"_"&amp;符文权重!$C:$C,符文权重!$D:$D)*$X90/SUMIFS($X:$X,J:J,J90,$C:$C,$C90,$AG:$AG,$AG90)/SUMIF(符文权重!$A:$A,$C90,符文权重!$D:$D))),"")</f>
        <v>0.0196666666666667</v>
      </c>
      <c r="Q90" s="39" cm="1">
        <f t="array" ref="Q90">IFERROR(IF($A90="","",IF(K90="","",_xlfn.XLOOKUP($C90&amp;"_"&amp;$AG90,符文权重!$A:$A&amp;"_"&amp;符文权重!$C:$C,符文权重!$D:$D)*$X90/SUMIFS($X:$X,K:K,K90,$C:$C,$C90,$AG:$AG,$AG90)/SUMIF(符文权重!$A:$A,$C90,符文权重!$D:$D))),"")</f>
        <v>0.0196666666666667</v>
      </c>
      <c r="R90" s="26" t="s">
        <v>181</v>
      </c>
      <c r="S90" s="26" t="s">
        <v>182</v>
      </c>
      <c r="T90" s="26" t="e">
        <f>IF(B90="","",SUBSTITUTE(SUBSTITUTE("[{global_atk,"&amp;#REF!*C90&amp;"}]",21,20),9,8))</f>
        <v>#REF!</v>
      </c>
      <c r="U90" s="40" t="str">
        <f t="shared" si="47"/>
        <v>[5501115]</v>
      </c>
      <c r="V90" s="26" t="s">
        <v>266</v>
      </c>
      <c r="W90" s="25"/>
      <c r="X90" s="32">
        <v>100</v>
      </c>
      <c r="Y90" s="25"/>
      <c r="Z90" s="32" t="s">
        <v>176</v>
      </c>
      <c r="AA90" s="32" t="str">
        <f t="shared" si="46"/>
        <v>射手职业伤害+12.5%</v>
      </c>
      <c r="AB90" s="32"/>
      <c r="AC90" s="32" t="s">
        <v>166</v>
      </c>
      <c r="AD90" s="32">
        <f t="shared" si="41"/>
        <v>1085</v>
      </c>
      <c r="AE90" s="38" t="str">
        <f t="shared" si="36"/>
        <v>5501111</v>
      </c>
      <c r="AF90" s="32" t="str">
        <f t="shared" si="37"/>
        <v>[12.5]</v>
      </c>
      <c r="AG90" s="26">
        <v>1</v>
      </c>
      <c r="AH90" s="26"/>
      <c r="AI90" s="26">
        <v>0</v>
      </c>
      <c r="AJ90" s="25" t="s">
        <v>167</v>
      </c>
      <c r="AK90" s="38">
        <f t="shared" si="48"/>
        <v>5501115</v>
      </c>
      <c r="AL90" s="41" t="str">
        <f t="shared" si="49"/>
        <v>射手职业伤害&lt;color=#54b76b&gt;+%s%&lt;/color&gt;</v>
      </c>
      <c r="AM90" s="26">
        <v>12.5</v>
      </c>
      <c r="AN90" s="26">
        <v>1</v>
      </c>
      <c r="AO90" s="26" t="s">
        <v>31</v>
      </c>
      <c r="AP90" s="20">
        <f t="shared" si="42"/>
        <v>85</v>
      </c>
    </row>
    <row r="91" s="20" customFormat="1" customHeight="1" spans="1:42">
      <c r="A91" s="38">
        <v>5501116</v>
      </c>
      <c r="B91" s="38" t="str">
        <f t="shared" si="33"/>
        <v>5501111</v>
      </c>
      <c r="C91" s="32">
        <f t="shared" si="34"/>
        <v>6</v>
      </c>
      <c r="D91" s="32"/>
      <c r="E91" s="26" t="s">
        <v>162</v>
      </c>
      <c r="F91" s="26">
        <f t="shared" si="38"/>
        <v>1</v>
      </c>
      <c r="G91" s="26">
        <f>IFERROR(IF(--MID($E91,2*COUNTIF($F91:F91,"&gt;"&amp;0)+2,1)=G$1,G$1,""),"")</f>
        <v>2</v>
      </c>
      <c r="H91" s="26">
        <f>IFERROR(IF(--MID($E91,2*COUNTIF($F91:G91,"&gt;"&amp;0)+2,1)=H$1,H$1,""),"")</f>
        <v>3</v>
      </c>
      <c r="I91" s="26">
        <f>IFERROR(IF(--MID($E91,2*COUNTIF($F91:H91,"&gt;"&amp;0)+2,1)=I$1,I$1,""),"")</f>
        <v>4</v>
      </c>
      <c r="J91" s="26">
        <f>IFERROR(IF(--MID($E91,2*COUNTIF($F91:I91,"&gt;"&amp;0)+2,1)=J$1,J$1,""),"")</f>
        <v>5</v>
      </c>
      <c r="K91" s="26">
        <f>IFERROR(IF(--MID($E91,2*COUNTIF($F91:J91,"&gt;"&amp;0)+2,1)=K$1,K$1,""),"")</f>
        <v>6</v>
      </c>
      <c r="L91" s="39" cm="1">
        <f t="array" ref="L91">IFERROR(IF($A91="","",IF(F91="","",_xlfn.XLOOKUP($C91&amp;"_"&amp;$AG91,符文权重!$A:$A&amp;"_"&amp;符文权重!$C:$C,符文权重!$D:$D)*$X91/SUMIFS($X:$X,F:F,F91,$C:$C,$C91,$AG:$AG,$AG91)/SUMIF(符文权重!$A:$A,$C91,符文权重!$D:$D))),"")</f>
        <v>0.0196666666666667</v>
      </c>
      <c r="M91" s="39" cm="1">
        <f t="array" ref="M91">IFERROR(IF($A91="","",IF(G91="","",_xlfn.XLOOKUP($C91&amp;"_"&amp;$AG91,符文权重!$A:$A&amp;"_"&amp;符文权重!$C:$C,符文权重!$D:$D)*$X91/SUMIFS($X:$X,G:G,G91,$C:$C,$C91,$AG:$AG,$AG91)/SUMIF(符文权重!$A:$A,$C91,符文权重!$D:$D))),"")</f>
        <v>0.0196666666666667</v>
      </c>
      <c r="N91" s="39" cm="1">
        <f t="array" ref="N91">IFERROR(IF($A91="","",IF(H91="","",_xlfn.XLOOKUP($C91&amp;"_"&amp;$AG91,符文权重!$A:$A&amp;"_"&amp;符文权重!$C:$C,符文权重!$D:$D)*$X91/SUMIFS($X:$X,H:H,H91,$C:$C,$C91,$AG:$AG,$AG91)/SUMIF(符文权重!$A:$A,$C91,符文权重!$D:$D))),"")</f>
        <v>0.0196666666666667</v>
      </c>
      <c r="O91" s="39" cm="1">
        <f t="array" ref="O91">IFERROR(IF($A91="","",IF(I91="","",_xlfn.XLOOKUP($C91&amp;"_"&amp;$AG91,符文权重!$A:$A&amp;"_"&amp;符文权重!$C:$C,符文权重!$D:$D)*$X91/SUMIFS($X:$X,I:I,I91,$C:$C,$C91,$AG:$AG,$AG91)/SUMIF(符文权重!$A:$A,$C91,符文权重!$D:$D))),"")</f>
        <v>0.0196666666666667</v>
      </c>
      <c r="P91" s="39" cm="1">
        <f t="array" ref="P91">IFERROR(IF($A91="","",IF(J91="","",_xlfn.XLOOKUP($C91&amp;"_"&amp;$AG91,符文权重!$A:$A&amp;"_"&amp;符文权重!$C:$C,符文权重!$D:$D)*$X91/SUMIFS($X:$X,J:J,J91,$C:$C,$C91,$AG:$AG,$AG91)/SUMIF(符文权重!$A:$A,$C91,符文权重!$D:$D))),"")</f>
        <v>0.0196666666666667</v>
      </c>
      <c r="Q91" s="39" cm="1">
        <f t="array" ref="Q91">IFERROR(IF($A91="","",IF(K91="","",_xlfn.XLOOKUP($C91&amp;"_"&amp;$AG91,符文权重!$A:$A&amp;"_"&amp;符文权重!$C:$C,符文权重!$D:$D)*$X91/SUMIFS($X:$X,K:K,K91,$C:$C,$C91,$AG:$AG,$AG91)/SUMIF(符文权重!$A:$A,$C91,符文权重!$D:$D))),"")</f>
        <v>0.0196666666666667</v>
      </c>
      <c r="R91" s="26" t="s">
        <v>181</v>
      </c>
      <c r="S91" s="26" t="s">
        <v>182</v>
      </c>
      <c r="T91" s="26" t="e">
        <f>IF(B91="","",SUBSTITUTE(SUBSTITUTE("[{global_atk,"&amp;#REF!*C91&amp;"}]",21,20),9,8))</f>
        <v>#REF!</v>
      </c>
      <c r="U91" s="40" t="str">
        <f t="shared" si="47"/>
        <v>[5501116]</v>
      </c>
      <c r="V91" s="26" t="s">
        <v>267</v>
      </c>
      <c r="W91" s="25"/>
      <c r="X91" s="32">
        <v>100</v>
      </c>
      <c r="Y91" s="25"/>
      <c r="Z91" s="32" t="s">
        <v>178</v>
      </c>
      <c r="AA91" s="32" t="str">
        <f t="shared" si="46"/>
        <v>射手职业伤害+15%</v>
      </c>
      <c r="AB91" s="32"/>
      <c r="AC91" s="32" t="s">
        <v>166</v>
      </c>
      <c r="AD91" s="32">
        <f t="shared" si="41"/>
        <v>1086</v>
      </c>
      <c r="AE91" s="38" t="str">
        <f t="shared" si="36"/>
        <v>5501111</v>
      </c>
      <c r="AF91" s="32" t="str">
        <f t="shared" si="37"/>
        <v>[15]</v>
      </c>
      <c r="AG91" s="26">
        <v>1</v>
      </c>
      <c r="AH91" s="26"/>
      <c r="AI91" s="26">
        <v>0</v>
      </c>
      <c r="AJ91" s="25" t="s">
        <v>167</v>
      </c>
      <c r="AK91" s="38">
        <f t="shared" si="48"/>
        <v>5501116</v>
      </c>
      <c r="AL91" s="41" t="str">
        <f t="shared" si="49"/>
        <v>射手职业伤害&lt;color=#54b76b&gt;+%s%&lt;/color&gt;</v>
      </c>
      <c r="AM91" s="26">
        <v>15</v>
      </c>
      <c r="AN91" s="26">
        <v>1</v>
      </c>
      <c r="AO91" s="26" t="s">
        <v>31</v>
      </c>
      <c r="AP91" s="20">
        <f t="shared" si="42"/>
        <v>86</v>
      </c>
    </row>
    <row r="92" s="20" customFormat="1" customHeight="1" spans="1:42">
      <c r="A92" s="38">
        <v>5501117</v>
      </c>
      <c r="B92" s="38" t="str">
        <f t="shared" si="33"/>
        <v>5501111</v>
      </c>
      <c r="C92" s="32">
        <f t="shared" si="34"/>
        <v>7</v>
      </c>
      <c r="D92" s="32"/>
      <c r="E92" s="26" t="s">
        <v>162</v>
      </c>
      <c r="F92" s="26">
        <f t="shared" si="38"/>
        <v>1</v>
      </c>
      <c r="G92" s="26">
        <f>IFERROR(IF(--MID($E92,2*COUNTIF($F92:F92,"&gt;"&amp;0)+2,1)=G$1,G$1,""),"")</f>
        <v>2</v>
      </c>
      <c r="H92" s="26">
        <f>IFERROR(IF(--MID($E92,2*COUNTIF($F92:G92,"&gt;"&amp;0)+2,1)=H$1,H$1,""),"")</f>
        <v>3</v>
      </c>
      <c r="I92" s="26">
        <f>IFERROR(IF(--MID($E92,2*COUNTIF($F92:H92,"&gt;"&amp;0)+2,1)=I$1,I$1,""),"")</f>
        <v>4</v>
      </c>
      <c r="J92" s="26">
        <f>IFERROR(IF(--MID($E92,2*COUNTIF($F92:I92,"&gt;"&amp;0)+2,1)=J$1,J$1,""),"")</f>
        <v>5</v>
      </c>
      <c r="K92" s="26">
        <f>IFERROR(IF(--MID($E92,2*COUNTIF($F92:J92,"&gt;"&amp;0)+2,1)=K$1,K$1,""),"")</f>
        <v>6</v>
      </c>
      <c r="L92" s="39" cm="1">
        <f t="array" ref="L92">IFERROR(IF($A92="","",IF(F92="","",_xlfn.XLOOKUP($C92&amp;"_"&amp;$AG92,符文权重!$A:$A&amp;"_"&amp;符文权重!$C:$C,符文权重!$D:$D)*$X92/SUMIFS($X:$X,F:F,F92,$C:$C,$C92,$AG:$AG,$AG92)/SUMIF(符文权重!$A:$A,$C92,符文权重!$D:$D))),"")</f>
        <v>0.0196666666666667</v>
      </c>
      <c r="M92" s="39" cm="1">
        <f t="array" ref="M92">IFERROR(IF($A92="","",IF(G92="","",_xlfn.XLOOKUP($C92&amp;"_"&amp;$AG92,符文权重!$A:$A&amp;"_"&amp;符文权重!$C:$C,符文权重!$D:$D)*$X92/SUMIFS($X:$X,G:G,G92,$C:$C,$C92,$AG:$AG,$AG92)/SUMIF(符文权重!$A:$A,$C92,符文权重!$D:$D))),"")</f>
        <v>0.0196666666666667</v>
      </c>
      <c r="N92" s="39" cm="1">
        <f t="array" ref="N92">IFERROR(IF($A92="","",IF(H92="","",_xlfn.XLOOKUP($C92&amp;"_"&amp;$AG92,符文权重!$A:$A&amp;"_"&amp;符文权重!$C:$C,符文权重!$D:$D)*$X92/SUMIFS($X:$X,H:H,H92,$C:$C,$C92,$AG:$AG,$AG92)/SUMIF(符文权重!$A:$A,$C92,符文权重!$D:$D))),"")</f>
        <v>0.0196666666666667</v>
      </c>
      <c r="O92" s="39" cm="1">
        <f t="array" ref="O92">IFERROR(IF($A92="","",IF(I92="","",_xlfn.XLOOKUP($C92&amp;"_"&amp;$AG92,符文权重!$A:$A&amp;"_"&amp;符文权重!$C:$C,符文权重!$D:$D)*$X92/SUMIFS($X:$X,I:I,I92,$C:$C,$C92,$AG:$AG,$AG92)/SUMIF(符文权重!$A:$A,$C92,符文权重!$D:$D))),"")</f>
        <v>0.0196666666666667</v>
      </c>
      <c r="P92" s="39" cm="1">
        <f t="array" ref="P92">IFERROR(IF($A92="","",IF(J92="","",_xlfn.XLOOKUP($C92&amp;"_"&amp;$AG92,符文权重!$A:$A&amp;"_"&amp;符文权重!$C:$C,符文权重!$D:$D)*$X92/SUMIFS($X:$X,J:J,J92,$C:$C,$C92,$AG:$AG,$AG92)/SUMIF(符文权重!$A:$A,$C92,符文权重!$D:$D))),"")</f>
        <v>0.0196666666666667</v>
      </c>
      <c r="Q92" s="39" cm="1">
        <f t="array" ref="Q92">IFERROR(IF($A92="","",IF(K92="","",_xlfn.XLOOKUP($C92&amp;"_"&amp;$AG92,符文权重!$A:$A&amp;"_"&amp;符文权重!$C:$C,符文权重!$D:$D)*$X92/SUMIFS($X:$X,K:K,K92,$C:$C,$C92,$AG:$AG,$AG92)/SUMIF(符文权重!$A:$A,$C92,符文权重!$D:$D))),"")</f>
        <v>0.0196666666666667</v>
      </c>
      <c r="R92" s="26" t="s">
        <v>181</v>
      </c>
      <c r="S92" s="26" t="s">
        <v>182</v>
      </c>
      <c r="T92" s="26" t="e">
        <f>IF(B92="","",SUBSTITUTE(SUBSTITUTE("[{global_atk,"&amp;#REF!*C92&amp;"}]",21,20),9,8))</f>
        <v>#REF!</v>
      </c>
      <c r="U92" s="40" t="str">
        <f t="shared" si="47"/>
        <v>[5501117]</v>
      </c>
      <c r="V92" s="26" t="s">
        <v>268</v>
      </c>
      <c r="W92" s="25"/>
      <c r="X92" s="32">
        <v>100</v>
      </c>
      <c r="Y92" s="25"/>
      <c r="Z92" s="32" t="s">
        <v>180</v>
      </c>
      <c r="AA92" s="32" t="str">
        <f t="shared" si="46"/>
        <v>射手职业伤害+20%</v>
      </c>
      <c r="AB92" s="32"/>
      <c r="AC92" s="32" t="s">
        <v>166</v>
      </c>
      <c r="AD92" s="32">
        <f t="shared" si="41"/>
        <v>1087</v>
      </c>
      <c r="AE92" s="38" t="str">
        <f t="shared" si="36"/>
        <v>5501111</v>
      </c>
      <c r="AF92" s="32" t="str">
        <f t="shared" si="37"/>
        <v>[20]</v>
      </c>
      <c r="AG92" s="26">
        <v>1</v>
      </c>
      <c r="AH92" s="26"/>
      <c r="AI92" s="26">
        <v>0</v>
      </c>
      <c r="AJ92" s="25" t="s">
        <v>167</v>
      </c>
      <c r="AK92" s="38">
        <f t="shared" si="48"/>
        <v>5501117</v>
      </c>
      <c r="AL92" s="41" t="str">
        <f t="shared" si="49"/>
        <v>射手职业伤害&lt;color=#54b76b&gt;+%s%&lt;/color&gt;</v>
      </c>
      <c r="AM92" s="26">
        <v>20</v>
      </c>
      <c r="AN92" s="26">
        <v>1</v>
      </c>
      <c r="AO92" s="26" t="s">
        <v>31</v>
      </c>
      <c r="AP92" s="20">
        <f t="shared" si="42"/>
        <v>87</v>
      </c>
    </row>
    <row r="93" s="20" customFormat="1" customHeight="1" spans="1:42">
      <c r="A93" s="38" t="s">
        <v>167</v>
      </c>
      <c r="B93" s="38" t="str">
        <f t="shared" si="33"/>
        <v/>
      </c>
      <c r="C93" s="32" t="str">
        <f t="shared" si="34"/>
        <v/>
      </c>
      <c r="D93" s="32"/>
      <c r="E93" s="26"/>
      <c r="F93" s="26" t="str">
        <f t="shared" si="38"/>
        <v/>
      </c>
      <c r="G93" s="26" t="str">
        <f>IFERROR(IF(--MID($E93,2*COUNTIF($F93:F93,"&gt;"&amp;0)+2,1)=G$1,G$1,""),"")</f>
        <v/>
      </c>
      <c r="H93" s="26" t="str">
        <f>IFERROR(IF(--MID($E93,2*COUNTIF($F93:G93,"&gt;"&amp;0)+2,1)=H$1,H$1,""),"")</f>
        <v/>
      </c>
      <c r="I93" s="26" t="str">
        <f>IFERROR(IF(--MID($E93,2*COUNTIF($F93:H93,"&gt;"&amp;0)+2,1)=I$1,I$1,""),"")</f>
        <v/>
      </c>
      <c r="J93" s="26" t="str">
        <f>IFERROR(IF(--MID($E93,2*COUNTIF($F93:I93,"&gt;"&amp;0)+2,1)=J$1,J$1,""),"")</f>
        <v/>
      </c>
      <c r="K93" s="26" t="str">
        <f>IFERROR(IF(--MID($E93,2*COUNTIF($F93:J93,"&gt;"&amp;0)+2,1)=K$1,K$1,""),"")</f>
        <v/>
      </c>
      <c r="L93" s="39" t="str" cm="1">
        <f t="array" ref="L93">IFERROR(IF($A93="","",IF(F93="","",_xlfn.XLOOKUP($C93&amp;"_"&amp;$AG93,符文权重!$A:$A&amp;"_"&amp;符文权重!$C:$C,符文权重!$D:$D)*$X93/SUMIFS($X:$X,F:F,F93,$C:$C,$C93,$AG:$AG,$AG93)/SUMIF(符文权重!$A:$A,$C93,符文权重!$D:$D))),"")</f>
        <v/>
      </c>
      <c r="M93" s="39" t="str" cm="1">
        <f t="array" ref="M93">IFERROR(IF($A93="","",IF(G93="","",_xlfn.XLOOKUP($C93&amp;"_"&amp;$AG93,符文权重!$A:$A&amp;"_"&amp;符文权重!$C:$C,符文权重!$D:$D)*$X93/SUMIFS($X:$X,G:G,G93,$C:$C,$C93,$AG:$AG,$AG93)/SUMIF(符文权重!$A:$A,$C93,符文权重!$D:$D))),"")</f>
        <v/>
      </c>
      <c r="N93" s="39" t="str" cm="1">
        <f t="array" ref="N93">IFERROR(IF($A93="","",IF(H93="","",_xlfn.XLOOKUP($C93&amp;"_"&amp;$AG93,符文权重!$A:$A&amp;"_"&amp;符文权重!$C:$C,符文权重!$D:$D)*$X93/SUMIFS($X:$X,H:H,H93,$C:$C,$C93,$AG:$AG,$AG93)/SUMIF(符文权重!$A:$A,$C93,符文权重!$D:$D))),"")</f>
        <v/>
      </c>
      <c r="O93" s="39" t="str" cm="1">
        <f t="array" ref="O93">IFERROR(IF($A93="","",IF(I93="","",_xlfn.XLOOKUP($C93&amp;"_"&amp;$AG93,符文权重!$A:$A&amp;"_"&amp;符文权重!$C:$C,符文权重!$D:$D)*$X93/SUMIFS($X:$X,I:I,I93,$C:$C,$C93,$AG:$AG,$AG93)/SUMIF(符文权重!$A:$A,$C93,符文权重!$D:$D))),"")</f>
        <v/>
      </c>
      <c r="P93" s="39" t="str" cm="1">
        <f t="array" ref="P93">IFERROR(IF($A93="","",IF(J93="","",_xlfn.XLOOKUP($C93&amp;"_"&amp;$AG93,符文权重!$A:$A&amp;"_"&amp;符文权重!$C:$C,符文权重!$D:$D)*$X93/SUMIFS($X:$X,J:J,J93,$C:$C,$C93,$AG:$AG,$AG93)/SUMIF(符文权重!$A:$A,$C93,符文权重!$D:$D))),"")</f>
        <v/>
      </c>
      <c r="Q93" s="39" t="str" cm="1">
        <f t="array" ref="Q93">IFERROR(IF($A93="","",IF(K93="","",_xlfn.XLOOKUP($C93&amp;"_"&amp;$AG93,符文权重!$A:$A&amp;"_"&amp;符文权重!$C:$C,符文权重!$D:$D)*$X93/SUMIFS($X:$X,K:K,K93,$C:$C,$C93,$AG:$AG,$AG93)/SUMIF(符文权重!$A:$A,$C93,符文权重!$D:$D))),"")</f>
        <v/>
      </c>
      <c r="R93" s="26"/>
      <c r="S93" s="26"/>
      <c r="T93" s="26"/>
      <c r="U93" s="40"/>
      <c r="V93" s="26"/>
      <c r="W93" s="25"/>
      <c r="X93" s="32"/>
      <c r="Y93" s="25"/>
      <c r="Z93" s="32" t="s">
        <v>167</v>
      </c>
      <c r="AA93" s="32" t="str">
        <f t="shared" si="46"/>
        <v/>
      </c>
      <c r="AB93" s="32"/>
      <c r="AC93" s="32" t="s">
        <v>166</v>
      </c>
      <c r="AD93" s="32">
        <f t="shared" si="41"/>
        <v>1088</v>
      </c>
      <c r="AE93" s="38" t="str">
        <f t="shared" si="36"/>
        <v/>
      </c>
      <c r="AF93" s="32" t="str">
        <f t="shared" si="37"/>
        <v/>
      </c>
      <c r="AG93" s="26"/>
      <c r="AH93" s="26"/>
      <c r="AI93" s="26"/>
      <c r="AJ93" s="25" t="s">
        <v>167</v>
      </c>
      <c r="AK93" s="24"/>
      <c r="AL93" s="42"/>
      <c r="AM93" s="26"/>
      <c r="AN93" s="26"/>
      <c r="AO93" s="26"/>
      <c r="AP93" s="20">
        <f t="shared" si="42"/>
        <v>88</v>
      </c>
    </row>
    <row r="94" s="20" customFormat="1" customHeight="1" spans="1:42">
      <c r="A94" s="38">
        <v>5501121</v>
      </c>
      <c r="B94" s="38" t="str">
        <f t="shared" si="33"/>
        <v>5501121</v>
      </c>
      <c r="C94" s="32">
        <f t="shared" si="34"/>
        <v>1</v>
      </c>
      <c r="D94" s="32"/>
      <c r="E94" s="26" t="s">
        <v>162</v>
      </c>
      <c r="F94" s="26">
        <f t="shared" si="38"/>
        <v>1</v>
      </c>
      <c r="G94" s="26">
        <f>IFERROR(IF(--MID($E94,2*COUNTIF($F94:F94,"&gt;"&amp;0)+2,1)=G$1,G$1,""),"")</f>
        <v>2</v>
      </c>
      <c r="H94" s="26">
        <f>IFERROR(IF(--MID($E94,2*COUNTIF($F94:G94,"&gt;"&amp;0)+2,1)=H$1,H$1,""),"")</f>
        <v>3</v>
      </c>
      <c r="I94" s="26">
        <f>IFERROR(IF(--MID($E94,2*COUNTIF($F94:H94,"&gt;"&amp;0)+2,1)=I$1,I$1,""),"")</f>
        <v>4</v>
      </c>
      <c r="J94" s="26">
        <f>IFERROR(IF(--MID($E94,2*COUNTIF($F94:I94,"&gt;"&amp;0)+2,1)=J$1,J$1,""),"")</f>
        <v>5</v>
      </c>
      <c r="K94" s="26">
        <f>IFERROR(IF(--MID($E94,2*COUNTIF($F94:J94,"&gt;"&amp;0)+2,1)=K$1,K$1,""),"")</f>
        <v>6</v>
      </c>
      <c r="L94" s="39" cm="1">
        <f t="array" ref="L94">IFERROR(IF($A94="","",IF(F94="","",_xlfn.XLOOKUP($C94&amp;"_"&amp;$AG94,符文权重!$A:$A&amp;"_"&amp;符文权重!$C:$C,符文权重!$D:$D)*$X94/SUMIFS($X:$X,F:F,F94,$C:$C,$C94,$AG:$AG,$AG94)/SUMIF(符文权重!$A:$A,$C94,符文权重!$D:$D))),"")</f>
        <v>0.05</v>
      </c>
      <c r="M94" s="39" cm="1">
        <f t="array" ref="M94">IFERROR(IF($A94="","",IF(G94="","",_xlfn.XLOOKUP($C94&amp;"_"&amp;$AG94,符文权重!$A:$A&amp;"_"&amp;符文权重!$C:$C,符文权重!$D:$D)*$X94/SUMIFS($X:$X,G:G,G94,$C:$C,$C94,$AG:$AG,$AG94)/SUMIF(符文权重!$A:$A,$C94,符文权重!$D:$D))),"")</f>
        <v>0.05</v>
      </c>
      <c r="N94" s="39" cm="1">
        <f t="array" ref="N94">IFERROR(IF($A94="","",IF(H94="","",_xlfn.XLOOKUP($C94&amp;"_"&amp;$AG94,符文权重!$A:$A&amp;"_"&amp;符文权重!$C:$C,符文权重!$D:$D)*$X94/SUMIFS($X:$X,H:H,H94,$C:$C,$C94,$AG:$AG,$AG94)/SUMIF(符文权重!$A:$A,$C94,符文权重!$D:$D))),"")</f>
        <v>0.05</v>
      </c>
      <c r="O94" s="39" cm="1">
        <f t="array" ref="O94">IFERROR(IF($A94="","",IF(I94="","",_xlfn.XLOOKUP($C94&amp;"_"&amp;$AG94,符文权重!$A:$A&amp;"_"&amp;符文权重!$C:$C,符文权重!$D:$D)*$X94/SUMIFS($X:$X,I:I,I94,$C:$C,$C94,$AG:$AG,$AG94)/SUMIF(符文权重!$A:$A,$C94,符文权重!$D:$D))),"")</f>
        <v>0.05</v>
      </c>
      <c r="P94" s="39" cm="1">
        <f t="array" ref="P94">IFERROR(IF($A94="","",IF(J94="","",_xlfn.XLOOKUP($C94&amp;"_"&amp;$AG94,符文权重!$A:$A&amp;"_"&amp;符文权重!$C:$C,符文权重!$D:$D)*$X94/SUMIFS($X:$X,J:J,J94,$C:$C,$C94,$AG:$AG,$AG94)/SUMIF(符文权重!$A:$A,$C94,符文权重!$D:$D))),"")</f>
        <v>0.05</v>
      </c>
      <c r="Q94" s="39" cm="1">
        <f t="array" ref="Q94">IFERROR(IF($A94="","",IF(K94="","",_xlfn.XLOOKUP($C94&amp;"_"&amp;$AG94,符文权重!$A:$A&amp;"_"&amp;符文权重!$C:$C,符文权重!$D:$D)*$X94/SUMIFS($X:$X,K:K,K94,$C:$C,$C94,$AG:$AG,$AG94)/SUMIF(符文权重!$A:$A,$C94,符文权重!$D:$D))),"")</f>
        <v>0.05</v>
      </c>
      <c r="R94" s="26" t="s">
        <v>181</v>
      </c>
      <c r="S94" s="26" t="s">
        <v>200</v>
      </c>
      <c r="T94" s="26" t="e">
        <f>IF(B94="","",SUBSTITUTE(SUBSTITUTE("[{global_atk,"&amp;#REF!*C94&amp;"}]",21,20),9,8))</f>
        <v>#REF!</v>
      </c>
      <c r="U94" s="40" t="str">
        <f t="shared" ref="U94:U100" si="50">"["&amp;A94&amp;"]"</f>
        <v>[5501121]</v>
      </c>
      <c r="V94" s="26" t="s">
        <v>269</v>
      </c>
      <c r="W94" s="25"/>
      <c r="X94" s="32">
        <v>100</v>
      </c>
      <c r="Y94" s="25"/>
      <c r="Z94" s="32" t="s">
        <v>165</v>
      </c>
      <c r="AA94" s="32" t="str">
        <f t="shared" si="46"/>
        <v>法师职业伤害+4%</v>
      </c>
      <c r="AB94" s="32"/>
      <c r="AC94" s="32" t="s">
        <v>166</v>
      </c>
      <c r="AD94" s="32">
        <f t="shared" si="41"/>
        <v>1089</v>
      </c>
      <c r="AE94" s="38" t="str">
        <f t="shared" si="36"/>
        <v>5501121</v>
      </c>
      <c r="AF94" s="32" t="str">
        <f t="shared" si="37"/>
        <v>[4]</v>
      </c>
      <c r="AG94" s="26">
        <v>1</v>
      </c>
      <c r="AH94" s="26"/>
      <c r="AI94" s="26">
        <v>0</v>
      </c>
      <c r="AJ94" s="25" t="s">
        <v>167</v>
      </c>
      <c r="AK94" s="24">
        <v>5501121</v>
      </c>
      <c r="AL94" s="42" t="s">
        <v>270</v>
      </c>
      <c r="AM94" s="26">
        <v>4</v>
      </c>
      <c r="AN94" s="26">
        <v>1</v>
      </c>
      <c r="AO94" s="26" t="s">
        <v>32</v>
      </c>
      <c r="AP94" s="20">
        <f t="shared" si="42"/>
        <v>89</v>
      </c>
    </row>
    <row r="95" s="20" customFormat="1" customHeight="1" spans="1:42">
      <c r="A95" s="38">
        <v>5501122</v>
      </c>
      <c r="B95" s="38" t="str">
        <f t="shared" si="33"/>
        <v>5501121</v>
      </c>
      <c r="C95" s="32">
        <f t="shared" si="34"/>
        <v>2</v>
      </c>
      <c r="D95" s="32"/>
      <c r="E95" s="26" t="s">
        <v>162</v>
      </c>
      <c r="F95" s="26">
        <f t="shared" si="38"/>
        <v>1</v>
      </c>
      <c r="G95" s="26">
        <f>IFERROR(IF(--MID($E95,2*COUNTIF($F95:F95,"&gt;"&amp;0)+2,1)=G$1,G$1,""),"")</f>
        <v>2</v>
      </c>
      <c r="H95" s="26">
        <f>IFERROR(IF(--MID($E95,2*COUNTIF($F95:G95,"&gt;"&amp;0)+2,1)=H$1,H$1,""),"")</f>
        <v>3</v>
      </c>
      <c r="I95" s="26">
        <f>IFERROR(IF(--MID($E95,2*COUNTIF($F95:H95,"&gt;"&amp;0)+2,1)=I$1,I$1,""),"")</f>
        <v>4</v>
      </c>
      <c r="J95" s="26">
        <f>IFERROR(IF(--MID($E95,2*COUNTIF($F95:I95,"&gt;"&amp;0)+2,1)=J$1,J$1,""),"")</f>
        <v>5</v>
      </c>
      <c r="K95" s="26">
        <f>IFERROR(IF(--MID($E95,2*COUNTIF($F95:J95,"&gt;"&amp;0)+2,1)=K$1,K$1,""),"")</f>
        <v>6</v>
      </c>
      <c r="L95" s="39" cm="1">
        <f t="array" ref="L95">IFERROR(IF($A95="","",IF(F95="","",_xlfn.XLOOKUP($C95&amp;"_"&amp;$AG95,符文权重!$A:$A&amp;"_"&amp;符文权重!$C:$C,符文权重!$D:$D)*$X95/SUMIFS($X:$X,F:F,F95,$C:$C,$C95,$AG:$AG,$AG95)/SUMIF(符文权重!$A:$A,$C95,符文权重!$D:$D))),"")</f>
        <v>0.0363636363636364</v>
      </c>
      <c r="M95" s="39" cm="1">
        <f t="array" ref="M95">IFERROR(IF($A95="","",IF(G95="","",_xlfn.XLOOKUP($C95&amp;"_"&amp;$AG95,符文权重!$A:$A&amp;"_"&amp;符文权重!$C:$C,符文权重!$D:$D)*$X95/SUMIFS($X:$X,G:G,G95,$C:$C,$C95,$AG:$AG,$AG95)/SUMIF(符文权重!$A:$A,$C95,符文权重!$D:$D))),"")</f>
        <v>0.0363636363636364</v>
      </c>
      <c r="N95" s="39" cm="1">
        <f t="array" ref="N95">IFERROR(IF($A95="","",IF(H95="","",_xlfn.XLOOKUP($C95&amp;"_"&amp;$AG95,符文权重!$A:$A&amp;"_"&amp;符文权重!$C:$C,符文权重!$D:$D)*$X95/SUMIFS($X:$X,H:H,H95,$C:$C,$C95,$AG:$AG,$AG95)/SUMIF(符文权重!$A:$A,$C95,符文权重!$D:$D))),"")</f>
        <v>0.0363636363636364</v>
      </c>
      <c r="O95" s="39" cm="1">
        <f t="array" ref="O95">IFERROR(IF($A95="","",IF(I95="","",_xlfn.XLOOKUP($C95&amp;"_"&amp;$AG95,符文权重!$A:$A&amp;"_"&amp;符文权重!$C:$C,符文权重!$D:$D)*$X95/SUMIFS($X:$X,I:I,I95,$C:$C,$C95,$AG:$AG,$AG95)/SUMIF(符文权重!$A:$A,$C95,符文权重!$D:$D))),"")</f>
        <v>0.0363636363636364</v>
      </c>
      <c r="P95" s="39" cm="1">
        <f t="array" ref="P95">IFERROR(IF($A95="","",IF(J95="","",_xlfn.XLOOKUP($C95&amp;"_"&amp;$AG95,符文权重!$A:$A&amp;"_"&amp;符文权重!$C:$C,符文权重!$D:$D)*$X95/SUMIFS($X:$X,J:J,J95,$C:$C,$C95,$AG:$AG,$AG95)/SUMIF(符文权重!$A:$A,$C95,符文权重!$D:$D))),"")</f>
        <v>0.0363636363636364</v>
      </c>
      <c r="Q95" s="39" cm="1">
        <f t="array" ref="Q95">IFERROR(IF($A95="","",IF(K95="","",_xlfn.XLOOKUP($C95&amp;"_"&amp;$AG95,符文权重!$A:$A&amp;"_"&amp;符文权重!$C:$C,符文权重!$D:$D)*$X95/SUMIFS($X:$X,K:K,K95,$C:$C,$C95,$AG:$AG,$AG95)/SUMIF(符文权重!$A:$A,$C95,符文权重!$D:$D))),"")</f>
        <v>0.0363636363636364</v>
      </c>
      <c r="R95" s="26" t="s">
        <v>181</v>
      </c>
      <c r="S95" s="26" t="s">
        <v>200</v>
      </c>
      <c r="T95" s="26" t="e">
        <f>IF(B95="","",SUBSTITUTE(SUBSTITUTE("[{global_atk,"&amp;#REF!*C95&amp;"}]",21,20),9,8))</f>
        <v>#REF!</v>
      </c>
      <c r="U95" s="40" t="str">
        <f t="shared" si="50"/>
        <v>[5501122]</v>
      </c>
      <c r="V95" s="26" t="s">
        <v>271</v>
      </c>
      <c r="W95" s="25"/>
      <c r="X95" s="32">
        <v>100</v>
      </c>
      <c r="Y95" s="25"/>
      <c r="Z95" s="32" t="s">
        <v>170</v>
      </c>
      <c r="AA95" s="32" t="str">
        <f t="shared" si="46"/>
        <v>法师职业伤害+6%</v>
      </c>
      <c r="AB95" s="32"/>
      <c r="AC95" s="32" t="s">
        <v>166</v>
      </c>
      <c r="AD95" s="32">
        <f t="shared" si="41"/>
        <v>1090</v>
      </c>
      <c r="AE95" s="38" t="str">
        <f t="shared" si="36"/>
        <v>5501121</v>
      </c>
      <c r="AF95" s="32" t="str">
        <f t="shared" si="37"/>
        <v>[6]</v>
      </c>
      <c r="AG95" s="26">
        <v>1</v>
      </c>
      <c r="AH95" s="26"/>
      <c r="AI95" s="26">
        <v>0</v>
      </c>
      <c r="AJ95" s="25" t="s">
        <v>167</v>
      </c>
      <c r="AK95" s="38">
        <f t="shared" ref="AK95:AK100" si="51">AK94+1</f>
        <v>5501122</v>
      </c>
      <c r="AL95" s="41" t="str">
        <f t="shared" ref="AL95:AL100" si="52">AL94</f>
        <v>法师职业伤害&lt;color=#54b76b&gt;+%s%&lt;/color&gt;</v>
      </c>
      <c r="AM95" s="26">
        <v>6</v>
      </c>
      <c r="AN95" s="26">
        <v>1</v>
      </c>
      <c r="AO95" s="26" t="s">
        <v>32</v>
      </c>
      <c r="AP95" s="20">
        <f t="shared" si="42"/>
        <v>90</v>
      </c>
    </row>
    <row r="96" s="20" customFormat="1" customHeight="1" spans="1:42">
      <c r="A96" s="38">
        <v>5501123</v>
      </c>
      <c r="B96" s="38" t="str">
        <f t="shared" si="33"/>
        <v>5501121</v>
      </c>
      <c r="C96" s="32">
        <f t="shared" si="34"/>
        <v>3</v>
      </c>
      <c r="D96" s="32"/>
      <c r="E96" s="26" t="s">
        <v>162</v>
      </c>
      <c r="F96" s="26">
        <f t="shared" si="38"/>
        <v>1</v>
      </c>
      <c r="G96" s="26">
        <f>IFERROR(IF(--MID($E96,2*COUNTIF($F96:F96,"&gt;"&amp;0)+2,1)=G$1,G$1,""),"")</f>
        <v>2</v>
      </c>
      <c r="H96" s="26">
        <f>IFERROR(IF(--MID($E96,2*COUNTIF($F96:G96,"&gt;"&amp;0)+2,1)=H$1,H$1,""),"")</f>
        <v>3</v>
      </c>
      <c r="I96" s="26">
        <f>IFERROR(IF(--MID($E96,2*COUNTIF($F96:H96,"&gt;"&amp;0)+2,1)=I$1,I$1,""),"")</f>
        <v>4</v>
      </c>
      <c r="J96" s="26">
        <f>IFERROR(IF(--MID($E96,2*COUNTIF($F96:I96,"&gt;"&amp;0)+2,1)=J$1,J$1,""),"")</f>
        <v>5</v>
      </c>
      <c r="K96" s="26">
        <f>IFERROR(IF(--MID($E96,2*COUNTIF($F96:J96,"&gt;"&amp;0)+2,1)=K$1,K$1,""),"")</f>
        <v>6</v>
      </c>
      <c r="L96" s="39" cm="1">
        <f t="array" ref="L96">IFERROR(IF($A96="","",IF(F96="","",_xlfn.XLOOKUP($C96&amp;"_"&amp;$AG96,符文权重!$A:$A&amp;"_"&amp;符文权重!$C:$C,符文权重!$D:$D)*$X96/SUMIFS($X:$X,F:F,F96,$C:$C,$C96,$AG:$AG,$AG96)/SUMIF(符文权重!$A:$A,$C96,符文权重!$D:$D))),"")</f>
        <v>0.035</v>
      </c>
      <c r="M96" s="39" cm="1">
        <f t="array" ref="M96">IFERROR(IF($A96="","",IF(G96="","",_xlfn.XLOOKUP($C96&amp;"_"&amp;$AG96,符文权重!$A:$A&amp;"_"&amp;符文权重!$C:$C,符文权重!$D:$D)*$X96/SUMIFS($X:$X,G:G,G96,$C:$C,$C96,$AG:$AG,$AG96)/SUMIF(符文权重!$A:$A,$C96,符文权重!$D:$D))),"")</f>
        <v>0.035</v>
      </c>
      <c r="N96" s="39" cm="1">
        <f t="array" ref="N96">IFERROR(IF($A96="","",IF(H96="","",_xlfn.XLOOKUP($C96&amp;"_"&amp;$AG96,符文权重!$A:$A&amp;"_"&amp;符文权重!$C:$C,符文权重!$D:$D)*$X96/SUMIFS($X:$X,H:H,H96,$C:$C,$C96,$AG:$AG,$AG96)/SUMIF(符文权重!$A:$A,$C96,符文权重!$D:$D))),"")</f>
        <v>0.035</v>
      </c>
      <c r="O96" s="39" cm="1">
        <f t="array" ref="O96">IFERROR(IF($A96="","",IF(I96="","",_xlfn.XLOOKUP($C96&amp;"_"&amp;$AG96,符文权重!$A:$A&amp;"_"&amp;符文权重!$C:$C,符文权重!$D:$D)*$X96/SUMIFS($X:$X,I:I,I96,$C:$C,$C96,$AG:$AG,$AG96)/SUMIF(符文权重!$A:$A,$C96,符文权重!$D:$D))),"")</f>
        <v>0.035</v>
      </c>
      <c r="P96" s="39" cm="1">
        <f t="array" ref="P96">IFERROR(IF($A96="","",IF(J96="","",_xlfn.XLOOKUP($C96&amp;"_"&amp;$AG96,符文权重!$A:$A&amp;"_"&amp;符文权重!$C:$C,符文权重!$D:$D)*$X96/SUMIFS($X:$X,J:J,J96,$C:$C,$C96,$AG:$AG,$AG96)/SUMIF(符文权重!$A:$A,$C96,符文权重!$D:$D))),"")</f>
        <v>0.035</v>
      </c>
      <c r="Q96" s="39" cm="1">
        <f t="array" ref="Q96">IFERROR(IF($A96="","",IF(K96="","",_xlfn.XLOOKUP($C96&amp;"_"&amp;$AG96,符文权重!$A:$A&amp;"_"&amp;符文权重!$C:$C,符文权重!$D:$D)*$X96/SUMIFS($X:$X,K:K,K96,$C:$C,$C96,$AG:$AG,$AG96)/SUMIF(符文权重!$A:$A,$C96,符文权重!$D:$D))),"")</f>
        <v>0.035</v>
      </c>
      <c r="R96" s="26" t="s">
        <v>181</v>
      </c>
      <c r="S96" s="26" t="s">
        <v>200</v>
      </c>
      <c r="T96" s="26" t="e">
        <f>IF(B96="","",SUBSTITUTE(SUBSTITUTE("[{global_atk,"&amp;#REF!*C96&amp;"}]",21,20),9,8))</f>
        <v>#REF!</v>
      </c>
      <c r="U96" s="40" t="str">
        <f t="shared" si="50"/>
        <v>[5501123]</v>
      </c>
      <c r="V96" s="26" t="s">
        <v>272</v>
      </c>
      <c r="W96" s="25"/>
      <c r="X96" s="32">
        <v>100</v>
      </c>
      <c r="Y96" s="25"/>
      <c r="Z96" s="32" t="s">
        <v>172</v>
      </c>
      <c r="AA96" s="32" t="str">
        <f t="shared" si="46"/>
        <v>法师职业伤害+8%</v>
      </c>
      <c r="AB96" s="32"/>
      <c r="AC96" s="32" t="s">
        <v>166</v>
      </c>
      <c r="AD96" s="32">
        <f t="shared" si="41"/>
        <v>1091</v>
      </c>
      <c r="AE96" s="38" t="str">
        <f t="shared" si="36"/>
        <v>5501121</v>
      </c>
      <c r="AF96" s="32" t="str">
        <f t="shared" si="37"/>
        <v>[8]</v>
      </c>
      <c r="AG96" s="26">
        <v>1</v>
      </c>
      <c r="AH96" s="26"/>
      <c r="AI96" s="26">
        <v>0</v>
      </c>
      <c r="AJ96" s="25" t="s">
        <v>167</v>
      </c>
      <c r="AK96" s="38">
        <f t="shared" si="51"/>
        <v>5501123</v>
      </c>
      <c r="AL96" s="41" t="str">
        <f t="shared" si="52"/>
        <v>法师职业伤害&lt;color=#54b76b&gt;+%s%&lt;/color&gt;</v>
      </c>
      <c r="AM96" s="26">
        <v>8</v>
      </c>
      <c r="AN96" s="26">
        <v>1</v>
      </c>
      <c r="AO96" s="26" t="s">
        <v>32</v>
      </c>
      <c r="AP96" s="20">
        <f t="shared" si="42"/>
        <v>91</v>
      </c>
    </row>
    <row r="97" s="20" customFormat="1" customHeight="1" spans="1:42">
      <c r="A97" s="38">
        <v>5501124</v>
      </c>
      <c r="B97" s="38" t="str">
        <f t="shared" si="33"/>
        <v>5501121</v>
      </c>
      <c r="C97" s="32">
        <f t="shared" si="34"/>
        <v>4</v>
      </c>
      <c r="D97" s="32"/>
      <c r="E97" s="26" t="s">
        <v>162</v>
      </c>
      <c r="F97" s="26">
        <f t="shared" si="38"/>
        <v>1</v>
      </c>
      <c r="G97" s="26">
        <f>IFERROR(IF(--MID($E97,2*COUNTIF($F97:F97,"&gt;"&amp;0)+2,1)=G$1,G$1,""),"")</f>
        <v>2</v>
      </c>
      <c r="H97" s="26">
        <f>IFERROR(IF(--MID($E97,2*COUNTIF($F97:G97,"&gt;"&amp;0)+2,1)=H$1,H$1,""),"")</f>
        <v>3</v>
      </c>
      <c r="I97" s="26">
        <f>IFERROR(IF(--MID($E97,2*COUNTIF($F97:H97,"&gt;"&amp;0)+2,1)=I$1,I$1,""),"")</f>
        <v>4</v>
      </c>
      <c r="J97" s="26">
        <f>IFERROR(IF(--MID($E97,2*COUNTIF($F97:I97,"&gt;"&amp;0)+2,1)=J$1,J$1,""),"")</f>
        <v>5</v>
      </c>
      <c r="K97" s="26">
        <f>IFERROR(IF(--MID($E97,2*COUNTIF($F97:J97,"&gt;"&amp;0)+2,1)=K$1,K$1,""),"")</f>
        <v>6</v>
      </c>
      <c r="L97" s="39" cm="1">
        <f t="array" ref="L97">IFERROR(IF($A97="","",IF(F97="","",_xlfn.XLOOKUP($C97&amp;"_"&amp;$AG97,符文权重!$A:$A&amp;"_"&amp;符文权重!$C:$C,符文权重!$D:$D)*$X97/SUMIFS($X:$X,F:F,F97,$C:$C,$C97,$AG:$AG,$AG97)/SUMIF(符文权重!$A:$A,$C97,符文权重!$D:$D))),"")</f>
        <v>0.022913616398243</v>
      </c>
      <c r="M97" s="39" cm="1">
        <f t="array" ref="M97">IFERROR(IF($A97="","",IF(G97="","",_xlfn.XLOOKUP($C97&amp;"_"&amp;$AG97,符文权重!$A:$A&amp;"_"&amp;符文权重!$C:$C,符文权重!$D:$D)*$X97/SUMIFS($X:$X,G:G,G97,$C:$C,$C97,$AG:$AG,$AG97)/SUMIF(符文权重!$A:$A,$C97,符文权重!$D:$D))),"")</f>
        <v>0.022913616398243</v>
      </c>
      <c r="N97" s="39" cm="1">
        <f t="array" ref="N97">IFERROR(IF($A97="","",IF(H97="","",_xlfn.XLOOKUP($C97&amp;"_"&amp;$AG97,符文权重!$A:$A&amp;"_"&amp;符文权重!$C:$C,符文权重!$D:$D)*$X97/SUMIFS($X:$X,H:H,H97,$C:$C,$C97,$AG:$AG,$AG97)/SUMIF(符文权重!$A:$A,$C97,符文权重!$D:$D))),"")</f>
        <v>0.022913616398243</v>
      </c>
      <c r="O97" s="39" cm="1">
        <f t="array" ref="O97">IFERROR(IF($A97="","",IF(I97="","",_xlfn.XLOOKUP($C97&amp;"_"&amp;$AG97,符文权重!$A:$A&amp;"_"&amp;符文权重!$C:$C,符文权重!$D:$D)*$X97/SUMIFS($X:$X,I:I,I97,$C:$C,$C97,$AG:$AG,$AG97)/SUMIF(符文权重!$A:$A,$C97,符文权重!$D:$D))),"")</f>
        <v>0.022913616398243</v>
      </c>
      <c r="P97" s="39" cm="1">
        <f t="array" ref="P97">IFERROR(IF($A97="","",IF(J97="","",_xlfn.XLOOKUP($C97&amp;"_"&amp;$AG97,符文权重!$A:$A&amp;"_"&amp;符文权重!$C:$C,符文权重!$D:$D)*$X97/SUMIFS($X:$X,J:J,J97,$C:$C,$C97,$AG:$AG,$AG97)/SUMIF(符文权重!$A:$A,$C97,符文权重!$D:$D))),"")</f>
        <v>0.022913616398243</v>
      </c>
      <c r="Q97" s="39" cm="1">
        <f t="array" ref="Q97">IFERROR(IF($A97="","",IF(K97="","",_xlfn.XLOOKUP($C97&amp;"_"&amp;$AG97,符文权重!$A:$A&amp;"_"&amp;符文权重!$C:$C,符文权重!$D:$D)*$X97/SUMIFS($X:$X,K:K,K97,$C:$C,$C97,$AG:$AG,$AG97)/SUMIF(符文权重!$A:$A,$C97,符文权重!$D:$D))),"")</f>
        <v>0.022913616398243</v>
      </c>
      <c r="R97" s="26" t="s">
        <v>181</v>
      </c>
      <c r="S97" s="26" t="s">
        <v>200</v>
      </c>
      <c r="T97" s="26" t="e">
        <f>IF(B97="","",SUBSTITUTE(SUBSTITUTE("[{global_atk,"&amp;#REF!*C97&amp;"}]",21,20),9,8))</f>
        <v>#REF!</v>
      </c>
      <c r="U97" s="40" t="str">
        <f t="shared" si="50"/>
        <v>[5501124]</v>
      </c>
      <c r="V97" s="26" t="s">
        <v>273</v>
      </c>
      <c r="W97" s="25"/>
      <c r="X97" s="32">
        <v>100</v>
      </c>
      <c r="Y97" s="25"/>
      <c r="Z97" s="32" t="s">
        <v>174</v>
      </c>
      <c r="AA97" s="32" t="str">
        <f t="shared" si="46"/>
        <v>法师职业伤害+10%</v>
      </c>
      <c r="AB97" s="32"/>
      <c r="AC97" s="32" t="s">
        <v>166</v>
      </c>
      <c r="AD97" s="32">
        <f t="shared" si="41"/>
        <v>1092</v>
      </c>
      <c r="AE97" s="38" t="str">
        <f t="shared" si="36"/>
        <v>5501121</v>
      </c>
      <c r="AF97" s="32" t="str">
        <f t="shared" si="37"/>
        <v>[10]</v>
      </c>
      <c r="AG97" s="26">
        <v>1</v>
      </c>
      <c r="AH97" s="26"/>
      <c r="AI97" s="26">
        <v>0</v>
      </c>
      <c r="AJ97" s="25" t="s">
        <v>167</v>
      </c>
      <c r="AK97" s="38">
        <f t="shared" si="51"/>
        <v>5501124</v>
      </c>
      <c r="AL97" s="41" t="str">
        <f t="shared" si="52"/>
        <v>法师职业伤害&lt;color=#54b76b&gt;+%s%&lt;/color&gt;</v>
      </c>
      <c r="AM97" s="26">
        <v>10</v>
      </c>
      <c r="AN97" s="26">
        <v>1</v>
      </c>
      <c r="AO97" s="26" t="s">
        <v>32</v>
      </c>
      <c r="AP97" s="20">
        <f t="shared" si="42"/>
        <v>92</v>
      </c>
    </row>
    <row r="98" s="20" customFormat="1" customHeight="1" spans="1:42">
      <c r="A98" s="38">
        <v>5501125</v>
      </c>
      <c r="B98" s="38" t="str">
        <f t="shared" si="33"/>
        <v>5501121</v>
      </c>
      <c r="C98" s="32">
        <f t="shared" si="34"/>
        <v>5</v>
      </c>
      <c r="D98" s="32"/>
      <c r="E98" s="26" t="s">
        <v>162</v>
      </c>
      <c r="F98" s="26">
        <f t="shared" si="38"/>
        <v>1</v>
      </c>
      <c r="G98" s="26">
        <f>IFERROR(IF(--MID($E98,2*COUNTIF($F98:F98,"&gt;"&amp;0)+2,1)=G$1,G$1,""),"")</f>
        <v>2</v>
      </c>
      <c r="H98" s="26">
        <f>IFERROR(IF(--MID($E98,2*COUNTIF($F98:G98,"&gt;"&amp;0)+2,1)=H$1,H$1,""),"")</f>
        <v>3</v>
      </c>
      <c r="I98" s="26">
        <f>IFERROR(IF(--MID($E98,2*COUNTIF($F98:H98,"&gt;"&amp;0)+2,1)=I$1,I$1,""),"")</f>
        <v>4</v>
      </c>
      <c r="J98" s="26">
        <f>IFERROR(IF(--MID($E98,2*COUNTIF($F98:I98,"&gt;"&amp;0)+2,1)=J$1,J$1,""),"")</f>
        <v>5</v>
      </c>
      <c r="K98" s="26">
        <f>IFERROR(IF(--MID($E98,2*COUNTIF($F98:J98,"&gt;"&amp;0)+2,1)=K$1,K$1,""),"")</f>
        <v>6</v>
      </c>
      <c r="L98" s="39" cm="1">
        <f t="array" ref="L98">IFERROR(IF($A98="","",IF(F98="","",_xlfn.XLOOKUP($C98&amp;"_"&amp;$AG98,符文权重!$A:$A&amp;"_"&amp;符文权重!$C:$C,符文权重!$D:$D)*$X98/SUMIFS($X:$X,F:F,F98,$C:$C,$C98,$AG:$AG,$AG98)/SUMIF(符文权重!$A:$A,$C98,符文权重!$D:$D))),"")</f>
        <v>0.0196666666666667</v>
      </c>
      <c r="M98" s="39" cm="1">
        <f t="array" ref="M98">IFERROR(IF($A98="","",IF(G98="","",_xlfn.XLOOKUP($C98&amp;"_"&amp;$AG98,符文权重!$A:$A&amp;"_"&amp;符文权重!$C:$C,符文权重!$D:$D)*$X98/SUMIFS($X:$X,G:G,G98,$C:$C,$C98,$AG:$AG,$AG98)/SUMIF(符文权重!$A:$A,$C98,符文权重!$D:$D))),"")</f>
        <v>0.0196666666666667</v>
      </c>
      <c r="N98" s="39" cm="1">
        <f t="array" ref="N98">IFERROR(IF($A98="","",IF(H98="","",_xlfn.XLOOKUP($C98&amp;"_"&amp;$AG98,符文权重!$A:$A&amp;"_"&amp;符文权重!$C:$C,符文权重!$D:$D)*$X98/SUMIFS($X:$X,H:H,H98,$C:$C,$C98,$AG:$AG,$AG98)/SUMIF(符文权重!$A:$A,$C98,符文权重!$D:$D))),"")</f>
        <v>0.0196666666666667</v>
      </c>
      <c r="O98" s="39" cm="1">
        <f t="array" ref="O98">IFERROR(IF($A98="","",IF(I98="","",_xlfn.XLOOKUP($C98&amp;"_"&amp;$AG98,符文权重!$A:$A&amp;"_"&amp;符文权重!$C:$C,符文权重!$D:$D)*$X98/SUMIFS($X:$X,I:I,I98,$C:$C,$C98,$AG:$AG,$AG98)/SUMIF(符文权重!$A:$A,$C98,符文权重!$D:$D))),"")</f>
        <v>0.0196666666666667</v>
      </c>
      <c r="P98" s="39" cm="1">
        <f t="array" ref="P98">IFERROR(IF($A98="","",IF(J98="","",_xlfn.XLOOKUP($C98&amp;"_"&amp;$AG98,符文权重!$A:$A&amp;"_"&amp;符文权重!$C:$C,符文权重!$D:$D)*$X98/SUMIFS($X:$X,J:J,J98,$C:$C,$C98,$AG:$AG,$AG98)/SUMIF(符文权重!$A:$A,$C98,符文权重!$D:$D))),"")</f>
        <v>0.0196666666666667</v>
      </c>
      <c r="Q98" s="39" cm="1">
        <f t="array" ref="Q98">IFERROR(IF($A98="","",IF(K98="","",_xlfn.XLOOKUP($C98&amp;"_"&amp;$AG98,符文权重!$A:$A&amp;"_"&amp;符文权重!$C:$C,符文权重!$D:$D)*$X98/SUMIFS($X:$X,K:K,K98,$C:$C,$C98,$AG:$AG,$AG98)/SUMIF(符文权重!$A:$A,$C98,符文权重!$D:$D))),"")</f>
        <v>0.0196666666666667</v>
      </c>
      <c r="R98" s="26" t="s">
        <v>181</v>
      </c>
      <c r="S98" s="26" t="s">
        <v>200</v>
      </c>
      <c r="T98" s="26" t="e">
        <f>IF(B98="","",SUBSTITUTE(SUBSTITUTE("[{global_atk,"&amp;#REF!*C98&amp;"}]",21,20),9,8))</f>
        <v>#REF!</v>
      </c>
      <c r="U98" s="40" t="str">
        <f t="shared" si="50"/>
        <v>[5501125]</v>
      </c>
      <c r="V98" s="26" t="s">
        <v>274</v>
      </c>
      <c r="W98" s="25"/>
      <c r="X98" s="32">
        <v>100</v>
      </c>
      <c r="Y98" s="25"/>
      <c r="Z98" s="32" t="s">
        <v>176</v>
      </c>
      <c r="AA98" s="32" t="str">
        <f t="shared" si="46"/>
        <v>法师职业伤害+12.5%</v>
      </c>
      <c r="AB98" s="32"/>
      <c r="AC98" s="32" t="s">
        <v>166</v>
      </c>
      <c r="AD98" s="32">
        <f t="shared" si="41"/>
        <v>1093</v>
      </c>
      <c r="AE98" s="38" t="str">
        <f t="shared" si="36"/>
        <v>5501121</v>
      </c>
      <c r="AF98" s="32" t="str">
        <f t="shared" si="37"/>
        <v>[12.5]</v>
      </c>
      <c r="AG98" s="26">
        <v>1</v>
      </c>
      <c r="AH98" s="26"/>
      <c r="AI98" s="26">
        <v>0</v>
      </c>
      <c r="AJ98" s="25" t="s">
        <v>167</v>
      </c>
      <c r="AK98" s="38">
        <f t="shared" si="51"/>
        <v>5501125</v>
      </c>
      <c r="AL98" s="41" t="str">
        <f t="shared" si="52"/>
        <v>法师职业伤害&lt;color=#54b76b&gt;+%s%&lt;/color&gt;</v>
      </c>
      <c r="AM98" s="26">
        <v>12.5</v>
      </c>
      <c r="AN98" s="26">
        <v>1</v>
      </c>
      <c r="AO98" s="26" t="s">
        <v>32</v>
      </c>
      <c r="AP98" s="20">
        <f t="shared" si="42"/>
        <v>93</v>
      </c>
    </row>
    <row r="99" s="20" customFormat="1" customHeight="1" spans="1:42">
      <c r="A99" s="38">
        <v>5501126</v>
      </c>
      <c r="B99" s="38" t="str">
        <f t="shared" si="33"/>
        <v>5501121</v>
      </c>
      <c r="C99" s="32">
        <f t="shared" si="34"/>
        <v>6</v>
      </c>
      <c r="D99" s="32"/>
      <c r="E99" s="26" t="s">
        <v>162</v>
      </c>
      <c r="F99" s="26">
        <f t="shared" si="38"/>
        <v>1</v>
      </c>
      <c r="G99" s="26">
        <f>IFERROR(IF(--MID($E99,2*COUNTIF($F99:F99,"&gt;"&amp;0)+2,1)=G$1,G$1,""),"")</f>
        <v>2</v>
      </c>
      <c r="H99" s="26">
        <f>IFERROR(IF(--MID($E99,2*COUNTIF($F99:G99,"&gt;"&amp;0)+2,1)=H$1,H$1,""),"")</f>
        <v>3</v>
      </c>
      <c r="I99" s="26">
        <f>IFERROR(IF(--MID($E99,2*COUNTIF($F99:H99,"&gt;"&amp;0)+2,1)=I$1,I$1,""),"")</f>
        <v>4</v>
      </c>
      <c r="J99" s="26">
        <f>IFERROR(IF(--MID($E99,2*COUNTIF($F99:I99,"&gt;"&amp;0)+2,1)=J$1,J$1,""),"")</f>
        <v>5</v>
      </c>
      <c r="K99" s="26">
        <f>IFERROR(IF(--MID($E99,2*COUNTIF($F99:J99,"&gt;"&amp;0)+2,1)=K$1,K$1,""),"")</f>
        <v>6</v>
      </c>
      <c r="L99" s="39" cm="1">
        <f t="array" ref="L99">IFERROR(IF($A99="","",IF(F99="","",_xlfn.XLOOKUP($C99&amp;"_"&amp;$AG99,符文权重!$A:$A&amp;"_"&amp;符文权重!$C:$C,符文权重!$D:$D)*$X99/SUMIFS($X:$X,F:F,F99,$C:$C,$C99,$AG:$AG,$AG99)/SUMIF(符文权重!$A:$A,$C99,符文权重!$D:$D))),"")</f>
        <v>0.0196666666666667</v>
      </c>
      <c r="M99" s="39" cm="1">
        <f t="array" ref="M99">IFERROR(IF($A99="","",IF(G99="","",_xlfn.XLOOKUP($C99&amp;"_"&amp;$AG99,符文权重!$A:$A&amp;"_"&amp;符文权重!$C:$C,符文权重!$D:$D)*$X99/SUMIFS($X:$X,G:G,G99,$C:$C,$C99,$AG:$AG,$AG99)/SUMIF(符文权重!$A:$A,$C99,符文权重!$D:$D))),"")</f>
        <v>0.0196666666666667</v>
      </c>
      <c r="N99" s="39" cm="1">
        <f t="array" ref="N99">IFERROR(IF($A99="","",IF(H99="","",_xlfn.XLOOKUP($C99&amp;"_"&amp;$AG99,符文权重!$A:$A&amp;"_"&amp;符文权重!$C:$C,符文权重!$D:$D)*$X99/SUMIFS($X:$X,H:H,H99,$C:$C,$C99,$AG:$AG,$AG99)/SUMIF(符文权重!$A:$A,$C99,符文权重!$D:$D))),"")</f>
        <v>0.0196666666666667</v>
      </c>
      <c r="O99" s="39" cm="1">
        <f t="array" ref="O99">IFERROR(IF($A99="","",IF(I99="","",_xlfn.XLOOKUP($C99&amp;"_"&amp;$AG99,符文权重!$A:$A&amp;"_"&amp;符文权重!$C:$C,符文权重!$D:$D)*$X99/SUMIFS($X:$X,I:I,I99,$C:$C,$C99,$AG:$AG,$AG99)/SUMIF(符文权重!$A:$A,$C99,符文权重!$D:$D))),"")</f>
        <v>0.0196666666666667</v>
      </c>
      <c r="P99" s="39" cm="1">
        <f t="array" ref="P99">IFERROR(IF($A99="","",IF(J99="","",_xlfn.XLOOKUP($C99&amp;"_"&amp;$AG99,符文权重!$A:$A&amp;"_"&amp;符文权重!$C:$C,符文权重!$D:$D)*$X99/SUMIFS($X:$X,J:J,J99,$C:$C,$C99,$AG:$AG,$AG99)/SUMIF(符文权重!$A:$A,$C99,符文权重!$D:$D))),"")</f>
        <v>0.0196666666666667</v>
      </c>
      <c r="Q99" s="39" cm="1">
        <f t="array" ref="Q99">IFERROR(IF($A99="","",IF(K99="","",_xlfn.XLOOKUP($C99&amp;"_"&amp;$AG99,符文权重!$A:$A&amp;"_"&amp;符文权重!$C:$C,符文权重!$D:$D)*$X99/SUMIFS($X:$X,K:K,K99,$C:$C,$C99,$AG:$AG,$AG99)/SUMIF(符文权重!$A:$A,$C99,符文权重!$D:$D))),"")</f>
        <v>0.0196666666666667</v>
      </c>
      <c r="R99" s="26" t="s">
        <v>181</v>
      </c>
      <c r="S99" s="26" t="s">
        <v>200</v>
      </c>
      <c r="T99" s="26" t="e">
        <f>IF(B99="","",SUBSTITUTE(SUBSTITUTE("[{global_atk,"&amp;#REF!*C99&amp;"}]",21,20),9,8))</f>
        <v>#REF!</v>
      </c>
      <c r="U99" s="40" t="str">
        <f t="shared" si="50"/>
        <v>[5501126]</v>
      </c>
      <c r="V99" s="26" t="s">
        <v>275</v>
      </c>
      <c r="W99" s="25"/>
      <c r="X99" s="32">
        <v>100</v>
      </c>
      <c r="Y99" s="25"/>
      <c r="Z99" s="32" t="s">
        <v>178</v>
      </c>
      <c r="AA99" s="32" t="str">
        <f t="shared" si="46"/>
        <v>法师职业伤害+15%</v>
      </c>
      <c r="AB99" s="32"/>
      <c r="AC99" s="32" t="s">
        <v>166</v>
      </c>
      <c r="AD99" s="32">
        <f t="shared" si="41"/>
        <v>1094</v>
      </c>
      <c r="AE99" s="38" t="str">
        <f t="shared" si="36"/>
        <v>5501121</v>
      </c>
      <c r="AF99" s="32" t="str">
        <f t="shared" si="37"/>
        <v>[15]</v>
      </c>
      <c r="AG99" s="26">
        <v>1</v>
      </c>
      <c r="AH99" s="26"/>
      <c r="AI99" s="26">
        <v>0</v>
      </c>
      <c r="AJ99" s="25" t="s">
        <v>167</v>
      </c>
      <c r="AK99" s="38">
        <f t="shared" si="51"/>
        <v>5501126</v>
      </c>
      <c r="AL99" s="41" t="str">
        <f t="shared" si="52"/>
        <v>法师职业伤害&lt;color=#54b76b&gt;+%s%&lt;/color&gt;</v>
      </c>
      <c r="AM99" s="26">
        <v>15</v>
      </c>
      <c r="AN99" s="26">
        <v>1</v>
      </c>
      <c r="AO99" s="26" t="s">
        <v>32</v>
      </c>
      <c r="AP99" s="20">
        <f t="shared" si="42"/>
        <v>94</v>
      </c>
    </row>
    <row r="100" s="20" customFormat="1" customHeight="1" spans="1:42">
      <c r="A100" s="38">
        <v>5501127</v>
      </c>
      <c r="B100" s="38" t="str">
        <f t="shared" si="33"/>
        <v>5501121</v>
      </c>
      <c r="C100" s="32">
        <f t="shared" si="34"/>
        <v>7</v>
      </c>
      <c r="D100" s="32"/>
      <c r="E100" s="26" t="s">
        <v>162</v>
      </c>
      <c r="F100" s="26">
        <f t="shared" si="38"/>
        <v>1</v>
      </c>
      <c r="G100" s="26">
        <f>IFERROR(IF(--MID($E100,2*COUNTIF($F100:F100,"&gt;"&amp;0)+2,1)=G$1,G$1,""),"")</f>
        <v>2</v>
      </c>
      <c r="H100" s="26">
        <f>IFERROR(IF(--MID($E100,2*COUNTIF($F100:G100,"&gt;"&amp;0)+2,1)=H$1,H$1,""),"")</f>
        <v>3</v>
      </c>
      <c r="I100" s="26">
        <f>IFERROR(IF(--MID($E100,2*COUNTIF($F100:H100,"&gt;"&amp;0)+2,1)=I$1,I$1,""),"")</f>
        <v>4</v>
      </c>
      <c r="J100" s="26">
        <f>IFERROR(IF(--MID($E100,2*COUNTIF($F100:I100,"&gt;"&amp;0)+2,1)=J$1,J$1,""),"")</f>
        <v>5</v>
      </c>
      <c r="K100" s="26">
        <f>IFERROR(IF(--MID($E100,2*COUNTIF($F100:J100,"&gt;"&amp;0)+2,1)=K$1,K$1,""),"")</f>
        <v>6</v>
      </c>
      <c r="L100" s="39" cm="1">
        <f t="array" ref="L100">IFERROR(IF($A100="","",IF(F100="","",_xlfn.XLOOKUP($C100&amp;"_"&amp;$AG100,符文权重!$A:$A&amp;"_"&amp;符文权重!$C:$C,符文权重!$D:$D)*$X100/SUMIFS($X:$X,F:F,F100,$C:$C,$C100,$AG:$AG,$AG100)/SUMIF(符文权重!$A:$A,$C100,符文权重!$D:$D))),"")</f>
        <v>0.0196666666666667</v>
      </c>
      <c r="M100" s="39" cm="1">
        <f t="array" ref="M100">IFERROR(IF($A100="","",IF(G100="","",_xlfn.XLOOKUP($C100&amp;"_"&amp;$AG100,符文权重!$A:$A&amp;"_"&amp;符文权重!$C:$C,符文权重!$D:$D)*$X100/SUMIFS($X:$X,G:G,G100,$C:$C,$C100,$AG:$AG,$AG100)/SUMIF(符文权重!$A:$A,$C100,符文权重!$D:$D))),"")</f>
        <v>0.0196666666666667</v>
      </c>
      <c r="N100" s="39" cm="1">
        <f t="array" ref="N100">IFERROR(IF($A100="","",IF(H100="","",_xlfn.XLOOKUP($C100&amp;"_"&amp;$AG100,符文权重!$A:$A&amp;"_"&amp;符文权重!$C:$C,符文权重!$D:$D)*$X100/SUMIFS($X:$X,H:H,H100,$C:$C,$C100,$AG:$AG,$AG100)/SUMIF(符文权重!$A:$A,$C100,符文权重!$D:$D))),"")</f>
        <v>0.0196666666666667</v>
      </c>
      <c r="O100" s="39" cm="1">
        <f t="array" ref="O100">IFERROR(IF($A100="","",IF(I100="","",_xlfn.XLOOKUP($C100&amp;"_"&amp;$AG100,符文权重!$A:$A&amp;"_"&amp;符文权重!$C:$C,符文权重!$D:$D)*$X100/SUMIFS($X:$X,I:I,I100,$C:$C,$C100,$AG:$AG,$AG100)/SUMIF(符文权重!$A:$A,$C100,符文权重!$D:$D))),"")</f>
        <v>0.0196666666666667</v>
      </c>
      <c r="P100" s="39" cm="1">
        <f t="array" ref="P100">IFERROR(IF($A100="","",IF(J100="","",_xlfn.XLOOKUP($C100&amp;"_"&amp;$AG100,符文权重!$A:$A&amp;"_"&amp;符文权重!$C:$C,符文权重!$D:$D)*$X100/SUMIFS($X:$X,J:J,J100,$C:$C,$C100,$AG:$AG,$AG100)/SUMIF(符文权重!$A:$A,$C100,符文权重!$D:$D))),"")</f>
        <v>0.0196666666666667</v>
      </c>
      <c r="Q100" s="39" cm="1">
        <f t="array" ref="Q100">IFERROR(IF($A100="","",IF(K100="","",_xlfn.XLOOKUP($C100&amp;"_"&amp;$AG100,符文权重!$A:$A&amp;"_"&amp;符文权重!$C:$C,符文权重!$D:$D)*$X100/SUMIFS($X:$X,K:K,K100,$C:$C,$C100,$AG:$AG,$AG100)/SUMIF(符文权重!$A:$A,$C100,符文权重!$D:$D))),"")</f>
        <v>0.0196666666666667</v>
      </c>
      <c r="R100" s="26" t="s">
        <v>181</v>
      </c>
      <c r="S100" s="26" t="s">
        <v>200</v>
      </c>
      <c r="T100" s="26" t="e">
        <f>IF(B100="","",SUBSTITUTE(SUBSTITUTE("[{global_atk,"&amp;#REF!*C100&amp;"}]",21,20),9,8))</f>
        <v>#REF!</v>
      </c>
      <c r="U100" s="40" t="str">
        <f t="shared" si="50"/>
        <v>[5501127]</v>
      </c>
      <c r="V100" s="26" t="s">
        <v>276</v>
      </c>
      <c r="W100" s="25"/>
      <c r="X100" s="32">
        <v>100</v>
      </c>
      <c r="Y100" s="25"/>
      <c r="Z100" s="32" t="s">
        <v>180</v>
      </c>
      <c r="AA100" s="32" t="str">
        <f t="shared" si="46"/>
        <v>法师职业伤害+20%</v>
      </c>
      <c r="AB100" s="32"/>
      <c r="AC100" s="32" t="s">
        <v>166</v>
      </c>
      <c r="AD100" s="32">
        <f t="shared" si="41"/>
        <v>1095</v>
      </c>
      <c r="AE100" s="38" t="str">
        <f t="shared" si="36"/>
        <v>5501121</v>
      </c>
      <c r="AF100" s="32" t="str">
        <f t="shared" si="37"/>
        <v>[20]</v>
      </c>
      <c r="AG100" s="26">
        <v>1</v>
      </c>
      <c r="AH100" s="26"/>
      <c r="AI100" s="26">
        <v>0</v>
      </c>
      <c r="AJ100" s="25" t="s">
        <v>167</v>
      </c>
      <c r="AK100" s="38">
        <f t="shared" si="51"/>
        <v>5501127</v>
      </c>
      <c r="AL100" s="41" t="str">
        <f t="shared" si="52"/>
        <v>法师职业伤害&lt;color=#54b76b&gt;+%s%&lt;/color&gt;</v>
      </c>
      <c r="AM100" s="26">
        <v>20</v>
      </c>
      <c r="AN100" s="26">
        <v>1</v>
      </c>
      <c r="AO100" s="26" t="s">
        <v>32</v>
      </c>
      <c r="AP100" s="20">
        <f t="shared" si="42"/>
        <v>95</v>
      </c>
    </row>
    <row r="101" s="20" customFormat="1" customHeight="1" spans="1:42">
      <c r="A101" s="38" t="s">
        <v>167</v>
      </c>
      <c r="B101" s="38" t="str">
        <f t="shared" si="33"/>
        <v/>
      </c>
      <c r="C101" s="32" t="str">
        <f t="shared" si="34"/>
        <v/>
      </c>
      <c r="D101" s="32"/>
      <c r="E101" s="26"/>
      <c r="F101" s="26" t="str">
        <f t="shared" si="38"/>
        <v/>
      </c>
      <c r="G101" s="26" t="str">
        <f>IFERROR(IF(--MID($E101,2*COUNTIF($F101:F101,"&gt;"&amp;0)+2,1)=G$1,G$1,""),"")</f>
        <v/>
      </c>
      <c r="H101" s="26" t="str">
        <f>IFERROR(IF(--MID($E101,2*COUNTIF($F101:G101,"&gt;"&amp;0)+2,1)=H$1,H$1,""),"")</f>
        <v/>
      </c>
      <c r="I101" s="26" t="str">
        <f>IFERROR(IF(--MID($E101,2*COUNTIF($F101:H101,"&gt;"&amp;0)+2,1)=I$1,I$1,""),"")</f>
        <v/>
      </c>
      <c r="J101" s="26" t="str">
        <f>IFERROR(IF(--MID($E101,2*COUNTIF($F101:I101,"&gt;"&amp;0)+2,1)=J$1,J$1,""),"")</f>
        <v/>
      </c>
      <c r="K101" s="26" t="str">
        <f>IFERROR(IF(--MID($E101,2*COUNTIF($F101:J101,"&gt;"&amp;0)+2,1)=K$1,K$1,""),"")</f>
        <v/>
      </c>
      <c r="L101" s="39" t="str" cm="1">
        <f t="array" ref="L101">IFERROR(IF($A101="","",IF(F101="","",_xlfn.XLOOKUP($C101&amp;"_"&amp;$AG101,符文权重!$A:$A&amp;"_"&amp;符文权重!$C:$C,符文权重!$D:$D)*$X101/SUMIFS($X:$X,F:F,F101,$C:$C,$C101,$AG:$AG,$AG101)/SUMIF(符文权重!$A:$A,$C101,符文权重!$D:$D))),"")</f>
        <v/>
      </c>
      <c r="M101" s="39" t="str" cm="1">
        <f t="array" ref="M101">IFERROR(IF($A101="","",IF(G101="","",_xlfn.XLOOKUP($C101&amp;"_"&amp;$AG101,符文权重!$A:$A&amp;"_"&amp;符文权重!$C:$C,符文权重!$D:$D)*$X101/SUMIFS($X:$X,G:G,G101,$C:$C,$C101,$AG:$AG,$AG101)/SUMIF(符文权重!$A:$A,$C101,符文权重!$D:$D))),"")</f>
        <v/>
      </c>
      <c r="N101" s="39" t="str" cm="1">
        <f t="array" ref="N101">IFERROR(IF($A101="","",IF(H101="","",_xlfn.XLOOKUP($C101&amp;"_"&amp;$AG101,符文权重!$A:$A&amp;"_"&amp;符文权重!$C:$C,符文权重!$D:$D)*$X101/SUMIFS($X:$X,H:H,H101,$C:$C,$C101,$AG:$AG,$AG101)/SUMIF(符文权重!$A:$A,$C101,符文权重!$D:$D))),"")</f>
        <v/>
      </c>
      <c r="O101" s="39" t="str" cm="1">
        <f t="array" ref="O101">IFERROR(IF($A101="","",IF(I101="","",_xlfn.XLOOKUP($C101&amp;"_"&amp;$AG101,符文权重!$A:$A&amp;"_"&amp;符文权重!$C:$C,符文权重!$D:$D)*$X101/SUMIFS($X:$X,I:I,I101,$C:$C,$C101,$AG:$AG,$AG101)/SUMIF(符文权重!$A:$A,$C101,符文权重!$D:$D))),"")</f>
        <v/>
      </c>
      <c r="P101" s="39" t="str" cm="1">
        <f t="array" ref="P101">IFERROR(IF($A101="","",IF(J101="","",_xlfn.XLOOKUP($C101&amp;"_"&amp;$AG101,符文权重!$A:$A&amp;"_"&amp;符文权重!$C:$C,符文权重!$D:$D)*$X101/SUMIFS($X:$X,J:J,J101,$C:$C,$C101,$AG:$AG,$AG101)/SUMIF(符文权重!$A:$A,$C101,符文权重!$D:$D))),"")</f>
        <v/>
      </c>
      <c r="Q101" s="39" t="str" cm="1">
        <f t="array" ref="Q101">IFERROR(IF($A101="","",IF(K101="","",_xlfn.XLOOKUP($C101&amp;"_"&amp;$AG101,符文权重!$A:$A&amp;"_"&amp;符文权重!$C:$C,符文权重!$D:$D)*$X101/SUMIFS($X:$X,K:K,K101,$C:$C,$C101,$AG:$AG,$AG101)/SUMIF(符文权重!$A:$A,$C101,符文权重!$D:$D))),"")</f>
        <v/>
      </c>
      <c r="R101" s="26"/>
      <c r="S101" s="26"/>
      <c r="T101" s="26"/>
      <c r="U101" s="40"/>
      <c r="V101" s="26"/>
      <c r="W101" s="25"/>
      <c r="X101" s="32"/>
      <c r="Y101" s="25"/>
      <c r="Z101" s="32" t="s">
        <v>167</v>
      </c>
      <c r="AA101" s="32" t="str">
        <f t="shared" si="46"/>
        <v/>
      </c>
      <c r="AB101" s="32"/>
      <c r="AC101" s="32" t="s">
        <v>166</v>
      </c>
      <c r="AD101" s="32">
        <f t="shared" si="41"/>
        <v>1096</v>
      </c>
      <c r="AE101" s="38" t="str">
        <f t="shared" si="36"/>
        <v/>
      </c>
      <c r="AF101" s="32" t="str">
        <f t="shared" si="37"/>
        <v/>
      </c>
      <c r="AG101" s="26"/>
      <c r="AH101" s="26"/>
      <c r="AI101" s="26"/>
      <c r="AJ101" s="25" t="s">
        <v>167</v>
      </c>
      <c r="AK101" s="24"/>
      <c r="AL101" s="42"/>
      <c r="AM101" s="26"/>
      <c r="AN101" s="26"/>
      <c r="AO101" s="26"/>
      <c r="AP101" s="20">
        <f t="shared" si="42"/>
        <v>96</v>
      </c>
    </row>
    <row r="102" s="20" customFormat="1" customHeight="1" spans="1:42">
      <c r="A102" s="38">
        <v>5501131</v>
      </c>
      <c r="B102" s="38" t="str">
        <f t="shared" si="33"/>
        <v>5501131</v>
      </c>
      <c r="C102" s="32">
        <f t="shared" si="34"/>
        <v>1</v>
      </c>
      <c r="D102" s="32"/>
      <c r="E102" s="26" t="s">
        <v>162</v>
      </c>
      <c r="F102" s="26">
        <f t="shared" si="38"/>
        <v>1</v>
      </c>
      <c r="G102" s="26">
        <f>IFERROR(IF(--MID($E102,2*COUNTIF($F102:F102,"&gt;"&amp;0)+2,1)=G$1,G$1,""),"")</f>
        <v>2</v>
      </c>
      <c r="H102" s="26">
        <f>IFERROR(IF(--MID($E102,2*COUNTIF($F102:G102,"&gt;"&amp;0)+2,1)=H$1,H$1,""),"")</f>
        <v>3</v>
      </c>
      <c r="I102" s="26">
        <f>IFERROR(IF(--MID($E102,2*COUNTIF($F102:H102,"&gt;"&amp;0)+2,1)=I$1,I$1,""),"")</f>
        <v>4</v>
      </c>
      <c r="J102" s="26">
        <f>IFERROR(IF(--MID($E102,2*COUNTIF($F102:I102,"&gt;"&amp;0)+2,1)=J$1,J$1,""),"")</f>
        <v>5</v>
      </c>
      <c r="K102" s="26">
        <f>IFERROR(IF(--MID($E102,2*COUNTIF($F102:J102,"&gt;"&amp;0)+2,1)=K$1,K$1,""),"")</f>
        <v>6</v>
      </c>
      <c r="L102" s="39" cm="1">
        <f t="array" ref="L102">IFERROR(IF($A102="","",IF(F102="","",_xlfn.XLOOKUP($C102&amp;"_"&amp;$AG102,符文权重!$A:$A&amp;"_"&amp;符文权重!$C:$C,符文权重!$D:$D)*$X102/SUMIFS($X:$X,F:F,F102,$C:$C,$C102,$AG:$AG,$AG102)/SUMIF(符文权重!$A:$A,$C102,符文权重!$D:$D))),"")</f>
        <v>0.05</v>
      </c>
      <c r="M102" s="39" cm="1">
        <f t="array" ref="M102">IFERROR(IF($A102="","",IF(G102="","",_xlfn.XLOOKUP($C102&amp;"_"&amp;$AG102,符文权重!$A:$A&amp;"_"&amp;符文权重!$C:$C,符文权重!$D:$D)*$X102/SUMIFS($X:$X,G:G,G102,$C:$C,$C102,$AG:$AG,$AG102)/SUMIF(符文权重!$A:$A,$C102,符文权重!$D:$D))),"")</f>
        <v>0.05</v>
      </c>
      <c r="N102" s="39" cm="1">
        <f t="array" ref="N102">IFERROR(IF($A102="","",IF(H102="","",_xlfn.XLOOKUP($C102&amp;"_"&amp;$AG102,符文权重!$A:$A&amp;"_"&amp;符文权重!$C:$C,符文权重!$D:$D)*$X102/SUMIFS($X:$X,H:H,H102,$C:$C,$C102,$AG:$AG,$AG102)/SUMIF(符文权重!$A:$A,$C102,符文权重!$D:$D))),"")</f>
        <v>0.05</v>
      </c>
      <c r="O102" s="39" cm="1">
        <f t="array" ref="O102">IFERROR(IF($A102="","",IF(I102="","",_xlfn.XLOOKUP($C102&amp;"_"&amp;$AG102,符文权重!$A:$A&amp;"_"&amp;符文权重!$C:$C,符文权重!$D:$D)*$X102/SUMIFS($X:$X,I:I,I102,$C:$C,$C102,$AG:$AG,$AG102)/SUMIF(符文权重!$A:$A,$C102,符文权重!$D:$D))),"")</f>
        <v>0.05</v>
      </c>
      <c r="P102" s="39" cm="1">
        <f t="array" ref="P102">IFERROR(IF($A102="","",IF(J102="","",_xlfn.XLOOKUP($C102&amp;"_"&amp;$AG102,符文权重!$A:$A&amp;"_"&amp;符文权重!$C:$C,符文权重!$D:$D)*$X102/SUMIFS($X:$X,J:J,J102,$C:$C,$C102,$AG:$AG,$AG102)/SUMIF(符文权重!$A:$A,$C102,符文权重!$D:$D))),"")</f>
        <v>0.05</v>
      </c>
      <c r="Q102" s="39" cm="1">
        <f t="array" ref="Q102">IFERROR(IF($A102="","",IF(K102="","",_xlfn.XLOOKUP($C102&amp;"_"&amp;$AG102,符文权重!$A:$A&amp;"_"&amp;符文权重!$C:$C,符文权重!$D:$D)*$X102/SUMIFS($X:$X,K:K,K102,$C:$C,$C102,$AG:$AG,$AG102)/SUMIF(符文权重!$A:$A,$C102,符文权重!$D:$D))),"")</f>
        <v>0.05</v>
      </c>
      <c r="R102" s="26" t="s">
        <v>181</v>
      </c>
      <c r="S102" s="26" t="s">
        <v>209</v>
      </c>
      <c r="T102" s="26" t="e">
        <f>IF(B102="","",SUBSTITUTE(SUBSTITUTE("[{global_atk,"&amp;#REF!*C102&amp;"}]",21,20),9,8))</f>
        <v>#REF!</v>
      </c>
      <c r="U102" s="40" t="str">
        <f t="shared" ref="U102:U108" si="53">"["&amp;A102&amp;"]"</f>
        <v>[5501131]</v>
      </c>
      <c r="V102" s="26" t="s">
        <v>277</v>
      </c>
      <c r="W102" s="25"/>
      <c r="X102" s="32">
        <v>100</v>
      </c>
      <c r="Y102" s="25"/>
      <c r="Z102" s="32" t="s">
        <v>165</v>
      </c>
      <c r="AA102" s="32" t="str">
        <f t="shared" si="46"/>
        <v>毒系职业伤害+4%</v>
      </c>
      <c r="AB102" s="32"/>
      <c r="AC102" s="32" t="s">
        <v>166</v>
      </c>
      <c r="AD102" s="32">
        <f t="shared" si="41"/>
        <v>1097</v>
      </c>
      <c r="AE102" s="38" t="str">
        <f t="shared" si="36"/>
        <v>5501131</v>
      </c>
      <c r="AF102" s="32" t="str">
        <f t="shared" si="37"/>
        <v>[4]</v>
      </c>
      <c r="AG102" s="26">
        <v>1</v>
      </c>
      <c r="AH102" s="26"/>
      <c r="AI102" s="26">
        <v>0</v>
      </c>
      <c r="AJ102" s="25" t="s">
        <v>167</v>
      </c>
      <c r="AK102" s="24">
        <v>5501131</v>
      </c>
      <c r="AL102" s="42" t="s">
        <v>278</v>
      </c>
      <c r="AM102" s="26">
        <v>4</v>
      </c>
      <c r="AN102" s="26">
        <v>1</v>
      </c>
      <c r="AO102" s="26" t="s">
        <v>32</v>
      </c>
      <c r="AP102" s="20">
        <f t="shared" si="42"/>
        <v>97</v>
      </c>
    </row>
    <row r="103" s="20" customFormat="1" customHeight="1" spans="1:42">
      <c r="A103" s="38">
        <v>5501132</v>
      </c>
      <c r="B103" s="38" t="str">
        <f t="shared" si="33"/>
        <v>5501131</v>
      </c>
      <c r="C103" s="32">
        <f t="shared" si="34"/>
        <v>2</v>
      </c>
      <c r="D103" s="32"/>
      <c r="E103" s="26" t="s">
        <v>162</v>
      </c>
      <c r="F103" s="26">
        <f t="shared" si="38"/>
        <v>1</v>
      </c>
      <c r="G103" s="26">
        <f>IFERROR(IF(--MID($E103,2*COUNTIF($F103:F103,"&gt;"&amp;0)+2,1)=G$1,G$1,""),"")</f>
        <v>2</v>
      </c>
      <c r="H103" s="26">
        <f>IFERROR(IF(--MID($E103,2*COUNTIF($F103:G103,"&gt;"&amp;0)+2,1)=H$1,H$1,""),"")</f>
        <v>3</v>
      </c>
      <c r="I103" s="26">
        <f>IFERROR(IF(--MID($E103,2*COUNTIF($F103:H103,"&gt;"&amp;0)+2,1)=I$1,I$1,""),"")</f>
        <v>4</v>
      </c>
      <c r="J103" s="26">
        <f>IFERROR(IF(--MID($E103,2*COUNTIF($F103:I103,"&gt;"&amp;0)+2,1)=J$1,J$1,""),"")</f>
        <v>5</v>
      </c>
      <c r="K103" s="26">
        <f>IFERROR(IF(--MID($E103,2*COUNTIF($F103:J103,"&gt;"&amp;0)+2,1)=K$1,K$1,""),"")</f>
        <v>6</v>
      </c>
      <c r="L103" s="39" cm="1">
        <f t="array" ref="L103">IFERROR(IF($A103="","",IF(F103="","",_xlfn.XLOOKUP($C103&amp;"_"&amp;$AG103,符文权重!$A:$A&amp;"_"&amp;符文权重!$C:$C,符文权重!$D:$D)*$X103/SUMIFS($X:$X,F:F,F103,$C:$C,$C103,$AG:$AG,$AG103)/SUMIF(符文权重!$A:$A,$C103,符文权重!$D:$D))),"")</f>
        <v>0.0363636363636364</v>
      </c>
      <c r="M103" s="39" cm="1">
        <f t="array" ref="M103">IFERROR(IF($A103="","",IF(G103="","",_xlfn.XLOOKUP($C103&amp;"_"&amp;$AG103,符文权重!$A:$A&amp;"_"&amp;符文权重!$C:$C,符文权重!$D:$D)*$X103/SUMIFS($X:$X,G:G,G103,$C:$C,$C103,$AG:$AG,$AG103)/SUMIF(符文权重!$A:$A,$C103,符文权重!$D:$D))),"")</f>
        <v>0.0363636363636364</v>
      </c>
      <c r="N103" s="39" cm="1">
        <f t="array" ref="N103">IFERROR(IF($A103="","",IF(H103="","",_xlfn.XLOOKUP($C103&amp;"_"&amp;$AG103,符文权重!$A:$A&amp;"_"&amp;符文权重!$C:$C,符文权重!$D:$D)*$X103/SUMIFS($X:$X,H:H,H103,$C:$C,$C103,$AG:$AG,$AG103)/SUMIF(符文权重!$A:$A,$C103,符文权重!$D:$D))),"")</f>
        <v>0.0363636363636364</v>
      </c>
      <c r="O103" s="39" cm="1">
        <f t="array" ref="O103">IFERROR(IF($A103="","",IF(I103="","",_xlfn.XLOOKUP($C103&amp;"_"&amp;$AG103,符文权重!$A:$A&amp;"_"&amp;符文权重!$C:$C,符文权重!$D:$D)*$X103/SUMIFS($X:$X,I:I,I103,$C:$C,$C103,$AG:$AG,$AG103)/SUMIF(符文权重!$A:$A,$C103,符文权重!$D:$D))),"")</f>
        <v>0.0363636363636364</v>
      </c>
      <c r="P103" s="39" cm="1">
        <f t="array" ref="P103">IFERROR(IF($A103="","",IF(J103="","",_xlfn.XLOOKUP($C103&amp;"_"&amp;$AG103,符文权重!$A:$A&amp;"_"&amp;符文权重!$C:$C,符文权重!$D:$D)*$X103/SUMIFS($X:$X,J:J,J103,$C:$C,$C103,$AG:$AG,$AG103)/SUMIF(符文权重!$A:$A,$C103,符文权重!$D:$D))),"")</f>
        <v>0.0363636363636364</v>
      </c>
      <c r="Q103" s="39" cm="1">
        <f t="array" ref="Q103">IFERROR(IF($A103="","",IF(K103="","",_xlfn.XLOOKUP($C103&amp;"_"&amp;$AG103,符文权重!$A:$A&amp;"_"&amp;符文权重!$C:$C,符文权重!$D:$D)*$X103/SUMIFS($X:$X,K:K,K103,$C:$C,$C103,$AG:$AG,$AG103)/SUMIF(符文权重!$A:$A,$C103,符文权重!$D:$D))),"")</f>
        <v>0.0363636363636364</v>
      </c>
      <c r="R103" s="26" t="s">
        <v>181</v>
      </c>
      <c r="S103" s="26" t="s">
        <v>209</v>
      </c>
      <c r="T103" s="26" t="e">
        <f>IF(B103="","",SUBSTITUTE(SUBSTITUTE("[{global_atk,"&amp;#REF!*C103&amp;"}]",21,20),9,8))</f>
        <v>#REF!</v>
      </c>
      <c r="U103" s="40" t="str">
        <f t="shared" si="53"/>
        <v>[5501132]</v>
      </c>
      <c r="V103" s="26" t="s">
        <v>279</v>
      </c>
      <c r="W103" s="25"/>
      <c r="X103" s="32">
        <v>100</v>
      </c>
      <c r="Y103" s="25"/>
      <c r="Z103" s="32" t="s">
        <v>170</v>
      </c>
      <c r="AA103" s="32" t="str">
        <f t="shared" si="46"/>
        <v>毒系职业伤害+6%</v>
      </c>
      <c r="AB103" s="32"/>
      <c r="AC103" s="32" t="s">
        <v>166</v>
      </c>
      <c r="AD103" s="32">
        <f t="shared" si="41"/>
        <v>1098</v>
      </c>
      <c r="AE103" s="38" t="str">
        <f t="shared" si="36"/>
        <v>5501131</v>
      </c>
      <c r="AF103" s="32" t="str">
        <f t="shared" si="37"/>
        <v>[6]</v>
      </c>
      <c r="AG103" s="26">
        <v>1</v>
      </c>
      <c r="AH103" s="26"/>
      <c r="AI103" s="26">
        <v>0</v>
      </c>
      <c r="AJ103" s="25" t="s">
        <v>167</v>
      </c>
      <c r="AK103" s="38">
        <f t="shared" ref="AK103:AK108" si="54">AK102+1</f>
        <v>5501132</v>
      </c>
      <c r="AL103" s="41" t="str">
        <f t="shared" ref="AL103:AL108" si="55">AL102</f>
        <v>毒系职业伤害&lt;color=#54b76b&gt;+%s%&lt;/color&gt;</v>
      </c>
      <c r="AM103" s="26">
        <v>6</v>
      </c>
      <c r="AN103" s="26">
        <v>1</v>
      </c>
      <c r="AO103" s="26" t="s">
        <v>32</v>
      </c>
      <c r="AP103" s="20">
        <f t="shared" si="42"/>
        <v>98</v>
      </c>
    </row>
    <row r="104" s="20" customFormat="1" customHeight="1" spans="1:42">
      <c r="A104" s="38">
        <v>5501133</v>
      </c>
      <c r="B104" s="38" t="str">
        <f t="shared" si="33"/>
        <v>5501131</v>
      </c>
      <c r="C104" s="32">
        <f t="shared" si="34"/>
        <v>3</v>
      </c>
      <c r="D104" s="32"/>
      <c r="E104" s="26" t="s">
        <v>162</v>
      </c>
      <c r="F104" s="26">
        <f t="shared" si="38"/>
        <v>1</v>
      </c>
      <c r="G104" s="26">
        <f>IFERROR(IF(--MID($E104,2*COUNTIF($F104:F104,"&gt;"&amp;0)+2,1)=G$1,G$1,""),"")</f>
        <v>2</v>
      </c>
      <c r="H104" s="26">
        <f>IFERROR(IF(--MID($E104,2*COUNTIF($F104:G104,"&gt;"&amp;0)+2,1)=H$1,H$1,""),"")</f>
        <v>3</v>
      </c>
      <c r="I104" s="26">
        <f>IFERROR(IF(--MID($E104,2*COUNTIF($F104:H104,"&gt;"&amp;0)+2,1)=I$1,I$1,""),"")</f>
        <v>4</v>
      </c>
      <c r="J104" s="26">
        <f>IFERROR(IF(--MID($E104,2*COUNTIF($F104:I104,"&gt;"&amp;0)+2,1)=J$1,J$1,""),"")</f>
        <v>5</v>
      </c>
      <c r="K104" s="26">
        <f>IFERROR(IF(--MID($E104,2*COUNTIF($F104:J104,"&gt;"&amp;0)+2,1)=K$1,K$1,""),"")</f>
        <v>6</v>
      </c>
      <c r="L104" s="39" cm="1">
        <f t="array" ref="L104">IFERROR(IF($A104="","",IF(F104="","",_xlfn.XLOOKUP($C104&amp;"_"&amp;$AG104,符文权重!$A:$A&amp;"_"&amp;符文权重!$C:$C,符文权重!$D:$D)*$X104/SUMIFS($X:$X,F:F,F104,$C:$C,$C104,$AG:$AG,$AG104)/SUMIF(符文权重!$A:$A,$C104,符文权重!$D:$D))),"")</f>
        <v>0.035</v>
      </c>
      <c r="M104" s="39" cm="1">
        <f t="array" ref="M104">IFERROR(IF($A104="","",IF(G104="","",_xlfn.XLOOKUP($C104&amp;"_"&amp;$AG104,符文权重!$A:$A&amp;"_"&amp;符文权重!$C:$C,符文权重!$D:$D)*$X104/SUMIFS($X:$X,G:G,G104,$C:$C,$C104,$AG:$AG,$AG104)/SUMIF(符文权重!$A:$A,$C104,符文权重!$D:$D))),"")</f>
        <v>0.035</v>
      </c>
      <c r="N104" s="39" cm="1">
        <f t="array" ref="N104">IFERROR(IF($A104="","",IF(H104="","",_xlfn.XLOOKUP($C104&amp;"_"&amp;$AG104,符文权重!$A:$A&amp;"_"&amp;符文权重!$C:$C,符文权重!$D:$D)*$X104/SUMIFS($X:$X,H:H,H104,$C:$C,$C104,$AG:$AG,$AG104)/SUMIF(符文权重!$A:$A,$C104,符文权重!$D:$D))),"")</f>
        <v>0.035</v>
      </c>
      <c r="O104" s="39" cm="1">
        <f t="array" ref="O104">IFERROR(IF($A104="","",IF(I104="","",_xlfn.XLOOKUP($C104&amp;"_"&amp;$AG104,符文权重!$A:$A&amp;"_"&amp;符文权重!$C:$C,符文权重!$D:$D)*$X104/SUMIFS($X:$X,I:I,I104,$C:$C,$C104,$AG:$AG,$AG104)/SUMIF(符文权重!$A:$A,$C104,符文权重!$D:$D))),"")</f>
        <v>0.035</v>
      </c>
      <c r="P104" s="39" cm="1">
        <f t="array" ref="P104">IFERROR(IF($A104="","",IF(J104="","",_xlfn.XLOOKUP($C104&amp;"_"&amp;$AG104,符文权重!$A:$A&amp;"_"&amp;符文权重!$C:$C,符文权重!$D:$D)*$X104/SUMIFS($X:$X,J:J,J104,$C:$C,$C104,$AG:$AG,$AG104)/SUMIF(符文权重!$A:$A,$C104,符文权重!$D:$D))),"")</f>
        <v>0.035</v>
      </c>
      <c r="Q104" s="39" cm="1">
        <f t="array" ref="Q104">IFERROR(IF($A104="","",IF(K104="","",_xlfn.XLOOKUP($C104&amp;"_"&amp;$AG104,符文权重!$A:$A&amp;"_"&amp;符文权重!$C:$C,符文权重!$D:$D)*$X104/SUMIFS($X:$X,K:K,K104,$C:$C,$C104,$AG:$AG,$AG104)/SUMIF(符文权重!$A:$A,$C104,符文权重!$D:$D))),"")</f>
        <v>0.035</v>
      </c>
      <c r="R104" s="26" t="s">
        <v>181</v>
      </c>
      <c r="S104" s="26" t="s">
        <v>209</v>
      </c>
      <c r="T104" s="26" t="e">
        <f>IF(B104="","",SUBSTITUTE(SUBSTITUTE("[{global_atk,"&amp;#REF!*C104&amp;"}]",21,20),9,8))</f>
        <v>#REF!</v>
      </c>
      <c r="U104" s="40" t="str">
        <f t="shared" si="53"/>
        <v>[5501133]</v>
      </c>
      <c r="V104" s="26" t="s">
        <v>280</v>
      </c>
      <c r="W104" s="25"/>
      <c r="X104" s="32">
        <v>100</v>
      </c>
      <c r="Y104" s="25"/>
      <c r="Z104" s="32" t="s">
        <v>172</v>
      </c>
      <c r="AA104" s="32" t="str">
        <f t="shared" si="46"/>
        <v>毒系职业伤害+8%</v>
      </c>
      <c r="AB104" s="32"/>
      <c r="AC104" s="32" t="s">
        <v>166</v>
      </c>
      <c r="AD104" s="32">
        <f t="shared" si="41"/>
        <v>1099</v>
      </c>
      <c r="AE104" s="38" t="str">
        <f t="shared" si="36"/>
        <v>5501131</v>
      </c>
      <c r="AF104" s="32" t="str">
        <f t="shared" si="37"/>
        <v>[8]</v>
      </c>
      <c r="AG104" s="26">
        <v>1</v>
      </c>
      <c r="AH104" s="26"/>
      <c r="AI104" s="26">
        <v>0</v>
      </c>
      <c r="AJ104" s="25" t="s">
        <v>167</v>
      </c>
      <c r="AK104" s="38">
        <f t="shared" si="54"/>
        <v>5501133</v>
      </c>
      <c r="AL104" s="41" t="str">
        <f t="shared" si="55"/>
        <v>毒系职业伤害&lt;color=#54b76b&gt;+%s%&lt;/color&gt;</v>
      </c>
      <c r="AM104" s="26">
        <v>8</v>
      </c>
      <c r="AN104" s="26">
        <v>1</v>
      </c>
      <c r="AO104" s="26" t="s">
        <v>32</v>
      </c>
      <c r="AP104" s="20">
        <f t="shared" si="42"/>
        <v>99</v>
      </c>
    </row>
    <row r="105" s="20" customFormat="1" customHeight="1" spans="1:42">
      <c r="A105" s="38">
        <v>5501134</v>
      </c>
      <c r="B105" s="38" t="str">
        <f t="shared" si="33"/>
        <v>5501131</v>
      </c>
      <c r="C105" s="32">
        <f t="shared" si="34"/>
        <v>4</v>
      </c>
      <c r="D105" s="32"/>
      <c r="E105" s="26" t="s">
        <v>162</v>
      </c>
      <c r="F105" s="26">
        <f t="shared" si="38"/>
        <v>1</v>
      </c>
      <c r="G105" s="26">
        <f>IFERROR(IF(--MID($E105,2*COUNTIF($F105:F105,"&gt;"&amp;0)+2,1)=G$1,G$1,""),"")</f>
        <v>2</v>
      </c>
      <c r="H105" s="26">
        <f>IFERROR(IF(--MID($E105,2*COUNTIF($F105:G105,"&gt;"&amp;0)+2,1)=H$1,H$1,""),"")</f>
        <v>3</v>
      </c>
      <c r="I105" s="26">
        <f>IFERROR(IF(--MID($E105,2*COUNTIF($F105:H105,"&gt;"&amp;0)+2,1)=I$1,I$1,""),"")</f>
        <v>4</v>
      </c>
      <c r="J105" s="26">
        <f>IFERROR(IF(--MID($E105,2*COUNTIF($F105:I105,"&gt;"&amp;0)+2,1)=J$1,J$1,""),"")</f>
        <v>5</v>
      </c>
      <c r="K105" s="26">
        <f>IFERROR(IF(--MID($E105,2*COUNTIF($F105:J105,"&gt;"&amp;0)+2,1)=K$1,K$1,""),"")</f>
        <v>6</v>
      </c>
      <c r="L105" s="39" cm="1">
        <f t="array" ref="L105">IFERROR(IF($A105="","",IF(F105="","",_xlfn.XLOOKUP($C105&amp;"_"&amp;$AG105,符文权重!$A:$A&amp;"_"&amp;符文权重!$C:$C,符文权重!$D:$D)*$X105/SUMIFS($X:$X,F:F,F105,$C:$C,$C105,$AG:$AG,$AG105)/SUMIF(符文权重!$A:$A,$C105,符文权重!$D:$D))),"")</f>
        <v>0.022913616398243</v>
      </c>
      <c r="M105" s="39" cm="1">
        <f t="array" ref="M105">IFERROR(IF($A105="","",IF(G105="","",_xlfn.XLOOKUP($C105&amp;"_"&amp;$AG105,符文权重!$A:$A&amp;"_"&amp;符文权重!$C:$C,符文权重!$D:$D)*$X105/SUMIFS($X:$X,G:G,G105,$C:$C,$C105,$AG:$AG,$AG105)/SUMIF(符文权重!$A:$A,$C105,符文权重!$D:$D))),"")</f>
        <v>0.022913616398243</v>
      </c>
      <c r="N105" s="39" cm="1">
        <f t="array" ref="N105">IFERROR(IF($A105="","",IF(H105="","",_xlfn.XLOOKUP($C105&amp;"_"&amp;$AG105,符文权重!$A:$A&amp;"_"&amp;符文权重!$C:$C,符文权重!$D:$D)*$X105/SUMIFS($X:$X,H:H,H105,$C:$C,$C105,$AG:$AG,$AG105)/SUMIF(符文权重!$A:$A,$C105,符文权重!$D:$D))),"")</f>
        <v>0.022913616398243</v>
      </c>
      <c r="O105" s="39" cm="1">
        <f t="array" ref="O105">IFERROR(IF($A105="","",IF(I105="","",_xlfn.XLOOKUP($C105&amp;"_"&amp;$AG105,符文权重!$A:$A&amp;"_"&amp;符文权重!$C:$C,符文权重!$D:$D)*$X105/SUMIFS($X:$X,I:I,I105,$C:$C,$C105,$AG:$AG,$AG105)/SUMIF(符文权重!$A:$A,$C105,符文权重!$D:$D))),"")</f>
        <v>0.022913616398243</v>
      </c>
      <c r="P105" s="39" cm="1">
        <f t="array" ref="P105">IFERROR(IF($A105="","",IF(J105="","",_xlfn.XLOOKUP($C105&amp;"_"&amp;$AG105,符文权重!$A:$A&amp;"_"&amp;符文权重!$C:$C,符文权重!$D:$D)*$X105/SUMIFS($X:$X,J:J,J105,$C:$C,$C105,$AG:$AG,$AG105)/SUMIF(符文权重!$A:$A,$C105,符文权重!$D:$D))),"")</f>
        <v>0.022913616398243</v>
      </c>
      <c r="Q105" s="39" cm="1">
        <f t="array" ref="Q105">IFERROR(IF($A105="","",IF(K105="","",_xlfn.XLOOKUP($C105&amp;"_"&amp;$AG105,符文权重!$A:$A&amp;"_"&amp;符文权重!$C:$C,符文权重!$D:$D)*$X105/SUMIFS($X:$X,K:K,K105,$C:$C,$C105,$AG:$AG,$AG105)/SUMIF(符文权重!$A:$A,$C105,符文权重!$D:$D))),"")</f>
        <v>0.022913616398243</v>
      </c>
      <c r="R105" s="26" t="s">
        <v>181</v>
      </c>
      <c r="S105" s="26" t="s">
        <v>209</v>
      </c>
      <c r="T105" s="26" t="e">
        <f>IF(B105="","",SUBSTITUTE(SUBSTITUTE("[{global_atk,"&amp;#REF!*C105&amp;"}]",21,20),9,8))</f>
        <v>#REF!</v>
      </c>
      <c r="U105" s="40" t="str">
        <f t="shared" si="53"/>
        <v>[5501134]</v>
      </c>
      <c r="V105" s="26" t="s">
        <v>281</v>
      </c>
      <c r="W105" s="25"/>
      <c r="X105" s="32">
        <v>100</v>
      </c>
      <c r="Y105" s="25"/>
      <c r="Z105" s="32" t="s">
        <v>174</v>
      </c>
      <c r="AA105" s="32" t="str">
        <f t="shared" si="46"/>
        <v>毒系职业伤害+10%</v>
      </c>
      <c r="AB105" s="32"/>
      <c r="AC105" s="32" t="s">
        <v>166</v>
      </c>
      <c r="AD105" s="32">
        <f t="shared" si="41"/>
        <v>1100</v>
      </c>
      <c r="AE105" s="38" t="str">
        <f t="shared" si="36"/>
        <v>5501131</v>
      </c>
      <c r="AF105" s="32" t="str">
        <f t="shared" si="37"/>
        <v>[10]</v>
      </c>
      <c r="AG105" s="26">
        <v>1</v>
      </c>
      <c r="AH105" s="26"/>
      <c r="AI105" s="26">
        <v>0</v>
      </c>
      <c r="AJ105" s="25" t="s">
        <v>167</v>
      </c>
      <c r="AK105" s="38">
        <f t="shared" si="54"/>
        <v>5501134</v>
      </c>
      <c r="AL105" s="41" t="str">
        <f t="shared" si="55"/>
        <v>毒系职业伤害&lt;color=#54b76b&gt;+%s%&lt;/color&gt;</v>
      </c>
      <c r="AM105" s="26">
        <v>10</v>
      </c>
      <c r="AN105" s="26">
        <v>1</v>
      </c>
      <c r="AO105" s="26" t="s">
        <v>32</v>
      </c>
      <c r="AP105" s="20">
        <f t="shared" si="42"/>
        <v>100</v>
      </c>
    </row>
    <row r="106" s="20" customFormat="1" customHeight="1" spans="1:42">
      <c r="A106" s="38">
        <v>5501135</v>
      </c>
      <c r="B106" s="38" t="str">
        <f t="shared" si="33"/>
        <v>5501131</v>
      </c>
      <c r="C106" s="32">
        <f t="shared" si="34"/>
        <v>5</v>
      </c>
      <c r="D106" s="32"/>
      <c r="E106" s="26" t="s">
        <v>162</v>
      </c>
      <c r="F106" s="26">
        <f t="shared" si="38"/>
        <v>1</v>
      </c>
      <c r="G106" s="26">
        <f>IFERROR(IF(--MID($E106,2*COUNTIF($F106:F106,"&gt;"&amp;0)+2,1)=G$1,G$1,""),"")</f>
        <v>2</v>
      </c>
      <c r="H106" s="26">
        <f>IFERROR(IF(--MID($E106,2*COUNTIF($F106:G106,"&gt;"&amp;0)+2,1)=H$1,H$1,""),"")</f>
        <v>3</v>
      </c>
      <c r="I106" s="26">
        <f>IFERROR(IF(--MID($E106,2*COUNTIF($F106:H106,"&gt;"&amp;0)+2,1)=I$1,I$1,""),"")</f>
        <v>4</v>
      </c>
      <c r="J106" s="26">
        <f>IFERROR(IF(--MID($E106,2*COUNTIF($F106:I106,"&gt;"&amp;0)+2,1)=J$1,J$1,""),"")</f>
        <v>5</v>
      </c>
      <c r="K106" s="26">
        <f>IFERROR(IF(--MID($E106,2*COUNTIF($F106:J106,"&gt;"&amp;0)+2,1)=K$1,K$1,""),"")</f>
        <v>6</v>
      </c>
      <c r="L106" s="39" cm="1">
        <f t="array" ref="L106">IFERROR(IF($A106="","",IF(F106="","",_xlfn.XLOOKUP($C106&amp;"_"&amp;$AG106,符文权重!$A:$A&amp;"_"&amp;符文权重!$C:$C,符文权重!$D:$D)*$X106/SUMIFS($X:$X,F:F,F106,$C:$C,$C106,$AG:$AG,$AG106)/SUMIF(符文权重!$A:$A,$C106,符文权重!$D:$D))),"")</f>
        <v>0.0196666666666667</v>
      </c>
      <c r="M106" s="39" cm="1">
        <f t="array" ref="M106">IFERROR(IF($A106="","",IF(G106="","",_xlfn.XLOOKUP($C106&amp;"_"&amp;$AG106,符文权重!$A:$A&amp;"_"&amp;符文权重!$C:$C,符文权重!$D:$D)*$X106/SUMIFS($X:$X,G:G,G106,$C:$C,$C106,$AG:$AG,$AG106)/SUMIF(符文权重!$A:$A,$C106,符文权重!$D:$D))),"")</f>
        <v>0.0196666666666667</v>
      </c>
      <c r="N106" s="39" cm="1">
        <f t="array" ref="N106">IFERROR(IF($A106="","",IF(H106="","",_xlfn.XLOOKUP($C106&amp;"_"&amp;$AG106,符文权重!$A:$A&amp;"_"&amp;符文权重!$C:$C,符文权重!$D:$D)*$X106/SUMIFS($X:$X,H:H,H106,$C:$C,$C106,$AG:$AG,$AG106)/SUMIF(符文权重!$A:$A,$C106,符文权重!$D:$D))),"")</f>
        <v>0.0196666666666667</v>
      </c>
      <c r="O106" s="39" cm="1">
        <f t="array" ref="O106">IFERROR(IF($A106="","",IF(I106="","",_xlfn.XLOOKUP($C106&amp;"_"&amp;$AG106,符文权重!$A:$A&amp;"_"&amp;符文权重!$C:$C,符文权重!$D:$D)*$X106/SUMIFS($X:$X,I:I,I106,$C:$C,$C106,$AG:$AG,$AG106)/SUMIF(符文权重!$A:$A,$C106,符文权重!$D:$D))),"")</f>
        <v>0.0196666666666667</v>
      </c>
      <c r="P106" s="39" cm="1">
        <f t="array" ref="P106">IFERROR(IF($A106="","",IF(J106="","",_xlfn.XLOOKUP($C106&amp;"_"&amp;$AG106,符文权重!$A:$A&amp;"_"&amp;符文权重!$C:$C,符文权重!$D:$D)*$X106/SUMIFS($X:$X,J:J,J106,$C:$C,$C106,$AG:$AG,$AG106)/SUMIF(符文权重!$A:$A,$C106,符文权重!$D:$D))),"")</f>
        <v>0.0196666666666667</v>
      </c>
      <c r="Q106" s="39" cm="1">
        <f t="array" ref="Q106">IFERROR(IF($A106="","",IF(K106="","",_xlfn.XLOOKUP($C106&amp;"_"&amp;$AG106,符文权重!$A:$A&amp;"_"&amp;符文权重!$C:$C,符文权重!$D:$D)*$X106/SUMIFS($X:$X,K:K,K106,$C:$C,$C106,$AG:$AG,$AG106)/SUMIF(符文权重!$A:$A,$C106,符文权重!$D:$D))),"")</f>
        <v>0.0196666666666667</v>
      </c>
      <c r="R106" s="26" t="s">
        <v>181</v>
      </c>
      <c r="S106" s="26" t="s">
        <v>209</v>
      </c>
      <c r="T106" s="26" t="e">
        <f>IF(B106="","",SUBSTITUTE(SUBSTITUTE("[{global_atk,"&amp;#REF!*C106&amp;"}]",21,20),9,8))</f>
        <v>#REF!</v>
      </c>
      <c r="U106" s="40" t="str">
        <f t="shared" si="53"/>
        <v>[5501135]</v>
      </c>
      <c r="V106" s="26" t="s">
        <v>282</v>
      </c>
      <c r="W106" s="25"/>
      <c r="X106" s="32">
        <v>100</v>
      </c>
      <c r="Y106" s="25"/>
      <c r="Z106" s="32" t="s">
        <v>176</v>
      </c>
      <c r="AA106" s="32" t="str">
        <f t="shared" si="46"/>
        <v>毒系职业伤害+12.5%</v>
      </c>
      <c r="AB106" s="32"/>
      <c r="AC106" s="32" t="s">
        <v>166</v>
      </c>
      <c r="AD106" s="32">
        <f t="shared" si="41"/>
        <v>1101</v>
      </c>
      <c r="AE106" s="38" t="str">
        <f t="shared" si="36"/>
        <v>5501131</v>
      </c>
      <c r="AF106" s="32" t="str">
        <f t="shared" si="37"/>
        <v>[12.5]</v>
      </c>
      <c r="AG106" s="26">
        <v>1</v>
      </c>
      <c r="AH106" s="26"/>
      <c r="AI106" s="26">
        <v>0</v>
      </c>
      <c r="AJ106" s="25" t="s">
        <v>167</v>
      </c>
      <c r="AK106" s="38">
        <f t="shared" si="54"/>
        <v>5501135</v>
      </c>
      <c r="AL106" s="41" t="str">
        <f t="shared" si="55"/>
        <v>毒系职业伤害&lt;color=#54b76b&gt;+%s%&lt;/color&gt;</v>
      </c>
      <c r="AM106" s="26">
        <v>12.5</v>
      </c>
      <c r="AN106" s="26">
        <v>1</v>
      </c>
      <c r="AO106" s="26" t="s">
        <v>32</v>
      </c>
      <c r="AP106" s="20">
        <f t="shared" si="42"/>
        <v>101</v>
      </c>
    </row>
    <row r="107" s="20" customFormat="1" customHeight="1" spans="1:42">
      <c r="A107" s="38">
        <v>5501136</v>
      </c>
      <c r="B107" s="38" t="str">
        <f t="shared" si="33"/>
        <v>5501131</v>
      </c>
      <c r="C107" s="32">
        <f t="shared" si="34"/>
        <v>6</v>
      </c>
      <c r="D107" s="32"/>
      <c r="E107" s="26" t="s">
        <v>162</v>
      </c>
      <c r="F107" s="26">
        <f t="shared" si="38"/>
        <v>1</v>
      </c>
      <c r="G107" s="26">
        <f>IFERROR(IF(--MID($E107,2*COUNTIF($F107:F107,"&gt;"&amp;0)+2,1)=G$1,G$1,""),"")</f>
        <v>2</v>
      </c>
      <c r="H107" s="26">
        <f>IFERROR(IF(--MID($E107,2*COUNTIF($F107:G107,"&gt;"&amp;0)+2,1)=H$1,H$1,""),"")</f>
        <v>3</v>
      </c>
      <c r="I107" s="26">
        <f>IFERROR(IF(--MID($E107,2*COUNTIF($F107:H107,"&gt;"&amp;0)+2,1)=I$1,I$1,""),"")</f>
        <v>4</v>
      </c>
      <c r="J107" s="26">
        <f>IFERROR(IF(--MID($E107,2*COUNTIF($F107:I107,"&gt;"&amp;0)+2,1)=J$1,J$1,""),"")</f>
        <v>5</v>
      </c>
      <c r="K107" s="26">
        <f>IFERROR(IF(--MID($E107,2*COUNTIF($F107:J107,"&gt;"&amp;0)+2,1)=K$1,K$1,""),"")</f>
        <v>6</v>
      </c>
      <c r="L107" s="39" cm="1">
        <f t="array" ref="L107">IFERROR(IF($A107="","",IF(F107="","",_xlfn.XLOOKUP($C107&amp;"_"&amp;$AG107,符文权重!$A:$A&amp;"_"&amp;符文权重!$C:$C,符文权重!$D:$D)*$X107/SUMIFS($X:$X,F:F,F107,$C:$C,$C107,$AG:$AG,$AG107)/SUMIF(符文权重!$A:$A,$C107,符文权重!$D:$D))),"")</f>
        <v>0.0196666666666667</v>
      </c>
      <c r="M107" s="39" cm="1">
        <f t="array" ref="M107">IFERROR(IF($A107="","",IF(G107="","",_xlfn.XLOOKUP($C107&amp;"_"&amp;$AG107,符文权重!$A:$A&amp;"_"&amp;符文权重!$C:$C,符文权重!$D:$D)*$X107/SUMIFS($X:$X,G:G,G107,$C:$C,$C107,$AG:$AG,$AG107)/SUMIF(符文权重!$A:$A,$C107,符文权重!$D:$D))),"")</f>
        <v>0.0196666666666667</v>
      </c>
      <c r="N107" s="39" cm="1">
        <f t="array" ref="N107">IFERROR(IF($A107="","",IF(H107="","",_xlfn.XLOOKUP($C107&amp;"_"&amp;$AG107,符文权重!$A:$A&amp;"_"&amp;符文权重!$C:$C,符文权重!$D:$D)*$X107/SUMIFS($X:$X,H:H,H107,$C:$C,$C107,$AG:$AG,$AG107)/SUMIF(符文权重!$A:$A,$C107,符文权重!$D:$D))),"")</f>
        <v>0.0196666666666667</v>
      </c>
      <c r="O107" s="39" cm="1">
        <f t="array" ref="O107">IFERROR(IF($A107="","",IF(I107="","",_xlfn.XLOOKUP($C107&amp;"_"&amp;$AG107,符文权重!$A:$A&amp;"_"&amp;符文权重!$C:$C,符文权重!$D:$D)*$X107/SUMIFS($X:$X,I:I,I107,$C:$C,$C107,$AG:$AG,$AG107)/SUMIF(符文权重!$A:$A,$C107,符文权重!$D:$D))),"")</f>
        <v>0.0196666666666667</v>
      </c>
      <c r="P107" s="39" cm="1">
        <f t="array" ref="P107">IFERROR(IF($A107="","",IF(J107="","",_xlfn.XLOOKUP($C107&amp;"_"&amp;$AG107,符文权重!$A:$A&amp;"_"&amp;符文权重!$C:$C,符文权重!$D:$D)*$X107/SUMIFS($X:$X,J:J,J107,$C:$C,$C107,$AG:$AG,$AG107)/SUMIF(符文权重!$A:$A,$C107,符文权重!$D:$D))),"")</f>
        <v>0.0196666666666667</v>
      </c>
      <c r="Q107" s="39" cm="1">
        <f t="array" ref="Q107">IFERROR(IF($A107="","",IF(K107="","",_xlfn.XLOOKUP($C107&amp;"_"&amp;$AG107,符文权重!$A:$A&amp;"_"&amp;符文权重!$C:$C,符文权重!$D:$D)*$X107/SUMIFS($X:$X,K:K,K107,$C:$C,$C107,$AG:$AG,$AG107)/SUMIF(符文权重!$A:$A,$C107,符文权重!$D:$D))),"")</f>
        <v>0.0196666666666667</v>
      </c>
      <c r="R107" s="26" t="s">
        <v>181</v>
      </c>
      <c r="S107" s="26" t="s">
        <v>209</v>
      </c>
      <c r="T107" s="26" t="e">
        <f>IF(B107="","",SUBSTITUTE(SUBSTITUTE("[{global_atk,"&amp;#REF!*C107&amp;"}]",21,20),9,8))</f>
        <v>#REF!</v>
      </c>
      <c r="U107" s="40" t="str">
        <f t="shared" si="53"/>
        <v>[5501136]</v>
      </c>
      <c r="V107" s="26" t="s">
        <v>283</v>
      </c>
      <c r="W107" s="25"/>
      <c r="X107" s="32">
        <v>100</v>
      </c>
      <c r="Y107" s="25"/>
      <c r="Z107" s="32" t="s">
        <v>178</v>
      </c>
      <c r="AA107" s="32" t="str">
        <f t="shared" si="46"/>
        <v>毒系职业伤害+15%</v>
      </c>
      <c r="AB107" s="32"/>
      <c r="AC107" s="32" t="s">
        <v>166</v>
      </c>
      <c r="AD107" s="32">
        <f t="shared" si="41"/>
        <v>1102</v>
      </c>
      <c r="AE107" s="38" t="str">
        <f t="shared" si="36"/>
        <v>5501131</v>
      </c>
      <c r="AF107" s="32" t="str">
        <f t="shared" si="37"/>
        <v>[15]</v>
      </c>
      <c r="AG107" s="26">
        <v>1</v>
      </c>
      <c r="AH107" s="26"/>
      <c r="AI107" s="26">
        <v>0</v>
      </c>
      <c r="AJ107" s="25" t="s">
        <v>167</v>
      </c>
      <c r="AK107" s="38">
        <f t="shared" si="54"/>
        <v>5501136</v>
      </c>
      <c r="AL107" s="41" t="str">
        <f t="shared" si="55"/>
        <v>毒系职业伤害&lt;color=#54b76b&gt;+%s%&lt;/color&gt;</v>
      </c>
      <c r="AM107" s="26">
        <v>15</v>
      </c>
      <c r="AN107" s="26">
        <v>1</v>
      </c>
      <c r="AO107" s="26" t="s">
        <v>32</v>
      </c>
      <c r="AP107" s="20">
        <f t="shared" si="42"/>
        <v>102</v>
      </c>
    </row>
    <row r="108" s="20" customFormat="1" customHeight="1" spans="1:42">
      <c r="A108" s="38">
        <v>5501137</v>
      </c>
      <c r="B108" s="38" t="str">
        <f t="shared" si="33"/>
        <v>5501131</v>
      </c>
      <c r="C108" s="32">
        <f t="shared" si="34"/>
        <v>7</v>
      </c>
      <c r="D108" s="32"/>
      <c r="E108" s="26" t="s">
        <v>162</v>
      </c>
      <c r="F108" s="26">
        <f t="shared" si="38"/>
        <v>1</v>
      </c>
      <c r="G108" s="26">
        <f>IFERROR(IF(--MID($E108,2*COUNTIF($F108:F108,"&gt;"&amp;0)+2,1)=G$1,G$1,""),"")</f>
        <v>2</v>
      </c>
      <c r="H108" s="26">
        <f>IFERROR(IF(--MID($E108,2*COUNTIF($F108:G108,"&gt;"&amp;0)+2,1)=H$1,H$1,""),"")</f>
        <v>3</v>
      </c>
      <c r="I108" s="26">
        <f>IFERROR(IF(--MID($E108,2*COUNTIF($F108:H108,"&gt;"&amp;0)+2,1)=I$1,I$1,""),"")</f>
        <v>4</v>
      </c>
      <c r="J108" s="26">
        <f>IFERROR(IF(--MID($E108,2*COUNTIF($F108:I108,"&gt;"&amp;0)+2,1)=J$1,J$1,""),"")</f>
        <v>5</v>
      </c>
      <c r="K108" s="26">
        <f>IFERROR(IF(--MID($E108,2*COUNTIF($F108:J108,"&gt;"&amp;0)+2,1)=K$1,K$1,""),"")</f>
        <v>6</v>
      </c>
      <c r="L108" s="39" cm="1">
        <f t="array" ref="L108">IFERROR(IF($A108="","",IF(F108="","",_xlfn.XLOOKUP($C108&amp;"_"&amp;$AG108,符文权重!$A:$A&amp;"_"&amp;符文权重!$C:$C,符文权重!$D:$D)*$X108/SUMIFS($X:$X,F:F,F108,$C:$C,$C108,$AG:$AG,$AG108)/SUMIF(符文权重!$A:$A,$C108,符文权重!$D:$D))),"")</f>
        <v>0.0196666666666667</v>
      </c>
      <c r="M108" s="39" cm="1">
        <f t="array" ref="M108">IFERROR(IF($A108="","",IF(G108="","",_xlfn.XLOOKUP($C108&amp;"_"&amp;$AG108,符文权重!$A:$A&amp;"_"&amp;符文权重!$C:$C,符文权重!$D:$D)*$X108/SUMIFS($X:$X,G:G,G108,$C:$C,$C108,$AG:$AG,$AG108)/SUMIF(符文权重!$A:$A,$C108,符文权重!$D:$D))),"")</f>
        <v>0.0196666666666667</v>
      </c>
      <c r="N108" s="39" cm="1">
        <f t="array" ref="N108">IFERROR(IF($A108="","",IF(H108="","",_xlfn.XLOOKUP($C108&amp;"_"&amp;$AG108,符文权重!$A:$A&amp;"_"&amp;符文权重!$C:$C,符文权重!$D:$D)*$X108/SUMIFS($X:$X,H:H,H108,$C:$C,$C108,$AG:$AG,$AG108)/SUMIF(符文权重!$A:$A,$C108,符文权重!$D:$D))),"")</f>
        <v>0.0196666666666667</v>
      </c>
      <c r="O108" s="39" cm="1">
        <f t="array" ref="O108">IFERROR(IF($A108="","",IF(I108="","",_xlfn.XLOOKUP($C108&amp;"_"&amp;$AG108,符文权重!$A:$A&amp;"_"&amp;符文权重!$C:$C,符文权重!$D:$D)*$X108/SUMIFS($X:$X,I:I,I108,$C:$C,$C108,$AG:$AG,$AG108)/SUMIF(符文权重!$A:$A,$C108,符文权重!$D:$D))),"")</f>
        <v>0.0196666666666667</v>
      </c>
      <c r="P108" s="39" cm="1">
        <f t="array" ref="P108">IFERROR(IF($A108="","",IF(J108="","",_xlfn.XLOOKUP($C108&amp;"_"&amp;$AG108,符文权重!$A:$A&amp;"_"&amp;符文权重!$C:$C,符文权重!$D:$D)*$X108/SUMIFS($X:$X,J:J,J108,$C:$C,$C108,$AG:$AG,$AG108)/SUMIF(符文权重!$A:$A,$C108,符文权重!$D:$D))),"")</f>
        <v>0.0196666666666667</v>
      </c>
      <c r="Q108" s="39" cm="1">
        <f t="array" ref="Q108">IFERROR(IF($A108="","",IF(K108="","",_xlfn.XLOOKUP($C108&amp;"_"&amp;$AG108,符文权重!$A:$A&amp;"_"&amp;符文权重!$C:$C,符文权重!$D:$D)*$X108/SUMIFS($X:$X,K:K,K108,$C:$C,$C108,$AG:$AG,$AG108)/SUMIF(符文权重!$A:$A,$C108,符文权重!$D:$D))),"")</f>
        <v>0.0196666666666667</v>
      </c>
      <c r="R108" s="26" t="s">
        <v>181</v>
      </c>
      <c r="S108" s="26" t="s">
        <v>209</v>
      </c>
      <c r="T108" s="26" t="e">
        <f>IF(B108="","",SUBSTITUTE(SUBSTITUTE("[{global_atk,"&amp;#REF!*C108&amp;"}]",21,20),9,8))</f>
        <v>#REF!</v>
      </c>
      <c r="U108" s="40" t="str">
        <f t="shared" si="53"/>
        <v>[5501137]</v>
      </c>
      <c r="V108" s="26" t="s">
        <v>284</v>
      </c>
      <c r="W108" s="25"/>
      <c r="X108" s="32">
        <v>100</v>
      </c>
      <c r="Y108" s="25"/>
      <c r="Z108" s="32" t="s">
        <v>180</v>
      </c>
      <c r="AA108" s="32" t="str">
        <f t="shared" si="46"/>
        <v>毒系职业伤害+20%</v>
      </c>
      <c r="AB108" s="32"/>
      <c r="AC108" s="32" t="s">
        <v>166</v>
      </c>
      <c r="AD108" s="32">
        <f t="shared" si="41"/>
        <v>1103</v>
      </c>
      <c r="AE108" s="38" t="str">
        <f t="shared" si="36"/>
        <v>5501131</v>
      </c>
      <c r="AF108" s="32" t="str">
        <f t="shared" si="37"/>
        <v>[20]</v>
      </c>
      <c r="AG108" s="26">
        <v>1</v>
      </c>
      <c r="AH108" s="26"/>
      <c r="AI108" s="26">
        <v>0</v>
      </c>
      <c r="AJ108" s="25" t="s">
        <v>167</v>
      </c>
      <c r="AK108" s="38">
        <f t="shared" si="54"/>
        <v>5501137</v>
      </c>
      <c r="AL108" s="41" t="str">
        <f t="shared" si="55"/>
        <v>毒系职业伤害&lt;color=#54b76b&gt;+%s%&lt;/color&gt;</v>
      </c>
      <c r="AM108" s="26">
        <v>20</v>
      </c>
      <c r="AN108" s="26">
        <v>1</v>
      </c>
      <c r="AO108" s="26" t="s">
        <v>32</v>
      </c>
      <c r="AP108" s="20">
        <f t="shared" si="42"/>
        <v>103</v>
      </c>
    </row>
    <row r="109" s="20" customFormat="1" customHeight="1" spans="1:42">
      <c r="A109" s="38" t="s">
        <v>167</v>
      </c>
      <c r="B109" s="38" t="str">
        <f t="shared" si="33"/>
        <v/>
      </c>
      <c r="C109" s="32" t="str">
        <f t="shared" si="34"/>
        <v/>
      </c>
      <c r="D109" s="32"/>
      <c r="E109" s="26"/>
      <c r="F109" s="26" t="str">
        <f t="shared" si="38"/>
        <v/>
      </c>
      <c r="G109" s="26" t="str">
        <f>IFERROR(IF(--MID($E109,2*COUNTIF($F109:F109,"&gt;"&amp;0)+2,1)=G$1,G$1,""),"")</f>
        <v/>
      </c>
      <c r="H109" s="26" t="str">
        <f>IFERROR(IF(--MID($E109,2*COUNTIF($F109:G109,"&gt;"&amp;0)+2,1)=H$1,H$1,""),"")</f>
        <v/>
      </c>
      <c r="I109" s="26" t="str">
        <f>IFERROR(IF(--MID($E109,2*COUNTIF($F109:H109,"&gt;"&amp;0)+2,1)=I$1,I$1,""),"")</f>
        <v/>
      </c>
      <c r="J109" s="26" t="str">
        <f>IFERROR(IF(--MID($E109,2*COUNTIF($F109:I109,"&gt;"&amp;0)+2,1)=J$1,J$1,""),"")</f>
        <v/>
      </c>
      <c r="K109" s="26" t="str">
        <f>IFERROR(IF(--MID($E109,2*COUNTIF($F109:J109,"&gt;"&amp;0)+2,1)=K$1,K$1,""),"")</f>
        <v/>
      </c>
      <c r="L109" s="39" t="str" cm="1">
        <f t="array" ref="L109">IFERROR(IF($A109="","",IF(F109="","",_xlfn.XLOOKUP($C109&amp;"_"&amp;$AG109,符文权重!$A:$A&amp;"_"&amp;符文权重!$C:$C,符文权重!$D:$D)*$X109/SUMIFS($X:$X,F:F,F109,$C:$C,$C109,$AG:$AG,$AG109)/SUMIF(符文权重!$A:$A,$C109,符文权重!$D:$D))),"")</f>
        <v/>
      </c>
      <c r="M109" s="39" t="str" cm="1">
        <f t="array" ref="M109">IFERROR(IF($A109="","",IF(G109="","",_xlfn.XLOOKUP($C109&amp;"_"&amp;$AG109,符文权重!$A:$A&amp;"_"&amp;符文权重!$C:$C,符文权重!$D:$D)*$X109/SUMIFS($X:$X,G:G,G109,$C:$C,$C109,$AG:$AG,$AG109)/SUMIF(符文权重!$A:$A,$C109,符文权重!$D:$D))),"")</f>
        <v/>
      </c>
      <c r="N109" s="39" t="str" cm="1">
        <f t="array" ref="N109">IFERROR(IF($A109="","",IF(H109="","",_xlfn.XLOOKUP($C109&amp;"_"&amp;$AG109,符文权重!$A:$A&amp;"_"&amp;符文权重!$C:$C,符文权重!$D:$D)*$X109/SUMIFS($X:$X,H:H,H109,$C:$C,$C109,$AG:$AG,$AG109)/SUMIF(符文权重!$A:$A,$C109,符文权重!$D:$D))),"")</f>
        <v/>
      </c>
      <c r="O109" s="39" t="str" cm="1">
        <f t="array" ref="O109">IFERROR(IF($A109="","",IF(I109="","",_xlfn.XLOOKUP($C109&amp;"_"&amp;$AG109,符文权重!$A:$A&amp;"_"&amp;符文权重!$C:$C,符文权重!$D:$D)*$X109/SUMIFS($X:$X,I:I,I109,$C:$C,$C109,$AG:$AG,$AG109)/SUMIF(符文权重!$A:$A,$C109,符文权重!$D:$D))),"")</f>
        <v/>
      </c>
      <c r="P109" s="39" t="str" cm="1">
        <f t="array" ref="P109">IFERROR(IF($A109="","",IF(J109="","",_xlfn.XLOOKUP($C109&amp;"_"&amp;$AG109,符文权重!$A:$A&amp;"_"&amp;符文权重!$C:$C,符文权重!$D:$D)*$X109/SUMIFS($X:$X,J:J,J109,$C:$C,$C109,$AG:$AG,$AG109)/SUMIF(符文权重!$A:$A,$C109,符文权重!$D:$D))),"")</f>
        <v/>
      </c>
      <c r="Q109" s="39" t="str" cm="1">
        <f t="array" ref="Q109">IFERROR(IF($A109="","",IF(K109="","",_xlfn.XLOOKUP($C109&amp;"_"&amp;$AG109,符文权重!$A:$A&amp;"_"&amp;符文权重!$C:$C,符文权重!$D:$D)*$X109/SUMIFS($X:$X,K:K,K109,$C:$C,$C109,$AG:$AG,$AG109)/SUMIF(符文权重!$A:$A,$C109,符文权重!$D:$D))),"")</f>
        <v/>
      </c>
      <c r="R109" s="26"/>
      <c r="S109" s="26"/>
      <c r="T109" s="26"/>
      <c r="U109" s="40"/>
      <c r="V109" s="26"/>
      <c r="W109" s="25"/>
      <c r="X109" s="32"/>
      <c r="Y109" s="25"/>
      <c r="Z109" s="32" t="s">
        <v>167</v>
      </c>
      <c r="AA109" s="32" t="str">
        <f t="shared" si="46"/>
        <v/>
      </c>
      <c r="AB109" s="32"/>
      <c r="AC109" s="32" t="s">
        <v>166</v>
      </c>
      <c r="AD109" s="32">
        <f t="shared" si="41"/>
        <v>1104</v>
      </c>
      <c r="AE109" s="38" t="str">
        <f t="shared" si="36"/>
        <v/>
      </c>
      <c r="AF109" s="32" t="str">
        <f t="shared" si="37"/>
        <v/>
      </c>
      <c r="AG109" s="26"/>
      <c r="AH109" s="26"/>
      <c r="AI109" s="26"/>
      <c r="AJ109" s="25" t="s">
        <v>167</v>
      </c>
      <c r="AK109" s="24"/>
      <c r="AL109" s="42"/>
      <c r="AM109" s="26"/>
      <c r="AN109" s="26"/>
      <c r="AO109" s="26"/>
      <c r="AP109" s="20">
        <f t="shared" si="42"/>
        <v>104</v>
      </c>
    </row>
    <row r="110" s="22" customFormat="1" customHeight="1" spans="1:42">
      <c r="A110" s="44">
        <v>5501141</v>
      </c>
      <c r="B110" s="44" t="str">
        <f t="shared" si="33"/>
        <v>5501141</v>
      </c>
      <c r="C110" s="45">
        <f t="shared" si="34"/>
        <v>1</v>
      </c>
      <c r="D110" s="45"/>
      <c r="E110" s="46" t="s">
        <v>162</v>
      </c>
      <c r="F110" s="26">
        <f t="shared" si="38"/>
        <v>1</v>
      </c>
      <c r="G110" s="26">
        <f>IFERROR(IF(--MID($E110,2*COUNTIF($F110:F110,"&gt;"&amp;0)+2,1)=G$1,G$1,""),"")</f>
        <v>2</v>
      </c>
      <c r="H110" s="26">
        <f>IFERROR(IF(--MID($E110,2*COUNTIF($F110:G110,"&gt;"&amp;0)+2,1)=H$1,H$1,""),"")</f>
        <v>3</v>
      </c>
      <c r="I110" s="26">
        <f>IFERROR(IF(--MID($E110,2*COUNTIF($F110:H110,"&gt;"&amp;0)+2,1)=I$1,I$1,""),"")</f>
        <v>4</v>
      </c>
      <c r="J110" s="26">
        <f>IFERROR(IF(--MID($E110,2*COUNTIF($F110:I110,"&gt;"&amp;0)+2,1)=J$1,J$1,""),"")</f>
        <v>5</v>
      </c>
      <c r="K110" s="26">
        <f>IFERROR(IF(--MID($E110,2*COUNTIF($F110:J110,"&gt;"&amp;0)+2,1)=K$1,K$1,""),"")</f>
        <v>6</v>
      </c>
      <c r="L110" s="39" t="str" cm="1">
        <f t="array" ref="L110">IFERROR(IF($A110="","",IF(F110="","",_xlfn.XLOOKUP($C110&amp;"_"&amp;$AG110,符文权重!$A:$A&amp;"_"&amp;符文权重!$C:$C,符文权重!$D:$D)*$X110/SUMIFS($X:$X,F:F,F110,$C:$C,$C110,$AG:$AG,$AG110)/SUMIF(符文权重!$A:$A,$C110,符文权重!$D:$D))),"")</f>
        <v/>
      </c>
      <c r="M110" s="39" t="str" cm="1">
        <f t="array" ref="M110">IFERROR(IF($A110="","",IF(G110="","",_xlfn.XLOOKUP($C110&amp;"_"&amp;$AG110,符文权重!$A:$A&amp;"_"&amp;符文权重!$C:$C,符文权重!$D:$D)*$X110/SUMIFS($X:$X,G:G,G110,$C:$C,$C110,$AG:$AG,$AG110)/SUMIF(符文权重!$A:$A,$C110,符文权重!$D:$D))),"")</f>
        <v/>
      </c>
      <c r="N110" s="39" t="str" cm="1">
        <f t="array" ref="N110">IFERROR(IF($A110="","",IF(H110="","",_xlfn.XLOOKUP($C110&amp;"_"&amp;$AG110,符文权重!$A:$A&amp;"_"&amp;符文权重!$C:$C,符文权重!$D:$D)*$X110/SUMIFS($X:$X,H:H,H110,$C:$C,$C110,$AG:$AG,$AG110)/SUMIF(符文权重!$A:$A,$C110,符文权重!$D:$D))),"")</f>
        <v/>
      </c>
      <c r="O110" s="39" t="str" cm="1">
        <f t="array" ref="O110">IFERROR(IF($A110="","",IF(I110="","",_xlfn.XLOOKUP($C110&amp;"_"&amp;$AG110,符文权重!$A:$A&amp;"_"&amp;符文权重!$C:$C,符文权重!$D:$D)*$X110/SUMIFS($X:$X,I:I,I110,$C:$C,$C110,$AG:$AG,$AG110)/SUMIF(符文权重!$A:$A,$C110,符文权重!$D:$D))),"")</f>
        <v/>
      </c>
      <c r="P110" s="39" t="str" cm="1">
        <f t="array" ref="P110">IFERROR(IF($A110="","",IF(J110="","",_xlfn.XLOOKUP($C110&amp;"_"&amp;$AG110,符文权重!$A:$A&amp;"_"&amp;符文权重!$C:$C,符文权重!$D:$D)*$X110/SUMIFS($X:$X,J:J,J110,$C:$C,$C110,$AG:$AG,$AG110)/SUMIF(符文权重!$A:$A,$C110,符文权重!$D:$D))),"")</f>
        <v/>
      </c>
      <c r="Q110" s="39" t="str" cm="1">
        <f t="array" ref="Q110">IFERROR(IF($A110="","",IF(K110="","",_xlfn.XLOOKUP($C110&amp;"_"&amp;$AG110,符文权重!$A:$A&amp;"_"&amp;符文权重!$C:$C,符文权重!$D:$D)*$X110/SUMIFS($X:$X,K:K,K110,$C:$C,$C110,$AG:$AG,$AG110)/SUMIF(符文权重!$A:$A,$C110,符文权重!$D:$D))),"")</f>
        <v/>
      </c>
      <c r="R110" s="46" t="s">
        <v>181</v>
      </c>
      <c r="S110" s="46" t="s">
        <v>218</v>
      </c>
      <c r="T110" s="46" t="e">
        <f>IF(B110="","",SUBSTITUTE(SUBSTITUTE("[{global_atk,"&amp;#REF!*C110&amp;"}]",21,20),9,8))</f>
        <v>#REF!</v>
      </c>
      <c r="U110" s="47" t="str">
        <f t="shared" ref="U110:U116" si="56">"["&amp;A110&amp;"]"</f>
        <v>[5501141]</v>
      </c>
      <c r="V110" s="46" t="s">
        <v>285</v>
      </c>
      <c r="W110" s="23"/>
      <c r="X110" s="32">
        <v>100</v>
      </c>
      <c r="Y110" s="23"/>
      <c r="Z110" s="45" t="s">
        <v>165</v>
      </c>
      <c r="AA110" s="32" t="str">
        <f t="shared" si="46"/>
        <v>控制职业伤害+0%</v>
      </c>
      <c r="AB110" s="32"/>
      <c r="AC110" s="32" t="s">
        <v>166</v>
      </c>
      <c r="AD110" s="32">
        <f t="shared" si="41"/>
        <v>1105</v>
      </c>
      <c r="AE110" s="44" t="str">
        <f t="shared" si="36"/>
        <v>5501141</v>
      </c>
      <c r="AF110" s="45" t="str">
        <f t="shared" si="37"/>
        <v>[0]</v>
      </c>
      <c r="AG110" s="26">
        <v>100</v>
      </c>
      <c r="AH110" s="46"/>
      <c r="AI110" s="46">
        <v>1</v>
      </c>
      <c r="AJ110" s="25" t="s">
        <v>167</v>
      </c>
      <c r="AK110" s="48">
        <v>5501141</v>
      </c>
      <c r="AL110" s="49" t="s">
        <v>286</v>
      </c>
      <c r="AM110" s="46">
        <v>0</v>
      </c>
      <c r="AN110" s="26">
        <v>1</v>
      </c>
      <c r="AO110" s="26" t="s">
        <v>32</v>
      </c>
      <c r="AP110" s="20">
        <f t="shared" si="42"/>
        <v>105</v>
      </c>
    </row>
    <row r="111" s="22" customFormat="1" customHeight="1" spans="1:42">
      <c r="A111" s="44">
        <v>5501142</v>
      </c>
      <c r="B111" s="44" t="str">
        <f t="shared" si="33"/>
        <v>5501141</v>
      </c>
      <c r="C111" s="45">
        <f t="shared" si="34"/>
        <v>2</v>
      </c>
      <c r="D111" s="45"/>
      <c r="E111" s="46" t="s">
        <v>162</v>
      </c>
      <c r="F111" s="26">
        <f t="shared" si="38"/>
        <v>1</v>
      </c>
      <c r="G111" s="26">
        <f>IFERROR(IF(--MID($E111,2*COUNTIF($F111:F111,"&gt;"&amp;0)+2,1)=G$1,G$1,""),"")</f>
        <v>2</v>
      </c>
      <c r="H111" s="26">
        <f>IFERROR(IF(--MID($E111,2*COUNTIF($F111:G111,"&gt;"&amp;0)+2,1)=H$1,H$1,""),"")</f>
        <v>3</v>
      </c>
      <c r="I111" s="26">
        <f>IFERROR(IF(--MID($E111,2*COUNTIF($F111:H111,"&gt;"&amp;0)+2,1)=I$1,I$1,""),"")</f>
        <v>4</v>
      </c>
      <c r="J111" s="26">
        <f>IFERROR(IF(--MID($E111,2*COUNTIF($F111:I111,"&gt;"&amp;0)+2,1)=J$1,J$1,""),"")</f>
        <v>5</v>
      </c>
      <c r="K111" s="26">
        <f>IFERROR(IF(--MID($E111,2*COUNTIF($F111:J111,"&gt;"&amp;0)+2,1)=K$1,K$1,""),"")</f>
        <v>6</v>
      </c>
      <c r="L111" s="39" t="str" cm="1">
        <f t="array" ref="L111">IFERROR(IF($A111="","",IF(F111="","",_xlfn.XLOOKUP($C111&amp;"_"&amp;$AG111,符文权重!$A:$A&amp;"_"&amp;符文权重!$C:$C,符文权重!$D:$D)*$X111/SUMIFS($X:$X,F:F,F111,$C:$C,$C111,$AG:$AG,$AG111)/SUMIF(符文权重!$A:$A,$C111,符文权重!$D:$D))),"")</f>
        <v/>
      </c>
      <c r="M111" s="39" t="str" cm="1">
        <f t="array" ref="M111">IFERROR(IF($A111="","",IF(G111="","",_xlfn.XLOOKUP($C111&amp;"_"&amp;$AG111,符文权重!$A:$A&amp;"_"&amp;符文权重!$C:$C,符文权重!$D:$D)*$X111/SUMIFS($X:$X,G:G,G111,$C:$C,$C111,$AG:$AG,$AG111)/SUMIF(符文权重!$A:$A,$C111,符文权重!$D:$D))),"")</f>
        <v/>
      </c>
      <c r="N111" s="39" t="str" cm="1">
        <f t="array" ref="N111">IFERROR(IF($A111="","",IF(H111="","",_xlfn.XLOOKUP($C111&amp;"_"&amp;$AG111,符文权重!$A:$A&amp;"_"&amp;符文权重!$C:$C,符文权重!$D:$D)*$X111/SUMIFS($X:$X,H:H,H111,$C:$C,$C111,$AG:$AG,$AG111)/SUMIF(符文权重!$A:$A,$C111,符文权重!$D:$D))),"")</f>
        <v/>
      </c>
      <c r="O111" s="39" t="str" cm="1">
        <f t="array" ref="O111">IFERROR(IF($A111="","",IF(I111="","",_xlfn.XLOOKUP($C111&amp;"_"&amp;$AG111,符文权重!$A:$A&amp;"_"&amp;符文权重!$C:$C,符文权重!$D:$D)*$X111/SUMIFS($X:$X,I:I,I111,$C:$C,$C111,$AG:$AG,$AG111)/SUMIF(符文权重!$A:$A,$C111,符文权重!$D:$D))),"")</f>
        <v/>
      </c>
      <c r="P111" s="39" t="str" cm="1">
        <f t="array" ref="P111">IFERROR(IF($A111="","",IF(J111="","",_xlfn.XLOOKUP($C111&amp;"_"&amp;$AG111,符文权重!$A:$A&amp;"_"&amp;符文权重!$C:$C,符文权重!$D:$D)*$X111/SUMIFS($X:$X,J:J,J111,$C:$C,$C111,$AG:$AG,$AG111)/SUMIF(符文权重!$A:$A,$C111,符文权重!$D:$D))),"")</f>
        <v/>
      </c>
      <c r="Q111" s="39" t="str" cm="1">
        <f t="array" ref="Q111">IFERROR(IF($A111="","",IF(K111="","",_xlfn.XLOOKUP($C111&amp;"_"&amp;$AG111,符文权重!$A:$A&amp;"_"&amp;符文权重!$C:$C,符文权重!$D:$D)*$X111/SUMIFS($X:$X,K:K,K111,$C:$C,$C111,$AG:$AG,$AG111)/SUMIF(符文权重!$A:$A,$C111,符文权重!$D:$D))),"")</f>
        <v/>
      </c>
      <c r="R111" s="46" t="s">
        <v>181</v>
      </c>
      <c r="S111" s="46" t="s">
        <v>218</v>
      </c>
      <c r="T111" s="46" t="e">
        <f>IF(B111="","",SUBSTITUTE(SUBSTITUTE("[{global_atk,"&amp;#REF!*C111&amp;"}]",21,20),9,8))</f>
        <v>#REF!</v>
      </c>
      <c r="U111" s="47" t="str">
        <f t="shared" si="56"/>
        <v>[5501142]</v>
      </c>
      <c r="V111" s="46" t="s">
        <v>287</v>
      </c>
      <c r="W111" s="23"/>
      <c r="X111" s="32">
        <v>100</v>
      </c>
      <c r="Y111" s="23"/>
      <c r="Z111" s="45" t="s">
        <v>170</v>
      </c>
      <c r="AA111" s="32" t="str">
        <f t="shared" si="46"/>
        <v>控制职业伤害+0%</v>
      </c>
      <c r="AB111" s="32"/>
      <c r="AC111" s="32" t="s">
        <v>166</v>
      </c>
      <c r="AD111" s="32">
        <f t="shared" si="41"/>
        <v>1106</v>
      </c>
      <c r="AE111" s="44" t="str">
        <f t="shared" si="36"/>
        <v>5501141</v>
      </c>
      <c r="AF111" s="45" t="str">
        <f t="shared" si="37"/>
        <v>[0]</v>
      </c>
      <c r="AG111" s="26">
        <v>100</v>
      </c>
      <c r="AH111" s="46"/>
      <c r="AI111" s="46">
        <v>1</v>
      </c>
      <c r="AJ111" s="25" t="s">
        <v>167</v>
      </c>
      <c r="AK111" s="44">
        <f t="shared" ref="AK111:AK116" si="57">AK110+1</f>
        <v>5501142</v>
      </c>
      <c r="AL111" s="50" t="str">
        <f t="shared" ref="AL111:AL116" si="58">AL110</f>
        <v>控制职业伤害&lt;color=#54b76b&gt;+%s%&lt;/color&gt;</v>
      </c>
      <c r="AM111" s="46">
        <v>0</v>
      </c>
      <c r="AN111" s="26">
        <v>1</v>
      </c>
      <c r="AO111" s="26" t="s">
        <v>32</v>
      </c>
      <c r="AP111" s="20">
        <f t="shared" si="42"/>
        <v>106</v>
      </c>
    </row>
    <row r="112" s="22" customFormat="1" customHeight="1" spans="1:42">
      <c r="A112" s="44">
        <v>5501143</v>
      </c>
      <c r="B112" s="44" t="str">
        <f t="shared" si="33"/>
        <v>5501141</v>
      </c>
      <c r="C112" s="45">
        <f t="shared" si="34"/>
        <v>3</v>
      </c>
      <c r="D112" s="45"/>
      <c r="E112" s="46" t="s">
        <v>162</v>
      </c>
      <c r="F112" s="26">
        <f t="shared" si="38"/>
        <v>1</v>
      </c>
      <c r="G112" s="26">
        <f>IFERROR(IF(--MID($E112,2*COUNTIF($F112:F112,"&gt;"&amp;0)+2,1)=G$1,G$1,""),"")</f>
        <v>2</v>
      </c>
      <c r="H112" s="26">
        <f>IFERROR(IF(--MID($E112,2*COUNTIF($F112:G112,"&gt;"&amp;0)+2,1)=H$1,H$1,""),"")</f>
        <v>3</v>
      </c>
      <c r="I112" s="26">
        <f>IFERROR(IF(--MID($E112,2*COUNTIF($F112:H112,"&gt;"&amp;0)+2,1)=I$1,I$1,""),"")</f>
        <v>4</v>
      </c>
      <c r="J112" s="26">
        <f>IFERROR(IF(--MID($E112,2*COUNTIF($F112:I112,"&gt;"&amp;0)+2,1)=J$1,J$1,""),"")</f>
        <v>5</v>
      </c>
      <c r="K112" s="26">
        <f>IFERROR(IF(--MID($E112,2*COUNTIF($F112:J112,"&gt;"&amp;0)+2,1)=K$1,K$1,""),"")</f>
        <v>6</v>
      </c>
      <c r="L112" s="39" t="str" cm="1">
        <f t="array" ref="L112">IFERROR(IF($A112="","",IF(F112="","",_xlfn.XLOOKUP($C112&amp;"_"&amp;$AG112,符文权重!$A:$A&amp;"_"&amp;符文权重!$C:$C,符文权重!$D:$D)*$X112/SUMIFS($X:$X,F:F,F112,$C:$C,$C112,$AG:$AG,$AG112)/SUMIF(符文权重!$A:$A,$C112,符文权重!$D:$D))),"")</f>
        <v/>
      </c>
      <c r="M112" s="39" t="str" cm="1">
        <f t="array" ref="M112">IFERROR(IF($A112="","",IF(G112="","",_xlfn.XLOOKUP($C112&amp;"_"&amp;$AG112,符文权重!$A:$A&amp;"_"&amp;符文权重!$C:$C,符文权重!$D:$D)*$X112/SUMIFS($X:$X,G:G,G112,$C:$C,$C112,$AG:$AG,$AG112)/SUMIF(符文权重!$A:$A,$C112,符文权重!$D:$D))),"")</f>
        <v/>
      </c>
      <c r="N112" s="39" t="str" cm="1">
        <f t="array" ref="N112">IFERROR(IF($A112="","",IF(H112="","",_xlfn.XLOOKUP($C112&amp;"_"&amp;$AG112,符文权重!$A:$A&amp;"_"&amp;符文权重!$C:$C,符文权重!$D:$D)*$X112/SUMIFS($X:$X,H:H,H112,$C:$C,$C112,$AG:$AG,$AG112)/SUMIF(符文权重!$A:$A,$C112,符文权重!$D:$D))),"")</f>
        <v/>
      </c>
      <c r="O112" s="39" t="str" cm="1">
        <f t="array" ref="O112">IFERROR(IF($A112="","",IF(I112="","",_xlfn.XLOOKUP($C112&amp;"_"&amp;$AG112,符文权重!$A:$A&amp;"_"&amp;符文权重!$C:$C,符文权重!$D:$D)*$X112/SUMIFS($X:$X,I:I,I112,$C:$C,$C112,$AG:$AG,$AG112)/SUMIF(符文权重!$A:$A,$C112,符文权重!$D:$D))),"")</f>
        <v/>
      </c>
      <c r="P112" s="39" t="str" cm="1">
        <f t="array" ref="P112">IFERROR(IF($A112="","",IF(J112="","",_xlfn.XLOOKUP($C112&amp;"_"&amp;$AG112,符文权重!$A:$A&amp;"_"&amp;符文权重!$C:$C,符文权重!$D:$D)*$X112/SUMIFS($X:$X,J:J,J112,$C:$C,$C112,$AG:$AG,$AG112)/SUMIF(符文权重!$A:$A,$C112,符文权重!$D:$D))),"")</f>
        <v/>
      </c>
      <c r="Q112" s="39" t="str" cm="1">
        <f t="array" ref="Q112">IFERROR(IF($A112="","",IF(K112="","",_xlfn.XLOOKUP($C112&amp;"_"&amp;$AG112,符文权重!$A:$A&amp;"_"&amp;符文权重!$C:$C,符文权重!$D:$D)*$X112/SUMIFS($X:$X,K:K,K112,$C:$C,$C112,$AG:$AG,$AG112)/SUMIF(符文权重!$A:$A,$C112,符文权重!$D:$D))),"")</f>
        <v/>
      </c>
      <c r="R112" s="46" t="s">
        <v>181</v>
      </c>
      <c r="S112" s="46" t="s">
        <v>218</v>
      </c>
      <c r="T112" s="46" t="e">
        <f>IF(B112="","",SUBSTITUTE(SUBSTITUTE("[{global_atk,"&amp;#REF!*C112&amp;"}]",21,20),9,8))</f>
        <v>#REF!</v>
      </c>
      <c r="U112" s="47" t="str">
        <f t="shared" si="56"/>
        <v>[5501143]</v>
      </c>
      <c r="V112" s="46" t="s">
        <v>288</v>
      </c>
      <c r="W112" s="23"/>
      <c r="X112" s="32">
        <v>100</v>
      </c>
      <c r="Y112" s="23"/>
      <c r="Z112" s="45" t="s">
        <v>172</v>
      </c>
      <c r="AA112" s="32" t="str">
        <f t="shared" si="46"/>
        <v>控制职业伤害+0%</v>
      </c>
      <c r="AB112" s="32"/>
      <c r="AC112" s="32" t="s">
        <v>166</v>
      </c>
      <c r="AD112" s="32">
        <f t="shared" si="41"/>
        <v>1107</v>
      </c>
      <c r="AE112" s="44" t="str">
        <f t="shared" si="36"/>
        <v>5501141</v>
      </c>
      <c r="AF112" s="45" t="str">
        <f t="shared" si="37"/>
        <v>[0]</v>
      </c>
      <c r="AG112" s="26">
        <v>100</v>
      </c>
      <c r="AH112" s="46"/>
      <c r="AI112" s="46">
        <v>1</v>
      </c>
      <c r="AJ112" s="25" t="s">
        <v>167</v>
      </c>
      <c r="AK112" s="44">
        <f t="shared" si="57"/>
        <v>5501143</v>
      </c>
      <c r="AL112" s="50" t="str">
        <f t="shared" si="58"/>
        <v>控制职业伤害&lt;color=#54b76b&gt;+%s%&lt;/color&gt;</v>
      </c>
      <c r="AM112" s="46">
        <v>0</v>
      </c>
      <c r="AN112" s="26">
        <v>1</v>
      </c>
      <c r="AO112" s="26" t="s">
        <v>32</v>
      </c>
      <c r="AP112" s="20">
        <f t="shared" si="42"/>
        <v>107</v>
      </c>
    </row>
    <row r="113" s="20" customFormat="1" customHeight="1" spans="1:42">
      <c r="A113" s="38">
        <v>5501144</v>
      </c>
      <c r="B113" s="38" t="str">
        <f t="shared" si="33"/>
        <v>5501141</v>
      </c>
      <c r="C113" s="32">
        <f t="shared" si="34"/>
        <v>4</v>
      </c>
      <c r="D113" s="32"/>
      <c r="E113" s="26" t="s">
        <v>162</v>
      </c>
      <c r="F113" s="26">
        <f t="shared" si="38"/>
        <v>1</v>
      </c>
      <c r="G113" s="26">
        <f>IFERROR(IF(--MID($E113,2*COUNTIF($F113:F113,"&gt;"&amp;0)+2,1)=G$1,G$1,""),"")</f>
        <v>2</v>
      </c>
      <c r="H113" s="26">
        <f>IFERROR(IF(--MID($E113,2*COUNTIF($F113:G113,"&gt;"&amp;0)+2,1)=H$1,H$1,""),"")</f>
        <v>3</v>
      </c>
      <c r="I113" s="26">
        <f>IFERROR(IF(--MID($E113,2*COUNTIF($F113:H113,"&gt;"&amp;0)+2,1)=I$1,I$1,""),"")</f>
        <v>4</v>
      </c>
      <c r="J113" s="26">
        <f>IFERROR(IF(--MID($E113,2*COUNTIF($F113:I113,"&gt;"&amp;0)+2,1)=J$1,J$1,""),"")</f>
        <v>5</v>
      </c>
      <c r="K113" s="26">
        <f>IFERROR(IF(--MID($E113,2*COUNTIF($F113:J113,"&gt;"&amp;0)+2,1)=K$1,K$1,""),"")</f>
        <v>6</v>
      </c>
      <c r="L113" s="39" cm="1">
        <f t="array" ref="L113">IFERROR(IF($A113="","",IF(F113="","",_xlfn.XLOOKUP($C113&amp;"_"&amp;$AG113,符文权重!$A:$A&amp;"_"&amp;符文权重!$C:$C,符文权重!$D:$D)*$X113/SUMIFS($X:$X,F:F,F113,$C:$C,$C113,$AG:$AG,$AG113)/SUMIF(符文权重!$A:$A,$C113,符文权重!$D:$D))),"")</f>
        <v>0.022913616398243</v>
      </c>
      <c r="M113" s="39" cm="1">
        <f t="array" ref="M113">IFERROR(IF($A113="","",IF(G113="","",_xlfn.XLOOKUP($C113&amp;"_"&amp;$AG113,符文权重!$A:$A&amp;"_"&amp;符文权重!$C:$C,符文权重!$D:$D)*$X113/SUMIFS($X:$X,G:G,G113,$C:$C,$C113,$AG:$AG,$AG113)/SUMIF(符文权重!$A:$A,$C113,符文权重!$D:$D))),"")</f>
        <v>0.022913616398243</v>
      </c>
      <c r="N113" s="39" cm="1">
        <f t="array" ref="N113">IFERROR(IF($A113="","",IF(H113="","",_xlfn.XLOOKUP($C113&amp;"_"&amp;$AG113,符文权重!$A:$A&amp;"_"&amp;符文权重!$C:$C,符文权重!$D:$D)*$X113/SUMIFS($X:$X,H:H,H113,$C:$C,$C113,$AG:$AG,$AG113)/SUMIF(符文权重!$A:$A,$C113,符文权重!$D:$D))),"")</f>
        <v>0.022913616398243</v>
      </c>
      <c r="O113" s="39" cm="1">
        <f t="array" ref="O113">IFERROR(IF($A113="","",IF(I113="","",_xlfn.XLOOKUP($C113&amp;"_"&amp;$AG113,符文权重!$A:$A&amp;"_"&amp;符文权重!$C:$C,符文权重!$D:$D)*$X113/SUMIFS($X:$X,I:I,I113,$C:$C,$C113,$AG:$AG,$AG113)/SUMIF(符文权重!$A:$A,$C113,符文权重!$D:$D))),"")</f>
        <v>0.022913616398243</v>
      </c>
      <c r="P113" s="39" cm="1">
        <f t="array" ref="P113">IFERROR(IF($A113="","",IF(J113="","",_xlfn.XLOOKUP($C113&amp;"_"&amp;$AG113,符文权重!$A:$A&amp;"_"&amp;符文权重!$C:$C,符文权重!$D:$D)*$X113/SUMIFS($X:$X,J:J,J113,$C:$C,$C113,$AG:$AG,$AG113)/SUMIF(符文权重!$A:$A,$C113,符文权重!$D:$D))),"")</f>
        <v>0.022913616398243</v>
      </c>
      <c r="Q113" s="39" cm="1">
        <f t="array" ref="Q113">IFERROR(IF($A113="","",IF(K113="","",_xlfn.XLOOKUP($C113&amp;"_"&amp;$AG113,符文权重!$A:$A&amp;"_"&amp;符文权重!$C:$C,符文权重!$D:$D)*$X113/SUMIFS($X:$X,K:K,K113,$C:$C,$C113,$AG:$AG,$AG113)/SUMIF(符文权重!$A:$A,$C113,符文权重!$D:$D))),"")</f>
        <v>0.022913616398243</v>
      </c>
      <c r="R113" s="26" t="s">
        <v>181</v>
      </c>
      <c r="S113" s="26" t="s">
        <v>218</v>
      </c>
      <c r="T113" s="26" t="e">
        <f>IF(B113="","",SUBSTITUTE(SUBSTITUTE("[{global_atk,"&amp;#REF!*C113&amp;"}]",21,20),9,8))</f>
        <v>#REF!</v>
      </c>
      <c r="U113" s="40" t="str">
        <f t="shared" si="56"/>
        <v>[5501144]</v>
      </c>
      <c r="V113" s="26" t="s">
        <v>289</v>
      </c>
      <c r="W113" s="25"/>
      <c r="X113" s="32">
        <v>100</v>
      </c>
      <c r="Y113" s="25"/>
      <c r="Z113" s="32" t="s">
        <v>174</v>
      </c>
      <c r="AA113" s="32" t="str">
        <f t="shared" si="46"/>
        <v>控制职业伤害+10%</v>
      </c>
      <c r="AB113" s="32"/>
      <c r="AC113" s="32" t="s">
        <v>166</v>
      </c>
      <c r="AD113" s="32">
        <f t="shared" si="41"/>
        <v>1108</v>
      </c>
      <c r="AE113" s="38" t="str">
        <f t="shared" si="36"/>
        <v>5501141</v>
      </c>
      <c r="AF113" s="32" t="str">
        <f t="shared" si="37"/>
        <v>[10]</v>
      </c>
      <c r="AG113" s="26">
        <v>1</v>
      </c>
      <c r="AH113" s="26"/>
      <c r="AI113" s="26">
        <v>0</v>
      </c>
      <c r="AJ113" s="25" t="s">
        <v>167</v>
      </c>
      <c r="AK113" s="38">
        <f t="shared" si="57"/>
        <v>5501144</v>
      </c>
      <c r="AL113" s="41" t="str">
        <f t="shared" si="58"/>
        <v>控制职业伤害&lt;color=#54b76b&gt;+%s%&lt;/color&gt;</v>
      </c>
      <c r="AM113" s="26">
        <v>10</v>
      </c>
      <c r="AN113" s="26">
        <v>1</v>
      </c>
      <c r="AO113" s="26" t="s">
        <v>32</v>
      </c>
      <c r="AP113" s="20">
        <f t="shared" si="42"/>
        <v>108</v>
      </c>
    </row>
    <row r="114" s="20" customFormat="1" customHeight="1" spans="1:42">
      <c r="A114" s="38">
        <v>5501145</v>
      </c>
      <c r="B114" s="38" t="str">
        <f t="shared" si="33"/>
        <v>5501141</v>
      </c>
      <c r="C114" s="32">
        <f t="shared" si="34"/>
        <v>5</v>
      </c>
      <c r="D114" s="32"/>
      <c r="E114" s="26" t="s">
        <v>162</v>
      </c>
      <c r="F114" s="26">
        <f t="shared" si="38"/>
        <v>1</v>
      </c>
      <c r="G114" s="26">
        <f>IFERROR(IF(--MID($E114,2*COUNTIF($F114:F114,"&gt;"&amp;0)+2,1)=G$1,G$1,""),"")</f>
        <v>2</v>
      </c>
      <c r="H114" s="26">
        <f>IFERROR(IF(--MID($E114,2*COUNTIF($F114:G114,"&gt;"&amp;0)+2,1)=H$1,H$1,""),"")</f>
        <v>3</v>
      </c>
      <c r="I114" s="26">
        <f>IFERROR(IF(--MID($E114,2*COUNTIF($F114:H114,"&gt;"&amp;0)+2,1)=I$1,I$1,""),"")</f>
        <v>4</v>
      </c>
      <c r="J114" s="26">
        <f>IFERROR(IF(--MID($E114,2*COUNTIF($F114:I114,"&gt;"&amp;0)+2,1)=J$1,J$1,""),"")</f>
        <v>5</v>
      </c>
      <c r="K114" s="26">
        <f>IFERROR(IF(--MID($E114,2*COUNTIF($F114:J114,"&gt;"&amp;0)+2,1)=K$1,K$1,""),"")</f>
        <v>6</v>
      </c>
      <c r="L114" s="39" cm="1">
        <f t="array" ref="L114">IFERROR(IF($A114="","",IF(F114="","",_xlfn.XLOOKUP($C114&amp;"_"&amp;$AG114,符文权重!$A:$A&amp;"_"&amp;符文权重!$C:$C,符文权重!$D:$D)*$X114/SUMIFS($X:$X,F:F,F114,$C:$C,$C114,$AG:$AG,$AG114)/SUMIF(符文权重!$A:$A,$C114,符文权重!$D:$D))),"")</f>
        <v>0.0196666666666667</v>
      </c>
      <c r="M114" s="39" cm="1">
        <f t="array" ref="M114">IFERROR(IF($A114="","",IF(G114="","",_xlfn.XLOOKUP($C114&amp;"_"&amp;$AG114,符文权重!$A:$A&amp;"_"&amp;符文权重!$C:$C,符文权重!$D:$D)*$X114/SUMIFS($X:$X,G:G,G114,$C:$C,$C114,$AG:$AG,$AG114)/SUMIF(符文权重!$A:$A,$C114,符文权重!$D:$D))),"")</f>
        <v>0.0196666666666667</v>
      </c>
      <c r="N114" s="39" cm="1">
        <f t="array" ref="N114">IFERROR(IF($A114="","",IF(H114="","",_xlfn.XLOOKUP($C114&amp;"_"&amp;$AG114,符文权重!$A:$A&amp;"_"&amp;符文权重!$C:$C,符文权重!$D:$D)*$X114/SUMIFS($X:$X,H:H,H114,$C:$C,$C114,$AG:$AG,$AG114)/SUMIF(符文权重!$A:$A,$C114,符文权重!$D:$D))),"")</f>
        <v>0.0196666666666667</v>
      </c>
      <c r="O114" s="39" cm="1">
        <f t="array" ref="O114">IFERROR(IF($A114="","",IF(I114="","",_xlfn.XLOOKUP($C114&amp;"_"&amp;$AG114,符文权重!$A:$A&amp;"_"&amp;符文权重!$C:$C,符文权重!$D:$D)*$X114/SUMIFS($X:$X,I:I,I114,$C:$C,$C114,$AG:$AG,$AG114)/SUMIF(符文权重!$A:$A,$C114,符文权重!$D:$D))),"")</f>
        <v>0.0196666666666667</v>
      </c>
      <c r="P114" s="39" cm="1">
        <f t="array" ref="P114">IFERROR(IF($A114="","",IF(J114="","",_xlfn.XLOOKUP($C114&amp;"_"&amp;$AG114,符文权重!$A:$A&amp;"_"&amp;符文权重!$C:$C,符文权重!$D:$D)*$X114/SUMIFS($X:$X,J:J,J114,$C:$C,$C114,$AG:$AG,$AG114)/SUMIF(符文权重!$A:$A,$C114,符文权重!$D:$D))),"")</f>
        <v>0.0196666666666667</v>
      </c>
      <c r="Q114" s="39" cm="1">
        <f t="array" ref="Q114">IFERROR(IF($A114="","",IF(K114="","",_xlfn.XLOOKUP($C114&amp;"_"&amp;$AG114,符文权重!$A:$A&amp;"_"&amp;符文权重!$C:$C,符文权重!$D:$D)*$X114/SUMIFS($X:$X,K:K,K114,$C:$C,$C114,$AG:$AG,$AG114)/SUMIF(符文权重!$A:$A,$C114,符文权重!$D:$D))),"")</f>
        <v>0.0196666666666667</v>
      </c>
      <c r="R114" s="26" t="s">
        <v>181</v>
      </c>
      <c r="S114" s="26" t="s">
        <v>218</v>
      </c>
      <c r="T114" s="26" t="e">
        <f>IF(B114="","",SUBSTITUTE(SUBSTITUTE("[{global_atk,"&amp;#REF!*C114&amp;"}]",21,20),9,8))</f>
        <v>#REF!</v>
      </c>
      <c r="U114" s="40" t="str">
        <f t="shared" si="56"/>
        <v>[5501145]</v>
      </c>
      <c r="V114" s="26" t="s">
        <v>290</v>
      </c>
      <c r="W114" s="25"/>
      <c r="X114" s="32">
        <v>100</v>
      </c>
      <c r="Y114" s="25"/>
      <c r="Z114" s="32" t="s">
        <v>176</v>
      </c>
      <c r="AA114" s="32" t="str">
        <f t="shared" si="46"/>
        <v>控制职业伤害+12.5%</v>
      </c>
      <c r="AB114" s="32"/>
      <c r="AC114" s="32" t="s">
        <v>166</v>
      </c>
      <c r="AD114" s="32">
        <f t="shared" si="41"/>
        <v>1109</v>
      </c>
      <c r="AE114" s="38" t="str">
        <f t="shared" si="36"/>
        <v>5501141</v>
      </c>
      <c r="AF114" s="32" t="str">
        <f t="shared" si="37"/>
        <v>[12.5]</v>
      </c>
      <c r="AG114" s="26">
        <v>1</v>
      </c>
      <c r="AH114" s="26"/>
      <c r="AI114" s="26">
        <v>0</v>
      </c>
      <c r="AJ114" s="25" t="s">
        <v>167</v>
      </c>
      <c r="AK114" s="38">
        <f t="shared" si="57"/>
        <v>5501145</v>
      </c>
      <c r="AL114" s="41" t="str">
        <f t="shared" si="58"/>
        <v>控制职业伤害&lt;color=#54b76b&gt;+%s%&lt;/color&gt;</v>
      </c>
      <c r="AM114" s="26">
        <v>12.5</v>
      </c>
      <c r="AN114" s="26">
        <v>1</v>
      </c>
      <c r="AO114" s="26" t="s">
        <v>32</v>
      </c>
      <c r="AP114" s="20">
        <f t="shared" si="42"/>
        <v>109</v>
      </c>
    </row>
    <row r="115" s="20" customFormat="1" customHeight="1" spans="1:42">
      <c r="A115" s="38">
        <v>5501146</v>
      </c>
      <c r="B115" s="38" t="str">
        <f t="shared" si="33"/>
        <v>5501141</v>
      </c>
      <c r="C115" s="32">
        <f t="shared" si="34"/>
        <v>6</v>
      </c>
      <c r="D115" s="32"/>
      <c r="E115" s="26" t="s">
        <v>162</v>
      </c>
      <c r="F115" s="26">
        <f t="shared" si="38"/>
        <v>1</v>
      </c>
      <c r="G115" s="26">
        <f>IFERROR(IF(--MID($E115,2*COUNTIF($F115:F115,"&gt;"&amp;0)+2,1)=G$1,G$1,""),"")</f>
        <v>2</v>
      </c>
      <c r="H115" s="26">
        <f>IFERROR(IF(--MID($E115,2*COUNTIF($F115:G115,"&gt;"&amp;0)+2,1)=H$1,H$1,""),"")</f>
        <v>3</v>
      </c>
      <c r="I115" s="26">
        <f>IFERROR(IF(--MID($E115,2*COUNTIF($F115:H115,"&gt;"&amp;0)+2,1)=I$1,I$1,""),"")</f>
        <v>4</v>
      </c>
      <c r="J115" s="26">
        <f>IFERROR(IF(--MID($E115,2*COUNTIF($F115:I115,"&gt;"&amp;0)+2,1)=J$1,J$1,""),"")</f>
        <v>5</v>
      </c>
      <c r="K115" s="26">
        <f>IFERROR(IF(--MID($E115,2*COUNTIF($F115:J115,"&gt;"&amp;0)+2,1)=K$1,K$1,""),"")</f>
        <v>6</v>
      </c>
      <c r="L115" s="39" cm="1">
        <f t="array" ref="L115">IFERROR(IF($A115="","",IF(F115="","",_xlfn.XLOOKUP($C115&amp;"_"&amp;$AG115,符文权重!$A:$A&amp;"_"&amp;符文权重!$C:$C,符文权重!$D:$D)*$X115/SUMIFS($X:$X,F:F,F115,$C:$C,$C115,$AG:$AG,$AG115)/SUMIF(符文权重!$A:$A,$C115,符文权重!$D:$D))),"")</f>
        <v>0.0196666666666667</v>
      </c>
      <c r="M115" s="39" cm="1">
        <f t="array" ref="M115">IFERROR(IF($A115="","",IF(G115="","",_xlfn.XLOOKUP($C115&amp;"_"&amp;$AG115,符文权重!$A:$A&amp;"_"&amp;符文权重!$C:$C,符文权重!$D:$D)*$X115/SUMIFS($X:$X,G:G,G115,$C:$C,$C115,$AG:$AG,$AG115)/SUMIF(符文权重!$A:$A,$C115,符文权重!$D:$D))),"")</f>
        <v>0.0196666666666667</v>
      </c>
      <c r="N115" s="39" cm="1">
        <f t="array" ref="N115">IFERROR(IF($A115="","",IF(H115="","",_xlfn.XLOOKUP($C115&amp;"_"&amp;$AG115,符文权重!$A:$A&amp;"_"&amp;符文权重!$C:$C,符文权重!$D:$D)*$X115/SUMIFS($X:$X,H:H,H115,$C:$C,$C115,$AG:$AG,$AG115)/SUMIF(符文权重!$A:$A,$C115,符文权重!$D:$D))),"")</f>
        <v>0.0196666666666667</v>
      </c>
      <c r="O115" s="39" cm="1">
        <f t="array" ref="O115">IFERROR(IF($A115="","",IF(I115="","",_xlfn.XLOOKUP($C115&amp;"_"&amp;$AG115,符文权重!$A:$A&amp;"_"&amp;符文权重!$C:$C,符文权重!$D:$D)*$X115/SUMIFS($X:$X,I:I,I115,$C:$C,$C115,$AG:$AG,$AG115)/SUMIF(符文权重!$A:$A,$C115,符文权重!$D:$D))),"")</f>
        <v>0.0196666666666667</v>
      </c>
      <c r="P115" s="39" cm="1">
        <f t="array" ref="P115">IFERROR(IF($A115="","",IF(J115="","",_xlfn.XLOOKUP($C115&amp;"_"&amp;$AG115,符文权重!$A:$A&amp;"_"&amp;符文权重!$C:$C,符文权重!$D:$D)*$X115/SUMIFS($X:$X,J:J,J115,$C:$C,$C115,$AG:$AG,$AG115)/SUMIF(符文权重!$A:$A,$C115,符文权重!$D:$D))),"")</f>
        <v>0.0196666666666667</v>
      </c>
      <c r="Q115" s="39" cm="1">
        <f t="array" ref="Q115">IFERROR(IF($A115="","",IF(K115="","",_xlfn.XLOOKUP($C115&amp;"_"&amp;$AG115,符文权重!$A:$A&amp;"_"&amp;符文权重!$C:$C,符文权重!$D:$D)*$X115/SUMIFS($X:$X,K:K,K115,$C:$C,$C115,$AG:$AG,$AG115)/SUMIF(符文权重!$A:$A,$C115,符文权重!$D:$D))),"")</f>
        <v>0.0196666666666667</v>
      </c>
      <c r="R115" s="26" t="s">
        <v>181</v>
      </c>
      <c r="S115" s="26" t="s">
        <v>218</v>
      </c>
      <c r="T115" s="26" t="e">
        <f>IF(B115="","",SUBSTITUTE(SUBSTITUTE("[{global_atk,"&amp;#REF!*C115&amp;"}]",21,20),9,8))</f>
        <v>#REF!</v>
      </c>
      <c r="U115" s="40" t="str">
        <f t="shared" si="56"/>
        <v>[5501146]</v>
      </c>
      <c r="V115" s="26" t="s">
        <v>291</v>
      </c>
      <c r="W115" s="25"/>
      <c r="X115" s="32">
        <v>100</v>
      </c>
      <c r="Y115" s="25"/>
      <c r="Z115" s="32" t="s">
        <v>178</v>
      </c>
      <c r="AA115" s="32" t="str">
        <f t="shared" si="46"/>
        <v>控制职业伤害+15%</v>
      </c>
      <c r="AB115" s="32"/>
      <c r="AC115" s="32" t="s">
        <v>166</v>
      </c>
      <c r="AD115" s="32">
        <f t="shared" si="41"/>
        <v>1110</v>
      </c>
      <c r="AE115" s="38" t="str">
        <f t="shared" si="36"/>
        <v>5501141</v>
      </c>
      <c r="AF115" s="32" t="str">
        <f t="shared" si="37"/>
        <v>[15]</v>
      </c>
      <c r="AG115" s="26">
        <v>1</v>
      </c>
      <c r="AH115" s="26"/>
      <c r="AI115" s="26">
        <v>0</v>
      </c>
      <c r="AJ115" s="25" t="s">
        <v>167</v>
      </c>
      <c r="AK115" s="38">
        <f t="shared" si="57"/>
        <v>5501146</v>
      </c>
      <c r="AL115" s="41" t="str">
        <f t="shared" si="58"/>
        <v>控制职业伤害&lt;color=#54b76b&gt;+%s%&lt;/color&gt;</v>
      </c>
      <c r="AM115" s="26">
        <v>15</v>
      </c>
      <c r="AN115" s="26">
        <v>1</v>
      </c>
      <c r="AO115" s="26" t="s">
        <v>32</v>
      </c>
      <c r="AP115" s="20">
        <f t="shared" si="42"/>
        <v>110</v>
      </c>
    </row>
    <row r="116" s="20" customFormat="1" customHeight="1" spans="1:42">
      <c r="A116" s="38">
        <v>5501147</v>
      </c>
      <c r="B116" s="38" t="str">
        <f t="shared" si="33"/>
        <v>5501141</v>
      </c>
      <c r="C116" s="32">
        <f t="shared" si="34"/>
        <v>7</v>
      </c>
      <c r="D116" s="32"/>
      <c r="E116" s="26" t="s">
        <v>162</v>
      </c>
      <c r="F116" s="26">
        <f t="shared" si="38"/>
        <v>1</v>
      </c>
      <c r="G116" s="26">
        <f>IFERROR(IF(--MID($E116,2*COUNTIF($F116:F116,"&gt;"&amp;0)+2,1)=G$1,G$1,""),"")</f>
        <v>2</v>
      </c>
      <c r="H116" s="26">
        <f>IFERROR(IF(--MID($E116,2*COUNTIF($F116:G116,"&gt;"&amp;0)+2,1)=H$1,H$1,""),"")</f>
        <v>3</v>
      </c>
      <c r="I116" s="26">
        <f>IFERROR(IF(--MID($E116,2*COUNTIF($F116:H116,"&gt;"&amp;0)+2,1)=I$1,I$1,""),"")</f>
        <v>4</v>
      </c>
      <c r="J116" s="26">
        <f>IFERROR(IF(--MID($E116,2*COUNTIF($F116:I116,"&gt;"&amp;0)+2,1)=J$1,J$1,""),"")</f>
        <v>5</v>
      </c>
      <c r="K116" s="26">
        <f>IFERROR(IF(--MID($E116,2*COUNTIF($F116:J116,"&gt;"&amp;0)+2,1)=K$1,K$1,""),"")</f>
        <v>6</v>
      </c>
      <c r="L116" s="39" cm="1">
        <f t="array" ref="L116">IFERROR(IF($A116="","",IF(F116="","",_xlfn.XLOOKUP($C116&amp;"_"&amp;$AG116,符文权重!$A:$A&amp;"_"&amp;符文权重!$C:$C,符文权重!$D:$D)*$X116/SUMIFS($X:$X,F:F,F116,$C:$C,$C116,$AG:$AG,$AG116)/SUMIF(符文权重!$A:$A,$C116,符文权重!$D:$D))),"")</f>
        <v>0.0196666666666667</v>
      </c>
      <c r="M116" s="39" cm="1">
        <f t="array" ref="M116">IFERROR(IF($A116="","",IF(G116="","",_xlfn.XLOOKUP($C116&amp;"_"&amp;$AG116,符文权重!$A:$A&amp;"_"&amp;符文权重!$C:$C,符文权重!$D:$D)*$X116/SUMIFS($X:$X,G:G,G116,$C:$C,$C116,$AG:$AG,$AG116)/SUMIF(符文权重!$A:$A,$C116,符文权重!$D:$D))),"")</f>
        <v>0.0196666666666667</v>
      </c>
      <c r="N116" s="39" cm="1">
        <f t="array" ref="N116">IFERROR(IF($A116="","",IF(H116="","",_xlfn.XLOOKUP($C116&amp;"_"&amp;$AG116,符文权重!$A:$A&amp;"_"&amp;符文权重!$C:$C,符文权重!$D:$D)*$X116/SUMIFS($X:$X,H:H,H116,$C:$C,$C116,$AG:$AG,$AG116)/SUMIF(符文权重!$A:$A,$C116,符文权重!$D:$D))),"")</f>
        <v>0.0196666666666667</v>
      </c>
      <c r="O116" s="39" cm="1">
        <f t="array" ref="O116">IFERROR(IF($A116="","",IF(I116="","",_xlfn.XLOOKUP($C116&amp;"_"&amp;$AG116,符文权重!$A:$A&amp;"_"&amp;符文权重!$C:$C,符文权重!$D:$D)*$X116/SUMIFS($X:$X,I:I,I116,$C:$C,$C116,$AG:$AG,$AG116)/SUMIF(符文权重!$A:$A,$C116,符文权重!$D:$D))),"")</f>
        <v>0.0196666666666667</v>
      </c>
      <c r="P116" s="39" cm="1">
        <f t="array" ref="P116">IFERROR(IF($A116="","",IF(J116="","",_xlfn.XLOOKUP($C116&amp;"_"&amp;$AG116,符文权重!$A:$A&amp;"_"&amp;符文权重!$C:$C,符文权重!$D:$D)*$X116/SUMIFS($X:$X,J:J,J116,$C:$C,$C116,$AG:$AG,$AG116)/SUMIF(符文权重!$A:$A,$C116,符文权重!$D:$D))),"")</f>
        <v>0.0196666666666667</v>
      </c>
      <c r="Q116" s="39" cm="1">
        <f t="array" ref="Q116">IFERROR(IF($A116="","",IF(K116="","",_xlfn.XLOOKUP($C116&amp;"_"&amp;$AG116,符文权重!$A:$A&amp;"_"&amp;符文权重!$C:$C,符文权重!$D:$D)*$X116/SUMIFS($X:$X,K:K,K116,$C:$C,$C116,$AG:$AG,$AG116)/SUMIF(符文权重!$A:$A,$C116,符文权重!$D:$D))),"")</f>
        <v>0.0196666666666667</v>
      </c>
      <c r="R116" s="26" t="s">
        <v>181</v>
      </c>
      <c r="S116" s="26" t="s">
        <v>218</v>
      </c>
      <c r="T116" s="26" t="e">
        <f>IF(B116="","",SUBSTITUTE(SUBSTITUTE("[{global_atk,"&amp;#REF!*C116&amp;"}]",21,20),9,8))</f>
        <v>#REF!</v>
      </c>
      <c r="U116" s="40" t="str">
        <f t="shared" si="56"/>
        <v>[5501147]</v>
      </c>
      <c r="V116" s="26" t="s">
        <v>292</v>
      </c>
      <c r="W116" s="25"/>
      <c r="X116" s="32">
        <v>100</v>
      </c>
      <c r="Y116" s="25"/>
      <c r="Z116" s="32" t="s">
        <v>180</v>
      </c>
      <c r="AA116" s="32" t="str">
        <f t="shared" si="46"/>
        <v>控制职业伤害+20%</v>
      </c>
      <c r="AB116" s="32"/>
      <c r="AC116" s="32" t="s">
        <v>166</v>
      </c>
      <c r="AD116" s="32">
        <f t="shared" si="41"/>
        <v>1111</v>
      </c>
      <c r="AE116" s="38" t="str">
        <f t="shared" si="36"/>
        <v>5501141</v>
      </c>
      <c r="AF116" s="32" t="str">
        <f t="shared" si="37"/>
        <v>[20]</v>
      </c>
      <c r="AG116" s="26">
        <v>1</v>
      </c>
      <c r="AH116" s="26"/>
      <c r="AI116" s="26">
        <v>0</v>
      </c>
      <c r="AJ116" s="25" t="s">
        <v>167</v>
      </c>
      <c r="AK116" s="38">
        <f t="shared" si="57"/>
        <v>5501147</v>
      </c>
      <c r="AL116" s="41" t="str">
        <f t="shared" si="58"/>
        <v>控制职业伤害&lt;color=#54b76b&gt;+%s%&lt;/color&gt;</v>
      </c>
      <c r="AM116" s="26">
        <v>20</v>
      </c>
      <c r="AN116" s="26">
        <v>1</v>
      </c>
      <c r="AO116" s="26" t="s">
        <v>32</v>
      </c>
      <c r="AP116" s="20">
        <f t="shared" si="42"/>
        <v>111</v>
      </c>
    </row>
    <row r="117" s="20" customFormat="1" customHeight="1" spans="1:42">
      <c r="A117" s="38" t="s">
        <v>167</v>
      </c>
      <c r="B117" s="38" t="str">
        <f t="shared" si="33"/>
        <v/>
      </c>
      <c r="C117" s="32" t="str">
        <f t="shared" si="34"/>
        <v/>
      </c>
      <c r="D117" s="32"/>
      <c r="E117" s="26"/>
      <c r="F117" s="26" t="str">
        <f t="shared" si="38"/>
        <v/>
      </c>
      <c r="G117" s="26" t="str">
        <f>IFERROR(IF(--MID($E117,2*COUNTIF($F117:F117,"&gt;"&amp;0)+2,1)=G$1,G$1,""),"")</f>
        <v/>
      </c>
      <c r="H117" s="26" t="str">
        <f>IFERROR(IF(--MID($E117,2*COUNTIF($F117:G117,"&gt;"&amp;0)+2,1)=H$1,H$1,""),"")</f>
        <v/>
      </c>
      <c r="I117" s="26" t="str">
        <f>IFERROR(IF(--MID($E117,2*COUNTIF($F117:H117,"&gt;"&amp;0)+2,1)=I$1,I$1,""),"")</f>
        <v/>
      </c>
      <c r="J117" s="26" t="str">
        <f>IFERROR(IF(--MID($E117,2*COUNTIF($F117:I117,"&gt;"&amp;0)+2,1)=J$1,J$1,""),"")</f>
        <v/>
      </c>
      <c r="K117" s="26" t="str">
        <f>IFERROR(IF(--MID($E117,2*COUNTIF($F117:J117,"&gt;"&amp;0)+2,1)=K$1,K$1,""),"")</f>
        <v/>
      </c>
      <c r="L117" s="39" t="str" cm="1">
        <f t="array" ref="L117">IFERROR(IF($A117="","",IF(F117="","",_xlfn.XLOOKUP($C117&amp;"_"&amp;$AG117,符文权重!$A:$A&amp;"_"&amp;符文权重!$C:$C,符文权重!$D:$D)*$X117/SUMIFS($X:$X,F:F,F117,$C:$C,$C117,$AG:$AG,$AG117)/SUMIF(符文权重!$A:$A,$C117,符文权重!$D:$D))),"")</f>
        <v/>
      </c>
      <c r="M117" s="39" t="str" cm="1">
        <f t="array" ref="M117">IFERROR(IF($A117="","",IF(G117="","",_xlfn.XLOOKUP($C117&amp;"_"&amp;$AG117,符文权重!$A:$A&amp;"_"&amp;符文权重!$C:$C,符文权重!$D:$D)*$X117/SUMIFS($X:$X,G:G,G117,$C:$C,$C117,$AG:$AG,$AG117)/SUMIF(符文权重!$A:$A,$C117,符文权重!$D:$D))),"")</f>
        <v/>
      </c>
      <c r="N117" s="39" t="str" cm="1">
        <f t="array" ref="N117">IFERROR(IF($A117="","",IF(H117="","",_xlfn.XLOOKUP($C117&amp;"_"&amp;$AG117,符文权重!$A:$A&amp;"_"&amp;符文权重!$C:$C,符文权重!$D:$D)*$X117/SUMIFS($X:$X,H:H,H117,$C:$C,$C117,$AG:$AG,$AG117)/SUMIF(符文权重!$A:$A,$C117,符文权重!$D:$D))),"")</f>
        <v/>
      </c>
      <c r="O117" s="39" t="str" cm="1">
        <f t="array" ref="O117">IFERROR(IF($A117="","",IF(I117="","",_xlfn.XLOOKUP($C117&amp;"_"&amp;$AG117,符文权重!$A:$A&amp;"_"&amp;符文权重!$C:$C,符文权重!$D:$D)*$X117/SUMIFS($X:$X,I:I,I117,$C:$C,$C117,$AG:$AG,$AG117)/SUMIF(符文权重!$A:$A,$C117,符文权重!$D:$D))),"")</f>
        <v/>
      </c>
      <c r="P117" s="39" t="str" cm="1">
        <f t="array" ref="P117">IFERROR(IF($A117="","",IF(J117="","",_xlfn.XLOOKUP($C117&amp;"_"&amp;$AG117,符文权重!$A:$A&amp;"_"&amp;符文权重!$C:$C,符文权重!$D:$D)*$X117/SUMIFS($X:$X,J:J,J117,$C:$C,$C117,$AG:$AG,$AG117)/SUMIF(符文权重!$A:$A,$C117,符文权重!$D:$D))),"")</f>
        <v/>
      </c>
      <c r="Q117" s="39" t="str" cm="1">
        <f t="array" ref="Q117">IFERROR(IF($A117="","",IF(K117="","",_xlfn.XLOOKUP($C117&amp;"_"&amp;$AG117,符文权重!$A:$A&amp;"_"&amp;符文权重!$C:$C,符文权重!$D:$D)*$X117/SUMIFS($X:$X,K:K,K117,$C:$C,$C117,$AG:$AG,$AG117)/SUMIF(符文权重!$A:$A,$C117,符文权重!$D:$D))),"")</f>
        <v/>
      </c>
      <c r="R117" s="26"/>
      <c r="S117" s="26"/>
      <c r="T117" s="26"/>
      <c r="U117" s="40"/>
      <c r="V117" s="26"/>
      <c r="W117" s="25"/>
      <c r="X117" s="32"/>
      <c r="Y117" s="25"/>
      <c r="Z117" s="32" t="s">
        <v>167</v>
      </c>
      <c r="AA117" s="32" t="str">
        <f t="shared" si="46"/>
        <v/>
      </c>
      <c r="AB117" s="32"/>
      <c r="AC117" s="32" t="s">
        <v>166</v>
      </c>
      <c r="AD117" s="32">
        <f t="shared" si="41"/>
        <v>1112</v>
      </c>
      <c r="AE117" s="38" t="str">
        <f t="shared" si="36"/>
        <v/>
      </c>
      <c r="AF117" s="32" t="str">
        <f t="shared" si="37"/>
        <v/>
      </c>
      <c r="AG117" s="26"/>
      <c r="AH117" s="26"/>
      <c r="AI117" s="26"/>
      <c r="AJ117" s="25" t="s">
        <v>167</v>
      </c>
      <c r="AK117" s="24"/>
      <c r="AL117" s="42"/>
      <c r="AM117" s="26"/>
      <c r="AN117" s="26"/>
      <c r="AO117" s="26"/>
      <c r="AP117" s="20">
        <f t="shared" si="42"/>
        <v>112</v>
      </c>
    </row>
    <row r="118" s="22" customFormat="1" customHeight="1" spans="1:42">
      <c r="A118" s="44">
        <v>5501151</v>
      </c>
      <c r="B118" s="44" t="str">
        <f t="shared" si="33"/>
        <v>5501151</v>
      </c>
      <c r="C118" s="45">
        <f t="shared" si="34"/>
        <v>1</v>
      </c>
      <c r="D118" s="45"/>
      <c r="E118" s="46" t="s">
        <v>162</v>
      </c>
      <c r="F118" s="26">
        <f t="shared" si="38"/>
        <v>1</v>
      </c>
      <c r="G118" s="26">
        <f>IFERROR(IF(--MID($E118,2*COUNTIF($F118:F118,"&gt;"&amp;0)+2,1)=G$1,G$1,""),"")</f>
        <v>2</v>
      </c>
      <c r="H118" s="26">
        <f>IFERROR(IF(--MID($E118,2*COUNTIF($F118:G118,"&gt;"&amp;0)+2,1)=H$1,H$1,""),"")</f>
        <v>3</v>
      </c>
      <c r="I118" s="26">
        <f>IFERROR(IF(--MID($E118,2*COUNTIF($F118:H118,"&gt;"&amp;0)+2,1)=I$1,I$1,""),"")</f>
        <v>4</v>
      </c>
      <c r="J118" s="26">
        <f>IFERROR(IF(--MID($E118,2*COUNTIF($F118:I118,"&gt;"&amp;0)+2,1)=J$1,J$1,""),"")</f>
        <v>5</v>
      </c>
      <c r="K118" s="26">
        <f>IFERROR(IF(--MID($E118,2*COUNTIF($F118:J118,"&gt;"&amp;0)+2,1)=K$1,K$1,""),"")</f>
        <v>6</v>
      </c>
      <c r="L118" s="39" t="str" cm="1">
        <f t="array" ref="L118">IFERROR(IF($A118="","",IF(F118="","",_xlfn.XLOOKUP($C118&amp;"_"&amp;$AG118,符文权重!$A:$A&amp;"_"&amp;符文权重!$C:$C,符文权重!$D:$D)*$X118/SUMIFS($X:$X,F:F,F118,$C:$C,$C118,$AG:$AG,$AG118)/SUMIF(符文权重!$A:$A,$C118,符文权重!$D:$D))),"")</f>
        <v/>
      </c>
      <c r="M118" s="39" t="str" cm="1">
        <f t="array" ref="M118">IFERROR(IF($A118="","",IF(G118="","",_xlfn.XLOOKUP($C118&amp;"_"&amp;$AG118,符文权重!$A:$A&amp;"_"&amp;符文权重!$C:$C,符文权重!$D:$D)*$X118/SUMIFS($X:$X,G:G,G118,$C:$C,$C118,$AG:$AG,$AG118)/SUMIF(符文权重!$A:$A,$C118,符文权重!$D:$D))),"")</f>
        <v/>
      </c>
      <c r="N118" s="39" t="str" cm="1">
        <f t="array" ref="N118">IFERROR(IF($A118="","",IF(H118="","",_xlfn.XLOOKUP($C118&amp;"_"&amp;$AG118,符文权重!$A:$A&amp;"_"&amp;符文权重!$C:$C,符文权重!$D:$D)*$X118/SUMIFS($X:$X,H:H,H118,$C:$C,$C118,$AG:$AG,$AG118)/SUMIF(符文权重!$A:$A,$C118,符文权重!$D:$D))),"")</f>
        <v/>
      </c>
      <c r="O118" s="39" t="str" cm="1">
        <f t="array" ref="O118">IFERROR(IF($A118="","",IF(I118="","",_xlfn.XLOOKUP($C118&amp;"_"&amp;$AG118,符文权重!$A:$A&amp;"_"&amp;符文权重!$C:$C,符文权重!$D:$D)*$X118/SUMIFS($X:$X,I:I,I118,$C:$C,$C118,$AG:$AG,$AG118)/SUMIF(符文权重!$A:$A,$C118,符文权重!$D:$D))),"")</f>
        <v/>
      </c>
      <c r="P118" s="39" t="str" cm="1">
        <f t="array" ref="P118">IFERROR(IF($A118="","",IF(J118="","",_xlfn.XLOOKUP($C118&amp;"_"&amp;$AG118,符文权重!$A:$A&amp;"_"&amp;符文权重!$C:$C,符文权重!$D:$D)*$X118/SUMIFS($X:$X,J:J,J118,$C:$C,$C118,$AG:$AG,$AG118)/SUMIF(符文权重!$A:$A,$C118,符文权重!$D:$D))),"")</f>
        <v/>
      </c>
      <c r="Q118" s="39" t="str" cm="1">
        <f t="array" ref="Q118">IFERROR(IF($A118="","",IF(K118="","",_xlfn.XLOOKUP($C118&amp;"_"&amp;$AG118,符文权重!$A:$A&amp;"_"&amp;符文权重!$C:$C,符文权重!$D:$D)*$X118/SUMIFS($X:$X,K:K,K118,$C:$C,$C118,$AG:$AG,$AG118)/SUMIF(符文权重!$A:$A,$C118,符文权重!$D:$D))),"")</f>
        <v/>
      </c>
      <c r="R118" s="46" t="s">
        <v>181</v>
      </c>
      <c r="S118" s="46" t="s">
        <v>227</v>
      </c>
      <c r="T118" s="46" t="e">
        <f>IF(B118="","",SUBSTITUTE(SUBSTITUTE("[{global_atk,"&amp;#REF!*C118&amp;"}]",21,20),9,8))</f>
        <v>#REF!</v>
      </c>
      <c r="U118" s="47" t="str">
        <f t="shared" ref="U118:U124" si="59">"["&amp;A118&amp;"]"</f>
        <v>[5501151]</v>
      </c>
      <c r="V118" s="46" t="s">
        <v>293</v>
      </c>
      <c r="W118" s="23"/>
      <c r="X118" s="32">
        <v>100</v>
      </c>
      <c r="Y118" s="23"/>
      <c r="Z118" s="45" t="s">
        <v>165</v>
      </c>
      <c r="AA118" s="32" t="str">
        <f t="shared" si="46"/>
        <v>召唤职业伤害+0%</v>
      </c>
      <c r="AB118" s="32"/>
      <c r="AC118" s="32" t="s">
        <v>166</v>
      </c>
      <c r="AD118" s="32">
        <f t="shared" si="41"/>
        <v>1113</v>
      </c>
      <c r="AE118" s="44" t="str">
        <f t="shared" si="36"/>
        <v>5501151</v>
      </c>
      <c r="AF118" s="45" t="str">
        <f t="shared" si="37"/>
        <v>[0]</v>
      </c>
      <c r="AG118" s="26">
        <v>100</v>
      </c>
      <c r="AH118" s="46"/>
      <c r="AI118" s="46">
        <v>1</v>
      </c>
      <c r="AJ118" s="25" t="s">
        <v>167</v>
      </c>
      <c r="AK118" s="48">
        <v>5501151</v>
      </c>
      <c r="AL118" s="49" t="s">
        <v>294</v>
      </c>
      <c r="AM118" s="46">
        <v>0</v>
      </c>
      <c r="AN118" s="26">
        <v>1</v>
      </c>
      <c r="AO118" s="26" t="s">
        <v>32</v>
      </c>
      <c r="AP118" s="20">
        <f t="shared" si="42"/>
        <v>113</v>
      </c>
    </row>
    <row r="119" s="22" customFormat="1" customHeight="1" spans="1:42">
      <c r="A119" s="44">
        <v>5501152</v>
      </c>
      <c r="B119" s="44" t="str">
        <f t="shared" si="33"/>
        <v>5501151</v>
      </c>
      <c r="C119" s="45">
        <f t="shared" si="34"/>
        <v>2</v>
      </c>
      <c r="D119" s="45"/>
      <c r="E119" s="46" t="s">
        <v>162</v>
      </c>
      <c r="F119" s="26">
        <f t="shared" si="38"/>
        <v>1</v>
      </c>
      <c r="G119" s="26">
        <f>IFERROR(IF(--MID($E119,2*COUNTIF($F119:F119,"&gt;"&amp;0)+2,1)=G$1,G$1,""),"")</f>
        <v>2</v>
      </c>
      <c r="H119" s="26">
        <f>IFERROR(IF(--MID($E119,2*COUNTIF($F119:G119,"&gt;"&amp;0)+2,1)=H$1,H$1,""),"")</f>
        <v>3</v>
      </c>
      <c r="I119" s="26">
        <f>IFERROR(IF(--MID($E119,2*COUNTIF($F119:H119,"&gt;"&amp;0)+2,1)=I$1,I$1,""),"")</f>
        <v>4</v>
      </c>
      <c r="J119" s="26">
        <f>IFERROR(IF(--MID($E119,2*COUNTIF($F119:I119,"&gt;"&amp;0)+2,1)=J$1,J$1,""),"")</f>
        <v>5</v>
      </c>
      <c r="K119" s="26">
        <f>IFERROR(IF(--MID($E119,2*COUNTIF($F119:J119,"&gt;"&amp;0)+2,1)=K$1,K$1,""),"")</f>
        <v>6</v>
      </c>
      <c r="L119" s="39" t="str" cm="1">
        <f t="array" ref="L119">IFERROR(IF($A119="","",IF(F119="","",_xlfn.XLOOKUP($C119&amp;"_"&amp;$AG119,符文权重!$A:$A&amp;"_"&amp;符文权重!$C:$C,符文权重!$D:$D)*$X119/SUMIFS($X:$X,F:F,F119,$C:$C,$C119,$AG:$AG,$AG119)/SUMIF(符文权重!$A:$A,$C119,符文权重!$D:$D))),"")</f>
        <v/>
      </c>
      <c r="M119" s="39" t="str" cm="1">
        <f t="array" ref="M119">IFERROR(IF($A119="","",IF(G119="","",_xlfn.XLOOKUP($C119&amp;"_"&amp;$AG119,符文权重!$A:$A&amp;"_"&amp;符文权重!$C:$C,符文权重!$D:$D)*$X119/SUMIFS($X:$X,G:G,G119,$C:$C,$C119,$AG:$AG,$AG119)/SUMIF(符文权重!$A:$A,$C119,符文权重!$D:$D))),"")</f>
        <v/>
      </c>
      <c r="N119" s="39" t="str" cm="1">
        <f t="array" ref="N119">IFERROR(IF($A119="","",IF(H119="","",_xlfn.XLOOKUP($C119&amp;"_"&amp;$AG119,符文权重!$A:$A&amp;"_"&amp;符文权重!$C:$C,符文权重!$D:$D)*$X119/SUMIFS($X:$X,H:H,H119,$C:$C,$C119,$AG:$AG,$AG119)/SUMIF(符文权重!$A:$A,$C119,符文权重!$D:$D))),"")</f>
        <v/>
      </c>
      <c r="O119" s="39" t="str" cm="1">
        <f t="array" ref="O119">IFERROR(IF($A119="","",IF(I119="","",_xlfn.XLOOKUP($C119&amp;"_"&amp;$AG119,符文权重!$A:$A&amp;"_"&amp;符文权重!$C:$C,符文权重!$D:$D)*$X119/SUMIFS($X:$X,I:I,I119,$C:$C,$C119,$AG:$AG,$AG119)/SUMIF(符文权重!$A:$A,$C119,符文权重!$D:$D))),"")</f>
        <v/>
      </c>
      <c r="P119" s="39" t="str" cm="1">
        <f t="array" ref="P119">IFERROR(IF($A119="","",IF(J119="","",_xlfn.XLOOKUP($C119&amp;"_"&amp;$AG119,符文权重!$A:$A&amp;"_"&amp;符文权重!$C:$C,符文权重!$D:$D)*$X119/SUMIFS($X:$X,J:J,J119,$C:$C,$C119,$AG:$AG,$AG119)/SUMIF(符文权重!$A:$A,$C119,符文权重!$D:$D))),"")</f>
        <v/>
      </c>
      <c r="Q119" s="39" t="str" cm="1">
        <f t="array" ref="Q119">IFERROR(IF($A119="","",IF(K119="","",_xlfn.XLOOKUP($C119&amp;"_"&amp;$AG119,符文权重!$A:$A&amp;"_"&amp;符文权重!$C:$C,符文权重!$D:$D)*$X119/SUMIFS($X:$X,K:K,K119,$C:$C,$C119,$AG:$AG,$AG119)/SUMIF(符文权重!$A:$A,$C119,符文权重!$D:$D))),"")</f>
        <v/>
      </c>
      <c r="R119" s="46" t="s">
        <v>181</v>
      </c>
      <c r="S119" s="46" t="s">
        <v>227</v>
      </c>
      <c r="T119" s="46" t="e">
        <f>IF(B119="","",SUBSTITUTE(SUBSTITUTE("[{global_atk,"&amp;#REF!*C119&amp;"}]",21,20),9,8))</f>
        <v>#REF!</v>
      </c>
      <c r="U119" s="47" t="str">
        <f t="shared" si="59"/>
        <v>[5501152]</v>
      </c>
      <c r="V119" s="46" t="s">
        <v>295</v>
      </c>
      <c r="W119" s="23"/>
      <c r="X119" s="32">
        <v>100</v>
      </c>
      <c r="Y119" s="23"/>
      <c r="Z119" s="45" t="s">
        <v>170</v>
      </c>
      <c r="AA119" s="32" t="str">
        <f t="shared" si="46"/>
        <v>召唤职业伤害+0%</v>
      </c>
      <c r="AB119" s="32"/>
      <c r="AC119" s="32" t="s">
        <v>166</v>
      </c>
      <c r="AD119" s="32">
        <f t="shared" si="41"/>
        <v>1114</v>
      </c>
      <c r="AE119" s="44" t="str">
        <f t="shared" si="36"/>
        <v>5501151</v>
      </c>
      <c r="AF119" s="45" t="str">
        <f t="shared" si="37"/>
        <v>[0]</v>
      </c>
      <c r="AG119" s="26">
        <v>100</v>
      </c>
      <c r="AH119" s="46"/>
      <c r="AI119" s="46">
        <v>1</v>
      </c>
      <c r="AJ119" s="25" t="s">
        <v>167</v>
      </c>
      <c r="AK119" s="44">
        <f t="shared" ref="AK119:AK124" si="60">AK118+1</f>
        <v>5501152</v>
      </c>
      <c r="AL119" s="50" t="str">
        <f t="shared" ref="AL119:AL124" si="61">AL118</f>
        <v>召唤职业伤害&lt;color=#54b76b&gt;+%s%&lt;/color&gt;</v>
      </c>
      <c r="AM119" s="46">
        <v>0</v>
      </c>
      <c r="AN119" s="26">
        <v>1</v>
      </c>
      <c r="AO119" s="26" t="s">
        <v>32</v>
      </c>
      <c r="AP119" s="20">
        <f t="shared" si="42"/>
        <v>114</v>
      </c>
    </row>
    <row r="120" s="22" customFormat="1" customHeight="1" spans="1:42">
      <c r="A120" s="44">
        <v>5501153</v>
      </c>
      <c r="B120" s="44" t="str">
        <f t="shared" si="33"/>
        <v>5501151</v>
      </c>
      <c r="C120" s="45">
        <f t="shared" si="34"/>
        <v>3</v>
      </c>
      <c r="D120" s="45"/>
      <c r="E120" s="46" t="s">
        <v>162</v>
      </c>
      <c r="F120" s="26">
        <f t="shared" si="38"/>
        <v>1</v>
      </c>
      <c r="G120" s="26">
        <f>IFERROR(IF(--MID($E120,2*COUNTIF($F120:F120,"&gt;"&amp;0)+2,1)=G$1,G$1,""),"")</f>
        <v>2</v>
      </c>
      <c r="H120" s="26">
        <f>IFERROR(IF(--MID($E120,2*COUNTIF($F120:G120,"&gt;"&amp;0)+2,1)=H$1,H$1,""),"")</f>
        <v>3</v>
      </c>
      <c r="I120" s="26">
        <f>IFERROR(IF(--MID($E120,2*COUNTIF($F120:H120,"&gt;"&amp;0)+2,1)=I$1,I$1,""),"")</f>
        <v>4</v>
      </c>
      <c r="J120" s="26">
        <f>IFERROR(IF(--MID($E120,2*COUNTIF($F120:I120,"&gt;"&amp;0)+2,1)=J$1,J$1,""),"")</f>
        <v>5</v>
      </c>
      <c r="K120" s="26">
        <f>IFERROR(IF(--MID($E120,2*COUNTIF($F120:J120,"&gt;"&amp;0)+2,1)=K$1,K$1,""),"")</f>
        <v>6</v>
      </c>
      <c r="L120" s="39" t="str" cm="1">
        <f t="array" ref="L120">IFERROR(IF($A120="","",IF(F120="","",_xlfn.XLOOKUP($C120&amp;"_"&amp;$AG120,符文权重!$A:$A&amp;"_"&amp;符文权重!$C:$C,符文权重!$D:$D)*$X120/SUMIFS($X:$X,F:F,F120,$C:$C,$C120,$AG:$AG,$AG120)/SUMIF(符文权重!$A:$A,$C120,符文权重!$D:$D))),"")</f>
        <v/>
      </c>
      <c r="M120" s="39" t="str" cm="1">
        <f t="array" ref="M120">IFERROR(IF($A120="","",IF(G120="","",_xlfn.XLOOKUP($C120&amp;"_"&amp;$AG120,符文权重!$A:$A&amp;"_"&amp;符文权重!$C:$C,符文权重!$D:$D)*$X120/SUMIFS($X:$X,G:G,G120,$C:$C,$C120,$AG:$AG,$AG120)/SUMIF(符文权重!$A:$A,$C120,符文权重!$D:$D))),"")</f>
        <v/>
      </c>
      <c r="N120" s="39" t="str" cm="1">
        <f t="array" ref="N120">IFERROR(IF($A120="","",IF(H120="","",_xlfn.XLOOKUP($C120&amp;"_"&amp;$AG120,符文权重!$A:$A&amp;"_"&amp;符文权重!$C:$C,符文权重!$D:$D)*$X120/SUMIFS($X:$X,H:H,H120,$C:$C,$C120,$AG:$AG,$AG120)/SUMIF(符文权重!$A:$A,$C120,符文权重!$D:$D))),"")</f>
        <v/>
      </c>
      <c r="O120" s="39" t="str" cm="1">
        <f t="array" ref="O120">IFERROR(IF($A120="","",IF(I120="","",_xlfn.XLOOKUP($C120&amp;"_"&amp;$AG120,符文权重!$A:$A&amp;"_"&amp;符文权重!$C:$C,符文权重!$D:$D)*$X120/SUMIFS($X:$X,I:I,I120,$C:$C,$C120,$AG:$AG,$AG120)/SUMIF(符文权重!$A:$A,$C120,符文权重!$D:$D))),"")</f>
        <v/>
      </c>
      <c r="P120" s="39" t="str" cm="1">
        <f t="array" ref="P120">IFERROR(IF($A120="","",IF(J120="","",_xlfn.XLOOKUP($C120&amp;"_"&amp;$AG120,符文权重!$A:$A&amp;"_"&amp;符文权重!$C:$C,符文权重!$D:$D)*$X120/SUMIFS($X:$X,J:J,J120,$C:$C,$C120,$AG:$AG,$AG120)/SUMIF(符文权重!$A:$A,$C120,符文权重!$D:$D))),"")</f>
        <v/>
      </c>
      <c r="Q120" s="39" t="str" cm="1">
        <f t="array" ref="Q120">IFERROR(IF($A120="","",IF(K120="","",_xlfn.XLOOKUP($C120&amp;"_"&amp;$AG120,符文权重!$A:$A&amp;"_"&amp;符文权重!$C:$C,符文权重!$D:$D)*$X120/SUMIFS($X:$X,K:K,K120,$C:$C,$C120,$AG:$AG,$AG120)/SUMIF(符文权重!$A:$A,$C120,符文权重!$D:$D))),"")</f>
        <v/>
      </c>
      <c r="R120" s="46" t="s">
        <v>181</v>
      </c>
      <c r="S120" s="46" t="s">
        <v>227</v>
      </c>
      <c r="T120" s="46" t="e">
        <f>IF(B120="","",SUBSTITUTE(SUBSTITUTE("[{global_atk,"&amp;#REF!*C120&amp;"}]",21,20),9,8))</f>
        <v>#REF!</v>
      </c>
      <c r="U120" s="47" t="str">
        <f t="shared" si="59"/>
        <v>[5501153]</v>
      </c>
      <c r="V120" s="46" t="s">
        <v>296</v>
      </c>
      <c r="W120" s="23"/>
      <c r="X120" s="32">
        <v>100</v>
      </c>
      <c r="Y120" s="23"/>
      <c r="Z120" s="45" t="s">
        <v>172</v>
      </c>
      <c r="AA120" s="32" t="str">
        <f t="shared" si="46"/>
        <v>召唤职业伤害+0%</v>
      </c>
      <c r="AB120" s="32"/>
      <c r="AC120" s="32" t="s">
        <v>166</v>
      </c>
      <c r="AD120" s="32">
        <f t="shared" si="41"/>
        <v>1115</v>
      </c>
      <c r="AE120" s="44" t="str">
        <f t="shared" si="36"/>
        <v>5501151</v>
      </c>
      <c r="AF120" s="45" t="str">
        <f t="shared" si="37"/>
        <v>[0]</v>
      </c>
      <c r="AG120" s="26">
        <v>100</v>
      </c>
      <c r="AH120" s="46"/>
      <c r="AI120" s="46">
        <v>1</v>
      </c>
      <c r="AJ120" s="25" t="s">
        <v>167</v>
      </c>
      <c r="AK120" s="44">
        <f t="shared" si="60"/>
        <v>5501153</v>
      </c>
      <c r="AL120" s="50" t="str">
        <f t="shared" si="61"/>
        <v>召唤职业伤害&lt;color=#54b76b&gt;+%s%&lt;/color&gt;</v>
      </c>
      <c r="AM120" s="46">
        <v>0</v>
      </c>
      <c r="AN120" s="26">
        <v>1</v>
      </c>
      <c r="AO120" s="26" t="s">
        <v>32</v>
      </c>
      <c r="AP120" s="20">
        <f t="shared" si="42"/>
        <v>115</v>
      </c>
    </row>
    <row r="121" s="20" customFormat="1" customHeight="1" spans="1:42">
      <c r="A121" s="38">
        <v>5501154</v>
      </c>
      <c r="B121" s="38" t="str">
        <f t="shared" si="33"/>
        <v>5501151</v>
      </c>
      <c r="C121" s="32">
        <f t="shared" si="34"/>
        <v>4</v>
      </c>
      <c r="D121" s="32"/>
      <c r="E121" s="26" t="s">
        <v>162</v>
      </c>
      <c r="F121" s="26">
        <f t="shared" si="38"/>
        <v>1</v>
      </c>
      <c r="G121" s="26">
        <f>IFERROR(IF(--MID($E121,2*COUNTIF($F121:F121,"&gt;"&amp;0)+2,1)=G$1,G$1,""),"")</f>
        <v>2</v>
      </c>
      <c r="H121" s="26">
        <f>IFERROR(IF(--MID($E121,2*COUNTIF($F121:G121,"&gt;"&amp;0)+2,1)=H$1,H$1,""),"")</f>
        <v>3</v>
      </c>
      <c r="I121" s="26">
        <f>IFERROR(IF(--MID($E121,2*COUNTIF($F121:H121,"&gt;"&amp;0)+2,1)=I$1,I$1,""),"")</f>
        <v>4</v>
      </c>
      <c r="J121" s="26">
        <f>IFERROR(IF(--MID($E121,2*COUNTIF($F121:I121,"&gt;"&amp;0)+2,1)=J$1,J$1,""),"")</f>
        <v>5</v>
      </c>
      <c r="K121" s="26">
        <f>IFERROR(IF(--MID($E121,2*COUNTIF($F121:J121,"&gt;"&amp;0)+2,1)=K$1,K$1,""),"")</f>
        <v>6</v>
      </c>
      <c r="L121" s="39" cm="1">
        <f t="array" ref="L121">IFERROR(IF($A121="","",IF(F121="","",_xlfn.XLOOKUP($C121&amp;"_"&amp;$AG121,符文权重!$A:$A&amp;"_"&amp;符文权重!$C:$C,符文权重!$D:$D)*$X121/SUMIFS($X:$X,F:F,F121,$C:$C,$C121,$AG:$AG,$AG121)/SUMIF(符文权重!$A:$A,$C121,符文权重!$D:$D))),"")</f>
        <v>0.022913616398243</v>
      </c>
      <c r="M121" s="39" cm="1">
        <f t="array" ref="M121">IFERROR(IF($A121="","",IF(G121="","",_xlfn.XLOOKUP($C121&amp;"_"&amp;$AG121,符文权重!$A:$A&amp;"_"&amp;符文权重!$C:$C,符文权重!$D:$D)*$X121/SUMIFS($X:$X,G:G,G121,$C:$C,$C121,$AG:$AG,$AG121)/SUMIF(符文权重!$A:$A,$C121,符文权重!$D:$D))),"")</f>
        <v>0.022913616398243</v>
      </c>
      <c r="N121" s="39" cm="1">
        <f t="array" ref="N121">IFERROR(IF($A121="","",IF(H121="","",_xlfn.XLOOKUP($C121&amp;"_"&amp;$AG121,符文权重!$A:$A&amp;"_"&amp;符文权重!$C:$C,符文权重!$D:$D)*$X121/SUMIFS($X:$X,H:H,H121,$C:$C,$C121,$AG:$AG,$AG121)/SUMIF(符文权重!$A:$A,$C121,符文权重!$D:$D))),"")</f>
        <v>0.022913616398243</v>
      </c>
      <c r="O121" s="39" cm="1">
        <f t="array" ref="O121">IFERROR(IF($A121="","",IF(I121="","",_xlfn.XLOOKUP($C121&amp;"_"&amp;$AG121,符文权重!$A:$A&amp;"_"&amp;符文权重!$C:$C,符文权重!$D:$D)*$X121/SUMIFS($X:$X,I:I,I121,$C:$C,$C121,$AG:$AG,$AG121)/SUMIF(符文权重!$A:$A,$C121,符文权重!$D:$D))),"")</f>
        <v>0.022913616398243</v>
      </c>
      <c r="P121" s="39" cm="1">
        <f t="array" ref="P121">IFERROR(IF($A121="","",IF(J121="","",_xlfn.XLOOKUP($C121&amp;"_"&amp;$AG121,符文权重!$A:$A&amp;"_"&amp;符文权重!$C:$C,符文权重!$D:$D)*$X121/SUMIFS($X:$X,J:J,J121,$C:$C,$C121,$AG:$AG,$AG121)/SUMIF(符文权重!$A:$A,$C121,符文权重!$D:$D))),"")</f>
        <v>0.022913616398243</v>
      </c>
      <c r="Q121" s="39" cm="1">
        <f t="array" ref="Q121">IFERROR(IF($A121="","",IF(K121="","",_xlfn.XLOOKUP($C121&amp;"_"&amp;$AG121,符文权重!$A:$A&amp;"_"&amp;符文权重!$C:$C,符文权重!$D:$D)*$X121/SUMIFS($X:$X,K:K,K121,$C:$C,$C121,$AG:$AG,$AG121)/SUMIF(符文权重!$A:$A,$C121,符文权重!$D:$D))),"")</f>
        <v>0.022913616398243</v>
      </c>
      <c r="R121" s="26" t="s">
        <v>181</v>
      </c>
      <c r="S121" s="26" t="s">
        <v>227</v>
      </c>
      <c r="T121" s="26" t="e">
        <f>IF(B121="","",SUBSTITUTE(SUBSTITUTE("[{global_atk,"&amp;#REF!*C121&amp;"}]",21,20),9,8))</f>
        <v>#REF!</v>
      </c>
      <c r="U121" s="40" t="str">
        <f t="shared" si="59"/>
        <v>[5501154]</v>
      </c>
      <c r="V121" s="26" t="s">
        <v>297</v>
      </c>
      <c r="W121" s="25"/>
      <c r="X121" s="32">
        <v>100</v>
      </c>
      <c r="Y121" s="25"/>
      <c r="Z121" s="32" t="s">
        <v>174</v>
      </c>
      <c r="AA121" s="32" t="str">
        <f t="shared" si="46"/>
        <v>召唤职业伤害+10%</v>
      </c>
      <c r="AB121" s="32"/>
      <c r="AC121" s="32" t="s">
        <v>166</v>
      </c>
      <c r="AD121" s="32">
        <f t="shared" si="41"/>
        <v>1116</v>
      </c>
      <c r="AE121" s="38" t="str">
        <f t="shared" si="36"/>
        <v>5501151</v>
      </c>
      <c r="AF121" s="32" t="str">
        <f t="shared" si="37"/>
        <v>[10]</v>
      </c>
      <c r="AG121" s="26">
        <v>1</v>
      </c>
      <c r="AH121" s="26"/>
      <c r="AI121" s="26">
        <v>0</v>
      </c>
      <c r="AJ121" s="25" t="s">
        <v>167</v>
      </c>
      <c r="AK121" s="38">
        <f t="shared" si="60"/>
        <v>5501154</v>
      </c>
      <c r="AL121" s="41" t="str">
        <f t="shared" si="61"/>
        <v>召唤职业伤害&lt;color=#54b76b&gt;+%s%&lt;/color&gt;</v>
      </c>
      <c r="AM121" s="26">
        <v>10</v>
      </c>
      <c r="AN121" s="26">
        <v>1</v>
      </c>
      <c r="AO121" s="26" t="s">
        <v>32</v>
      </c>
      <c r="AP121" s="20">
        <f t="shared" si="42"/>
        <v>116</v>
      </c>
    </row>
    <row r="122" s="20" customFormat="1" customHeight="1" spans="1:42">
      <c r="A122" s="38">
        <v>5501155</v>
      </c>
      <c r="B122" s="38" t="str">
        <f t="shared" si="33"/>
        <v>5501151</v>
      </c>
      <c r="C122" s="32">
        <f t="shared" si="34"/>
        <v>5</v>
      </c>
      <c r="D122" s="32"/>
      <c r="E122" s="26" t="s">
        <v>162</v>
      </c>
      <c r="F122" s="26">
        <f t="shared" si="38"/>
        <v>1</v>
      </c>
      <c r="G122" s="26">
        <f>IFERROR(IF(--MID($E122,2*COUNTIF($F122:F122,"&gt;"&amp;0)+2,1)=G$1,G$1,""),"")</f>
        <v>2</v>
      </c>
      <c r="H122" s="26">
        <f>IFERROR(IF(--MID($E122,2*COUNTIF($F122:G122,"&gt;"&amp;0)+2,1)=H$1,H$1,""),"")</f>
        <v>3</v>
      </c>
      <c r="I122" s="26">
        <f>IFERROR(IF(--MID($E122,2*COUNTIF($F122:H122,"&gt;"&amp;0)+2,1)=I$1,I$1,""),"")</f>
        <v>4</v>
      </c>
      <c r="J122" s="26">
        <f>IFERROR(IF(--MID($E122,2*COUNTIF($F122:I122,"&gt;"&amp;0)+2,1)=J$1,J$1,""),"")</f>
        <v>5</v>
      </c>
      <c r="K122" s="26">
        <f>IFERROR(IF(--MID($E122,2*COUNTIF($F122:J122,"&gt;"&amp;0)+2,1)=K$1,K$1,""),"")</f>
        <v>6</v>
      </c>
      <c r="L122" s="39" cm="1">
        <f t="array" ref="L122">IFERROR(IF($A122="","",IF(F122="","",_xlfn.XLOOKUP($C122&amp;"_"&amp;$AG122,符文权重!$A:$A&amp;"_"&amp;符文权重!$C:$C,符文权重!$D:$D)*$X122/SUMIFS($X:$X,F:F,F122,$C:$C,$C122,$AG:$AG,$AG122)/SUMIF(符文权重!$A:$A,$C122,符文权重!$D:$D))),"")</f>
        <v>0.0196666666666667</v>
      </c>
      <c r="M122" s="39" cm="1">
        <f t="array" ref="M122">IFERROR(IF($A122="","",IF(G122="","",_xlfn.XLOOKUP($C122&amp;"_"&amp;$AG122,符文权重!$A:$A&amp;"_"&amp;符文权重!$C:$C,符文权重!$D:$D)*$X122/SUMIFS($X:$X,G:G,G122,$C:$C,$C122,$AG:$AG,$AG122)/SUMIF(符文权重!$A:$A,$C122,符文权重!$D:$D))),"")</f>
        <v>0.0196666666666667</v>
      </c>
      <c r="N122" s="39" cm="1">
        <f t="array" ref="N122">IFERROR(IF($A122="","",IF(H122="","",_xlfn.XLOOKUP($C122&amp;"_"&amp;$AG122,符文权重!$A:$A&amp;"_"&amp;符文权重!$C:$C,符文权重!$D:$D)*$X122/SUMIFS($X:$X,H:H,H122,$C:$C,$C122,$AG:$AG,$AG122)/SUMIF(符文权重!$A:$A,$C122,符文权重!$D:$D))),"")</f>
        <v>0.0196666666666667</v>
      </c>
      <c r="O122" s="39" cm="1">
        <f t="array" ref="O122">IFERROR(IF($A122="","",IF(I122="","",_xlfn.XLOOKUP($C122&amp;"_"&amp;$AG122,符文权重!$A:$A&amp;"_"&amp;符文权重!$C:$C,符文权重!$D:$D)*$X122/SUMIFS($X:$X,I:I,I122,$C:$C,$C122,$AG:$AG,$AG122)/SUMIF(符文权重!$A:$A,$C122,符文权重!$D:$D))),"")</f>
        <v>0.0196666666666667</v>
      </c>
      <c r="P122" s="39" cm="1">
        <f t="array" ref="P122">IFERROR(IF($A122="","",IF(J122="","",_xlfn.XLOOKUP($C122&amp;"_"&amp;$AG122,符文权重!$A:$A&amp;"_"&amp;符文权重!$C:$C,符文权重!$D:$D)*$X122/SUMIFS($X:$X,J:J,J122,$C:$C,$C122,$AG:$AG,$AG122)/SUMIF(符文权重!$A:$A,$C122,符文权重!$D:$D))),"")</f>
        <v>0.0196666666666667</v>
      </c>
      <c r="Q122" s="39" cm="1">
        <f t="array" ref="Q122">IFERROR(IF($A122="","",IF(K122="","",_xlfn.XLOOKUP($C122&amp;"_"&amp;$AG122,符文权重!$A:$A&amp;"_"&amp;符文权重!$C:$C,符文权重!$D:$D)*$X122/SUMIFS($X:$X,K:K,K122,$C:$C,$C122,$AG:$AG,$AG122)/SUMIF(符文权重!$A:$A,$C122,符文权重!$D:$D))),"")</f>
        <v>0.0196666666666667</v>
      </c>
      <c r="R122" s="26" t="s">
        <v>181</v>
      </c>
      <c r="S122" s="26" t="s">
        <v>227</v>
      </c>
      <c r="T122" s="26" t="e">
        <f>IF(B122="","",SUBSTITUTE(SUBSTITUTE("[{global_atk,"&amp;#REF!*C122&amp;"}]",21,20),9,8))</f>
        <v>#REF!</v>
      </c>
      <c r="U122" s="40" t="str">
        <f t="shared" si="59"/>
        <v>[5501155]</v>
      </c>
      <c r="V122" s="26" t="s">
        <v>298</v>
      </c>
      <c r="W122" s="25"/>
      <c r="X122" s="32">
        <v>100</v>
      </c>
      <c r="Y122" s="25"/>
      <c r="Z122" s="32" t="s">
        <v>176</v>
      </c>
      <c r="AA122" s="32" t="str">
        <f t="shared" si="46"/>
        <v>召唤职业伤害+12.5%</v>
      </c>
      <c r="AB122" s="32"/>
      <c r="AC122" s="32" t="s">
        <v>166</v>
      </c>
      <c r="AD122" s="32">
        <f t="shared" si="41"/>
        <v>1117</v>
      </c>
      <c r="AE122" s="38" t="str">
        <f t="shared" si="36"/>
        <v>5501151</v>
      </c>
      <c r="AF122" s="32" t="str">
        <f t="shared" si="37"/>
        <v>[12.5]</v>
      </c>
      <c r="AG122" s="26">
        <v>1</v>
      </c>
      <c r="AH122" s="26"/>
      <c r="AI122" s="26">
        <v>0</v>
      </c>
      <c r="AJ122" s="25" t="s">
        <v>167</v>
      </c>
      <c r="AK122" s="38">
        <f t="shared" si="60"/>
        <v>5501155</v>
      </c>
      <c r="AL122" s="41" t="str">
        <f t="shared" si="61"/>
        <v>召唤职业伤害&lt;color=#54b76b&gt;+%s%&lt;/color&gt;</v>
      </c>
      <c r="AM122" s="26">
        <v>12.5</v>
      </c>
      <c r="AN122" s="26">
        <v>1</v>
      </c>
      <c r="AO122" s="26" t="s">
        <v>32</v>
      </c>
      <c r="AP122" s="20">
        <f t="shared" si="42"/>
        <v>117</v>
      </c>
    </row>
    <row r="123" s="20" customFormat="1" customHeight="1" spans="1:42">
      <c r="A123" s="38">
        <v>5501156</v>
      </c>
      <c r="B123" s="38" t="str">
        <f t="shared" si="33"/>
        <v>5501151</v>
      </c>
      <c r="C123" s="32">
        <f t="shared" si="34"/>
        <v>6</v>
      </c>
      <c r="D123" s="32"/>
      <c r="E123" s="26" t="s">
        <v>162</v>
      </c>
      <c r="F123" s="26">
        <f t="shared" si="38"/>
        <v>1</v>
      </c>
      <c r="G123" s="26">
        <f>IFERROR(IF(--MID($E123,2*COUNTIF($F123:F123,"&gt;"&amp;0)+2,1)=G$1,G$1,""),"")</f>
        <v>2</v>
      </c>
      <c r="H123" s="26">
        <f>IFERROR(IF(--MID($E123,2*COUNTIF($F123:G123,"&gt;"&amp;0)+2,1)=H$1,H$1,""),"")</f>
        <v>3</v>
      </c>
      <c r="I123" s="26">
        <f>IFERROR(IF(--MID($E123,2*COUNTIF($F123:H123,"&gt;"&amp;0)+2,1)=I$1,I$1,""),"")</f>
        <v>4</v>
      </c>
      <c r="J123" s="26">
        <f>IFERROR(IF(--MID($E123,2*COUNTIF($F123:I123,"&gt;"&amp;0)+2,1)=J$1,J$1,""),"")</f>
        <v>5</v>
      </c>
      <c r="K123" s="26">
        <f>IFERROR(IF(--MID($E123,2*COUNTIF($F123:J123,"&gt;"&amp;0)+2,1)=K$1,K$1,""),"")</f>
        <v>6</v>
      </c>
      <c r="L123" s="39" cm="1">
        <f t="array" ref="L123">IFERROR(IF($A123="","",IF(F123="","",_xlfn.XLOOKUP($C123&amp;"_"&amp;$AG123,符文权重!$A:$A&amp;"_"&amp;符文权重!$C:$C,符文权重!$D:$D)*$X123/SUMIFS($X:$X,F:F,F123,$C:$C,$C123,$AG:$AG,$AG123)/SUMIF(符文权重!$A:$A,$C123,符文权重!$D:$D))),"")</f>
        <v>0.0196666666666667</v>
      </c>
      <c r="M123" s="39" cm="1">
        <f t="array" ref="M123">IFERROR(IF($A123="","",IF(G123="","",_xlfn.XLOOKUP($C123&amp;"_"&amp;$AG123,符文权重!$A:$A&amp;"_"&amp;符文权重!$C:$C,符文权重!$D:$D)*$X123/SUMIFS($X:$X,G:G,G123,$C:$C,$C123,$AG:$AG,$AG123)/SUMIF(符文权重!$A:$A,$C123,符文权重!$D:$D))),"")</f>
        <v>0.0196666666666667</v>
      </c>
      <c r="N123" s="39" cm="1">
        <f t="array" ref="N123">IFERROR(IF($A123="","",IF(H123="","",_xlfn.XLOOKUP($C123&amp;"_"&amp;$AG123,符文权重!$A:$A&amp;"_"&amp;符文权重!$C:$C,符文权重!$D:$D)*$X123/SUMIFS($X:$X,H:H,H123,$C:$C,$C123,$AG:$AG,$AG123)/SUMIF(符文权重!$A:$A,$C123,符文权重!$D:$D))),"")</f>
        <v>0.0196666666666667</v>
      </c>
      <c r="O123" s="39" cm="1">
        <f t="array" ref="O123">IFERROR(IF($A123="","",IF(I123="","",_xlfn.XLOOKUP($C123&amp;"_"&amp;$AG123,符文权重!$A:$A&amp;"_"&amp;符文权重!$C:$C,符文权重!$D:$D)*$X123/SUMIFS($X:$X,I:I,I123,$C:$C,$C123,$AG:$AG,$AG123)/SUMIF(符文权重!$A:$A,$C123,符文权重!$D:$D))),"")</f>
        <v>0.0196666666666667</v>
      </c>
      <c r="P123" s="39" cm="1">
        <f t="array" ref="P123">IFERROR(IF($A123="","",IF(J123="","",_xlfn.XLOOKUP($C123&amp;"_"&amp;$AG123,符文权重!$A:$A&amp;"_"&amp;符文权重!$C:$C,符文权重!$D:$D)*$X123/SUMIFS($X:$X,J:J,J123,$C:$C,$C123,$AG:$AG,$AG123)/SUMIF(符文权重!$A:$A,$C123,符文权重!$D:$D))),"")</f>
        <v>0.0196666666666667</v>
      </c>
      <c r="Q123" s="39" cm="1">
        <f t="array" ref="Q123">IFERROR(IF($A123="","",IF(K123="","",_xlfn.XLOOKUP($C123&amp;"_"&amp;$AG123,符文权重!$A:$A&amp;"_"&amp;符文权重!$C:$C,符文权重!$D:$D)*$X123/SUMIFS($X:$X,K:K,K123,$C:$C,$C123,$AG:$AG,$AG123)/SUMIF(符文权重!$A:$A,$C123,符文权重!$D:$D))),"")</f>
        <v>0.0196666666666667</v>
      </c>
      <c r="R123" s="26" t="s">
        <v>181</v>
      </c>
      <c r="S123" s="26" t="s">
        <v>227</v>
      </c>
      <c r="T123" s="26" t="e">
        <f>IF(B123="","",SUBSTITUTE(SUBSTITUTE("[{global_atk,"&amp;#REF!*C123&amp;"}]",21,20),9,8))</f>
        <v>#REF!</v>
      </c>
      <c r="U123" s="40" t="str">
        <f t="shared" si="59"/>
        <v>[5501156]</v>
      </c>
      <c r="V123" s="26" t="s">
        <v>299</v>
      </c>
      <c r="W123" s="25"/>
      <c r="X123" s="32">
        <v>100</v>
      </c>
      <c r="Y123" s="25"/>
      <c r="Z123" s="32" t="s">
        <v>178</v>
      </c>
      <c r="AA123" s="32" t="str">
        <f t="shared" si="46"/>
        <v>召唤职业伤害+15%</v>
      </c>
      <c r="AB123" s="32"/>
      <c r="AC123" s="32" t="s">
        <v>166</v>
      </c>
      <c r="AD123" s="32">
        <f t="shared" si="41"/>
        <v>1118</v>
      </c>
      <c r="AE123" s="38" t="str">
        <f t="shared" si="36"/>
        <v>5501151</v>
      </c>
      <c r="AF123" s="32" t="str">
        <f t="shared" si="37"/>
        <v>[15]</v>
      </c>
      <c r="AG123" s="26">
        <v>1</v>
      </c>
      <c r="AH123" s="26"/>
      <c r="AI123" s="26">
        <v>0</v>
      </c>
      <c r="AJ123" s="25" t="s">
        <v>167</v>
      </c>
      <c r="AK123" s="38">
        <f t="shared" si="60"/>
        <v>5501156</v>
      </c>
      <c r="AL123" s="41" t="str">
        <f t="shared" si="61"/>
        <v>召唤职业伤害&lt;color=#54b76b&gt;+%s%&lt;/color&gt;</v>
      </c>
      <c r="AM123" s="26">
        <v>15</v>
      </c>
      <c r="AN123" s="26">
        <v>1</v>
      </c>
      <c r="AO123" s="26" t="s">
        <v>32</v>
      </c>
      <c r="AP123" s="20">
        <f t="shared" si="42"/>
        <v>118</v>
      </c>
    </row>
    <row r="124" s="20" customFormat="1" customHeight="1" spans="1:42">
      <c r="A124" s="38">
        <v>5501157</v>
      </c>
      <c r="B124" s="38" t="str">
        <f t="shared" si="33"/>
        <v>5501151</v>
      </c>
      <c r="C124" s="32">
        <f t="shared" si="34"/>
        <v>7</v>
      </c>
      <c r="D124" s="32"/>
      <c r="E124" s="26" t="s">
        <v>162</v>
      </c>
      <c r="F124" s="26">
        <f t="shared" si="38"/>
        <v>1</v>
      </c>
      <c r="G124" s="26">
        <f>IFERROR(IF(--MID($E124,2*COUNTIF($F124:F124,"&gt;"&amp;0)+2,1)=G$1,G$1,""),"")</f>
        <v>2</v>
      </c>
      <c r="H124" s="26">
        <f>IFERROR(IF(--MID($E124,2*COUNTIF($F124:G124,"&gt;"&amp;0)+2,1)=H$1,H$1,""),"")</f>
        <v>3</v>
      </c>
      <c r="I124" s="26">
        <f>IFERROR(IF(--MID($E124,2*COUNTIF($F124:H124,"&gt;"&amp;0)+2,1)=I$1,I$1,""),"")</f>
        <v>4</v>
      </c>
      <c r="J124" s="26">
        <f>IFERROR(IF(--MID($E124,2*COUNTIF($F124:I124,"&gt;"&amp;0)+2,1)=J$1,J$1,""),"")</f>
        <v>5</v>
      </c>
      <c r="K124" s="26">
        <f>IFERROR(IF(--MID($E124,2*COUNTIF($F124:J124,"&gt;"&amp;0)+2,1)=K$1,K$1,""),"")</f>
        <v>6</v>
      </c>
      <c r="L124" s="39" cm="1">
        <f t="array" ref="L124">IFERROR(IF($A124="","",IF(F124="","",_xlfn.XLOOKUP($C124&amp;"_"&amp;$AG124,符文权重!$A:$A&amp;"_"&amp;符文权重!$C:$C,符文权重!$D:$D)*$X124/SUMIFS($X:$X,F:F,F124,$C:$C,$C124,$AG:$AG,$AG124)/SUMIF(符文权重!$A:$A,$C124,符文权重!$D:$D))),"")</f>
        <v>0.0196666666666667</v>
      </c>
      <c r="M124" s="39" cm="1">
        <f t="array" ref="M124">IFERROR(IF($A124="","",IF(G124="","",_xlfn.XLOOKUP($C124&amp;"_"&amp;$AG124,符文权重!$A:$A&amp;"_"&amp;符文权重!$C:$C,符文权重!$D:$D)*$X124/SUMIFS($X:$X,G:G,G124,$C:$C,$C124,$AG:$AG,$AG124)/SUMIF(符文权重!$A:$A,$C124,符文权重!$D:$D))),"")</f>
        <v>0.0196666666666667</v>
      </c>
      <c r="N124" s="39" cm="1">
        <f t="array" ref="N124">IFERROR(IF($A124="","",IF(H124="","",_xlfn.XLOOKUP($C124&amp;"_"&amp;$AG124,符文权重!$A:$A&amp;"_"&amp;符文权重!$C:$C,符文权重!$D:$D)*$X124/SUMIFS($X:$X,H:H,H124,$C:$C,$C124,$AG:$AG,$AG124)/SUMIF(符文权重!$A:$A,$C124,符文权重!$D:$D))),"")</f>
        <v>0.0196666666666667</v>
      </c>
      <c r="O124" s="39" cm="1">
        <f t="array" ref="O124">IFERROR(IF($A124="","",IF(I124="","",_xlfn.XLOOKUP($C124&amp;"_"&amp;$AG124,符文权重!$A:$A&amp;"_"&amp;符文权重!$C:$C,符文权重!$D:$D)*$X124/SUMIFS($X:$X,I:I,I124,$C:$C,$C124,$AG:$AG,$AG124)/SUMIF(符文权重!$A:$A,$C124,符文权重!$D:$D))),"")</f>
        <v>0.0196666666666667</v>
      </c>
      <c r="P124" s="39" cm="1">
        <f t="array" ref="P124">IFERROR(IF($A124="","",IF(J124="","",_xlfn.XLOOKUP($C124&amp;"_"&amp;$AG124,符文权重!$A:$A&amp;"_"&amp;符文权重!$C:$C,符文权重!$D:$D)*$X124/SUMIFS($X:$X,J:J,J124,$C:$C,$C124,$AG:$AG,$AG124)/SUMIF(符文权重!$A:$A,$C124,符文权重!$D:$D))),"")</f>
        <v>0.0196666666666667</v>
      </c>
      <c r="Q124" s="39" cm="1">
        <f t="array" ref="Q124">IFERROR(IF($A124="","",IF(K124="","",_xlfn.XLOOKUP($C124&amp;"_"&amp;$AG124,符文权重!$A:$A&amp;"_"&amp;符文权重!$C:$C,符文权重!$D:$D)*$X124/SUMIFS($X:$X,K:K,K124,$C:$C,$C124,$AG:$AG,$AG124)/SUMIF(符文权重!$A:$A,$C124,符文权重!$D:$D))),"")</f>
        <v>0.0196666666666667</v>
      </c>
      <c r="R124" s="26" t="s">
        <v>181</v>
      </c>
      <c r="S124" s="26" t="s">
        <v>227</v>
      </c>
      <c r="T124" s="26" t="e">
        <f>IF(B124="","",SUBSTITUTE(SUBSTITUTE("[{global_atk,"&amp;#REF!*C124&amp;"}]",21,20),9,8))</f>
        <v>#REF!</v>
      </c>
      <c r="U124" s="40" t="str">
        <f t="shared" si="59"/>
        <v>[5501157]</v>
      </c>
      <c r="V124" s="26" t="s">
        <v>300</v>
      </c>
      <c r="W124" s="25"/>
      <c r="X124" s="32">
        <v>100</v>
      </c>
      <c r="Y124" s="25"/>
      <c r="Z124" s="32" t="s">
        <v>180</v>
      </c>
      <c r="AA124" s="32" t="str">
        <f t="shared" si="46"/>
        <v>召唤职业伤害+20%</v>
      </c>
      <c r="AB124" s="32"/>
      <c r="AC124" s="32" t="s">
        <v>166</v>
      </c>
      <c r="AD124" s="32">
        <f t="shared" si="41"/>
        <v>1119</v>
      </c>
      <c r="AE124" s="38" t="str">
        <f t="shared" si="36"/>
        <v>5501151</v>
      </c>
      <c r="AF124" s="32" t="str">
        <f t="shared" si="37"/>
        <v>[20]</v>
      </c>
      <c r="AG124" s="26">
        <v>1</v>
      </c>
      <c r="AH124" s="26"/>
      <c r="AI124" s="26">
        <v>0</v>
      </c>
      <c r="AJ124" s="25" t="s">
        <v>167</v>
      </c>
      <c r="AK124" s="38">
        <f t="shared" si="60"/>
        <v>5501157</v>
      </c>
      <c r="AL124" s="41" t="str">
        <f t="shared" si="61"/>
        <v>召唤职业伤害&lt;color=#54b76b&gt;+%s%&lt;/color&gt;</v>
      </c>
      <c r="AM124" s="26">
        <v>20</v>
      </c>
      <c r="AN124" s="26">
        <v>1</v>
      </c>
      <c r="AO124" s="26" t="s">
        <v>32</v>
      </c>
      <c r="AP124" s="20">
        <f t="shared" si="42"/>
        <v>119</v>
      </c>
    </row>
    <row r="125" s="20" customFormat="1" customHeight="1" spans="1:42">
      <c r="A125" s="38" t="s">
        <v>167</v>
      </c>
      <c r="B125" s="38" t="str">
        <f t="shared" si="33"/>
        <v/>
      </c>
      <c r="C125" s="32" t="str">
        <f t="shared" si="34"/>
        <v/>
      </c>
      <c r="D125" s="32"/>
      <c r="E125" s="26"/>
      <c r="F125" s="26" t="str">
        <f t="shared" si="38"/>
        <v/>
      </c>
      <c r="G125" s="26" t="str">
        <f>IFERROR(IF(--MID($E125,2*COUNTIF($F125:F125,"&gt;"&amp;0)+2,1)=G$1,G$1,""),"")</f>
        <v/>
      </c>
      <c r="H125" s="26" t="str">
        <f>IFERROR(IF(--MID($E125,2*COUNTIF($F125:G125,"&gt;"&amp;0)+2,1)=H$1,H$1,""),"")</f>
        <v/>
      </c>
      <c r="I125" s="26" t="str">
        <f>IFERROR(IF(--MID($E125,2*COUNTIF($F125:H125,"&gt;"&amp;0)+2,1)=I$1,I$1,""),"")</f>
        <v/>
      </c>
      <c r="J125" s="26" t="str">
        <f>IFERROR(IF(--MID($E125,2*COUNTIF($F125:I125,"&gt;"&amp;0)+2,1)=J$1,J$1,""),"")</f>
        <v/>
      </c>
      <c r="K125" s="26" t="str">
        <f>IFERROR(IF(--MID($E125,2*COUNTIF($F125:J125,"&gt;"&amp;0)+2,1)=K$1,K$1,""),"")</f>
        <v/>
      </c>
      <c r="L125" s="39" t="str" cm="1">
        <f t="array" ref="L125">IFERROR(IF($A125="","",IF(F125="","",_xlfn.XLOOKUP($C125&amp;"_"&amp;$AG125,符文权重!$A:$A&amp;"_"&amp;符文权重!$C:$C,符文权重!$D:$D)*$X125/SUMIFS($X:$X,F:F,F125,$C:$C,$C125,$AG:$AG,$AG125)/SUMIF(符文权重!$A:$A,$C125,符文权重!$D:$D))),"")</f>
        <v/>
      </c>
      <c r="M125" s="39" t="str" cm="1">
        <f t="array" ref="M125">IFERROR(IF($A125="","",IF(G125="","",_xlfn.XLOOKUP($C125&amp;"_"&amp;$AG125,符文权重!$A:$A&amp;"_"&amp;符文权重!$C:$C,符文权重!$D:$D)*$X125/SUMIFS($X:$X,G:G,G125,$C:$C,$C125,$AG:$AG,$AG125)/SUMIF(符文权重!$A:$A,$C125,符文权重!$D:$D))),"")</f>
        <v/>
      </c>
      <c r="N125" s="39" t="str" cm="1">
        <f t="array" ref="N125">IFERROR(IF($A125="","",IF(H125="","",_xlfn.XLOOKUP($C125&amp;"_"&amp;$AG125,符文权重!$A:$A&amp;"_"&amp;符文权重!$C:$C,符文权重!$D:$D)*$X125/SUMIFS($X:$X,H:H,H125,$C:$C,$C125,$AG:$AG,$AG125)/SUMIF(符文权重!$A:$A,$C125,符文权重!$D:$D))),"")</f>
        <v/>
      </c>
      <c r="O125" s="39" t="str" cm="1">
        <f t="array" ref="O125">IFERROR(IF($A125="","",IF(I125="","",_xlfn.XLOOKUP($C125&amp;"_"&amp;$AG125,符文权重!$A:$A&amp;"_"&amp;符文权重!$C:$C,符文权重!$D:$D)*$X125/SUMIFS($X:$X,I:I,I125,$C:$C,$C125,$AG:$AG,$AG125)/SUMIF(符文权重!$A:$A,$C125,符文权重!$D:$D))),"")</f>
        <v/>
      </c>
      <c r="P125" s="39" t="str" cm="1">
        <f t="array" ref="P125">IFERROR(IF($A125="","",IF(J125="","",_xlfn.XLOOKUP($C125&amp;"_"&amp;$AG125,符文权重!$A:$A&amp;"_"&amp;符文权重!$C:$C,符文权重!$D:$D)*$X125/SUMIFS($X:$X,J:J,J125,$C:$C,$C125,$AG:$AG,$AG125)/SUMIF(符文权重!$A:$A,$C125,符文权重!$D:$D))),"")</f>
        <v/>
      </c>
      <c r="Q125" s="39" t="str" cm="1">
        <f t="array" ref="Q125">IFERROR(IF($A125="","",IF(K125="","",_xlfn.XLOOKUP($C125&amp;"_"&amp;$AG125,符文权重!$A:$A&amp;"_"&amp;符文权重!$C:$C,符文权重!$D:$D)*$X125/SUMIFS($X:$X,K:K,K125,$C:$C,$C125,$AG:$AG,$AG125)/SUMIF(符文权重!$A:$A,$C125,符文权重!$D:$D))),"")</f>
        <v/>
      </c>
      <c r="R125" s="26"/>
      <c r="S125" s="26"/>
      <c r="T125" s="26"/>
      <c r="U125" s="40"/>
      <c r="V125" s="31"/>
      <c r="W125" s="25"/>
      <c r="X125" s="32"/>
      <c r="Y125" s="25"/>
      <c r="Z125" s="32" t="s">
        <v>167</v>
      </c>
      <c r="AA125" s="32" t="str">
        <f t="shared" si="46"/>
        <v/>
      </c>
      <c r="AB125" s="32"/>
      <c r="AC125" s="32" t="s">
        <v>166</v>
      </c>
      <c r="AD125" s="32">
        <f t="shared" si="41"/>
        <v>1120</v>
      </c>
      <c r="AE125" s="38" t="str">
        <f t="shared" si="36"/>
        <v/>
      </c>
      <c r="AF125" s="32" t="str">
        <f t="shared" si="37"/>
        <v/>
      </c>
      <c r="AG125" s="26"/>
      <c r="AH125" s="26"/>
      <c r="AI125" s="26"/>
      <c r="AJ125" s="25" t="s">
        <v>167</v>
      </c>
      <c r="AK125" s="24"/>
      <c r="AL125" s="43"/>
      <c r="AM125" s="26"/>
      <c r="AN125" s="26"/>
      <c r="AO125" s="26"/>
      <c r="AP125" s="20">
        <f t="shared" si="42"/>
        <v>120</v>
      </c>
    </row>
    <row r="126" s="20" customFormat="1" customHeight="1" spans="1:42">
      <c r="A126" s="38">
        <v>5501161</v>
      </c>
      <c r="B126" s="38" t="str">
        <f t="shared" si="33"/>
        <v>5501161</v>
      </c>
      <c r="C126" s="32">
        <f t="shared" si="34"/>
        <v>1</v>
      </c>
      <c r="D126" s="32"/>
      <c r="E126" s="26" t="s">
        <v>162</v>
      </c>
      <c r="F126" s="26">
        <f t="shared" si="38"/>
        <v>1</v>
      </c>
      <c r="G126" s="26">
        <f>IFERROR(IF(--MID($E126,2*COUNTIF($F126:F126,"&gt;"&amp;0)+2,1)=G$1,G$1,""),"")</f>
        <v>2</v>
      </c>
      <c r="H126" s="26">
        <f>IFERROR(IF(--MID($E126,2*COUNTIF($F126:G126,"&gt;"&amp;0)+2,1)=H$1,H$1,""),"")</f>
        <v>3</v>
      </c>
      <c r="I126" s="26">
        <f>IFERROR(IF(--MID($E126,2*COUNTIF($F126:H126,"&gt;"&amp;0)+2,1)=I$1,I$1,""),"")</f>
        <v>4</v>
      </c>
      <c r="J126" s="26">
        <f>IFERROR(IF(--MID($E126,2*COUNTIF($F126:I126,"&gt;"&amp;0)+2,1)=J$1,J$1,""),"")</f>
        <v>5</v>
      </c>
      <c r="K126" s="26">
        <f>IFERROR(IF(--MID($E126,2*COUNTIF($F126:J126,"&gt;"&amp;0)+2,1)=K$1,K$1,""),"")</f>
        <v>6</v>
      </c>
      <c r="L126" s="39" cm="1">
        <f t="array" ref="L126">IFERROR(IF($A126="","",IF(F126="","",_xlfn.XLOOKUP($C126&amp;"_"&amp;$AG126,符文权重!$A:$A&amp;"_"&amp;符文权重!$C:$C,符文权重!$D:$D)*$X126/SUMIFS($X:$X,F:F,F126,$C:$C,$C126,$AG:$AG,$AG126)/SUMIF(符文权重!$A:$A,$C126,符文权重!$D:$D))),"")</f>
        <v>0.128571428571429</v>
      </c>
      <c r="M126" s="39" cm="1">
        <f t="array" ref="M126">IFERROR(IF($A126="","",IF(G126="","",_xlfn.XLOOKUP($C126&amp;"_"&amp;$AG126,符文权重!$A:$A&amp;"_"&amp;符文权重!$C:$C,符文权重!$D:$D)*$X126/SUMIFS($X:$X,G:G,G126,$C:$C,$C126,$AG:$AG,$AG126)/SUMIF(符文权重!$A:$A,$C126,符文权重!$D:$D))),"")</f>
        <v>0.15</v>
      </c>
      <c r="N126" s="39" cm="1">
        <f t="array" ref="N126">IFERROR(IF($A126="","",IF(H126="","",_xlfn.XLOOKUP($C126&amp;"_"&amp;$AG126,符文权重!$A:$A&amp;"_"&amp;符文权重!$C:$C,符文权重!$D:$D)*$X126/SUMIFS($X:$X,H:H,H126,$C:$C,$C126,$AG:$AG,$AG126)/SUMIF(符文权重!$A:$A,$C126,符文权重!$D:$D))),"")</f>
        <v>0.128571428571429</v>
      </c>
      <c r="O126" s="39" cm="1">
        <f t="array" ref="O126">IFERROR(IF($A126="","",IF(I126="","",_xlfn.XLOOKUP($C126&amp;"_"&amp;$AG126,符文权重!$A:$A&amp;"_"&amp;符文权重!$C:$C,符文权重!$D:$D)*$X126/SUMIFS($X:$X,I:I,I126,$C:$C,$C126,$AG:$AG,$AG126)/SUMIF(符文权重!$A:$A,$C126,符文权重!$D:$D))),"")</f>
        <v>0.15</v>
      </c>
      <c r="P126" s="39" cm="1">
        <f t="array" ref="P126">IFERROR(IF($A126="","",IF(J126="","",_xlfn.XLOOKUP($C126&amp;"_"&amp;$AG126,符文权重!$A:$A&amp;"_"&amp;符文权重!$C:$C,符文权重!$D:$D)*$X126/SUMIFS($X:$X,J:J,J126,$C:$C,$C126,$AG:$AG,$AG126)/SUMIF(符文权重!$A:$A,$C126,符文权重!$D:$D))),"")</f>
        <v>0.128571428571429</v>
      </c>
      <c r="Q126" s="39" cm="1">
        <f t="array" ref="Q126">IFERROR(IF($A126="","",IF(K126="","",_xlfn.XLOOKUP($C126&amp;"_"&amp;$AG126,符文权重!$A:$A&amp;"_"&amp;符文权重!$C:$C,符文权重!$D:$D)*$X126/SUMIFS($X:$X,K:K,K126,$C:$C,$C126,$AG:$AG,$AG126)/SUMIF(符文权重!$A:$A,$C126,符文权重!$D:$D))),"")</f>
        <v>0.15</v>
      </c>
      <c r="R126" s="26" t="s">
        <v>163</v>
      </c>
      <c r="S126" s="26"/>
      <c r="T126" s="26" t="e">
        <f>IF(B126="","",SUBSTITUTE(SUBSTITUTE("[{global_atk,"&amp;#REF!*C126&amp;"}]",21,20),9,8))</f>
        <v>#REF!</v>
      </c>
      <c r="U126" s="40" t="str">
        <f t="shared" ref="U126:U132" si="62">"["&amp;A126&amp;"]"</f>
        <v>[5501161]</v>
      </c>
      <c r="V126" s="26" t="s">
        <v>301</v>
      </c>
      <c r="W126" s="25"/>
      <c r="X126" s="32">
        <v>100</v>
      </c>
      <c r="Y126" s="25"/>
      <c r="Z126" s="32" t="s">
        <v>165</v>
      </c>
      <c r="AA126" s="32" t="str">
        <f t="shared" si="46"/>
        <v>对远程怪物伤害+10%</v>
      </c>
      <c r="AB126" s="32"/>
      <c r="AC126" s="32" t="s">
        <v>166</v>
      </c>
      <c r="AD126" s="32">
        <f t="shared" si="41"/>
        <v>1121</v>
      </c>
      <c r="AE126" s="38" t="str">
        <f t="shared" si="36"/>
        <v>5501161</v>
      </c>
      <c r="AF126" s="32" t="str">
        <f t="shared" si="37"/>
        <v>[10]</v>
      </c>
      <c r="AG126" s="26">
        <v>2</v>
      </c>
      <c r="AH126" s="26"/>
      <c r="AI126" s="26">
        <v>0</v>
      </c>
      <c r="AJ126" s="25" t="s">
        <v>167</v>
      </c>
      <c r="AK126" s="24">
        <v>5501161</v>
      </c>
      <c r="AL126" s="42" t="s">
        <v>302</v>
      </c>
      <c r="AM126" s="26">
        <v>10</v>
      </c>
      <c r="AN126" s="26">
        <v>2</v>
      </c>
      <c r="AO126" s="26" t="s">
        <v>25</v>
      </c>
      <c r="AP126" s="20">
        <f t="shared" si="42"/>
        <v>121</v>
      </c>
    </row>
    <row r="127" s="20" customFormat="1" customHeight="1" spans="1:42">
      <c r="A127" s="38">
        <v>5501162</v>
      </c>
      <c r="B127" s="38" t="str">
        <f t="shared" si="33"/>
        <v>5501161</v>
      </c>
      <c r="C127" s="32">
        <f t="shared" si="34"/>
        <v>2</v>
      </c>
      <c r="D127" s="32"/>
      <c r="E127" s="26" t="s">
        <v>162</v>
      </c>
      <c r="F127" s="26">
        <f t="shared" si="38"/>
        <v>1</v>
      </c>
      <c r="G127" s="26">
        <f>IFERROR(IF(--MID($E127,2*COUNTIF($F127:F127,"&gt;"&amp;0)+2,1)=G$1,G$1,""),"")</f>
        <v>2</v>
      </c>
      <c r="H127" s="26">
        <f>IFERROR(IF(--MID($E127,2*COUNTIF($F127:G127,"&gt;"&amp;0)+2,1)=H$1,H$1,""),"")</f>
        <v>3</v>
      </c>
      <c r="I127" s="26">
        <f>IFERROR(IF(--MID($E127,2*COUNTIF($F127:H127,"&gt;"&amp;0)+2,1)=I$1,I$1,""),"")</f>
        <v>4</v>
      </c>
      <c r="J127" s="26">
        <f>IFERROR(IF(--MID($E127,2*COUNTIF($F127:I127,"&gt;"&amp;0)+2,1)=J$1,J$1,""),"")</f>
        <v>5</v>
      </c>
      <c r="K127" s="26">
        <f>IFERROR(IF(--MID($E127,2*COUNTIF($F127:J127,"&gt;"&amp;0)+2,1)=K$1,K$1,""),"")</f>
        <v>6</v>
      </c>
      <c r="L127" s="39" cm="1">
        <f t="array" ref="L127">IFERROR(IF($A127="","",IF(F127="","",_xlfn.XLOOKUP($C127&amp;"_"&amp;$AG127,符文权重!$A:$A&amp;"_"&amp;符文权重!$C:$C,符文权重!$D:$D)*$X127/SUMIFS($X:$X,F:F,F127,$C:$C,$C127,$AG:$AG,$AG127)/SUMIF(符文权重!$A:$A,$C127,符文权重!$D:$D))),"")</f>
        <v>0.1</v>
      </c>
      <c r="M127" s="39" cm="1">
        <f t="array" ref="M127">IFERROR(IF($A127="","",IF(G127="","",_xlfn.XLOOKUP($C127&amp;"_"&amp;$AG127,符文权重!$A:$A&amp;"_"&amp;符文权重!$C:$C,符文权重!$D:$D)*$X127/SUMIFS($X:$X,G:G,G127,$C:$C,$C127,$AG:$AG,$AG127)/SUMIF(符文权重!$A:$A,$C127,符文权重!$D:$D))),"")</f>
        <v>0.11</v>
      </c>
      <c r="N127" s="39" cm="1">
        <f t="array" ref="N127">IFERROR(IF($A127="","",IF(H127="","",_xlfn.XLOOKUP($C127&amp;"_"&amp;$AG127,符文权重!$A:$A&amp;"_"&amp;符文权重!$C:$C,符文权重!$D:$D)*$X127/SUMIFS($X:$X,H:H,H127,$C:$C,$C127,$AG:$AG,$AG127)/SUMIF(符文权重!$A:$A,$C127,符文权重!$D:$D))),"")</f>
        <v>0.1</v>
      </c>
      <c r="O127" s="39" cm="1">
        <f t="array" ref="O127">IFERROR(IF($A127="","",IF(I127="","",_xlfn.XLOOKUP($C127&amp;"_"&amp;$AG127,符文权重!$A:$A&amp;"_"&amp;符文权重!$C:$C,符文权重!$D:$D)*$X127/SUMIFS($X:$X,I:I,I127,$C:$C,$C127,$AG:$AG,$AG127)/SUMIF(符文权重!$A:$A,$C127,符文权重!$D:$D))),"")</f>
        <v>0.11</v>
      </c>
      <c r="P127" s="39" cm="1">
        <f t="array" ref="P127">IFERROR(IF($A127="","",IF(J127="","",_xlfn.XLOOKUP($C127&amp;"_"&amp;$AG127,符文权重!$A:$A&amp;"_"&amp;符文权重!$C:$C,符文权重!$D:$D)*$X127/SUMIFS($X:$X,J:J,J127,$C:$C,$C127,$AG:$AG,$AG127)/SUMIF(符文权重!$A:$A,$C127,符文权重!$D:$D))),"")</f>
        <v>0.1</v>
      </c>
      <c r="Q127" s="39" cm="1">
        <f t="array" ref="Q127">IFERROR(IF($A127="","",IF(K127="","",_xlfn.XLOOKUP($C127&amp;"_"&amp;$AG127,符文权重!$A:$A&amp;"_"&amp;符文权重!$C:$C,符文权重!$D:$D)*$X127/SUMIFS($X:$X,K:K,K127,$C:$C,$C127,$AG:$AG,$AG127)/SUMIF(符文权重!$A:$A,$C127,符文权重!$D:$D))),"")</f>
        <v>0.11</v>
      </c>
      <c r="R127" s="26" t="s">
        <v>163</v>
      </c>
      <c r="S127" s="26"/>
      <c r="T127" s="26" t="e">
        <f>IF(B127="","",SUBSTITUTE(SUBSTITUTE("[{global_atk,"&amp;#REF!*C127&amp;"}]",21,20),9,8))</f>
        <v>#REF!</v>
      </c>
      <c r="U127" s="40" t="str">
        <f t="shared" si="62"/>
        <v>[5501162]</v>
      </c>
      <c r="V127" s="26" t="s">
        <v>303</v>
      </c>
      <c r="W127" s="25"/>
      <c r="X127" s="32">
        <v>100</v>
      </c>
      <c r="Y127" s="25"/>
      <c r="Z127" s="32" t="s">
        <v>170</v>
      </c>
      <c r="AA127" s="32" t="str">
        <f t="shared" si="46"/>
        <v>对远程怪物伤害+15%</v>
      </c>
      <c r="AB127" s="32"/>
      <c r="AC127" s="32" t="s">
        <v>166</v>
      </c>
      <c r="AD127" s="32">
        <f t="shared" si="41"/>
        <v>1122</v>
      </c>
      <c r="AE127" s="38" t="str">
        <f t="shared" si="36"/>
        <v>5501161</v>
      </c>
      <c r="AF127" s="32" t="str">
        <f t="shared" si="37"/>
        <v>[15]</v>
      </c>
      <c r="AG127" s="26">
        <v>2</v>
      </c>
      <c r="AH127" s="26"/>
      <c r="AI127" s="26">
        <v>0</v>
      </c>
      <c r="AJ127" s="25" t="s">
        <v>167</v>
      </c>
      <c r="AK127" s="38">
        <f t="shared" ref="AK127:AK132" si="63">AK126+1</f>
        <v>5501162</v>
      </c>
      <c r="AL127" s="41" t="str">
        <f t="shared" ref="AL127:AL132" si="64">AL126</f>
        <v>对远程怪物伤害&lt;color=#54b76b&gt;+%s%&lt;/color&gt;</v>
      </c>
      <c r="AM127" s="26">
        <v>15</v>
      </c>
      <c r="AN127" s="26">
        <v>2</v>
      </c>
      <c r="AO127" s="26" t="s">
        <v>25</v>
      </c>
      <c r="AP127" s="20">
        <f t="shared" si="42"/>
        <v>122</v>
      </c>
    </row>
    <row r="128" s="20" customFormat="1" customHeight="1" spans="1:42">
      <c r="A128" s="38">
        <v>5501163</v>
      </c>
      <c r="B128" s="38" t="str">
        <f t="shared" si="33"/>
        <v>5501161</v>
      </c>
      <c r="C128" s="32">
        <f t="shared" si="34"/>
        <v>3</v>
      </c>
      <c r="D128" s="32"/>
      <c r="E128" s="26" t="s">
        <v>162</v>
      </c>
      <c r="F128" s="26">
        <f t="shared" si="38"/>
        <v>1</v>
      </c>
      <c r="G128" s="26">
        <f>IFERROR(IF(--MID($E128,2*COUNTIF($F128:F128,"&gt;"&amp;0)+2,1)=G$1,G$1,""),"")</f>
        <v>2</v>
      </c>
      <c r="H128" s="26">
        <f>IFERROR(IF(--MID($E128,2*COUNTIF($F128:G128,"&gt;"&amp;0)+2,1)=H$1,H$1,""),"")</f>
        <v>3</v>
      </c>
      <c r="I128" s="26">
        <f>IFERROR(IF(--MID($E128,2*COUNTIF($F128:H128,"&gt;"&amp;0)+2,1)=I$1,I$1,""),"")</f>
        <v>4</v>
      </c>
      <c r="J128" s="26">
        <f>IFERROR(IF(--MID($E128,2*COUNTIF($F128:I128,"&gt;"&amp;0)+2,1)=J$1,J$1,""),"")</f>
        <v>5</v>
      </c>
      <c r="K128" s="26">
        <f>IFERROR(IF(--MID($E128,2*COUNTIF($F128:J128,"&gt;"&amp;0)+2,1)=K$1,K$1,""),"")</f>
        <v>6</v>
      </c>
      <c r="L128" s="39" cm="1">
        <f t="array" ref="L128">IFERROR(IF($A128="","",IF(F128="","",_xlfn.XLOOKUP($C128&amp;"_"&amp;$AG128,符文权重!$A:$A&amp;"_"&amp;符文权重!$C:$C,符文权重!$D:$D)*$X128/SUMIFS($X:$X,F:F,F128,$C:$C,$C128,$AG:$AG,$AG128)/SUMIF(符文权重!$A:$A,$C128,符文权重!$D:$D))),"")</f>
        <v>0.0909961685823755</v>
      </c>
      <c r="M128" s="39" cm="1">
        <f t="array" ref="M128">IFERROR(IF($A128="","",IF(G128="","",_xlfn.XLOOKUP($C128&amp;"_"&amp;$AG128,符文权重!$A:$A&amp;"_"&amp;符文权重!$C:$C,符文权重!$D:$D)*$X128/SUMIFS($X:$X,G:G,G128,$C:$C,$C128,$AG:$AG,$AG128)/SUMIF(符文权重!$A:$A,$C128,符文权重!$D:$D))),"")</f>
        <v>0.112559241706161</v>
      </c>
      <c r="N128" s="39" cm="1">
        <f t="array" ref="N128">IFERROR(IF($A128="","",IF(H128="","",_xlfn.XLOOKUP($C128&amp;"_"&amp;$AG128,符文权重!$A:$A&amp;"_"&amp;符文权重!$C:$C,符文权重!$D:$D)*$X128/SUMIFS($X:$X,H:H,H128,$C:$C,$C128,$AG:$AG,$AG128)/SUMIF(符文权重!$A:$A,$C128,符文权重!$D:$D))),"")</f>
        <v>0.0929549902152642</v>
      </c>
      <c r="O128" s="39" cm="1">
        <f t="array" ref="O128">IFERROR(IF($A128="","",IF(I128="","",_xlfn.XLOOKUP($C128&amp;"_"&amp;$AG128,符文权重!$A:$A&amp;"_"&amp;符文权重!$C:$C,符文权重!$D:$D)*$X128/SUMIFS($X:$X,I:I,I128,$C:$C,$C128,$AG:$AG,$AG128)/SUMIF(符文权重!$A:$A,$C128,符文权重!$D:$D))),"")</f>
        <v>0.0909961685823755</v>
      </c>
      <c r="P128" s="39" cm="1">
        <f t="array" ref="P128">IFERROR(IF($A128="","",IF(J128="","",_xlfn.XLOOKUP($C128&amp;"_"&amp;$AG128,符文权重!$A:$A&amp;"_"&amp;符文权重!$C:$C,符文权重!$D:$D)*$X128/SUMIFS($X:$X,J:J,J128,$C:$C,$C128,$AG:$AG,$AG128)/SUMIF(符文权重!$A:$A,$C128,符文权重!$D:$D))),"")</f>
        <v>0.115571776155718</v>
      </c>
      <c r="Q128" s="39" cm="1">
        <f t="array" ref="Q128">IFERROR(IF($A128="","",IF(K128="","",_xlfn.XLOOKUP($C128&amp;"_"&amp;$AG128,符文权重!$A:$A&amp;"_"&amp;符文权重!$C:$C,符文权重!$D:$D)*$X128/SUMIFS($X:$X,K:K,K128,$C:$C,$C128,$AG:$AG,$AG128)/SUMIF(符文权重!$A:$A,$C128,符文权重!$D:$D))),"")</f>
        <v>0.0909961685823755</v>
      </c>
      <c r="R128" s="26" t="s">
        <v>163</v>
      </c>
      <c r="S128" s="26"/>
      <c r="T128" s="26" t="e">
        <f>IF(B128="","",SUBSTITUTE(SUBSTITUTE("[{global_atk,"&amp;#REF!*C128&amp;"}]",21,20),9,8))</f>
        <v>#REF!</v>
      </c>
      <c r="U128" s="40" t="str">
        <f t="shared" si="62"/>
        <v>[5501163]</v>
      </c>
      <c r="V128" s="26" t="s">
        <v>304</v>
      </c>
      <c r="W128" s="25"/>
      <c r="X128" s="32">
        <v>100</v>
      </c>
      <c r="Y128" s="25"/>
      <c r="Z128" s="32" t="s">
        <v>172</v>
      </c>
      <c r="AA128" s="32" t="str">
        <f t="shared" si="46"/>
        <v>对远程怪物伤害+20%</v>
      </c>
      <c r="AB128" s="32"/>
      <c r="AC128" s="32" t="s">
        <v>166</v>
      </c>
      <c r="AD128" s="32">
        <f t="shared" si="41"/>
        <v>1123</v>
      </c>
      <c r="AE128" s="38" t="str">
        <f t="shared" si="36"/>
        <v>5501161</v>
      </c>
      <c r="AF128" s="32" t="str">
        <f t="shared" si="37"/>
        <v>[20]</v>
      </c>
      <c r="AG128" s="26">
        <v>2</v>
      </c>
      <c r="AH128" s="26"/>
      <c r="AI128" s="26">
        <v>0</v>
      </c>
      <c r="AJ128" s="25" t="s">
        <v>167</v>
      </c>
      <c r="AK128" s="38">
        <f t="shared" si="63"/>
        <v>5501163</v>
      </c>
      <c r="AL128" s="41" t="str">
        <f t="shared" si="64"/>
        <v>对远程怪物伤害&lt;color=#54b76b&gt;+%s%&lt;/color&gt;</v>
      </c>
      <c r="AM128" s="26">
        <v>20</v>
      </c>
      <c r="AN128" s="26">
        <v>2</v>
      </c>
      <c r="AO128" s="26" t="s">
        <v>25</v>
      </c>
      <c r="AP128" s="20">
        <f t="shared" si="42"/>
        <v>123</v>
      </c>
    </row>
    <row r="129" s="20" customFormat="1" customHeight="1" spans="1:42">
      <c r="A129" s="38">
        <v>5501164</v>
      </c>
      <c r="B129" s="38" t="str">
        <f t="shared" si="33"/>
        <v>5501161</v>
      </c>
      <c r="C129" s="32">
        <f t="shared" si="34"/>
        <v>4</v>
      </c>
      <c r="D129" s="32"/>
      <c r="E129" s="26" t="s">
        <v>162</v>
      </c>
      <c r="F129" s="26">
        <f t="shared" si="38"/>
        <v>1</v>
      </c>
      <c r="G129" s="26">
        <f>IFERROR(IF(--MID($E129,2*COUNTIF($F129:F129,"&gt;"&amp;0)+2,1)=G$1,G$1,""),"")</f>
        <v>2</v>
      </c>
      <c r="H129" s="26">
        <f>IFERROR(IF(--MID($E129,2*COUNTIF($F129:G129,"&gt;"&amp;0)+2,1)=H$1,H$1,""),"")</f>
        <v>3</v>
      </c>
      <c r="I129" s="26">
        <f>IFERROR(IF(--MID($E129,2*COUNTIF($F129:H129,"&gt;"&amp;0)+2,1)=I$1,I$1,""),"")</f>
        <v>4</v>
      </c>
      <c r="J129" s="26">
        <f>IFERROR(IF(--MID($E129,2*COUNTIF($F129:I129,"&gt;"&amp;0)+2,1)=J$1,J$1,""),"")</f>
        <v>5</v>
      </c>
      <c r="K129" s="26">
        <f>IFERROR(IF(--MID($E129,2*COUNTIF($F129:J129,"&gt;"&amp;0)+2,1)=K$1,K$1,""),"")</f>
        <v>6</v>
      </c>
      <c r="L129" s="39" cm="1">
        <f t="array" ref="L129">IFERROR(IF($A129="","",IF(F129="","",_xlfn.XLOOKUP($C129&amp;"_"&amp;$AG129,符文权重!$A:$A&amp;"_"&amp;符文权重!$C:$C,符文权重!$D:$D)*$X129/SUMIFS($X:$X,F:F,F129,$C:$C,$C129,$AG:$AG,$AG129)/SUMIF(符文权重!$A:$A,$C129,符文权重!$D:$D))),"")</f>
        <v>0.0626</v>
      </c>
      <c r="M129" s="39" cm="1">
        <f t="array" ref="M129">IFERROR(IF($A129="","",IF(G129="","",_xlfn.XLOOKUP($C129&amp;"_"&amp;$AG129,符文权重!$A:$A&amp;"_"&amp;符文权重!$C:$C,符文权重!$D:$D)*$X129/SUMIFS($X:$X,G:G,G129,$C:$C,$C129,$AG:$AG,$AG129)/SUMIF(符文权重!$A:$A,$C129,符文权重!$D:$D))),"")</f>
        <v>0.07825</v>
      </c>
      <c r="N129" s="39" cm="1">
        <f t="array" ref="N129">IFERROR(IF($A129="","",IF(H129="","",_xlfn.XLOOKUP($C129&amp;"_"&amp;$AG129,符文权重!$A:$A&amp;"_"&amp;符文权重!$C:$C,符文权重!$D:$D)*$X129/SUMIFS($X:$X,H:H,H129,$C:$C,$C129,$AG:$AG,$AG129)/SUMIF(符文权重!$A:$A,$C129,符文权重!$D:$D))),"")</f>
        <v>0.0626</v>
      </c>
      <c r="O129" s="39" cm="1">
        <f t="array" ref="O129">IFERROR(IF($A129="","",IF(I129="","",_xlfn.XLOOKUP($C129&amp;"_"&amp;$AG129,符文权重!$A:$A&amp;"_"&amp;符文权重!$C:$C,符文权重!$D:$D)*$X129/SUMIFS($X:$X,I:I,I129,$C:$C,$C129,$AG:$AG,$AG129)/SUMIF(符文权重!$A:$A,$C129,符文权重!$D:$D))),"")</f>
        <v>0.0626</v>
      </c>
      <c r="P129" s="39" cm="1">
        <f t="array" ref="P129">IFERROR(IF($A129="","",IF(J129="","",_xlfn.XLOOKUP($C129&amp;"_"&amp;$AG129,符文权重!$A:$A&amp;"_"&amp;符文权重!$C:$C,符文权重!$D:$D)*$X129/SUMIFS($X:$X,J:J,J129,$C:$C,$C129,$AG:$AG,$AG129)/SUMIF(符文权重!$A:$A,$C129,符文权重!$D:$D))),"")</f>
        <v>0.07825</v>
      </c>
      <c r="Q129" s="39" cm="1">
        <f t="array" ref="Q129">IFERROR(IF($A129="","",IF(K129="","",_xlfn.XLOOKUP($C129&amp;"_"&amp;$AG129,符文权重!$A:$A&amp;"_"&amp;符文权重!$C:$C,符文权重!$D:$D)*$X129/SUMIFS($X:$X,K:K,K129,$C:$C,$C129,$AG:$AG,$AG129)/SUMIF(符文权重!$A:$A,$C129,符文权重!$D:$D))),"")</f>
        <v>0.0626</v>
      </c>
      <c r="R129" s="26" t="s">
        <v>163</v>
      </c>
      <c r="S129" s="26"/>
      <c r="T129" s="26" t="e">
        <f>IF(B129="","",SUBSTITUTE(SUBSTITUTE("[{global_atk,"&amp;#REF!*C129&amp;"}]",21,20),9,8))</f>
        <v>#REF!</v>
      </c>
      <c r="U129" s="40" t="str">
        <f t="shared" si="62"/>
        <v>[5501164]</v>
      </c>
      <c r="V129" s="26" t="s">
        <v>305</v>
      </c>
      <c r="W129" s="25"/>
      <c r="X129" s="32">
        <v>100</v>
      </c>
      <c r="Y129" s="25"/>
      <c r="Z129" s="32" t="s">
        <v>174</v>
      </c>
      <c r="AA129" s="32" t="str">
        <f t="shared" si="46"/>
        <v>对远程怪物伤害+25%</v>
      </c>
      <c r="AB129" s="32"/>
      <c r="AC129" s="32" t="s">
        <v>166</v>
      </c>
      <c r="AD129" s="32">
        <f t="shared" si="41"/>
        <v>1124</v>
      </c>
      <c r="AE129" s="38" t="str">
        <f t="shared" si="36"/>
        <v>5501161</v>
      </c>
      <c r="AF129" s="32" t="str">
        <f t="shared" si="37"/>
        <v>[25]</v>
      </c>
      <c r="AG129" s="26">
        <v>2</v>
      </c>
      <c r="AH129" s="26"/>
      <c r="AI129" s="26">
        <v>0</v>
      </c>
      <c r="AJ129" s="25" t="s">
        <v>167</v>
      </c>
      <c r="AK129" s="38">
        <f t="shared" si="63"/>
        <v>5501164</v>
      </c>
      <c r="AL129" s="41" t="str">
        <f t="shared" si="64"/>
        <v>对远程怪物伤害&lt;color=#54b76b&gt;+%s%&lt;/color&gt;</v>
      </c>
      <c r="AM129" s="26">
        <v>25</v>
      </c>
      <c r="AN129" s="26">
        <v>2</v>
      </c>
      <c r="AO129" s="26" t="s">
        <v>25</v>
      </c>
      <c r="AP129" s="20">
        <f t="shared" si="42"/>
        <v>124</v>
      </c>
    </row>
    <row r="130" s="20" customFormat="1" customHeight="1" spans="1:42">
      <c r="A130" s="38">
        <v>5501165</v>
      </c>
      <c r="B130" s="38" t="str">
        <f t="shared" si="33"/>
        <v>5501161</v>
      </c>
      <c r="C130" s="32">
        <f t="shared" si="34"/>
        <v>5</v>
      </c>
      <c r="D130" s="32"/>
      <c r="E130" s="26" t="s">
        <v>162</v>
      </c>
      <c r="F130" s="26">
        <f t="shared" si="38"/>
        <v>1</v>
      </c>
      <c r="G130" s="26">
        <f>IFERROR(IF(--MID($E130,2*COUNTIF($F130:F130,"&gt;"&amp;0)+2,1)=G$1,G$1,""),"")</f>
        <v>2</v>
      </c>
      <c r="H130" s="26">
        <f>IFERROR(IF(--MID($E130,2*COUNTIF($F130:G130,"&gt;"&amp;0)+2,1)=H$1,H$1,""),"")</f>
        <v>3</v>
      </c>
      <c r="I130" s="26">
        <f>IFERROR(IF(--MID($E130,2*COUNTIF($F130:H130,"&gt;"&amp;0)+2,1)=I$1,I$1,""),"")</f>
        <v>4</v>
      </c>
      <c r="J130" s="26">
        <f>IFERROR(IF(--MID($E130,2*COUNTIF($F130:I130,"&gt;"&amp;0)+2,1)=J$1,J$1,""),"")</f>
        <v>5</v>
      </c>
      <c r="K130" s="26">
        <f>IFERROR(IF(--MID($E130,2*COUNTIF($F130:J130,"&gt;"&amp;0)+2,1)=K$1,K$1,""),"")</f>
        <v>6</v>
      </c>
      <c r="L130" s="39" cm="1">
        <f t="array" ref="L130">IFERROR(IF($A130="","",IF(F130="","",_xlfn.XLOOKUP($C130&amp;"_"&amp;$AG130,符文权重!$A:$A&amp;"_"&amp;符文权重!$C:$C,符文权重!$D:$D)*$X130/SUMIFS($X:$X,F:F,F130,$C:$C,$C130,$AG:$AG,$AG130)/SUMIF(符文权重!$A:$A,$C130,符文权重!$D:$D))),"")</f>
        <v>0.059</v>
      </c>
      <c r="M130" s="39" cm="1">
        <f t="array" ref="M130">IFERROR(IF($A130="","",IF(G130="","",_xlfn.XLOOKUP($C130&amp;"_"&amp;$AG130,符文权重!$A:$A&amp;"_"&amp;符文权重!$C:$C,符文权重!$D:$D)*$X130/SUMIFS($X:$X,G:G,G130,$C:$C,$C130,$AG:$AG,$AG130)/SUMIF(符文权重!$A:$A,$C130,符文权重!$D:$D))),"")</f>
        <v>0.07375</v>
      </c>
      <c r="N130" s="39" cm="1">
        <f t="array" ref="N130">IFERROR(IF($A130="","",IF(H130="","",_xlfn.XLOOKUP($C130&amp;"_"&amp;$AG130,符文权重!$A:$A&amp;"_"&amp;符文权重!$C:$C,符文权重!$D:$D)*$X130/SUMIFS($X:$X,H:H,H130,$C:$C,$C130,$AG:$AG,$AG130)/SUMIF(符文权重!$A:$A,$C130,符文权重!$D:$D))),"")</f>
        <v>0.059</v>
      </c>
      <c r="O130" s="39" cm="1">
        <f t="array" ref="O130">IFERROR(IF($A130="","",IF(I130="","",_xlfn.XLOOKUP($C130&amp;"_"&amp;$AG130,符文权重!$A:$A&amp;"_"&amp;符文权重!$C:$C,符文权重!$D:$D)*$X130/SUMIFS($X:$X,I:I,I130,$C:$C,$C130,$AG:$AG,$AG130)/SUMIF(符文权重!$A:$A,$C130,符文权重!$D:$D))),"")</f>
        <v>0.059</v>
      </c>
      <c r="P130" s="39" cm="1">
        <f t="array" ref="P130">IFERROR(IF($A130="","",IF(J130="","",_xlfn.XLOOKUP($C130&amp;"_"&amp;$AG130,符文权重!$A:$A&amp;"_"&amp;符文权重!$C:$C,符文权重!$D:$D)*$X130/SUMIFS($X:$X,J:J,J130,$C:$C,$C130,$AG:$AG,$AG130)/SUMIF(符文权重!$A:$A,$C130,符文权重!$D:$D))),"")</f>
        <v>0.07375</v>
      </c>
      <c r="Q130" s="39" cm="1">
        <f t="array" ref="Q130">IFERROR(IF($A130="","",IF(K130="","",_xlfn.XLOOKUP($C130&amp;"_"&amp;$AG130,符文权重!$A:$A&amp;"_"&amp;符文权重!$C:$C,符文权重!$D:$D)*$X130/SUMIFS($X:$X,K:K,K130,$C:$C,$C130,$AG:$AG,$AG130)/SUMIF(符文权重!$A:$A,$C130,符文权重!$D:$D))),"")</f>
        <v>0.059</v>
      </c>
      <c r="R130" s="26" t="s">
        <v>163</v>
      </c>
      <c r="S130" s="26"/>
      <c r="T130" s="26" t="e">
        <f>IF(B130="","",SUBSTITUTE(SUBSTITUTE("[{global_atk,"&amp;#REF!*C130&amp;"}]",21,20),9,8))</f>
        <v>#REF!</v>
      </c>
      <c r="U130" s="40" t="str">
        <f t="shared" si="62"/>
        <v>[5501165]</v>
      </c>
      <c r="V130" s="26" t="s">
        <v>306</v>
      </c>
      <c r="W130" s="25"/>
      <c r="X130" s="32">
        <v>100</v>
      </c>
      <c r="Y130" s="25"/>
      <c r="Z130" s="32" t="s">
        <v>176</v>
      </c>
      <c r="AA130" s="32" t="str">
        <f t="shared" si="46"/>
        <v>对远程怪物伤害+32%</v>
      </c>
      <c r="AB130" s="32"/>
      <c r="AC130" s="32" t="s">
        <v>166</v>
      </c>
      <c r="AD130" s="32">
        <f t="shared" si="41"/>
        <v>1125</v>
      </c>
      <c r="AE130" s="38" t="str">
        <f t="shared" si="36"/>
        <v>5501161</v>
      </c>
      <c r="AF130" s="32" t="str">
        <f t="shared" si="37"/>
        <v>[32]</v>
      </c>
      <c r="AG130" s="26">
        <v>2</v>
      </c>
      <c r="AH130" s="26"/>
      <c r="AI130" s="26">
        <v>0</v>
      </c>
      <c r="AJ130" s="25" t="s">
        <v>167</v>
      </c>
      <c r="AK130" s="38">
        <f t="shared" si="63"/>
        <v>5501165</v>
      </c>
      <c r="AL130" s="41" t="str">
        <f t="shared" si="64"/>
        <v>对远程怪物伤害&lt;color=#54b76b&gt;+%s%&lt;/color&gt;</v>
      </c>
      <c r="AM130" s="26">
        <v>32</v>
      </c>
      <c r="AN130" s="26">
        <v>2</v>
      </c>
      <c r="AO130" s="26" t="s">
        <v>25</v>
      </c>
      <c r="AP130" s="20">
        <f t="shared" si="42"/>
        <v>125</v>
      </c>
    </row>
    <row r="131" s="20" customFormat="1" customHeight="1" spans="1:42">
      <c r="A131" s="38">
        <v>5501166</v>
      </c>
      <c r="B131" s="38" t="str">
        <f t="shared" si="33"/>
        <v>5501161</v>
      </c>
      <c r="C131" s="32">
        <f t="shared" si="34"/>
        <v>6</v>
      </c>
      <c r="D131" s="32"/>
      <c r="E131" s="26" t="s">
        <v>162</v>
      </c>
      <c r="F131" s="26">
        <f t="shared" si="38"/>
        <v>1</v>
      </c>
      <c r="G131" s="26">
        <f>IFERROR(IF(--MID($E131,2*COUNTIF($F131:F131,"&gt;"&amp;0)+2,1)=G$1,G$1,""),"")</f>
        <v>2</v>
      </c>
      <c r="H131" s="26">
        <f>IFERROR(IF(--MID($E131,2*COUNTIF($F131:G131,"&gt;"&amp;0)+2,1)=H$1,H$1,""),"")</f>
        <v>3</v>
      </c>
      <c r="I131" s="26">
        <f>IFERROR(IF(--MID($E131,2*COUNTIF($F131:H131,"&gt;"&amp;0)+2,1)=I$1,I$1,""),"")</f>
        <v>4</v>
      </c>
      <c r="J131" s="26">
        <f>IFERROR(IF(--MID($E131,2*COUNTIF($F131:I131,"&gt;"&amp;0)+2,1)=J$1,J$1,""),"")</f>
        <v>5</v>
      </c>
      <c r="K131" s="26">
        <f>IFERROR(IF(--MID($E131,2*COUNTIF($F131:J131,"&gt;"&amp;0)+2,1)=K$1,K$1,""),"")</f>
        <v>6</v>
      </c>
      <c r="L131" s="39" cm="1">
        <f t="array" ref="L131">IFERROR(IF($A131="","",IF(F131="","",_xlfn.XLOOKUP($C131&amp;"_"&amp;$AG131,符文权重!$A:$A&amp;"_"&amp;符文权重!$C:$C,符文权重!$D:$D)*$X131/SUMIFS($X:$X,F:F,F131,$C:$C,$C131,$AG:$AG,$AG131)/SUMIF(符文权重!$A:$A,$C131,符文权重!$D:$D))),"")</f>
        <v>0.059</v>
      </c>
      <c r="M131" s="39" cm="1">
        <f t="array" ref="M131">IFERROR(IF($A131="","",IF(G131="","",_xlfn.XLOOKUP($C131&amp;"_"&amp;$AG131,符文权重!$A:$A&amp;"_"&amp;符文权重!$C:$C,符文权重!$D:$D)*$X131/SUMIFS($X:$X,G:G,G131,$C:$C,$C131,$AG:$AG,$AG131)/SUMIF(符文权重!$A:$A,$C131,符文权重!$D:$D))),"")</f>
        <v>0.07375</v>
      </c>
      <c r="N131" s="39" cm="1">
        <f t="array" ref="N131">IFERROR(IF($A131="","",IF(H131="","",_xlfn.XLOOKUP($C131&amp;"_"&amp;$AG131,符文权重!$A:$A&amp;"_"&amp;符文权重!$C:$C,符文权重!$D:$D)*$X131/SUMIFS($X:$X,H:H,H131,$C:$C,$C131,$AG:$AG,$AG131)/SUMIF(符文权重!$A:$A,$C131,符文权重!$D:$D))),"")</f>
        <v>0.059</v>
      </c>
      <c r="O131" s="39" cm="1">
        <f t="array" ref="O131">IFERROR(IF($A131="","",IF(I131="","",_xlfn.XLOOKUP($C131&amp;"_"&amp;$AG131,符文权重!$A:$A&amp;"_"&amp;符文权重!$C:$C,符文权重!$D:$D)*$X131/SUMIFS($X:$X,I:I,I131,$C:$C,$C131,$AG:$AG,$AG131)/SUMIF(符文权重!$A:$A,$C131,符文权重!$D:$D))),"")</f>
        <v>0.059</v>
      </c>
      <c r="P131" s="39" cm="1">
        <f t="array" ref="P131">IFERROR(IF($A131="","",IF(J131="","",_xlfn.XLOOKUP($C131&amp;"_"&amp;$AG131,符文权重!$A:$A&amp;"_"&amp;符文权重!$C:$C,符文权重!$D:$D)*$X131/SUMIFS($X:$X,J:J,J131,$C:$C,$C131,$AG:$AG,$AG131)/SUMIF(符文权重!$A:$A,$C131,符文权重!$D:$D))),"")</f>
        <v>0.07375</v>
      </c>
      <c r="Q131" s="39" cm="1">
        <f t="array" ref="Q131">IFERROR(IF($A131="","",IF(K131="","",_xlfn.XLOOKUP($C131&amp;"_"&amp;$AG131,符文权重!$A:$A&amp;"_"&amp;符文权重!$C:$C,符文权重!$D:$D)*$X131/SUMIFS($X:$X,K:K,K131,$C:$C,$C131,$AG:$AG,$AG131)/SUMIF(符文权重!$A:$A,$C131,符文权重!$D:$D))),"")</f>
        <v>0.059</v>
      </c>
      <c r="R131" s="26" t="s">
        <v>163</v>
      </c>
      <c r="S131" s="26"/>
      <c r="T131" s="26" t="e">
        <f>IF(B131="","",SUBSTITUTE(SUBSTITUTE("[{global_atk,"&amp;#REF!*C131&amp;"}]",21,20),9,8))</f>
        <v>#REF!</v>
      </c>
      <c r="U131" s="40" t="str">
        <f t="shared" si="62"/>
        <v>[5501166]</v>
      </c>
      <c r="V131" s="26" t="s">
        <v>307</v>
      </c>
      <c r="W131" s="25"/>
      <c r="X131" s="32">
        <v>100</v>
      </c>
      <c r="Y131" s="25"/>
      <c r="Z131" s="32" t="s">
        <v>178</v>
      </c>
      <c r="AA131" s="32" t="str">
        <f t="shared" si="46"/>
        <v>对远程怪物伤害+40%</v>
      </c>
      <c r="AB131" s="32"/>
      <c r="AC131" s="32" t="s">
        <v>166</v>
      </c>
      <c r="AD131" s="32">
        <f t="shared" si="41"/>
        <v>1126</v>
      </c>
      <c r="AE131" s="38" t="str">
        <f t="shared" si="36"/>
        <v>5501161</v>
      </c>
      <c r="AF131" s="32" t="str">
        <f t="shared" si="37"/>
        <v>[40]</v>
      </c>
      <c r="AG131" s="26">
        <v>2</v>
      </c>
      <c r="AH131" s="26"/>
      <c r="AI131" s="26">
        <v>0</v>
      </c>
      <c r="AJ131" s="25" t="s">
        <v>167</v>
      </c>
      <c r="AK131" s="38">
        <f t="shared" si="63"/>
        <v>5501166</v>
      </c>
      <c r="AL131" s="41" t="str">
        <f t="shared" si="64"/>
        <v>对远程怪物伤害&lt;color=#54b76b&gt;+%s%&lt;/color&gt;</v>
      </c>
      <c r="AM131" s="26">
        <v>40</v>
      </c>
      <c r="AN131" s="26">
        <v>2</v>
      </c>
      <c r="AO131" s="26" t="s">
        <v>25</v>
      </c>
      <c r="AP131" s="20">
        <f t="shared" si="42"/>
        <v>126</v>
      </c>
    </row>
    <row r="132" s="20" customFormat="1" customHeight="1" spans="1:42">
      <c r="A132" s="38">
        <v>5501167</v>
      </c>
      <c r="B132" s="38" t="str">
        <f t="shared" si="33"/>
        <v>5501161</v>
      </c>
      <c r="C132" s="32">
        <f t="shared" si="34"/>
        <v>7</v>
      </c>
      <c r="D132" s="32"/>
      <c r="E132" s="26" t="s">
        <v>162</v>
      </c>
      <c r="F132" s="26">
        <f t="shared" si="38"/>
        <v>1</v>
      </c>
      <c r="G132" s="26">
        <f>IFERROR(IF(--MID($E132,2*COUNTIF($F132:F132,"&gt;"&amp;0)+2,1)=G$1,G$1,""),"")</f>
        <v>2</v>
      </c>
      <c r="H132" s="26">
        <f>IFERROR(IF(--MID($E132,2*COUNTIF($F132:G132,"&gt;"&amp;0)+2,1)=H$1,H$1,""),"")</f>
        <v>3</v>
      </c>
      <c r="I132" s="26">
        <f>IFERROR(IF(--MID($E132,2*COUNTIF($F132:H132,"&gt;"&amp;0)+2,1)=I$1,I$1,""),"")</f>
        <v>4</v>
      </c>
      <c r="J132" s="26">
        <f>IFERROR(IF(--MID($E132,2*COUNTIF($F132:I132,"&gt;"&amp;0)+2,1)=J$1,J$1,""),"")</f>
        <v>5</v>
      </c>
      <c r="K132" s="26">
        <f>IFERROR(IF(--MID($E132,2*COUNTIF($F132:J132,"&gt;"&amp;0)+2,1)=K$1,K$1,""),"")</f>
        <v>6</v>
      </c>
      <c r="L132" s="39" cm="1">
        <f t="array" ref="L132">IFERROR(IF($A132="","",IF(F132="","",_xlfn.XLOOKUP($C132&amp;"_"&amp;$AG132,符文权重!$A:$A&amp;"_"&amp;符文权重!$C:$C,符文权重!$D:$D)*$X132/SUMIFS($X:$X,F:F,F132,$C:$C,$C132,$AG:$AG,$AG132)/SUMIF(符文权重!$A:$A,$C132,符文权重!$D:$D))),"")</f>
        <v>0.059</v>
      </c>
      <c r="M132" s="39" cm="1">
        <f t="array" ref="M132">IFERROR(IF($A132="","",IF(G132="","",_xlfn.XLOOKUP($C132&amp;"_"&amp;$AG132,符文权重!$A:$A&amp;"_"&amp;符文权重!$C:$C,符文权重!$D:$D)*$X132/SUMIFS($X:$X,G:G,G132,$C:$C,$C132,$AG:$AG,$AG132)/SUMIF(符文权重!$A:$A,$C132,符文权重!$D:$D))),"")</f>
        <v>0.07375</v>
      </c>
      <c r="N132" s="39" cm="1">
        <f t="array" ref="N132">IFERROR(IF($A132="","",IF(H132="","",_xlfn.XLOOKUP($C132&amp;"_"&amp;$AG132,符文权重!$A:$A&amp;"_"&amp;符文权重!$C:$C,符文权重!$D:$D)*$X132/SUMIFS($X:$X,H:H,H132,$C:$C,$C132,$AG:$AG,$AG132)/SUMIF(符文权重!$A:$A,$C132,符文权重!$D:$D))),"")</f>
        <v>0.059</v>
      </c>
      <c r="O132" s="39" cm="1">
        <f t="array" ref="O132">IFERROR(IF($A132="","",IF(I132="","",_xlfn.XLOOKUP($C132&amp;"_"&amp;$AG132,符文权重!$A:$A&amp;"_"&amp;符文权重!$C:$C,符文权重!$D:$D)*$X132/SUMIFS($X:$X,I:I,I132,$C:$C,$C132,$AG:$AG,$AG132)/SUMIF(符文权重!$A:$A,$C132,符文权重!$D:$D))),"")</f>
        <v>0.059</v>
      </c>
      <c r="P132" s="39" cm="1">
        <f t="array" ref="P132">IFERROR(IF($A132="","",IF(J132="","",_xlfn.XLOOKUP($C132&amp;"_"&amp;$AG132,符文权重!$A:$A&amp;"_"&amp;符文权重!$C:$C,符文权重!$D:$D)*$X132/SUMIFS($X:$X,J:J,J132,$C:$C,$C132,$AG:$AG,$AG132)/SUMIF(符文权重!$A:$A,$C132,符文权重!$D:$D))),"")</f>
        <v>0.07375</v>
      </c>
      <c r="Q132" s="39" cm="1">
        <f t="array" ref="Q132">IFERROR(IF($A132="","",IF(K132="","",_xlfn.XLOOKUP($C132&amp;"_"&amp;$AG132,符文权重!$A:$A&amp;"_"&amp;符文权重!$C:$C,符文权重!$D:$D)*$X132/SUMIFS($X:$X,K:K,K132,$C:$C,$C132,$AG:$AG,$AG132)/SUMIF(符文权重!$A:$A,$C132,符文权重!$D:$D))),"")</f>
        <v>0.059</v>
      </c>
      <c r="R132" s="26" t="s">
        <v>163</v>
      </c>
      <c r="S132" s="26"/>
      <c r="T132" s="26" t="e">
        <f>IF(B132="","",SUBSTITUTE(SUBSTITUTE("[{global_atk,"&amp;#REF!*C132&amp;"}]",21,20),9,8))</f>
        <v>#REF!</v>
      </c>
      <c r="U132" s="40" t="str">
        <f t="shared" si="62"/>
        <v>[5501167]</v>
      </c>
      <c r="V132" s="26" t="s">
        <v>308</v>
      </c>
      <c r="W132" s="25"/>
      <c r="X132" s="32">
        <v>100</v>
      </c>
      <c r="Y132" s="25"/>
      <c r="Z132" s="32" t="s">
        <v>180</v>
      </c>
      <c r="AA132" s="32" t="str">
        <f t="shared" si="46"/>
        <v>对远程怪物伤害+50%</v>
      </c>
      <c r="AB132" s="32"/>
      <c r="AC132" s="32" t="s">
        <v>166</v>
      </c>
      <c r="AD132" s="32">
        <f t="shared" si="41"/>
        <v>1127</v>
      </c>
      <c r="AE132" s="38" t="str">
        <f t="shared" si="36"/>
        <v>5501161</v>
      </c>
      <c r="AF132" s="32" t="str">
        <f t="shared" si="37"/>
        <v>[50]</v>
      </c>
      <c r="AG132" s="26">
        <v>2</v>
      </c>
      <c r="AH132" s="26"/>
      <c r="AI132" s="26">
        <v>0</v>
      </c>
      <c r="AJ132" s="25" t="s">
        <v>167</v>
      </c>
      <c r="AK132" s="38">
        <f t="shared" si="63"/>
        <v>5501167</v>
      </c>
      <c r="AL132" s="41" t="str">
        <f t="shared" si="64"/>
        <v>对远程怪物伤害&lt;color=#54b76b&gt;+%s%&lt;/color&gt;</v>
      </c>
      <c r="AM132" s="26">
        <v>50</v>
      </c>
      <c r="AN132" s="26">
        <v>2</v>
      </c>
      <c r="AO132" s="26" t="s">
        <v>25</v>
      </c>
      <c r="AP132" s="20">
        <f t="shared" si="42"/>
        <v>127</v>
      </c>
    </row>
    <row r="133" s="20" customFormat="1" customHeight="1" spans="1:42">
      <c r="A133" s="38"/>
      <c r="B133" s="38"/>
      <c r="C133" s="32"/>
      <c r="D133" s="32"/>
      <c r="E133" s="26"/>
      <c r="F133" s="26" t="str">
        <f t="shared" si="38"/>
        <v/>
      </c>
      <c r="G133" s="26" t="str">
        <f>IFERROR(IF(--MID($E133,2*COUNTIF($F133:F133,"&gt;"&amp;0)+2,1)=G$1,G$1,""),"")</f>
        <v/>
      </c>
      <c r="H133" s="26" t="str">
        <f>IFERROR(IF(--MID($E133,2*COUNTIF($F133:G133,"&gt;"&amp;0)+2,1)=H$1,H$1,""),"")</f>
        <v/>
      </c>
      <c r="I133" s="26" t="str">
        <f>IFERROR(IF(--MID($E133,2*COUNTIF($F133:H133,"&gt;"&amp;0)+2,1)=I$1,I$1,""),"")</f>
        <v/>
      </c>
      <c r="J133" s="26" t="str">
        <f>IFERROR(IF(--MID($E133,2*COUNTIF($F133:I133,"&gt;"&amp;0)+2,1)=J$1,J$1,""),"")</f>
        <v/>
      </c>
      <c r="K133" s="26" t="str">
        <f>IFERROR(IF(--MID($E133,2*COUNTIF($F133:J133,"&gt;"&amp;0)+2,1)=K$1,K$1,""),"")</f>
        <v/>
      </c>
      <c r="L133" s="39" t="str" cm="1">
        <f t="array" ref="L133">IFERROR(IF($A133="","",IF(F133="","",_xlfn.XLOOKUP($C133&amp;"_"&amp;$AG133,符文权重!$A:$A&amp;"_"&amp;符文权重!$C:$C,符文权重!$D:$D)*$X133/SUMIFS($X:$X,F:F,F133,$C:$C,$C133,$AG:$AG,$AG133)/SUMIF(符文权重!$A:$A,$C133,符文权重!$D:$D))),"")</f>
        <v/>
      </c>
      <c r="M133" s="39" t="str" cm="1">
        <f t="array" ref="M133">IFERROR(IF($A133="","",IF(G133="","",_xlfn.XLOOKUP($C133&amp;"_"&amp;$AG133,符文权重!$A:$A&amp;"_"&amp;符文权重!$C:$C,符文权重!$D:$D)*$X133/SUMIFS($X:$X,G:G,G133,$C:$C,$C133,$AG:$AG,$AG133)/SUMIF(符文权重!$A:$A,$C133,符文权重!$D:$D))),"")</f>
        <v/>
      </c>
      <c r="N133" s="39" t="str" cm="1">
        <f t="array" ref="N133">IFERROR(IF($A133="","",IF(H133="","",_xlfn.XLOOKUP($C133&amp;"_"&amp;$AG133,符文权重!$A:$A&amp;"_"&amp;符文权重!$C:$C,符文权重!$D:$D)*$X133/SUMIFS($X:$X,H:H,H133,$C:$C,$C133,$AG:$AG,$AG133)/SUMIF(符文权重!$A:$A,$C133,符文权重!$D:$D))),"")</f>
        <v/>
      </c>
      <c r="O133" s="39" t="str" cm="1">
        <f t="array" ref="O133">IFERROR(IF($A133="","",IF(I133="","",_xlfn.XLOOKUP($C133&amp;"_"&amp;$AG133,符文权重!$A:$A&amp;"_"&amp;符文权重!$C:$C,符文权重!$D:$D)*$X133/SUMIFS($X:$X,I:I,I133,$C:$C,$C133,$AG:$AG,$AG133)/SUMIF(符文权重!$A:$A,$C133,符文权重!$D:$D))),"")</f>
        <v/>
      </c>
      <c r="P133" s="39" t="str" cm="1">
        <f t="array" ref="P133">IFERROR(IF($A133="","",IF(J133="","",_xlfn.XLOOKUP($C133&amp;"_"&amp;$AG133,符文权重!$A:$A&amp;"_"&amp;符文权重!$C:$C,符文权重!$D:$D)*$X133/SUMIFS($X:$X,J:J,J133,$C:$C,$C133,$AG:$AG,$AG133)/SUMIF(符文权重!$A:$A,$C133,符文权重!$D:$D))),"")</f>
        <v/>
      </c>
      <c r="Q133" s="39" t="str" cm="1">
        <f t="array" ref="Q133">IFERROR(IF($A133="","",IF(K133="","",_xlfn.XLOOKUP($C133&amp;"_"&amp;$AG133,符文权重!$A:$A&amp;"_"&amp;符文权重!$C:$C,符文权重!$D:$D)*$X133/SUMIFS($X:$X,K:K,K133,$C:$C,$C133,$AG:$AG,$AG133)/SUMIF(符文权重!$A:$A,$C133,符文权重!$D:$D))),"")</f>
        <v/>
      </c>
      <c r="R133" s="26"/>
      <c r="S133" s="26"/>
      <c r="T133" s="26"/>
      <c r="U133" s="40"/>
      <c r="V133" s="26"/>
      <c r="W133" s="25"/>
      <c r="X133" s="32"/>
      <c r="Y133" s="25"/>
      <c r="Z133" s="32"/>
      <c r="AA133" s="32" t="str">
        <f t="shared" si="46"/>
        <v/>
      </c>
      <c r="AB133" s="32"/>
      <c r="AC133" s="32" t="s">
        <v>166</v>
      </c>
      <c r="AD133" s="32">
        <f t="shared" si="41"/>
        <v>1128</v>
      </c>
      <c r="AE133" s="38"/>
      <c r="AF133" s="32"/>
      <c r="AG133" s="26"/>
      <c r="AH133" s="26"/>
      <c r="AI133" s="26"/>
      <c r="AJ133" s="25" t="s">
        <v>167</v>
      </c>
      <c r="AK133" s="24"/>
      <c r="AL133" s="42"/>
      <c r="AM133" s="26"/>
      <c r="AN133" s="26"/>
      <c r="AO133" s="26"/>
      <c r="AP133" s="20">
        <f t="shared" si="42"/>
        <v>128</v>
      </c>
    </row>
    <row r="134" s="20" customFormat="1" customHeight="1" spans="1:42">
      <c r="A134" s="38">
        <v>5501171</v>
      </c>
      <c r="B134" s="38" t="str">
        <f t="shared" ref="B134:B140" si="65">IF(ISBLANK(AK134),"",LEFT(AK134,6)&amp;1)</f>
        <v>5501171</v>
      </c>
      <c r="C134" s="32">
        <f t="shared" ref="C134:C140" si="66">IF(ISBLANK(AK134),"",VALUE(RIGHT(A134,1)))</f>
        <v>1</v>
      </c>
      <c r="D134" s="32"/>
      <c r="E134" s="26" t="s">
        <v>162</v>
      </c>
      <c r="F134" s="26">
        <f t="shared" si="38"/>
        <v>1</v>
      </c>
      <c r="G134" s="26">
        <f>IFERROR(IF(--MID($E134,2*COUNTIF($F134:F134,"&gt;"&amp;0)+2,1)=G$1,G$1,""),"")</f>
        <v>2</v>
      </c>
      <c r="H134" s="26">
        <f>IFERROR(IF(--MID($E134,2*COUNTIF($F134:G134,"&gt;"&amp;0)+2,1)=H$1,H$1,""),"")</f>
        <v>3</v>
      </c>
      <c r="I134" s="26">
        <f>IFERROR(IF(--MID($E134,2*COUNTIF($F134:H134,"&gt;"&amp;0)+2,1)=I$1,I$1,""),"")</f>
        <v>4</v>
      </c>
      <c r="J134" s="26">
        <f>IFERROR(IF(--MID($E134,2*COUNTIF($F134:I134,"&gt;"&amp;0)+2,1)=J$1,J$1,""),"")</f>
        <v>5</v>
      </c>
      <c r="K134" s="26">
        <f>IFERROR(IF(--MID($E134,2*COUNTIF($F134:J134,"&gt;"&amp;0)+2,1)=K$1,K$1,""),"")</f>
        <v>6</v>
      </c>
      <c r="L134" s="39" cm="1">
        <f t="array" ref="L134">IFERROR(IF($A134="","",IF(F134="","",_xlfn.XLOOKUP($C134&amp;"_"&amp;$AG134,符文权重!$A:$A&amp;"_"&amp;符文权重!$C:$C,符文权重!$D:$D)*$X134/SUMIFS($X:$X,F:F,F134,$C:$C,$C134,$AG:$AG,$AG134)/SUMIF(符文权重!$A:$A,$C134,符文权重!$D:$D))),"")</f>
        <v>0.128571428571429</v>
      </c>
      <c r="M134" s="39" cm="1">
        <f t="array" ref="M134">IFERROR(IF($A134="","",IF(G134="","",_xlfn.XLOOKUP($C134&amp;"_"&amp;$AG134,符文权重!$A:$A&amp;"_"&amp;符文权重!$C:$C,符文权重!$D:$D)*$X134/SUMIFS($X:$X,G:G,G134,$C:$C,$C134,$AG:$AG,$AG134)/SUMIF(符文权重!$A:$A,$C134,符文权重!$D:$D))),"")</f>
        <v>0.15</v>
      </c>
      <c r="N134" s="39" cm="1">
        <f t="array" ref="N134">IFERROR(IF($A134="","",IF(H134="","",_xlfn.XLOOKUP($C134&amp;"_"&amp;$AG134,符文权重!$A:$A&amp;"_"&amp;符文权重!$C:$C,符文权重!$D:$D)*$X134/SUMIFS($X:$X,H:H,H134,$C:$C,$C134,$AG:$AG,$AG134)/SUMIF(符文权重!$A:$A,$C134,符文权重!$D:$D))),"")</f>
        <v>0.128571428571429</v>
      </c>
      <c r="O134" s="39" cm="1">
        <f t="array" ref="O134">IFERROR(IF($A134="","",IF(I134="","",_xlfn.XLOOKUP($C134&amp;"_"&amp;$AG134,符文权重!$A:$A&amp;"_"&amp;符文权重!$C:$C,符文权重!$D:$D)*$X134/SUMIFS($X:$X,I:I,I134,$C:$C,$C134,$AG:$AG,$AG134)/SUMIF(符文权重!$A:$A,$C134,符文权重!$D:$D))),"")</f>
        <v>0.15</v>
      </c>
      <c r="P134" s="39" cm="1">
        <f t="array" ref="P134">IFERROR(IF($A134="","",IF(J134="","",_xlfn.XLOOKUP($C134&amp;"_"&amp;$AG134,符文权重!$A:$A&amp;"_"&amp;符文权重!$C:$C,符文权重!$D:$D)*$X134/SUMIFS($X:$X,J:J,J134,$C:$C,$C134,$AG:$AG,$AG134)/SUMIF(符文权重!$A:$A,$C134,符文权重!$D:$D))),"")</f>
        <v>0.128571428571429</v>
      </c>
      <c r="Q134" s="39" cm="1">
        <f t="array" ref="Q134">IFERROR(IF($A134="","",IF(K134="","",_xlfn.XLOOKUP($C134&amp;"_"&amp;$AG134,符文权重!$A:$A&amp;"_"&amp;符文权重!$C:$C,符文权重!$D:$D)*$X134/SUMIFS($X:$X,K:K,K134,$C:$C,$C134,$AG:$AG,$AG134)/SUMIF(符文权重!$A:$A,$C134,符文权重!$D:$D))),"")</f>
        <v>0.15</v>
      </c>
      <c r="R134" s="26" t="s">
        <v>163</v>
      </c>
      <c r="S134" s="26"/>
      <c r="T134" s="26" t="e">
        <f>IF(B134="","",SUBSTITUTE(SUBSTITUTE("[{global_atk,"&amp;#REF!*C134&amp;"}]",21,20),9,8))</f>
        <v>#REF!</v>
      </c>
      <c r="U134" s="40" t="str">
        <f t="shared" ref="U134:U140" si="67">"["&amp;A134&amp;"]"</f>
        <v>[5501171]</v>
      </c>
      <c r="V134" s="26" t="s">
        <v>309</v>
      </c>
      <c r="W134" s="25"/>
      <c r="X134" s="32">
        <v>100</v>
      </c>
      <c r="Y134" s="25"/>
      <c r="Z134" s="32" t="s">
        <v>165</v>
      </c>
      <c r="AA134" s="32" t="str">
        <f t="shared" si="46"/>
        <v>对肉盾怪物伤害+10%</v>
      </c>
      <c r="AB134" s="32"/>
      <c r="AC134" s="32" t="s">
        <v>166</v>
      </c>
      <c r="AD134" s="32">
        <f t="shared" si="41"/>
        <v>1129</v>
      </c>
      <c r="AE134" s="38" t="str">
        <f t="shared" ref="AE134:AE140" si="68">IF(ISBLANK(AK134),"",B134)</f>
        <v>5501171</v>
      </c>
      <c r="AF134" s="32" t="str">
        <f t="shared" ref="AF134:AF140" si="69">IF(ISBLANK(AM134),"","["&amp;AM134&amp;"]")</f>
        <v>[10]</v>
      </c>
      <c r="AG134" s="26">
        <v>2</v>
      </c>
      <c r="AH134" s="26"/>
      <c r="AI134" s="26">
        <v>0</v>
      </c>
      <c r="AJ134" s="25" t="s">
        <v>167</v>
      </c>
      <c r="AK134" s="24">
        <v>5501171</v>
      </c>
      <c r="AL134" s="42" t="s">
        <v>310</v>
      </c>
      <c r="AM134" s="26">
        <v>10</v>
      </c>
      <c r="AN134" s="26">
        <v>2</v>
      </c>
      <c r="AO134" s="26" t="s">
        <v>25</v>
      </c>
      <c r="AP134" s="20">
        <f t="shared" si="42"/>
        <v>129</v>
      </c>
    </row>
    <row r="135" s="20" customFormat="1" customHeight="1" spans="1:42">
      <c r="A135" s="38">
        <v>5501172</v>
      </c>
      <c r="B135" s="38" t="str">
        <f t="shared" si="65"/>
        <v>5501171</v>
      </c>
      <c r="C135" s="32">
        <f t="shared" si="66"/>
        <v>2</v>
      </c>
      <c r="D135" s="32"/>
      <c r="E135" s="26" t="s">
        <v>162</v>
      </c>
      <c r="F135" s="26">
        <f t="shared" ref="F135:F198" si="70">IF(LEFT(E135,2)="[1",1,"")</f>
        <v>1</v>
      </c>
      <c r="G135" s="26">
        <f>IFERROR(IF(--MID($E135,2*COUNTIF($F135:F135,"&gt;"&amp;0)+2,1)=G$1,G$1,""),"")</f>
        <v>2</v>
      </c>
      <c r="H135" s="26">
        <f>IFERROR(IF(--MID($E135,2*COUNTIF($F135:G135,"&gt;"&amp;0)+2,1)=H$1,H$1,""),"")</f>
        <v>3</v>
      </c>
      <c r="I135" s="26">
        <f>IFERROR(IF(--MID($E135,2*COUNTIF($F135:H135,"&gt;"&amp;0)+2,1)=I$1,I$1,""),"")</f>
        <v>4</v>
      </c>
      <c r="J135" s="26">
        <f>IFERROR(IF(--MID($E135,2*COUNTIF($F135:I135,"&gt;"&amp;0)+2,1)=J$1,J$1,""),"")</f>
        <v>5</v>
      </c>
      <c r="K135" s="26">
        <f>IFERROR(IF(--MID($E135,2*COUNTIF($F135:J135,"&gt;"&amp;0)+2,1)=K$1,K$1,""),"")</f>
        <v>6</v>
      </c>
      <c r="L135" s="39" cm="1">
        <f t="array" ref="L135">IFERROR(IF($A135="","",IF(F135="","",_xlfn.XLOOKUP($C135&amp;"_"&amp;$AG135,符文权重!$A:$A&amp;"_"&amp;符文权重!$C:$C,符文权重!$D:$D)*$X135/SUMIFS($X:$X,F:F,F135,$C:$C,$C135,$AG:$AG,$AG135)/SUMIF(符文权重!$A:$A,$C135,符文权重!$D:$D))),"")</f>
        <v>0.1</v>
      </c>
      <c r="M135" s="39" cm="1">
        <f t="array" ref="M135">IFERROR(IF($A135="","",IF(G135="","",_xlfn.XLOOKUP($C135&amp;"_"&amp;$AG135,符文权重!$A:$A&amp;"_"&amp;符文权重!$C:$C,符文权重!$D:$D)*$X135/SUMIFS($X:$X,G:G,G135,$C:$C,$C135,$AG:$AG,$AG135)/SUMIF(符文权重!$A:$A,$C135,符文权重!$D:$D))),"")</f>
        <v>0.11</v>
      </c>
      <c r="N135" s="39" cm="1">
        <f t="array" ref="N135">IFERROR(IF($A135="","",IF(H135="","",_xlfn.XLOOKUP($C135&amp;"_"&amp;$AG135,符文权重!$A:$A&amp;"_"&amp;符文权重!$C:$C,符文权重!$D:$D)*$X135/SUMIFS($X:$X,H:H,H135,$C:$C,$C135,$AG:$AG,$AG135)/SUMIF(符文权重!$A:$A,$C135,符文权重!$D:$D))),"")</f>
        <v>0.1</v>
      </c>
      <c r="O135" s="39" cm="1">
        <f t="array" ref="O135">IFERROR(IF($A135="","",IF(I135="","",_xlfn.XLOOKUP($C135&amp;"_"&amp;$AG135,符文权重!$A:$A&amp;"_"&amp;符文权重!$C:$C,符文权重!$D:$D)*$X135/SUMIFS($X:$X,I:I,I135,$C:$C,$C135,$AG:$AG,$AG135)/SUMIF(符文权重!$A:$A,$C135,符文权重!$D:$D))),"")</f>
        <v>0.11</v>
      </c>
      <c r="P135" s="39" cm="1">
        <f t="array" ref="P135">IFERROR(IF($A135="","",IF(J135="","",_xlfn.XLOOKUP($C135&amp;"_"&amp;$AG135,符文权重!$A:$A&amp;"_"&amp;符文权重!$C:$C,符文权重!$D:$D)*$X135/SUMIFS($X:$X,J:J,J135,$C:$C,$C135,$AG:$AG,$AG135)/SUMIF(符文权重!$A:$A,$C135,符文权重!$D:$D))),"")</f>
        <v>0.1</v>
      </c>
      <c r="Q135" s="39" cm="1">
        <f t="array" ref="Q135">IFERROR(IF($A135="","",IF(K135="","",_xlfn.XLOOKUP($C135&amp;"_"&amp;$AG135,符文权重!$A:$A&amp;"_"&amp;符文权重!$C:$C,符文权重!$D:$D)*$X135/SUMIFS($X:$X,K:K,K135,$C:$C,$C135,$AG:$AG,$AG135)/SUMIF(符文权重!$A:$A,$C135,符文权重!$D:$D))),"")</f>
        <v>0.11</v>
      </c>
      <c r="R135" s="26" t="s">
        <v>163</v>
      </c>
      <c r="S135" s="26"/>
      <c r="T135" s="26" t="e">
        <f>IF(B135="","",SUBSTITUTE(SUBSTITUTE("[{global_atk,"&amp;#REF!*C135&amp;"}]",21,20),9,8))</f>
        <v>#REF!</v>
      </c>
      <c r="U135" s="40" t="str">
        <f t="shared" si="67"/>
        <v>[5501172]</v>
      </c>
      <c r="V135" s="26" t="s">
        <v>311</v>
      </c>
      <c r="W135" s="25"/>
      <c r="X135" s="32">
        <v>100</v>
      </c>
      <c r="Y135" s="25"/>
      <c r="Z135" s="32" t="s">
        <v>170</v>
      </c>
      <c r="AA135" s="32" t="str">
        <f t="shared" si="46"/>
        <v>对肉盾怪物伤害+15%</v>
      </c>
      <c r="AB135" s="32"/>
      <c r="AC135" s="32" t="s">
        <v>166</v>
      </c>
      <c r="AD135" s="32">
        <f t="shared" si="41"/>
        <v>1130</v>
      </c>
      <c r="AE135" s="38" t="str">
        <f t="shared" si="68"/>
        <v>5501171</v>
      </c>
      <c r="AF135" s="32" t="str">
        <f t="shared" si="69"/>
        <v>[15]</v>
      </c>
      <c r="AG135" s="26">
        <v>2</v>
      </c>
      <c r="AH135" s="26"/>
      <c r="AI135" s="26">
        <v>0</v>
      </c>
      <c r="AJ135" s="25" t="s">
        <v>167</v>
      </c>
      <c r="AK135" s="38">
        <f t="shared" ref="AK135:AK140" si="71">AK134+1</f>
        <v>5501172</v>
      </c>
      <c r="AL135" s="41" t="str">
        <f t="shared" ref="AL135:AL140" si="72">AL134</f>
        <v>对肉盾怪物伤害&lt;color=#54b76b&gt;+%s%&lt;/color&gt;</v>
      </c>
      <c r="AM135" s="26">
        <v>15</v>
      </c>
      <c r="AN135" s="26">
        <v>2</v>
      </c>
      <c r="AO135" s="26" t="s">
        <v>25</v>
      </c>
      <c r="AP135" s="20">
        <f t="shared" si="42"/>
        <v>130</v>
      </c>
    </row>
    <row r="136" s="20" customFormat="1" customHeight="1" spans="1:42">
      <c r="A136" s="38">
        <v>5501173</v>
      </c>
      <c r="B136" s="38" t="str">
        <f t="shared" si="65"/>
        <v>5501171</v>
      </c>
      <c r="C136" s="32">
        <f t="shared" si="66"/>
        <v>3</v>
      </c>
      <c r="D136" s="32"/>
      <c r="E136" s="26" t="s">
        <v>162</v>
      </c>
      <c r="F136" s="26">
        <f t="shared" si="70"/>
        <v>1</v>
      </c>
      <c r="G136" s="26">
        <f>IFERROR(IF(--MID($E136,2*COUNTIF($F136:F136,"&gt;"&amp;0)+2,1)=G$1,G$1,""),"")</f>
        <v>2</v>
      </c>
      <c r="H136" s="26">
        <f>IFERROR(IF(--MID($E136,2*COUNTIF($F136:G136,"&gt;"&amp;0)+2,1)=H$1,H$1,""),"")</f>
        <v>3</v>
      </c>
      <c r="I136" s="26">
        <f>IFERROR(IF(--MID($E136,2*COUNTIF($F136:H136,"&gt;"&amp;0)+2,1)=I$1,I$1,""),"")</f>
        <v>4</v>
      </c>
      <c r="J136" s="26">
        <f>IFERROR(IF(--MID($E136,2*COUNTIF($F136:I136,"&gt;"&amp;0)+2,1)=J$1,J$1,""),"")</f>
        <v>5</v>
      </c>
      <c r="K136" s="26">
        <f>IFERROR(IF(--MID($E136,2*COUNTIF($F136:J136,"&gt;"&amp;0)+2,1)=K$1,K$1,""),"")</f>
        <v>6</v>
      </c>
      <c r="L136" s="39" cm="1">
        <f t="array" ref="L136">IFERROR(IF($A136="","",IF(F136="","",_xlfn.XLOOKUP($C136&amp;"_"&amp;$AG136,符文权重!$A:$A&amp;"_"&amp;符文权重!$C:$C,符文权重!$D:$D)*$X136/SUMIFS($X:$X,F:F,F136,$C:$C,$C136,$AG:$AG,$AG136)/SUMIF(符文权重!$A:$A,$C136,符文权重!$D:$D))),"")</f>
        <v>0.0909961685823755</v>
      </c>
      <c r="M136" s="39" cm="1">
        <f t="array" ref="M136">IFERROR(IF($A136="","",IF(G136="","",_xlfn.XLOOKUP($C136&amp;"_"&amp;$AG136,符文权重!$A:$A&amp;"_"&amp;符文权重!$C:$C,符文权重!$D:$D)*$X136/SUMIFS($X:$X,G:G,G136,$C:$C,$C136,$AG:$AG,$AG136)/SUMIF(符文权重!$A:$A,$C136,符文权重!$D:$D))),"")</f>
        <v>0.112559241706161</v>
      </c>
      <c r="N136" s="39" cm="1">
        <f t="array" ref="N136">IFERROR(IF($A136="","",IF(H136="","",_xlfn.XLOOKUP($C136&amp;"_"&amp;$AG136,符文权重!$A:$A&amp;"_"&amp;符文权重!$C:$C,符文权重!$D:$D)*$X136/SUMIFS($X:$X,H:H,H136,$C:$C,$C136,$AG:$AG,$AG136)/SUMIF(符文权重!$A:$A,$C136,符文权重!$D:$D))),"")</f>
        <v>0.0929549902152642</v>
      </c>
      <c r="O136" s="39" cm="1">
        <f t="array" ref="O136">IFERROR(IF($A136="","",IF(I136="","",_xlfn.XLOOKUP($C136&amp;"_"&amp;$AG136,符文权重!$A:$A&amp;"_"&amp;符文权重!$C:$C,符文权重!$D:$D)*$X136/SUMIFS($X:$X,I:I,I136,$C:$C,$C136,$AG:$AG,$AG136)/SUMIF(符文权重!$A:$A,$C136,符文权重!$D:$D))),"")</f>
        <v>0.0909961685823755</v>
      </c>
      <c r="P136" s="39" cm="1">
        <f t="array" ref="P136">IFERROR(IF($A136="","",IF(J136="","",_xlfn.XLOOKUP($C136&amp;"_"&amp;$AG136,符文权重!$A:$A&amp;"_"&amp;符文权重!$C:$C,符文权重!$D:$D)*$X136/SUMIFS($X:$X,J:J,J136,$C:$C,$C136,$AG:$AG,$AG136)/SUMIF(符文权重!$A:$A,$C136,符文权重!$D:$D))),"")</f>
        <v>0.115571776155718</v>
      </c>
      <c r="Q136" s="39" cm="1">
        <f t="array" ref="Q136">IFERROR(IF($A136="","",IF(K136="","",_xlfn.XLOOKUP($C136&amp;"_"&amp;$AG136,符文权重!$A:$A&amp;"_"&amp;符文权重!$C:$C,符文权重!$D:$D)*$X136/SUMIFS($X:$X,K:K,K136,$C:$C,$C136,$AG:$AG,$AG136)/SUMIF(符文权重!$A:$A,$C136,符文权重!$D:$D))),"")</f>
        <v>0.0909961685823755</v>
      </c>
      <c r="R136" s="26" t="s">
        <v>163</v>
      </c>
      <c r="S136" s="26"/>
      <c r="T136" s="26" t="e">
        <f>IF(B136="","",SUBSTITUTE(SUBSTITUTE("[{global_atk,"&amp;#REF!*C136&amp;"}]",21,20),9,8))</f>
        <v>#REF!</v>
      </c>
      <c r="U136" s="40" t="str">
        <f t="shared" si="67"/>
        <v>[5501173]</v>
      </c>
      <c r="V136" s="26" t="s">
        <v>312</v>
      </c>
      <c r="W136" s="25"/>
      <c r="X136" s="32">
        <v>100</v>
      </c>
      <c r="Y136" s="25"/>
      <c r="Z136" s="32" t="s">
        <v>172</v>
      </c>
      <c r="AA136" s="32" t="str">
        <f t="shared" si="46"/>
        <v>对肉盾怪物伤害+20%</v>
      </c>
      <c r="AB136" s="32"/>
      <c r="AC136" s="32" t="s">
        <v>166</v>
      </c>
      <c r="AD136" s="32">
        <f t="shared" ref="AD136:AD199" si="73">AD135+1</f>
        <v>1131</v>
      </c>
      <c r="AE136" s="38" t="str">
        <f t="shared" si="68"/>
        <v>5501171</v>
      </c>
      <c r="AF136" s="32" t="str">
        <f t="shared" si="69"/>
        <v>[20]</v>
      </c>
      <c r="AG136" s="26">
        <v>2</v>
      </c>
      <c r="AH136" s="26"/>
      <c r="AI136" s="26">
        <v>0</v>
      </c>
      <c r="AJ136" s="25" t="s">
        <v>167</v>
      </c>
      <c r="AK136" s="38">
        <f t="shared" si="71"/>
        <v>5501173</v>
      </c>
      <c r="AL136" s="41" t="str">
        <f t="shared" si="72"/>
        <v>对肉盾怪物伤害&lt;color=#54b76b&gt;+%s%&lt;/color&gt;</v>
      </c>
      <c r="AM136" s="26">
        <v>20</v>
      </c>
      <c r="AN136" s="26">
        <v>2</v>
      </c>
      <c r="AO136" s="26" t="s">
        <v>25</v>
      </c>
      <c r="AP136" s="20">
        <f t="shared" ref="AP136:AP199" si="74">AP135+1</f>
        <v>131</v>
      </c>
    </row>
    <row r="137" s="20" customFormat="1" customHeight="1" spans="1:42">
      <c r="A137" s="38">
        <v>5501174</v>
      </c>
      <c r="B137" s="38" t="str">
        <f t="shared" si="65"/>
        <v>5501171</v>
      </c>
      <c r="C137" s="32">
        <f t="shared" si="66"/>
        <v>4</v>
      </c>
      <c r="D137" s="32"/>
      <c r="E137" s="26" t="s">
        <v>162</v>
      </c>
      <c r="F137" s="26">
        <f t="shared" si="70"/>
        <v>1</v>
      </c>
      <c r="G137" s="26">
        <f>IFERROR(IF(--MID($E137,2*COUNTIF($F137:F137,"&gt;"&amp;0)+2,1)=G$1,G$1,""),"")</f>
        <v>2</v>
      </c>
      <c r="H137" s="26">
        <f>IFERROR(IF(--MID($E137,2*COUNTIF($F137:G137,"&gt;"&amp;0)+2,1)=H$1,H$1,""),"")</f>
        <v>3</v>
      </c>
      <c r="I137" s="26">
        <f>IFERROR(IF(--MID($E137,2*COUNTIF($F137:H137,"&gt;"&amp;0)+2,1)=I$1,I$1,""),"")</f>
        <v>4</v>
      </c>
      <c r="J137" s="26">
        <f>IFERROR(IF(--MID($E137,2*COUNTIF($F137:I137,"&gt;"&amp;0)+2,1)=J$1,J$1,""),"")</f>
        <v>5</v>
      </c>
      <c r="K137" s="26">
        <f>IFERROR(IF(--MID($E137,2*COUNTIF($F137:J137,"&gt;"&amp;0)+2,1)=K$1,K$1,""),"")</f>
        <v>6</v>
      </c>
      <c r="L137" s="39" cm="1">
        <f t="array" ref="L137">IFERROR(IF($A137="","",IF(F137="","",_xlfn.XLOOKUP($C137&amp;"_"&amp;$AG137,符文权重!$A:$A&amp;"_"&amp;符文权重!$C:$C,符文权重!$D:$D)*$X137/SUMIFS($X:$X,F:F,F137,$C:$C,$C137,$AG:$AG,$AG137)/SUMIF(符文权重!$A:$A,$C137,符文权重!$D:$D))),"")</f>
        <v>0.0626</v>
      </c>
      <c r="M137" s="39" cm="1">
        <f t="array" ref="M137">IFERROR(IF($A137="","",IF(G137="","",_xlfn.XLOOKUP($C137&amp;"_"&amp;$AG137,符文权重!$A:$A&amp;"_"&amp;符文权重!$C:$C,符文权重!$D:$D)*$X137/SUMIFS($X:$X,G:G,G137,$C:$C,$C137,$AG:$AG,$AG137)/SUMIF(符文权重!$A:$A,$C137,符文权重!$D:$D))),"")</f>
        <v>0.07825</v>
      </c>
      <c r="N137" s="39" cm="1">
        <f t="array" ref="N137">IFERROR(IF($A137="","",IF(H137="","",_xlfn.XLOOKUP($C137&amp;"_"&amp;$AG137,符文权重!$A:$A&amp;"_"&amp;符文权重!$C:$C,符文权重!$D:$D)*$X137/SUMIFS($X:$X,H:H,H137,$C:$C,$C137,$AG:$AG,$AG137)/SUMIF(符文权重!$A:$A,$C137,符文权重!$D:$D))),"")</f>
        <v>0.0626</v>
      </c>
      <c r="O137" s="39" cm="1">
        <f t="array" ref="O137">IFERROR(IF($A137="","",IF(I137="","",_xlfn.XLOOKUP($C137&amp;"_"&amp;$AG137,符文权重!$A:$A&amp;"_"&amp;符文权重!$C:$C,符文权重!$D:$D)*$X137/SUMIFS($X:$X,I:I,I137,$C:$C,$C137,$AG:$AG,$AG137)/SUMIF(符文权重!$A:$A,$C137,符文权重!$D:$D))),"")</f>
        <v>0.0626</v>
      </c>
      <c r="P137" s="39" cm="1">
        <f t="array" ref="P137">IFERROR(IF($A137="","",IF(J137="","",_xlfn.XLOOKUP($C137&amp;"_"&amp;$AG137,符文权重!$A:$A&amp;"_"&amp;符文权重!$C:$C,符文权重!$D:$D)*$X137/SUMIFS($X:$X,J:J,J137,$C:$C,$C137,$AG:$AG,$AG137)/SUMIF(符文权重!$A:$A,$C137,符文权重!$D:$D))),"")</f>
        <v>0.07825</v>
      </c>
      <c r="Q137" s="39" cm="1">
        <f t="array" ref="Q137">IFERROR(IF($A137="","",IF(K137="","",_xlfn.XLOOKUP($C137&amp;"_"&amp;$AG137,符文权重!$A:$A&amp;"_"&amp;符文权重!$C:$C,符文权重!$D:$D)*$X137/SUMIFS($X:$X,K:K,K137,$C:$C,$C137,$AG:$AG,$AG137)/SUMIF(符文权重!$A:$A,$C137,符文权重!$D:$D))),"")</f>
        <v>0.0626</v>
      </c>
      <c r="R137" s="26" t="s">
        <v>163</v>
      </c>
      <c r="S137" s="26"/>
      <c r="T137" s="26" t="e">
        <f>IF(B137="","",SUBSTITUTE(SUBSTITUTE("[{global_atk,"&amp;#REF!*C137&amp;"}]",21,20),9,8))</f>
        <v>#REF!</v>
      </c>
      <c r="U137" s="40" t="str">
        <f t="shared" si="67"/>
        <v>[5501174]</v>
      </c>
      <c r="V137" s="26" t="s">
        <v>313</v>
      </c>
      <c r="W137" s="25"/>
      <c r="X137" s="32">
        <v>100</v>
      </c>
      <c r="Y137" s="25"/>
      <c r="Z137" s="32" t="s">
        <v>174</v>
      </c>
      <c r="AA137" s="32" t="str">
        <f t="shared" si="46"/>
        <v>对肉盾怪物伤害+25%</v>
      </c>
      <c r="AB137" s="32"/>
      <c r="AC137" s="32" t="s">
        <v>166</v>
      </c>
      <c r="AD137" s="32">
        <f t="shared" si="73"/>
        <v>1132</v>
      </c>
      <c r="AE137" s="38" t="str">
        <f t="shared" si="68"/>
        <v>5501171</v>
      </c>
      <c r="AF137" s="32" t="str">
        <f t="shared" si="69"/>
        <v>[25]</v>
      </c>
      <c r="AG137" s="26">
        <v>2</v>
      </c>
      <c r="AH137" s="26"/>
      <c r="AI137" s="26">
        <v>0</v>
      </c>
      <c r="AJ137" s="25" t="s">
        <v>167</v>
      </c>
      <c r="AK137" s="38">
        <f t="shared" si="71"/>
        <v>5501174</v>
      </c>
      <c r="AL137" s="41" t="str">
        <f t="shared" si="72"/>
        <v>对肉盾怪物伤害&lt;color=#54b76b&gt;+%s%&lt;/color&gt;</v>
      </c>
      <c r="AM137" s="26">
        <v>25</v>
      </c>
      <c r="AN137" s="26">
        <v>2</v>
      </c>
      <c r="AO137" s="26" t="s">
        <v>25</v>
      </c>
      <c r="AP137" s="20">
        <f t="shared" si="74"/>
        <v>132</v>
      </c>
    </row>
    <row r="138" s="20" customFormat="1" customHeight="1" spans="1:42">
      <c r="A138" s="38">
        <v>5501175</v>
      </c>
      <c r="B138" s="38" t="str">
        <f t="shared" si="65"/>
        <v>5501171</v>
      </c>
      <c r="C138" s="32">
        <f t="shared" si="66"/>
        <v>5</v>
      </c>
      <c r="D138" s="32"/>
      <c r="E138" s="26" t="s">
        <v>162</v>
      </c>
      <c r="F138" s="26">
        <f t="shared" si="70"/>
        <v>1</v>
      </c>
      <c r="G138" s="26">
        <f>IFERROR(IF(--MID($E138,2*COUNTIF($F138:F138,"&gt;"&amp;0)+2,1)=G$1,G$1,""),"")</f>
        <v>2</v>
      </c>
      <c r="H138" s="26">
        <f>IFERROR(IF(--MID($E138,2*COUNTIF($F138:G138,"&gt;"&amp;0)+2,1)=H$1,H$1,""),"")</f>
        <v>3</v>
      </c>
      <c r="I138" s="26">
        <f>IFERROR(IF(--MID($E138,2*COUNTIF($F138:H138,"&gt;"&amp;0)+2,1)=I$1,I$1,""),"")</f>
        <v>4</v>
      </c>
      <c r="J138" s="26">
        <f>IFERROR(IF(--MID($E138,2*COUNTIF($F138:I138,"&gt;"&amp;0)+2,1)=J$1,J$1,""),"")</f>
        <v>5</v>
      </c>
      <c r="K138" s="26">
        <f>IFERROR(IF(--MID($E138,2*COUNTIF($F138:J138,"&gt;"&amp;0)+2,1)=K$1,K$1,""),"")</f>
        <v>6</v>
      </c>
      <c r="L138" s="39" cm="1">
        <f t="array" ref="L138">IFERROR(IF($A138="","",IF(F138="","",_xlfn.XLOOKUP($C138&amp;"_"&amp;$AG138,符文权重!$A:$A&amp;"_"&amp;符文权重!$C:$C,符文权重!$D:$D)*$X138/SUMIFS($X:$X,F:F,F138,$C:$C,$C138,$AG:$AG,$AG138)/SUMIF(符文权重!$A:$A,$C138,符文权重!$D:$D))),"")</f>
        <v>0.059</v>
      </c>
      <c r="M138" s="39" cm="1">
        <f t="array" ref="M138">IFERROR(IF($A138="","",IF(G138="","",_xlfn.XLOOKUP($C138&amp;"_"&amp;$AG138,符文权重!$A:$A&amp;"_"&amp;符文权重!$C:$C,符文权重!$D:$D)*$X138/SUMIFS($X:$X,G:G,G138,$C:$C,$C138,$AG:$AG,$AG138)/SUMIF(符文权重!$A:$A,$C138,符文权重!$D:$D))),"")</f>
        <v>0.07375</v>
      </c>
      <c r="N138" s="39" cm="1">
        <f t="array" ref="N138">IFERROR(IF($A138="","",IF(H138="","",_xlfn.XLOOKUP($C138&amp;"_"&amp;$AG138,符文权重!$A:$A&amp;"_"&amp;符文权重!$C:$C,符文权重!$D:$D)*$X138/SUMIFS($X:$X,H:H,H138,$C:$C,$C138,$AG:$AG,$AG138)/SUMIF(符文权重!$A:$A,$C138,符文权重!$D:$D))),"")</f>
        <v>0.059</v>
      </c>
      <c r="O138" s="39" cm="1">
        <f t="array" ref="O138">IFERROR(IF($A138="","",IF(I138="","",_xlfn.XLOOKUP($C138&amp;"_"&amp;$AG138,符文权重!$A:$A&amp;"_"&amp;符文权重!$C:$C,符文权重!$D:$D)*$X138/SUMIFS($X:$X,I:I,I138,$C:$C,$C138,$AG:$AG,$AG138)/SUMIF(符文权重!$A:$A,$C138,符文权重!$D:$D))),"")</f>
        <v>0.059</v>
      </c>
      <c r="P138" s="39" cm="1">
        <f t="array" ref="P138">IFERROR(IF($A138="","",IF(J138="","",_xlfn.XLOOKUP($C138&amp;"_"&amp;$AG138,符文权重!$A:$A&amp;"_"&amp;符文权重!$C:$C,符文权重!$D:$D)*$X138/SUMIFS($X:$X,J:J,J138,$C:$C,$C138,$AG:$AG,$AG138)/SUMIF(符文权重!$A:$A,$C138,符文权重!$D:$D))),"")</f>
        <v>0.07375</v>
      </c>
      <c r="Q138" s="39" cm="1">
        <f t="array" ref="Q138">IFERROR(IF($A138="","",IF(K138="","",_xlfn.XLOOKUP($C138&amp;"_"&amp;$AG138,符文权重!$A:$A&amp;"_"&amp;符文权重!$C:$C,符文权重!$D:$D)*$X138/SUMIFS($X:$X,K:K,K138,$C:$C,$C138,$AG:$AG,$AG138)/SUMIF(符文权重!$A:$A,$C138,符文权重!$D:$D))),"")</f>
        <v>0.059</v>
      </c>
      <c r="R138" s="26" t="s">
        <v>163</v>
      </c>
      <c r="S138" s="26"/>
      <c r="T138" s="26" t="e">
        <f>IF(B138="","",SUBSTITUTE(SUBSTITUTE("[{global_atk,"&amp;#REF!*C138&amp;"}]",21,20),9,8))</f>
        <v>#REF!</v>
      </c>
      <c r="U138" s="40" t="str">
        <f t="shared" si="67"/>
        <v>[5501175]</v>
      </c>
      <c r="V138" s="26" t="s">
        <v>314</v>
      </c>
      <c r="W138" s="25"/>
      <c r="X138" s="32">
        <v>100</v>
      </c>
      <c r="Y138" s="25"/>
      <c r="Z138" s="32" t="s">
        <v>176</v>
      </c>
      <c r="AA138" s="32" t="str">
        <f t="shared" si="46"/>
        <v>对肉盾怪物伤害+32%</v>
      </c>
      <c r="AB138" s="32"/>
      <c r="AC138" s="32" t="s">
        <v>166</v>
      </c>
      <c r="AD138" s="32">
        <f t="shared" si="73"/>
        <v>1133</v>
      </c>
      <c r="AE138" s="38" t="str">
        <f t="shared" si="68"/>
        <v>5501171</v>
      </c>
      <c r="AF138" s="32" t="str">
        <f t="shared" si="69"/>
        <v>[32]</v>
      </c>
      <c r="AG138" s="26">
        <v>2</v>
      </c>
      <c r="AH138" s="26"/>
      <c r="AI138" s="26">
        <v>0</v>
      </c>
      <c r="AJ138" s="25" t="s">
        <v>167</v>
      </c>
      <c r="AK138" s="38">
        <f t="shared" si="71"/>
        <v>5501175</v>
      </c>
      <c r="AL138" s="41" t="str">
        <f t="shared" si="72"/>
        <v>对肉盾怪物伤害&lt;color=#54b76b&gt;+%s%&lt;/color&gt;</v>
      </c>
      <c r="AM138" s="26">
        <v>32</v>
      </c>
      <c r="AN138" s="26">
        <v>2</v>
      </c>
      <c r="AO138" s="26" t="s">
        <v>25</v>
      </c>
      <c r="AP138" s="20">
        <f t="shared" si="74"/>
        <v>133</v>
      </c>
    </row>
    <row r="139" s="20" customFormat="1" customHeight="1" spans="1:42">
      <c r="A139" s="38">
        <v>5501176</v>
      </c>
      <c r="B139" s="38" t="str">
        <f t="shared" si="65"/>
        <v>5501171</v>
      </c>
      <c r="C139" s="32">
        <f t="shared" si="66"/>
        <v>6</v>
      </c>
      <c r="D139" s="32"/>
      <c r="E139" s="26" t="s">
        <v>162</v>
      </c>
      <c r="F139" s="26">
        <f t="shared" si="70"/>
        <v>1</v>
      </c>
      <c r="G139" s="26">
        <f>IFERROR(IF(--MID($E139,2*COUNTIF($F139:F139,"&gt;"&amp;0)+2,1)=G$1,G$1,""),"")</f>
        <v>2</v>
      </c>
      <c r="H139" s="26">
        <f>IFERROR(IF(--MID($E139,2*COUNTIF($F139:G139,"&gt;"&amp;0)+2,1)=H$1,H$1,""),"")</f>
        <v>3</v>
      </c>
      <c r="I139" s="26">
        <f>IFERROR(IF(--MID($E139,2*COUNTIF($F139:H139,"&gt;"&amp;0)+2,1)=I$1,I$1,""),"")</f>
        <v>4</v>
      </c>
      <c r="J139" s="26">
        <f>IFERROR(IF(--MID($E139,2*COUNTIF($F139:I139,"&gt;"&amp;0)+2,1)=J$1,J$1,""),"")</f>
        <v>5</v>
      </c>
      <c r="K139" s="26">
        <f>IFERROR(IF(--MID($E139,2*COUNTIF($F139:J139,"&gt;"&amp;0)+2,1)=K$1,K$1,""),"")</f>
        <v>6</v>
      </c>
      <c r="L139" s="39" cm="1">
        <f t="array" ref="L139">IFERROR(IF($A139="","",IF(F139="","",_xlfn.XLOOKUP($C139&amp;"_"&amp;$AG139,符文权重!$A:$A&amp;"_"&amp;符文权重!$C:$C,符文权重!$D:$D)*$X139/SUMIFS($X:$X,F:F,F139,$C:$C,$C139,$AG:$AG,$AG139)/SUMIF(符文权重!$A:$A,$C139,符文权重!$D:$D))),"")</f>
        <v>0.059</v>
      </c>
      <c r="M139" s="39" cm="1">
        <f t="array" ref="M139">IFERROR(IF($A139="","",IF(G139="","",_xlfn.XLOOKUP($C139&amp;"_"&amp;$AG139,符文权重!$A:$A&amp;"_"&amp;符文权重!$C:$C,符文权重!$D:$D)*$X139/SUMIFS($X:$X,G:G,G139,$C:$C,$C139,$AG:$AG,$AG139)/SUMIF(符文权重!$A:$A,$C139,符文权重!$D:$D))),"")</f>
        <v>0.07375</v>
      </c>
      <c r="N139" s="39" cm="1">
        <f t="array" ref="N139">IFERROR(IF($A139="","",IF(H139="","",_xlfn.XLOOKUP($C139&amp;"_"&amp;$AG139,符文权重!$A:$A&amp;"_"&amp;符文权重!$C:$C,符文权重!$D:$D)*$X139/SUMIFS($X:$X,H:H,H139,$C:$C,$C139,$AG:$AG,$AG139)/SUMIF(符文权重!$A:$A,$C139,符文权重!$D:$D))),"")</f>
        <v>0.059</v>
      </c>
      <c r="O139" s="39" cm="1">
        <f t="array" ref="O139">IFERROR(IF($A139="","",IF(I139="","",_xlfn.XLOOKUP($C139&amp;"_"&amp;$AG139,符文权重!$A:$A&amp;"_"&amp;符文权重!$C:$C,符文权重!$D:$D)*$X139/SUMIFS($X:$X,I:I,I139,$C:$C,$C139,$AG:$AG,$AG139)/SUMIF(符文权重!$A:$A,$C139,符文权重!$D:$D))),"")</f>
        <v>0.059</v>
      </c>
      <c r="P139" s="39" cm="1">
        <f t="array" ref="P139">IFERROR(IF($A139="","",IF(J139="","",_xlfn.XLOOKUP($C139&amp;"_"&amp;$AG139,符文权重!$A:$A&amp;"_"&amp;符文权重!$C:$C,符文权重!$D:$D)*$X139/SUMIFS($X:$X,J:J,J139,$C:$C,$C139,$AG:$AG,$AG139)/SUMIF(符文权重!$A:$A,$C139,符文权重!$D:$D))),"")</f>
        <v>0.07375</v>
      </c>
      <c r="Q139" s="39" cm="1">
        <f t="array" ref="Q139">IFERROR(IF($A139="","",IF(K139="","",_xlfn.XLOOKUP($C139&amp;"_"&amp;$AG139,符文权重!$A:$A&amp;"_"&amp;符文权重!$C:$C,符文权重!$D:$D)*$X139/SUMIFS($X:$X,K:K,K139,$C:$C,$C139,$AG:$AG,$AG139)/SUMIF(符文权重!$A:$A,$C139,符文权重!$D:$D))),"")</f>
        <v>0.059</v>
      </c>
      <c r="R139" s="26" t="s">
        <v>163</v>
      </c>
      <c r="S139" s="26"/>
      <c r="T139" s="26" t="e">
        <f>IF(B139="","",SUBSTITUTE(SUBSTITUTE("[{global_atk,"&amp;#REF!*C139&amp;"}]",21,20),9,8))</f>
        <v>#REF!</v>
      </c>
      <c r="U139" s="40" t="str">
        <f t="shared" si="67"/>
        <v>[5501176]</v>
      </c>
      <c r="V139" s="26" t="s">
        <v>315</v>
      </c>
      <c r="W139" s="25"/>
      <c r="X139" s="32">
        <v>100</v>
      </c>
      <c r="Y139" s="25"/>
      <c r="Z139" s="32" t="s">
        <v>178</v>
      </c>
      <c r="AA139" s="32" t="str">
        <f t="shared" si="46"/>
        <v>对肉盾怪物伤害+40%</v>
      </c>
      <c r="AB139" s="32"/>
      <c r="AC139" s="32" t="s">
        <v>166</v>
      </c>
      <c r="AD139" s="32">
        <f t="shared" si="73"/>
        <v>1134</v>
      </c>
      <c r="AE139" s="38" t="str">
        <f t="shared" si="68"/>
        <v>5501171</v>
      </c>
      <c r="AF139" s="32" t="str">
        <f t="shared" si="69"/>
        <v>[40]</v>
      </c>
      <c r="AG139" s="26">
        <v>2</v>
      </c>
      <c r="AH139" s="26"/>
      <c r="AI139" s="26">
        <v>0</v>
      </c>
      <c r="AJ139" s="25" t="s">
        <v>167</v>
      </c>
      <c r="AK139" s="38">
        <f t="shared" si="71"/>
        <v>5501176</v>
      </c>
      <c r="AL139" s="41" t="str">
        <f t="shared" si="72"/>
        <v>对肉盾怪物伤害&lt;color=#54b76b&gt;+%s%&lt;/color&gt;</v>
      </c>
      <c r="AM139" s="26">
        <v>40</v>
      </c>
      <c r="AN139" s="26">
        <v>2</v>
      </c>
      <c r="AO139" s="26" t="s">
        <v>25</v>
      </c>
      <c r="AP139" s="20">
        <f t="shared" si="74"/>
        <v>134</v>
      </c>
    </row>
    <row r="140" s="20" customFormat="1" customHeight="1" spans="1:42">
      <c r="A140" s="38">
        <v>5501177</v>
      </c>
      <c r="B140" s="38" t="str">
        <f t="shared" si="65"/>
        <v>5501171</v>
      </c>
      <c r="C140" s="32">
        <f t="shared" si="66"/>
        <v>7</v>
      </c>
      <c r="D140" s="32"/>
      <c r="E140" s="26" t="s">
        <v>162</v>
      </c>
      <c r="F140" s="26">
        <f t="shared" si="70"/>
        <v>1</v>
      </c>
      <c r="G140" s="26">
        <f>IFERROR(IF(--MID($E140,2*COUNTIF($F140:F140,"&gt;"&amp;0)+2,1)=G$1,G$1,""),"")</f>
        <v>2</v>
      </c>
      <c r="H140" s="26">
        <f>IFERROR(IF(--MID($E140,2*COUNTIF($F140:G140,"&gt;"&amp;0)+2,1)=H$1,H$1,""),"")</f>
        <v>3</v>
      </c>
      <c r="I140" s="26">
        <f>IFERROR(IF(--MID($E140,2*COUNTIF($F140:H140,"&gt;"&amp;0)+2,1)=I$1,I$1,""),"")</f>
        <v>4</v>
      </c>
      <c r="J140" s="26">
        <f>IFERROR(IF(--MID($E140,2*COUNTIF($F140:I140,"&gt;"&amp;0)+2,1)=J$1,J$1,""),"")</f>
        <v>5</v>
      </c>
      <c r="K140" s="26">
        <f>IFERROR(IF(--MID($E140,2*COUNTIF($F140:J140,"&gt;"&amp;0)+2,1)=K$1,K$1,""),"")</f>
        <v>6</v>
      </c>
      <c r="L140" s="39" cm="1">
        <f t="array" ref="L140">IFERROR(IF($A140="","",IF(F140="","",_xlfn.XLOOKUP($C140&amp;"_"&amp;$AG140,符文权重!$A:$A&amp;"_"&amp;符文权重!$C:$C,符文权重!$D:$D)*$X140/SUMIFS($X:$X,F:F,F140,$C:$C,$C140,$AG:$AG,$AG140)/SUMIF(符文权重!$A:$A,$C140,符文权重!$D:$D))),"")</f>
        <v>0.059</v>
      </c>
      <c r="M140" s="39" cm="1">
        <f t="array" ref="M140">IFERROR(IF($A140="","",IF(G140="","",_xlfn.XLOOKUP($C140&amp;"_"&amp;$AG140,符文权重!$A:$A&amp;"_"&amp;符文权重!$C:$C,符文权重!$D:$D)*$X140/SUMIFS($X:$X,G:G,G140,$C:$C,$C140,$AG:$AG,$AG140)/SUMIF(符文权重!$A:$A,$C140,符文权重!$D:$D))),"")</f>
        <v>0.07375</v>
      </c>
      <c r="N140" s="39" cm="1">
        <f t="array" ref="N140">IFERROR(IF($A140="","",IF(H140="","",_xlfn.XLOOKUP($C140&amp;"_"&amp;$AG140,符文权重!$A:$A&amp;"_"&amp;符文权重!$C:$C,符文权重!$D:$D)*$X140/SUMIFS($X:$X,H:H,H140,$C:$C,$C140,$AG:$AG,$AG140)/SUMIF(符文权重!$A:$A,$C140,符文权重!$D:$D))),"")</f>
        <v>0.059</v>
      </c>
      <c r="O140" s="39" cm="1">
        <f t="array" ref="O140">IFERROR(IF($A140="","",IF(I140="","",_xlfn.XLOOKUP($C140&amp;"_"&amp;$AG140,符文权重!$A:$A&amp;"_"&amp;符文权重!$C:$C,符文权重!$D:$D)*$X140/SUMIFS($X:$X,I:I,I140,$C:$C,$C140,$AG:$AG,$AG140)/SUMIF(符文权重!$A:$A,$C140,符文权重!$D:$D))),"")</f>
        <v>0.059</v>
      </c>
      <c r="P140" s="39" cm="1">
        <f t="array" ref="P140">IFERROR(IF($A140="","",IF(J140="","",_xlfn.XLOOKUP($C140&amp;"_"&amp;$AG140,符文权重!$A:$A&amp;"_"&amp;符文权重!$C:$C,符文权重!$D:$D)*$X140/SUMIFS($X:$X,J:J,J140,$C:$C,$C140,$AG:$AG,$AG140)/SUMIF(符文权重!$A:$A,$C140,符文权重!$D:$D))),"")</f>
        <v>0.07375</v>
      </c>
      <c r="Q140" s="39" cm="1">
        <f t="array" ref="Q140">IFERROR(IF($A140="","",IF(K140="","",_xlfn.XLOOKUP($C140&amp;"_"&amp;$AG140,符文权重!$A:$A&amp;"_"&amp;符文权重!$C:$C,符文权重!$D:$D)*$X140/SUMIFS($X:$X,K:K,K140,$C:$C,$C140,$AG:$AG,$AG140)/SUMIF(符文权重!$A:$A,$C140,符文权重!$D:$D))),"")</f>
        <v>0.059</v>
      </c>
      <c r="R140" s="26" t="s">
        <v>163</v>
      </c>
      <c r="S140" s="26"/>
      <c r="T140" s="26" t="e">
        <f>IF(B140="","",SUBSTITUTE(SUBSTITUTE("[{global_atk,"&amp;#REF!*C140&amp;"}]",21,20),9,8))</f>
        <v>#REF!</v>
      </c>
      <c r="U140" s="40" t="str">
        <f t="shared" si="67"/>
        <v>[5501177]</v>
      </c>
      <c r="V140" s="26" t="s">
        <v>316</v>
      </c>
      <c r="W140" s="25"/>
      <c r="X140" s="32">
        <v>100</v>
      </c>
      <c r="Y140" s="25"/>
      <c r="Z140" s="32" t="s">
        <v>180</v>
      </c>
      <c r="AA140" s="32" t="str">
        <f t="shared" si="46"/>
        <v>对肉盾怪物伤害+50%</v>
      </c>
      <c r="AB140" s="32"/>
      <c r="AC140" s="32" t="s">
        <v>166</v>
      </c>
      <c r="AD140" s="32">
        <f t="shared" si="73"/>
        <v>1135</v>
      </c>
      <c r="AE140" s="38" t="str">
        <f t="shared" si="68"/>
        <v>5501171</v>
      </c>
      <c r="AF140" s="32" t="str">
        <f t="shared" si="69"/>
        <v>[50]</v>
      </c>
      <c r="AG140" s="26">
        <v>2</v>
      </c>
      <c r="AH140" s="26"/>
      <c r="AI140" s="26">
        <v>0</v>
      </c>
      <c r="AJ140" s="25" t="s">
        <v>167</v>
      </c>
      <c r="AK140" s="38">
        <f t="shared" si="71"/>
        <v>5501177</v>
      </c>
      <c r="AL140" s="41" t="str">
        <f t="shared" si="72"/>
        <v>对肉盾怪物伤害&lt;color=#54b76b&gt;+%s%&lt;/color&gt;</v>
      </c>
      <c r="AM140" s="26">
        <v>50</v>
      </c>
      <c r="AN140" s="26">
        <v>2</v>
      </c>
      <c r="AO140" s="26" t="s">
        <v>25</v>
      </c>
      <c r="AP140" s="20">
        <f t="shared" si="74"/>
        <v>135</v>
      </c>
    </row>
    <row r="141" s="20" customFormat="1" customHeight="1" spans="1:42">
      <c r="A141" s="38"/>
      <c r="B141" s="38"/>
      <c r="C141" s="32"/>
      <c r="D141" s="32"/>
      <c r="E141" s="26"/>
      <c r="F141" s="26" t="str">
        <f t="shared" si="70"/>
        <v/>
      </c>
      <c r="G141" s="26" t="str">
        <f>IFERROR(IF(--MID($E141,2*COUNTIF($F141:F141,"&gt;"&amp;0)+2,1)=G$1,G$1,""),"")</f>
        <v/>
      </c>
      <c r="H141" s="26" t="str">
        <f>IFERROR(IF(--MID($E141,2*COUNTIF($F141:G141,"&gt;"&amp;0)+2,1)=H$1,H$1,""),"")</f>
        <v/>
      </c>
      <c r="I141" s="26" t="str">
        <f>IFERROR(IF(--MID($E141,2*COUNTIF($F141:H141,"&gt;"&amp;0)+2,1)=I$1,I$1,""),"")</f>
        <v/>
      </c>
      <c r="J141" s="26" t="str">
        <f>IFERROR(IF(--MID($E141,2*COUNTIF($F141:I141,"&gt;"&amp;0)+2,1)=J$1,J$1,""),"")</f>
        <v/>
      </c>
      <c r="K141" s="26" t="str">
        <f>IFERROR(IF(--MID($E141,2*COUNTIF($F141:J141,"&gt;"&amp;0)+2,1)=K$1,K$1,""),"")</f>
        <v/>
      </c>
      <c r="L141" s="39" t="str" cm="1">
        <f t="array" ref="L141">IFERROR(IF($A141="","",IF(F141="","",_xlfn.XLOOKUP($C141&amp;"_"&amp;$AG141,符文权重!$A:$A&amp;"_"&amp;符文权重!$C:$C,符文权重!$D:$D)*$X141/SUMIFS($X:$X,F:F,F141,$C:$C,$C141,$AG:$AG,$AG141)/SUMIF(符文权重!$A:$A,$C141,符文权重!$D:$D))),"")</f>
        <v/>
      </c>
      <c r="M141" s="39" t="str" cm="1">
        <f t="array" ref="M141">IFERROR(IF($A141="","",IF(G141="","",_xlfn.XLOOKUP($C141&amp;"_"&amp;$AG141,符文权重!$A:$A&amp;"_"&amp;符文权重!$C:$C,符文权重!$D:$D)*$X141/SUMIFS($X:$X,G:G,G141,$C:$C,$C141,$AG:$AG,$AG141)/SUMIF(符文权重!$A:$A,$C141,符文权重!$D:$D))),"")</f>
        <v/>
      </c>
      <c r="N141" s="39" t="str" cm="1">
        <f t="array" ref="N141">IFERROR(IF($A141="","",IF(H141="","",_xlfn.XLOOKUP($C141&amp;"_"&amp;$AG141,符文权重!$A:$A&amp;"_"&amp;符文权重!$C:$C,符文权重!$D:$D)*$X141/SUMIFS($X:$X,H:H,H141,$C:$C,$C141,$AG:$AG,$AG141)/SUMIF(符文权重!$A:$A,$C141,符文权重!$D:$D))),"")</f>
        <v/>
      </c>
      <c r="O141" s="39" t="str" cm="1">
        <f t="array" ref="O141">IFERROR(IF($A141="","",IF(I141="","",_xlfn.XLOOKUP($C141&amp;"_"&amp;$AG141,符文权重!$A:$A&amp;"_"&amp;符文权重!$C:$C,符文权重!$D:$D)*$X141/SUMIFS($X:$X,I:I,I141,$C:$C,$C141,$AG:$AG,$AG141)/SUMIF(符文权重!$A:$A,$C141,符文权重!$D:$D))),"")</f>
        <v/>
      </c>
      <c r="P141" s="39" t="str" cm="1">
        <f t="array" ref="P141">IFERROR(IF($A141="","",IF(J141="","",_xlfn.XLOOKUP($C141&amp;"_"&amp;$AG141,符文权重!$A:$A&amp;"_"&amp;符文权重!$C:$C,符文权重!$D:$D)*$X141/SUMIFS($X:$X,J:J,J141,$C:$C,$C141,$AG:$AG,$AG141)/SUMIF(符文权重!$A:$A,$C141,符文权重!$D:$D))),"")</f>
        <v/>
      </c>
      <c r="Q141" s="39" t="str" cm="1">
        <f t="array" ref="Q141">IFERROR(IF($A141="","",IF(K141="","",_xlfn.XLOOKUP($C141&amp;"_"&amp;$AG141,符文权重!$A:$A&amp;"_"&amp;符文权重!$C:$C,符文权重!$D:$D)*$X141/SUMIFS($X:$X,K:K,K141,$C:$C,$C141,$AG:$AG,$AG141)/SUMIF(符文权重!$A:$A,$C141,符文权重!$D:$D))),"")</f>
        <v/>
      </c>
      <c r="R141" s="26"/>
      <c r="S141" s="26"/>
      <c r="T141" s="26"/>
      <c r="U141" s="40"/>
      <c r="V141" s="26"/>
      <c r="W141" s="25"/>
      <c r="X141" s="32"/>
      <c r="Y141" s="25"/>
      <c r="Z141" s="32"/>
      <c r="AA141" s="32" t="str">
        <f t="shared" si="46"/>
        <v/>
      </c>
      <c r="AB141" s="32"/>
      <c r="AC141" s="32" t="s">
        <v>166</v>
      </c>
      <c r="AD141" s="32">
        <f t="shared" si="73"/>
        <v>1136</v>
      </c>
      <c r="AE141" s="38"/>
      <c r="AF141" s="32"/>
      <c r="AG141" s="26"/>
      <c r="AH141" s="26"/>
      <c r="AI141" s="26"/>
      <c r="AJ141" s="25" t="s">
        <v>167</v>
      </c>
      <c r="AK141" s="24"/>
      <c r="AL141" s="42"/>
      <c r="AM141" s="26"/>
      <c r="AN141" s="26"/>
      <c r="AO141" s="26"/>
      <c r="AP141" s="20">
        <f t="shared" si="74"/>
        <v>136</v>
      </c>
    </row>
    <row r="142" s="20" customFormat="1" customHeight="1" spans="1:42">
      <c r="A142" s="38">
        <v>5501181</v>
      </c>
      <c r="B142" s="38" t="str">
        <f t="shared" ref="B142:B205" si="75">IF(ISBLANK(AK142),"",LEFT(AK142,6)&amp;1)</f>
        <v>5501181</v>
      </c>
      <c r="C142" s="32">
        <f t="shared" ref="C142:C205" si="76">IF(ISBLANK(AK142),"",VALUE(RIGHT(A142,1)))</f>
        <v>1</v>
      </c>
      <c r="D142" s="32"/>
      <c r="E142" s="26" t="s">
        <v>162</v>
      </c>
      <c r="F142" s="26">
        <f t="shared" si="70"/>
        <v>1</v>
      </c>
      <c r="G142" s="26">
        <f>IFERROR(IF(--MID($E142,2*COUNTIF($F142:F142,"&gt;"&amp;0)+2,1)=G$1,G$1,""),"")</f>
        <v>2</v>
      </c>
      <c r="H142" s="26">
        <f>IFERROR(IF(--MID($E142,2*COUNTIF($F142:G142,"&gt;"&amp;0)+2,1)=H$1,H$1,""),"")</f>
        <v>3</v>
      </c>
      <c r="I142" s="26">
        <f>IFERROR(IF(--MID($E142,2*COUNTIF($F142:H142,"&gt;"&amp;0)+2,1)=I$1,I$1,""),"")</f>
        <v>4</v>
      </c>
      <c r="J142" s="26">
        <f>IFERROR(IF(--MID($E142,2*COUNTIF($F142:I142,"&gt;"&amp;0)+2,1)=J$1,J$1,""),"")</f>
        <v>5</v>
      </c>
      <c r="K142" s="26">
        <f>IFERROR(IF(--MID($E142,2*COUNTIF($F142:J142,"&gt;"&amp;0)+2,1)=K$1,K$1,""),"")</f>
        <v>6</v>
      </c>
      <c r="L142" s="39" cm="1">
        <f t="array" ref="L142">IFERROR(IF($A142="","",IF(F142="","",_xlfn.XLOOKUP($C142&amp;"_"&amp;$AG142,符文权重!$A:$A&amp;"_"&amp;符文权重!$C:$C,符文权重!$D:$D)*$X142/SUMIFS($X:$X,F:F,F142,$C:$C,$C142,$AG:$AG,$AG142)/SUMIF(符文权重!$A:$A,$C142,符文权重!$D:$D))),"")</f>
        <v>0.128571428571429</v>
      </c>
      <c r="M142" s="39" cm="1">
        <f t="array" ref="M142">IFERROR(IF($A142="","",IF(G142="","",_xlfn.XLOOKUP($C142&amp;"_"&amp;$AG142,符文权重!$A:$A&amp;"_"&amp;符文权重!$C:$C,符文权重!$D:$D)*$X142/SUMIFS($X:$X,G:G,G142,$C:$C,$C142,$AG:$AG,$AG142)/SUMIF(符文权重!$A:$A,$C142,符文权重!$D:$D))),"")</f>
        <v>0.15</v>
      </c>
      <c r="N142" s="39" cm="1">
        <f t="array" ref="N142">IFERROR(IF($A142="","",IF(H142="","",_xlfn.XLOOKUP($C142&amp;"_"&amp;$AG142,符文权重!$A:$A&amp;"_"&amp;符文权重!$C:$C,符文权重!$D:$D)*$X142/SUMIFS($X:$X,H:H,H142,$C:$C,$C142,$AG:$AG,$AG142)/SUMIF(符文权重!$A:$A,$C142,符文权重!$D:$D))),"")</f>
        <v>0.128571428571429</v>
      </c>
      <c r="O142" s="39" cm="1">
        <f t="array" ref="O142">IFERROR(IF($A142="","",IF(I142="","",_xlfn.XLOOKUP($C142&amp;"_"&amp;$AG142,符文权重!$A:$A&amp;"_"&amp;符文权重!$C:$C,符文权重!$D:$D)*$X142/SUMIFS($X:$X,I:I,I142,$C:$C,$C142,$AG:$AG,$AG142)/SUMIF(符文权重!$A:$A,$C142,符文权重!$D:$D))),"")</f>
        <v>0.15</v>
      </c>
      <c r="P142" s="39" cm="1">
        <f t="array" ref="P142">IFERROR(IF($A142="","",IF(J142="","",_xlfn.XLOOKUP($C142&amp;"_"&amp;$AG142,符文权重!$A:$A&amp;"_"&amp;符文权重!$C:$C,符文权重!$D:$D)*$X142/SUMIFS($X:$X,J:J,J142,$C:$C,$C142,$AG:$AG,$AG142)/SUMIF(符文权重!$A:$A,$C142,符文权重!$D:$D))),"")</f>
        <v>0.128571428571429</v>
      </c>
      <c r="Q142" s="39" cm="1">
        <f t="array" ref="Q142">IFERROR(IF($A142="","",IF(K142="","",_xlfn.XLOOKUP($C142&amp;"_"&amp;$AG142,符文权重!$A:$A&amp;"_"&amp;符文权重!$C:$C,符文权重!$D:$D)*$X142/SUMIFS($X:$X,K:K,K142,$C:$C,$C142,$AG:$AG,$AG142)/SUMIF(符文权重!$A:$A,$C142,符文权重!$D:$D))),"")</f>
        <v>0.15</v>
      </c>
      <c r="R142" s="26" t="s">
        <v>163</v>
      </c>
      <c r="S142" s="26"/>
      <c r="T142" s="26" t="e">
        <f>IF(B142="","",SUBSTITUTE(SUBSTITUTE("[{global_atk,"&amp;#REF!*C142&amp;"}]",21,20),9,8))</f>
        <v>#REF!</v>
      </c>
      <c r="U142" s="40" t="str">
        <f t="shared" ref="U142:U148" si="77">"["&amp;A142&amp;"]"</f>
        <v>[5501181]</v>
      </c>
      <c r="V142" s="26" t="s">
        <v>317</v>
      </c>
      <c r="W142" s="25"/>
      <c r="X142" s="32">
        <v>100</v>
      </c>
      <c r="Y142" s="25"/>
      <c r="Z142" s="32" t="s">
        <v>165</v>
      </c>
      <c r="AA142" s="32" t="str">
        <f t="shared" si="46"/>
        <v>对高速怪物伤害+10%</v>
      </c>
      <c r="AB142" s="32"/>
      <c r="AC142" s="32" t="s">
        <v>166</v>
      </c>
      <c r="AD142" s="32">
        <f t="shared" si="73"/>
        <v>1137</v>
      </c>
      <c r="AE142" s="38" t="str">
        <f t="shared" ref="AE142:AE205" si="78">IF(ISBLANK(AK142),"",B142)</f>
        <v>5501181</v>
      </c>
      <c r="AF142" s="32" t="str">
        <f t="shared" ref="AF142:AF205" si="79">IF(ISBLANK(AM142),"","["&amp;AM142&amp;"]")</f>
        <v>[10]</v>
      </c>
      <c r="AG142" s="26">
        <v>2</v>
      </c>
      <c r="AH142" s="26"/>
      <c r="AI142" s="26">
        <v>0</v>
      </c>
      <c r="AJ142" s="25" t="s">
        <v>167</v>
      </c>
      <c r="AK142" s="24">
        <v>5501181</v>
      </c>
      <c r="AL142" s="42" t="s">
        <v>318</v>
      </c>
      <c r="AM142" s="26">
        <v>10</v>
      </c>
      <c r="AN142" s="26">
        <v>2</v>
      </c>
      <c r="AO142" s="26" t="s">
        <v>25</v>
      </c>
      <c r="AP142" s="20">
        <f t="shared" si="74"/>
        <v>137</v>
      </c>
    </row>
    <row r="143" s="20" customFormat="1" customHeight="1" spans="1:42">
      <c r="A143" s="38">
        <v>5501182</v>
      </c>
      <c r="B143" s="38" t="str">
        <f t="shared" si="75"/>
        <v>5501181</v>
      </c>
      <c r="C143" s="32">
        <f t="shared" si="76"/>
        <v>2</v>
      </c>
      <c r="D143" s="32"/>
      <c r="E143" s="26" t="s">
        <v>162</v>
      </c>
      <c r="F143" s="26">
        <f t="shared" si="70"/>
        <v>1</v>
      </c>
      <c r="G143" s="26">
        <f>IFERROR(IF(--MID($E143,2*COUNTIF($F143:F143,"&gt;"&amp;0)+2,1)=G$1,G$1,""),"")</f>
        <v>2</v>
      </c>
      <c r="H143" s="26">
        <f>IFERROR(IF(--MID($E143,2*COUNTIF($F143:G143,"&gt;"&amp;0)+2,1)=H$1,H$1,""),"")</f>
        <v>3</v>
      </c>
      <c r="I143" s="26">
        <f>IFERROR(IF(--MID($E143,2*COUNTIF($F143:H143,"&gt;"&amp;0)+2,1)=I$1,I$1,""),"")</f>
        <v>4</v>
      </c>
      <c r="J143" s="26">
        <f>IFERROR(IF(--MID($E143,2*COUNTIF($F143:I143,"&gt;"&amp;0)+2,1)=J$1,J$1,""),"")</f>
        <v>5</v>
      </c>
      <c r="K143" s="26">
        <f>IFERROR(IF(--MID($E143,2*COUNTIF($F143:J143,"&gt;"&amp;0)+2,1)=K$1,K$1,""),"")</f>
        <v>6</v>
      </c>
      <c r="L143" s="39" cm="1">
        <f t="array" ref="L143">IFERROR(IF($A143="","",IF(F143="","",_xlfn.XLOOKUP($C143&amp;"_"&amp;$AG143,符文权重!$A:$A&amp;"_"&amp;符文权重!$C:$C,符文权重!$D:$D)*$X143/SUMIFS($X:$X,F:F,F143,$C:$C,$C143,$AG:$AG,$AG143)/SUMIF(符文权重!$A:$A,$C143,符文权重!$D:$D))),"")</f>
        <v>0.1</v>
      </c>
      <c r="M143" s="39" cm="1">
        <f t="array" ref="M143">IFERROR(IF($A143="","",IF(G143="","",_xlfn.XLOOKUP($C143&amp;"_"&amp;$AG143,符文权重!$A:$A&amp;"_"&amp;符文权重!$C:$C,符文权重!$D:$D)*$X143/SUMIFS($X:$X,G:G,G143,$C:$C,$C143,$AG:$AG,$AG143)/SUMIF(符文权重!$A:$A,$C143,符文权重!$D:$D))),"")</f>
        <v>0.11</v>
      </c>
      <c r="N143" s="39" cm="1">
        <f t="array" ref="N143">IFERROR(IF($A143="","",IF(H143="","",_xlfn.XLOOKUP($C143&amp;"_"&amp;$AG143,符文权重!$A:$A&amp;"_"&amp;符文权重!$C:$C,符文权重!$D:$D)*$X143/SUMIFS($X:$X,H:H,H143,$C:$C,$C143,$AG:$AG,$AG143)/SUMIF(符文权重!$A:$A,$C143,符文权重!$D:$D))),"")</f>
        <v>0.1</v>
      </c>
      <c r="O143" s="39" cm="1">
        <f t="array" ref="O143">IFERROR(IF($A143="","",IF(I143="","",_xlfn.XLOOKUP($C143&amp;"_"&amp;$AG143,符文权重!$A:$A&amp;"_"&amp;符文权重!$C:$C,符文权重!$D:$D)*$X143/SUMIFS($X:$X,I:I,I143,$C:$C,$C143,$AG:$AG,$AG143)/SUMIF(符文权重!$A:$A,$C143,符文权重!$D:$D))),"")</f>
        <v>0.11</v>
      </c>
      <c r="P143" s="39" cm="1">
        <f t="array" ref="P143">IFERROR(IF($A143="","",IF(J143="","",_xlfn.XLOOKUP($C143&amp;"_"&amp;$AG143,符文权重!$A:$A&amp;"_"&amp;符文权重!$C:$C,符文权重!$D:$D)*$X143/SUMIFS($X:$X,J:J,J143,$C:$C,$C143,$AG:$AG,$AG143)/SUMIF(符文权重!$A:$A,$C143,符文权重!$D:$D))),"")</f>
        <v>0.1</v>
      </c>
      <c r="Q143" s="39" cm="1">
        <f t="array" ref="Q143">IFERROR(IF($A143="","",IF(K143="","",_xlfn.XLOOKUP($C143&amp;"_"&amp;$AG143,符文权重!$A:$A&amp;"_"&amp;符文权重!$C:$C,符文权重!$D:$D)*$X143/SUMIFS($X:$X,K:K,K143,$C:$C,$C143,$AG:$AG,$AG143)/SUMIF(符文权重!$A:$A,$C143,符文权重!$D:$D))),"")</f>
        <v>0.11</v>
      </c>
      <c r="R143" s="26" t="s">
        <v>163</v>
      </c>
      <c r="S143" s="26"/>
      <c r="T143" s="26" t="e">
        <f>IF(B143="","",SUBSTITUTE(SUBSTITUTE("[{global_atk,"&amp;#REF!*C143&amp;"}]",21,20),9,8))</f>
        <v>#REF!</v>
      </c>
      <c r="U143" s="40" t="str">
        <f t="shared" si="77"/>
        <v>[5501182]</v>
      </c>
      <c r="V143" s="26" t="s">
        <v>319</v>
      </c>
      <c r="W143" s="25"/>
      <c r="X143" s="32">
        <v>100</v>
      </c>
      <c r="Y143" s="25"/>
      <c r="Z143" s="32" t="s">
        <v>170</v>
      </c>
      <c r="AA143" s="32" t="str">
        <f t="shared" si="46"/>
        <v>对高速怪物伤害+15%</v>
      </c>
      <c r="AB143" s="32"/>
      <c r="AC143" s="32" t="s">
        <v>166</v>
      </c>
      <c r="AD143" s="32">
        <f t="shared" si="73"/>
        <v>1138</v>
      </c>
      <c r="AE143" s="38" t="str">
        <f t="shared" si="78"/>
        <v>5501181</v>
      </c>
      <c r="AF143" s="32" t="str">
        <f t="shared" si="79"/>
        <v>[15]</v>
      </c>
      <c r="AG143" s="26">
        <v>2</v>
      </c>
      <c r="AH143" s="26"/>
      <c r="AI143" s="26">
        <v>0</v>
      </c>
      <c r="AJ143" s="25" t="s">
        <v>167</v>
      </c>
      <c r="AK143" s="38">
        <f t="shared" ref="AK143:AK148" si="80">AK142+1</f>
        <v>5501182</v>
      </c>
      <c r="AL143" s="41" t="str">
        <f t="shared" ref="AL143:AL148" si="81">AL142</f>
        <v>对高速怪物伤害&lt;color=#54b76b&gt;+%s%&lt;/color&gt;</v>
      </c>
      <c r="AM143" s="26">
        <v>15</v>
      </c>
      <c r="AN143" s="26">
        <v>2</v>
      </c>
      <c r="AO143" s="26" t="s">
        <v>25</v>
      </c>
      <c r="AP143" s="20">
        <f t="shared" si="74"/>
        <v>138</v>
      </c>
    </row>
    <row r="144" s="20" customFormat="1" customHeight="1" spans="1:42">
      <c r="A144" s="38">
        <v>5501183</v>
      </c>
      <c r="B144" s="38" t="str">
        <f t="shared" si="75"/>
        <v>5501181</v>
      </c>
      <c r="C144" s="32">
        <f t="shared" si="76"/>
        <v>3</v>
      </c>
      <c r="D144" s="32"/>
      <c r="E144" s="26" t="s">
        <v>162</v>
      </c>
      <c r="F144" s="26">
        <f t="shared" si="70"/>
        <v>1</v>
      </c>
      <c r="G144" s="26">
        <f>IFERROR(IF(--MID($E144,2*COUNTIF($F144:F144,"&gt;"&amp;0)+2,1)=G$1,G$1,""),"")</f>
        <v>2</v>
      </c>
      <c r="H144" s="26">
        <f>IFERROR(IF(--MID($E144,2*COUNTIF($F144:G144,"&gt;"&amp;0)+2,1)=H$1,H$1,""),"")</f>
        <v>3</v>
      </c>
      <c r="I144" s="26">
        <f>IFERROR(IF(--MID($E144,2*COUNTIF($F144:H144,"&gt;"&amp;0)+2,1)=I$1,I$1,""),"")</f>
        <v>4</v>
      </c>
      <c r="J144" s="26">
        <f>IFERROR(IF(--MID($E144,2*COUNTIF($F144:I144,"&gt;"&amp;0)+2,1)=J$1,J$1,""),"")</f>
        <v>5</v>
      </c>
      <c r="K144" s="26">
        <f>IFERROR(IF(--MID($E144,2*COUNTIF($F144:J144,"&gt;"&amp;0)+2,1)=K$1,K$1,""),"")</f>
        <v>6</v>
      </c>
      <c r="L144" s="39" cm="1">
        <f t="array" ref="L144">IFERROR(IF($A144="","",IF(F144="","",_xlfn.XLOOKUP($C144&amp;"_"&amp;$AG144,符文权重!$A:$A&amp;"_"&amp;符文权重!$C:$C,符文权重!$D:$D)*$X144/SUMIFS($X:$X,F:F,F144,$C:$C,$C144,$AG:$AG,$AG144)/SUMIF(符文权重!$A:$A,$C144,符文权重!$D:$D))),"")</f>
        <v>0.0909961685823755</v>
      </c>
      <c r="M144" s="39" cm="1">
        <f t="array" ref="M144">IFERROR(IF($A144="","",IF(G144="","",_xlfn.XLOOKUP($C144&amp;"_"&amp;$AG144,符文权重!$A:$A&amp;"_"&amp;符文权重!$C:$C,符文权重!$D:$D)*$X144/SUMIFS($X:$X,G:G,G144,$C:$C,$C144,$AG:$AG,$AG144)/SUMIF(符文权重!$A:$A,$C144,符文权重!$D:$D))),"")</f>
        <v>0.112559241706161</v>
      </c>
      <c r="N144" s="39" cm="1">
        <f t="array" ref="N144">IFERROR(IF($A144="","",IF(H144="","",_xlfn.XLOOKUP($C144&amp;"_"&amp;$AG144,符文权重!$A:$A&amp;"_"&amp;符文权重!$C:$C,符文权重!$D:$D)*$X144/SUMIFS($X:$X,H:H,H144,$C:$C,$C144,$AG:$AG,$AG144)/SUMIF(符文权重!$A:$A,$C144,符文权重!$D:$D))),"")</f>
        <v>0.0929549902152642</v>
      </c>
      <c r="O144" s="39" cm="1">
        <f t="array" ref="O144">IFERROR(IF($A144="","",IF(I144="","",_xlfn.XLOOKUP($C144&amp;"_"&amp;$AG144,符文权重!$A:$A&amp;"_"&amp;符文权重!$C:$C,符文权重!$D:$D)*$X144/SUMIFS($X:$X,I:I,I144,$C:$C,$C144,$AG:$AG,$AG144)/SUMIF(符文权重!$A:$A,$C144,符文权重!$D:$D))),"")</f>
        <v>0.0909961685823755</v>
      </c>
      <c r="P144" s="39" cm="1">
        <f t="array" ref="P144">IFERROR(IF($A144="","",IF(J144="","",_xlfn.XLOOKUP($C144&amp;"_"&amp;$AG144,符文权重!$A:$A&amp;"_"&amp;符文权重!$C:$C,符文权重!$D:$D)*$X144/SUMIFS($X:$X,J:J,J144,$C:$C,$C144,$AG:$AG,$AG144)/SUMIF(符文权重!$A:$A,$C144,符文权重!$D:$D))),"")</f>
        <v>0.115571776155718</v>
      </c>
      <c r="Q144" s="39" cm="1">
        <f t="array" ref="Q144">IFERROR(IF($A144="","",IF(K144="","",_xlfn.XLOOKUP($C144&amp;"_"&amp;$AG144,符文权重!$A:$A&amp;"_"&amp;符文权重!$C:$C,符文权重!$D:$D)*$X144/SUMIFS($X:$X,K:K,K144,$C:$C,$C144,$AG:$AG,$AG144)/SUMIF(符文权重!$A:$A,$C144,符文权重!$D:$D))),"")</f>
        <v>0.0909961685823755</v>
      </c>
      <c r="R144" s="26" t="s">
        <v>163</v>
      </c>
      <c r="S144" s="26"/>
      <c r="T144" s="26" t="e">
        <f>IF(B144="","",SUBSTITUTE(SUBSTITUTE("[{global_atk,"&amp;#REF!*C144&amp;"}]",21,20),9,8))</f>
        <v>#REF!</v>
      </c>
      <c r="U144" s="40" t="str">
        <f t="shared" si="77"/>
        <v>[5501183]</v>
      </c>
      <c r="V144" s="26" t="s">
        <v>320</v>
      </c>
      <c r="W144" s="25"/>
      <c r="X144" s="32">
        <v>100</v>
      </c>
      <c r="Y144" s="25"/>
      <c r="Z144" s="32" t="s">
        <v>172</v>
      </c>
      <c r="AA144" s="32" t="str">
        <f t="shared" si="46"/>
        <v>对高速怪物伤害+20%</v>
      </c>
      <c r="AB144" s="32"/>
      <c r="AC144" s="32" t="s">
        <v>166</v>
      </c>
      <c r="AD144" s="32">
        <f t="shared" si="73"/>
        <v>1139</v>
      </c>
      <c r="AE144" s="38" t="str">
        <f t="shared" si="78"/>
        <v>5501181</v>
      </c>
      <c r="AF144" s="32" t="str">
        <f t="shared" si="79"/>
        <v>[20]</v>
      </c>
      <c r="AG144" s="26">
        <v>2</v>
      </c>
      <c r="AH144" s="26"/>
      <c r="AI144" s="26">
        <v>0</v>
      </c>
      <c r="AJ144" s="25" t="s">
        <v>167</v>
      </c>
      <c r="AK144" s="38">
        <f t="shared" si="80"/>
        <v>5501183</v>
      </c>
      <c r="AL144" s="41" t="str">
        <f t="shared" si="81"/>
        <v>对高速怪物伤害&lt;color=#54b76b&gt;+%s%&lt;/color&gt;</v>
      </c>
      <c r="AM144" s="26">
        <v>20</v>
      </c>
      <c r="AN144" s="26">
        <v>2</v>
      </c>
      <c r="AO144" s="26" t="s">
        <v>25</v>
      </c>
      <c r="AP144" s="20">
        <f t="shared" si="74"/>
        <v>139</v>
      </c>
    </row>
    <row r="145" s="20" customFormat="1" customHeight="1" spans="1:48">
      <c r="A145" s="38">
        <v>5501184</v>
      </c>
      <c r="B145" s="38" t="str">
        <f t="shared" si="75"/>
        <v>5501181</v>
      </c>
      <c r="C145" s="32">
        <f t="shared" si="76"/>
        <v>4</v>
      </c>
      <c r="D145" s="32"/>
      <c r="E145" s="26" t="s">
        <v>162</v>
      </c>
      <c r="F145" s="26">
        <f t="shared" si="70"/>
        <v>1</v>
      </c>
      <c r="G145" s="26">
        <f>IFERROR(IF(--MID($E145,2*COUNTIF($F145:F145,"&gt;"&amp;0)+2,1)=G$1,G$1,""),"")</f>
        <v>2</v>
      </c>
      <c r="H145" s="26">
        <f>IFERROR(IF(--MID($E145,2*COUNTIF($F145:G145,"&gt;"&amp;0)+2,1)=H$1,H$1,""),"")</f>
        <v>3</v>
      </c>
      <c r="I145" s="26">
        <f>IFERROR(IF(--MID($E145,2*COUNTIF($F145:H145,"&gt;"&amp;0)+2,1)=I$1,I$1,""),"")</f>
        <v>4</v>
      </c>
      <c r="J145" s="26">
        <f>IFERROR(IF(--MID($E145,2*COUNTIF($F145:I145,"&gt;"&amp;0)+2,1)=J$1,J$1,""),"")</f>
        <v>5</v>
      </c>
      <c r="K145" s="26">
        <f>IFERROR(IF(--MID($E145,2*COUNTIF($F145:J145,"&gt;"&amp;0)+2,1)=K$1,K$1,""),"")</f>
        <v>6</v>
      </c>
      <c r="L145" s="39" cm="1">
        <f t="array" ref="L145">IFERROR(IF($A145="","",IF(F145="","",_xlfn.XLOOKUP($C145&amp;"_"&amp;$AG145,符文权重!$A:$A&amp;"_"&amp;符文权重!$C:$C,符文权重!$D:$D)*$X145/SUMIFS($X:$X,F:F,F145,$C:$C,$C145,$AG:$AG,$AG145)/SUMIF(符文权重!$A:$A,$C145,符文权重!$D:$D))),"")</f>
        <v>0.0626</v>
      </c>
      <c r="M145" s="39" cm="1">
        <f t="array" ref="M145">IFERROR(IF($A145="","",IF(G145="","",_xlfn.XLOOKUP($C145&amp;"_"&amp;$AG145,符文权重!$A:$A&amp;"_"&amp;符文权重!$C:$C,符文权重!$D:$D)*$X145/SUMIFS($X:$X,G:G,G145,$C:$C,$C145,$AG:$AG,$AG145)/SUMIF(符文权重!$A:$A,$C145,符文权重!$D:$D))),"")</f>
        <v>0.07825</v>
      </c>
      <c r="N145" s="39" cm="1">
        <f t="array" ref="N145">IFERROR(IF($A145="","",IF(H145="","",_xlfn.XLOOKUP($C145&amp;"_"&amp;$AG145,符文权重!$A:$A&amp;"_"&amp;符文权重!$C:$C,符文权重!$D:$D)*$X145/SUMIFS($X:$X,H:H,H145,$C:$C,$C145,$AG:$AG,$AG145)/SUMIF(符文权重!$A:$A,$C145,符文权重!$D:$D))),"")</f>
        <v>0.0626</v>
      </c>
      <c r="O145" s="39" cm="1">
        <f t="array" ref="O145">IFERROR(IF($A145="","",IF(I145="","",_xlfn.XLOOKUP($C145&amp;"_"&amp;$AG145,符文权重!$A:$A&amp;"_"&amp;符文权重!$C:$C,符文权重!$D:$D)*$X145/SUMIFS($X:$X,I:I,I145,$C:$C,$C145,$AG:$AG,$AG145)/SUMIF(符文权重!$A:$A,$C145,符文权重!$D:$D))),"")</f>
        <v>0.0626</v>
      </c>
      <c r="P145" s="39" cm="1">
        <f t="array" ref="P145">IFERROR(IF($A145="","",IF(J145="","",_xlfn.XLOOKUP($C145&amp;"_"&amp;$AG145,符文权重!$A:$A&amp;"_"&amp;符文权重!$C:$C,符文权重!$D:$D)*$X145/SUMIFS($X:$X,J:J,J145,$C:$C,$C145,$AG:$AG,$AG145)/SUMIF(符文权重!$A:$A,$C145,符文权重!$D:$D))),"")</f>
        <v>0.07825</v>
      </c>
      <c r="Q145" s="39" cm="1">
        <f t="array" ref="Q145">IFERROR(IF($A145="","",IF(K145="","",_xlfn.XLOOKUP($C145&amp;"_"&amp;$AG145,符文权重!$A:$A&amp;"_"&amp;符文权重!$C:$C,符文权重!$D:$D)*$X145/SUMIFS($X:$X,K:K,K145,$C:$C,$C145,$AG:$AG,$AG145)/SUMIF(符文权重!$A:$A,$C145,符文权重!$D:$D))),"")</f>
        <v>0.0626</v>
      </c>
      <c r="R145" s="26" t="s">
        <v>163</v>
      </c>
      <c r="S145" s="26"/>
      <c r="T145" s="26" t="e">
        <f>IF(B145="","",SUBSTITUTE(SUBSTITUTE("[{global_atk,"&amp;#REF!*C145&amp;"}]",21,20),9,8))</f>
        <v>#REF!</v>
      </c>
      <c r="U145" s="40" t="str">
        <f t="shared" si="77"/>
        <v>[5501184]</v>
      </c>
      <c r="V145" s="26" t="s">
        <v>321</v>
      </c>
      <c r="W145" s="25"/>
      <c r="X145" s="32">
        <v>100</v>
      </c>
      <c r="Y145" s="25"/>
      <c r="Z145" s="32" t="s">
        <v>174</v>
      </c>
      <c r="AA145" s="32" t="str">
        <f t="shared" si="46"/>
        <v>对高速怪物伤害+25%</v>
      </c>
      <c r="AB145" s="32"/>
      <c r="AC145" s="32" t="s">
        <v>166</v>
      </c>
      <c r="AD145" s="32">
        <f t="shared" si="73"/>
        <v>1140</v>
      </c>
      <c r="AE145" s="38" t="str">
        <f t="shared" si="78"/>
        <v>5501181</v>
      </c>
      <c r="AF145" s="32" t="str">
        <f t="shared" si="79"/>
        <v>[25]</v>
      </c>
      <c r="AG145" s="26">
        <v>2</v>
      </c>
      <c r="AH145" s="26"/>
      <c r="AI145" s="26">
        <v>0</v>
      </c>
      <c r="AJ145" s="25" t="s">
        <v>167</v>
      </c>
      <c r="AK145" s="38">
        <f t="shared" si="80"/>
        <v>5501184</v>
      </c>
      <c r="AL145" s="41" t="str">
        <f t="shared" si="81"/>
        <v>对高速怪物伤害&lt;color=#54b76b&gt;+%s%&lt;/color&gt;</v>
      </c>
      <c r="AM145" s="26">
        <v>25</v>
      </c>
      <c r="AN145" s="26">
        <v>2</v>
      </c>
      <c r="AO145" s="26" t="s">
        <v>25</v>
      </c>
      <c r="AP145" s="20">
        <f t="shared" si="74"/>
        <v>140</v>
      </c>
    </row>
    <row r="146" s="20" customFormat="1" customHeight="1" spans="1:48">
      <c r="A146" s="38">
        <v>5501185</v>
      </c>
      <c r="B146" s="38" t="str">
        <f t="shared" si="75"/>
        <v>5501181</v>
      </c>
      <c r="C146" s="32">
        <f t="shared" si="76"/>
        <v>5</v>
      </c>
      <c r="D146" s="32"/>
      <c r="E146" s="26" t="s">
        <v>162</v>
      </c>
      <c r="F146" s="26">
        <f t="shared" si="70"/>
        <v>1</v>
      </c>
      <c r="G146" s="26">
        <f>IFERROR(IF(--MID($E146,2*COUNTIF($F146:F146,"&gt;"&amp;0)+2,1)=G$1,G$1,""),"")</f>
        <v>2</v>
      </c>
      <c r="H146" s="26">
        <f>IFERROR(IF(--MID($E146,2*COUNTIF($F146:G146,"&gt;"&amp;0)+2,1)=H$1,H$1,""),"")</f>
        <v>3</v>
      </c>
      <c r="I146" s="26">
        <f>IFERROR(IF(--MID($E146,2*COUNTIF($F146:H146,"&gt;"&amp;0)+2,1)=I$1,I$1,""),"")</f>
        <v>4</v>
      </c>
      <c r="J146" s="26">
        <f>IFERROR(IF(--MID($E146,2*COUNTIF($F146:I146,"&gt;"&amp;0)+2,1)=J$1,J$1,""),"")</f>
        <v>5</v>
      </c>
      <c r="K146" s="26">
        <f>IFERROR(IF(--MID($E146,2*COUNTIF($F146:J146,"&gt;"&amp;0)+2,1)=K$1,K$1,""),"")</f>
        <v>6</v>
      </c>
      <c r="L146" s="39" cm="1">
        <f t="array" ref="L146">IFERROR(IF($A146="","",IF(F146="","",_xlfn.XLOOKUP($C146&amp;"_"&amp;$AG146,符文权重!$A:$A&amp;"_"&amp;符文权重!$C:$C,符文权重!$D:$D)*$X146/SUMIFS($X:$X,F:F,F146,$C:$C,$C146,$AG:$AG,$AG146)/SUMIF(符文权重!$A:$A,$C146,符文权重!$D:$D))),"")</f>
        <v>0.059</v>
      </c>
      <c r="M146" s="39" cm="1">
        <f t="array" ref="M146">IFERROR(IF($A146="","",IF(G146="","",_xlfn.XLOOKUP($C146&amp;"_"&amp;$AG146,符文权重!$A:$A&amp;"_"&amp;符文权重!$C:$C,符文权重!$D:$D)*$X146/SUMIFS($X:$X,G:G,G146,$C:$C,$C146,$AG:$AG,$AG146)/SUMIF(符文权重!$A:$A,$C146,符文权重!$D:$D))),"")</f>
        <v>0.07375</v>
      </c>
      <c r="N146" s="39" cm="1">
        <f t="array" ref="N146">IFERROR(IF($A146="","",IF(H146="","",_xlfn.XLOOKUP($C146&amp;"_"&amp;$AG146,符文权重!$A:$A&amp;"_"&amp;符文权重!$C:$C,符文权重!$D:$D)*$X146/SUMIFS($X:$X,H:H,H146,$C:$C,$C146,$AG:$AG,$AG146)/SUMIF(符文权重!$A:$A,$C146,符文权重!$D:$D))),"")</f>
        <v>0.059</v>
      </c>
      <c r="O146" s="39" cm="1">
        <f t="array" ref="O146">IFERROR(IF($A146="","",IF(I146="","",_xlfn.XLOOKUP($C146&amp;"_"&amp;$AG146,符文权重!$A:$A&amp;"_"&amp;符文权重!$C:$C,符文权重!$D:$D)*$X146/SUMIFS($X:$X,I:I,I146,$C:$C,$C146,$AG:$AG,$AG146)/SUMIF(符文权重!$A:$A,$C146,符文权重!$D:$D))),"")</f>
        <v>0.059</v>
      </c>
      <c r="P146" s="39" cm="1">
        <f t="array" ref="P146">IFERROR(IF($A146="","",IF(J146="","",_xlfn.XLOOKUP($C146&amp;"_"&amp;$AG146,符文权重!$A:$A&amp;"_"&amp;符文权重!$C:$C,符文权重!$D:$D)*$X146/SUMIFS($X:$X,J:J,J146,$C:$C,$C146,$AG:$AG,$AG146)/SUMIF(符文权重!$A:$A,$C146,符文权重!$D:$D))),"")</f>
        <v>0.07375</v>
      </c>
      <c r="Q146" s="39" cm="1">
        <f t="array" ref="Q146">IFERROR(IF($A146="","",IF(K146="","",_xlfn.XLOOKUP($C146&amp;"_"&amp;$AG146,符文权重!$A:$A&amp;"_"&amp;符文权重!$C:$C,符文权重!$D:$D)*$X146/SUMIFS($X:$X,K:K,K146,$C:$C,$C146,$AG:$AG,$AG146)/SUMIF(符文权重!$A:$A,$C146,符文权重!$D:$D))),"")</f>
        <v>0.059</v>
      </c>
      <c r="R146" s="26" t="s">
        <v>163</v>
      </c>
      <c r="S146" s="26"/>
      <c r="T146" s="26" t="e">
        <f>IF(B146="","",SUBSTITUTE(SUBSTITUTE("[{global_atk,"&amp;#REF!*C146&amp;"}]",21,20),9,8))</f>
        <v>#REF!</v>
      </c>
      <c r="U146" s="40" t="str">
        <f t="shared" si="77"/>
        <v>[5501185]</v>
      </c>
      <c r="V146" s="26" t="s">
        <v>322</v>
      </c>
      <c r="W146" s="25"/>
      <c r="X146" s="32">
        <v>100</v>
      </c>
      <c r="Y146" s="25"/>
      <c r="Z146" s="32" t="s">
        <v>176</v>
      </c>
      <c r="AA146" s="32" t="str">
        <f t="shared" ref="AA146:AA209" si="82">SUBSTITUTE(SUBSTITUTE(SUBSTITUTE(SUBSTITUTE(AL146,"%s",AM146),"&lt;color=#54b76b&gt;",""),"&lt;/color&gt; ",""),"&lt;/color&gt;","")</f>
        <v>对高速怪物伤害+32%</v>
      </c>
      <c r="AB146" s="32"/>
      <c r="AC146" s="32" t="s">
        <v>166</v>
      </c>
      <c r="AD146" s="32">
        <f t="shared" si="73"/>
        <v>1141</v>
      </c>
      <c r="AE146" s="38" t="str">
        <f t="shared" si="78"/>
        <v>5501181</v>
      </c>
      <c r="AF146" s="32" t="str">
        <f t="shared" si="79"/>
        <v>[32]</v>
      </c>
      <c r="AG146" s="26">
        <v>2</v>
      </c>
      <c r="AH146" s="26"/>
      <c r="AI146" s="26">
        <v>0</v>
      </c>
      <c r="AJ146" s="25" t="s">
        <v>167</v>
      </c>
      <c r="AK146" s="38">
        <f t="shared" si="80"/>
        <v>5501185</v>
      </c>
      <c r="AL146" s="41" t="str">
        <f t="shared" si="81"/>
        <v>对高速怪物伤害&lt;color=#54b76b&gt;+%s%&lt;/color&gt;</v>
      </c>
      <c r="AM146" s="26">
        <v>32</v>
      </c>
      <c r="AN146" s="26">
        <v>2</v>
      </c>
      <c r="AO146" s="26" t="s">
        <v>25</v>
      </c>
      <c r="AP146" s="20">
        <f t="shared" si="74"/>
        <v>141</v>
      </c>
    </row>
    <row r="147" s="20" customFormat="1" customHeight="1" spans="1:48">
      <c r="A147" s="38">
        <v>5501186</v>
      </c>
      <c r="B147" s="38" t="str">
        <f t="shared" si="75"/>
        <v>5501181</v>
      </c>
      <c r="C147" s="32">
        <f t="shared" si="76"/>
        <v>6</v>
      </c>
      <c r="D147" s="32"/>
      <c r="E147" s="26" t="s">
        <v>162</v>
      </c>
      <c r="F147" s="26">
        <f t="shared" si="70"/>
        <v>1</v>
      </c>
      <c r="G147" s="26">
        <f>IFERROR(IF(--MID($E147,2*COUNTIF($F147:F147,"&gt;"&amp;0)+2,1)=G$1,G$1,""),"")</f>
        <v>2</v>
      </c>
      <c r="H147" s="26">
        <f>IFERROR(IF(--MID($E147,2*COUNTIF($F147:G147,"&gt;"&amp;0)+2,1)=H$1,H$1,""),"")</f>
        <v>3</v>
      </c>
      <c r="I147" s="26">
        <f>IFERROR(IF(--MID($E147,2*COUNTIF($F147:H147,"&gt;"&amp;0)+2,1)=I$1,I$1,""),"")</f>
        <v>4</v>
      </c>
      <c r="J147" s="26">
        <f>IFERROR(IF(--MID($E147,2*COUNTIF($F147:I147,"&gt;"&amp;0)+2,1)=J$1,J$1,""),"")</f>
        <v>5</v>
      </c>
      <c r="K147" s="26">
        <f>IFERROR(IF(--MID($E147,2*COUNTIF($F147:J147,"&gt;"&amp;0)+2,1)=K$1,K$1,""),"")</f>
        <v>6</v>
      </c>
      <c r="L147" s="39" cm="1">
        <f t="array" ref="L147">IFERROR(IF($A147="","",IF(F147="","",_xlfn.XLOOKUP($C147&amp;"_"&amp;$AG147,符文权重!$A:$A&amp;"_"&amp;符文权重!$C:$C,符文权重!$D:$D)*$X147/SUMIFS($X:$X,F:F,F147,$C:$C,$C147,$AG:$AG,$AG147)/SUMIF(符文权重!$A:$A,$C147,符文权重!$D:$D))),"")</f>
        <v>0.059</v>
      </c>
      <c r="M147" s="39" cm="1">
        <f t="array" ref="M147">IFERROR(IF($A147="","",IF(G147="","",_xlfn.XLOOKUP($C147&amp;"_"&amp;$AG147,符文权重!$A:$A&amp;"_"&amp;符文权重!$C:$C,符文权重!$D:$D)*$X147/SUMIFS($X:$X,G:G,G147,$C:$C,$C147,$AG:$AG,$AG147)/SUMIF(符文权重!$A:$A,$C147,符文权重!$D:$D))),"")</f>
        <v>0.07375</v>
      </c>
      <c r="N147" s="39" cm="1">
        <f t="array" ref="N147">IFERROR(IF($A147="","",IF(H147="","",_xlfn.XLOOKUP($C147&amp;"_"&amp;$AG147,符文权重!$A:$A&amp;"_"&amp;符文权重!$C:$C,符文权重!$D:$D)*$X147/SUMIFS($X:$X,H:H,H147,$C:$C,$C147,$AG:$AG,$AG147)/SUMIF(符文权重!$A:$A,$C147,符文权重!$D:$D))),"")</f>
        <v>0.059</v>
      </c>
      <c r="O147" s="39" cm="1">
        <f t="array" ref="O147">IFERROR(IF($A147="","",IF(I147="","",_xlfn.XLOOKUP($C147&amp;"_"&amp;$AG147,符文权重!$A:$A&amp;"_"&amp;符文权重!$C:$C,符文权重!$D:$D)*$X147/SUMIFS($X:$X,I:I,I147,$C:$C,$C147,$AG:$AG,$AG147)/SUMIF(符文权重!$A:$A,$C147,符文权重!$D:$D))),"")</f>
        <v>0.059</v>
      </c>
      <c r="P147" s="39" cm="1">
        <f t="array" ref="P147">IFERROR(IF($A147="","",IF(J147="","",_xlfn.XLOOKUP($C147&amp;"_"&amp;$AG147,符文权重!$A:$A&amp;"_"&amp;符文权重!$C:$C,符文权重!$D:$D)*$X147/SUMIFS($X:$X,J:J,J147,$C:$C,$C147,$AG:$AG,$AG147)/SUMIF(符文权重!$A:$A,$C147,符文权重!$D:$D))),"")</f>
        <v>0.07375</v>
      </c>
      <c r="Q147" s="39" cm="1">
        <f t="array" ref="Q147">IFERROR(IF($A147="","",IF(K147="","",_xlfn.XLOOKUP($C147&amp;"_"&amp;$AG147,符文权重!$A:$A&amp;"_"&amp;符文权重!$C:$C,符文权重!$D:$D)*$X147/SUMIFS($X:$X,K:K,K147,$C:$C,$C147,$AG:$AG,$AG147)/SUMIF(符文权重!$A:$A,$C147,符文权重!$D:$D))),"")</f>
        <v>0.059</v>
      </c>
      <c r="R147" s="26" t="s">
        <v>163</v>
      </c>
      <c r="S147" s="26"/>
      <c r="T147" s="26" t="e">
        <f>IF(B147="","",SUBSTITUTE(SUBSTITUTE("[{global_atk,"&amp;#REF!*C147&amp;"}]",21,20),9,8))</f>
        <v>#REF!</v>
      </c>
      <c r="U147" s="40" t="str">
        <f t="shared" si="77"/>
        <v>[5501186]</v>
      </c>
      <c r="V147" s="26" t="s">
        <v>323</v>
      </c>
      <c r="W147" s="25"/>
      <c r="X147" s="32">
        <v>100</v>
      </c>
      <c r="Y147" s="25"/>
      <c r="Z147" s="32" t="s">
        <v>178</v>
      </c>
      <c r="AA147" s="32" t="str">
        <f t="shared" si="82"/>
        <v>对高速怪物伤害+40%</v>
      </c>
      <c r="AB147" s="32"/>
      <c r="AC147" s="32" t="s">
        <v>166</v>
      </c>
      <c r="AD147" s="32">
        <f t="shared" si="73"/>
        <v>1142</v>
      </c>
      <c r="AE147" s="38" t="str">
        <f t="shared" si="78"/>
        <v>5501181</v>
      </c>
      <c r="AF147" s="32" t="str">
        <f t="shared" si="79"/>
        <v>[40]</v>
      </c>
      <c r="AG147" s="26">
        <v>2</v>
      </c>
      <c r="AH147" s="26"/>
      <c r="AI147" s="26">
        <v>0</v>
      </c>
      <c r="AJ147" s="25" t="s">
        <v>167</v>
      </c>
      <c r="AK147" s="38">
        <f t="shared" si="80"/>
        <v>5501186</v>
      </c>
      <c r="AL147" s="41" t="str">
        <f t="shared" si="81"/>
        <v>对高速怪物伤害&lt;color=#54b76b&gt;+%s%&lt;/color&gt;</v>
      </c>
      <c r="AM147" s="26">
        <v>40</v>
      </c>
      <c r="AN147" s="26">
        <v>2</v>
      </c>
      <c r="AO147" s="26" t="s">
        <v>25</v>
      </c>
      <c r="AP147" s="20">
        <f t="shared" si="74"/>
        <v>142</v>
      </c>
    </row>
    <row r="148" s="20" customFormat="1" customHeight="1" spans="1:48">
      <c r="A148" s="38">
        <v>5501187</v>
      </c>
      <c r="B148" s="38" t="str">
        <f t="shared" si="75"/>
        <v>5501181</v>
      </c>
      <c r="C148" s="32">
        <f t="shared" si="76"/>
        <v>7</v>
      </c>
      <c r="D148" s="32"/>
      <c r="E148" s="26" t="s">
        <v>162</v>
      </c>
      <c r="F148" s="26">
        <f t="shared" si="70"/>
        <v>1</v>
      </c>
      <c r="G148" s="26">
        <f>IFERROR(IF(--MID($E148,2*COUNTIF($F148:F148,"&gt;"&amp;0)+2,1)=G$1,G$1,""),"")</f>
        <v>2</v>
      </c>
      <c r="H148" s="26">
        <f>IFERROR(IF(--MID($E148,2*COUNTIF($F148:G148,"&gt;"&amp;0)+2,1)=H$1,H$1,""),"")</f>
        <v>3</v>
      </c>
      <c r="I148" s="26">
        <f>IFERROR(IF(--MID($E148,2*COUNTIF($F148:H148,"&gt;"&amp;0)+2,1)=I$1,I$1,""),"")</f>
        <v>4</v>
      </c>
      <c r="J148" s="26">
        <f>IFERROR(IF(--MID($E148,2*COUNTIF($F148:I148,"&gt;"&amp;0)+2,1)=J$1,J$1,""),"")</f>
        <v>5</v>
      </c>
      <c r="K148" s="26">
        <f>IFERROR(IF(--MID($E148,2*COUNTIF($F148:J148,"&gt;"&amp;0)+2,1)=K$1,K$1,""),"")</f>
        <v>6</v>
      </c>
      <c r="L148" s="39" cm="1">
        <f t="array" ref="L148">IFERROR(IF($A148="","",IF(F148="","",_xlfn.XLOOKUP($C148&amp;"_"&amp;$AG148,符文权重!$A:$A&amp;"_"&amp;符文权重!$C:$C,符文权重!$D:$D)*$X148/SUMIFS($X:$X,F:F,F148,$C:$C,$C148,$AG:$AG,$AG148)/SUMIF(符文权重!$A:$A,$C148,符文权重!$D:$D))),"")</f>
        <v>0.059</v>
      </c>
      <c r="M148" s="39" cm="1">
        <f t="array" ref="M148">IFERROR(IF($A148="","",IF(G148="","",_xlfn.XLOOKUP($C148&amp;"_"&amp;$AG148,符文权重!$A:$A&amp;"_"&amp;符文权重!$C:$C,符文权重!$D:$D)*$X148/SUMIFS($X:$X,G:G,G148,$C:$C,$C148,$AG:$AG,$AG148)/SUMIF(符文权重!$A:$A,$C148,符文权重!$D:$D))),"")</f>
        <v>0.07375</v>
      </c>
      <c r="N148" s="39" cm="1">
        <f t="array" ref="N148">IFERROR(IF($A148="","",IF(H148="","",_xlfn.XLOOKUP($C148&amp;"_"&amp;$AG148,符文权重!$A:$A&amp;"_"&amp;符文权重!$C:$C,符文权重!$D:$D)*$X148/SUMIFS($X:$X,H:H,H148,$C:$C,$C148,$AG:$AG,$AG148)/SUMIF(符文权重!$A:$A,$C148,符文权重!$D:$D))),"")</f>
        <v>0.059</v>
      </c>
      <c r="O148" s="39" cm="1">
        <f t="array" ref="O148">IFERROR(IF($A148="","",IF(I148="","",_xlfn.XLOOKUP($C148&amp;"_"&amp;$AG148,符文权重!$A:$A&amp;"_"&amp;符文权重!$C:$C,符文权重!$D:$D)*$X148/SUMIFS($X:$X,I:I,I148,$C:$C,$C148,$AG:$AG,$AG148)/SUMIF(符文权重!$A:$A,$C148,符文权重!$D:$D))),"")</f>
        <v>0.059</v>
      </c>
      <c r="P148" s="39" cm="1">
        <f t="array" ref="P148">IFERROR(IF($A148="","",IF(J148="","",_xlfn.XLOOKUP($C148&amp;"_"&amp;$AG148,符文权重!$A:$A&amp;"_"&amp;符文权重!$C:$C,符文权重!$D:$D)*$X148/SUMIFS($X:$X,J:J,J148,$C:$C,$C148,$AG:$AG,$AG148)/SUMIF(符文权重!$A:$A,$C148,符文权重!$D:$D))),"")</f>
        <v>0.07375</v>
      </c>
      <c r="Q148" s="39" cm="1">
        <f t="array" ref="Q148">IFERROR(IF($A148="","",IF(K148="","",_xlfn.XLOOKUP($C148&amp;"_"&amp;$AG148,符文权重!$A:$A&amp;"_"&amp;符文权重!$C:$C,符文权重!$D:$D)*$X148/SUMIFS($X:$X,K:K,K148,$C:$C,$C148,$AG:$AG,$AG148)/SUMIF(符文权重!$A:$A,$C148,符文权重!$D:$D))),"")</f>
        <v>0.059</v>
      </c>
      <c r="R148" s="26" t="s">
        <v>163</v>
      </c>
      <c r="S148" s="26"/>
      <c r="T148" s="26" t="e">
        <f>IF(B148="","",SUBSTITUTE(SUBSTITUTE("[{global_atk,"&amp;#REF!*C148&amp;"}]",21,20),9,8))</f>
        <v>#REF!</v>
      </c>
      <c r="U148" s="40" t="str">
        <f t="shared" si="77"/>
        <v>[5501187]</v>
      </c>
      <c r="V148" s="26" t="s">
        <v>324</v>
      </c>
      <c r="W148" s="25"/>
      <c r="X148" s="32">
        <v>100</v>
      </c>
      <c r="Y148" s="25"/>
      <c r="Z148" s="32" t="s">
        <v>180</v>
      </c>
      <c r="AA148" s="32" t="str">
        <f t="shared" si="82"/>
        <v>对高速怪物伤害+50%</v>
      </c>
      <c r="AB148" s="32"/>
      <c r="AC148" s="32" t="s">
        <v>166</v>
      </c>
      <c r="AD148" s="32">
        <f t="shared" si="73"/>
        <v>1143</v>
      </c>
      <c r="AE148" s="38" t="str">
        <f t="shared" si="78"/>
        <v>5501181</v>
      </c>
      <c r="AF148" s="32" t="str">
        <f t="shared" si="79"/>
        <v>[50]</v>
      </c>
      <c r="AG148" s="26">
        <v>2</v>
      </c>
      <c r="AH148" s="26"/>
      <c r="AI148" s="26">
        <v>0</v>
      </c>
      <c r="AJ148" s="25" t="s">
        <v>167</v>
      </c>
      <c r="AK148" s="38">
        <f t="shared" si="80"/>
        <v>5501187</v>
      </c>
      <c r="AL148" s="41" t="str">
        <f t="shared" si="81"/>
        <v>对高速怪物伤害&lt;color=#54b76b&gt;+%s%&lt;/color&gt;</v>
      </c>
      <c r="AM148" s="26">
        <v>50</v>
      </c>
      <c r="AN148" s="26">
        <v>2</v>
      </c>
      <c r="AO148" s="26" t="s">
        <v>25</v>
      </c>
      <c r="AP148" s="20">
        <f t="shared" si="74"/>
        <v>143</v>
      </c>
    </row>
    <row r="149" s="20" customFormat="1" customHeight="1" spans="1:48">
      <c r="A149" s="38" t="s">
        <v>167</v>
      </c>
      <c r="B149" s="38" t="str">
        <f t="shared" si="75"/>
        <v/>
      </c>
      <c r="C149" s="32" t="str">
        <f t="shared" si="76"/>
        <v/>
      </c>
      <c r="D149" s="32"/>
      <c r="E149" s="26"/>
      <c r="F149" s="26" t="str">
        <f t="shared" si="70"/>
        <v/>
      </c>
      <c r="G149" s="26" t="str">
        <f>IFERROR(IF(--MID($E149,2*COUNTIF($F149:F149,"&gt;"&amp;0)+2,1)=G$1,G$1,""),"")</f>
        <v/>
      </c>
      <c r="H149" s="26" t="str">
        <f>IFERROR(IF(--MID($E149,2*COUNTIF($F149:G149,"&gt;"&amp;0)+2,1)=H$1,H$1,""),"")</f>
        <v/>
      </c>
      <c r="I149" s="26" t="str">
        <f>IFERROR(IF(--MID($E149,2*COUNTIF($F149:H149,"&gt;"&amp;0)+2,1)=I$1,I$1,""),"")</f>
        <v/>
      </c>
      <c r="J149" s="26" t="str">
        <f>IFERROR(IF(--MID($E149,2*COUNTIF($F149:I149,"&gt;"&amp;0)+2,1)=J$1,J$1,""),"")</f>
        <v/>
      </c>
      <c r="K149" s="26" t="str">
        <f>IFERROR(IF(--MID($E149,2*COUNTIF($F149:J149,"&gt;"&amp;0)+2,1)=K$1,K$1,""),"")</f>
        <v/>
      </c>
      <c r="L149" s="39" t="str" cm="1">
        <f t="array" ref="L149">IFERROR(IF($A149="","",IF(F149="","",_xlfn.XLOOKUP($C149&amp;"_"&amp;$AG149,符文权重!$A:$A&amp;"_"&amp;符文权重!$C:$C,符文权重!$D:$D)*$X149/SUMIFS($X:$X,F:F,F149,$C:$C,$C149,$AG:$AG,$AG149)/SUMIF(符文权重!$A:$A,$C149,符文权重!$D:$D))),"")</f>
        <v/>
      </c>
      <c r="M149" s="39" t="str" cm="1">
        <f t="array" ref="M149">IFERROR(IF($A149="","",IF(G149="","",_xlfn.XLOOKUP($C149&amp;"_"&amp;$AG149,符文权重!$A:$A&amp;"_"&amp;符文权重!$C:$C,符文权重!$D:$D)*$X149/SUMIFS($X:$X,G:G,G149,$C:$C,$C149,$AG:$AG,$AG149)/SUMIF(符文权重!$A:$A,$C149,符文权重!$D:$D))),"")</f>
        <v/>
      </c>
      <c r="N149" s="39" t="str" cm="1">
        <f t="array" ref="N149">IFERROR(IF($A149="","",IF(H149="","",_xlfn.XLOOKUP($C149&amp;"_"&amp;$AG149,符文权重!$A:$A&amp;"_"&amp;符文权重!$C:$C,符文权重!$D:$D)*$X149/SUMIFS($X:$X,H:H,H149,$C:$C,$C149,$AG:$AG,$AG149)/SUMIF(符文权重!$A:$A,$C149,符文权重!$D:$D))),"")</f>
        <v/>
      </c>
      <c r="O149" s="39" t="str" cm="1">
        <f t="array" ref="O149">IFERROR(IF($A149="","",IF(I149="","",_xlfn.XLOOKUP($C149&amp;"_"&amp;$AG149,符文权重!$A:$A&amp;"_"&amp;符文权重!$C:$C,符文权重!$D:$D)*$X149/SUMIFS($X:$X,I:I,I149,$C:$C,$C149,$AG:$AG,$AG149)/SUMIF(符文权重!$A:$A,$C149,符文权重!$D:$D))),"")</f>
        <v/>
      </c>
      <c r="P149" s="39" t="str" cm="1">
        <f t="array" ref="P149">IFERROR(IF($A149="","",IF(J149="","",_xlfn.XLOOKUP($C149&amp;"_"&amp;$AG149,符文权重!$A:$A&amp;"_"&amp;符文权重!$C:$C,符文权重!$D:$D)*$X149/SUMIFS($X:$X,J:J,J149,$C:$C,$C149,$AG:$AG,$AG149)/SUMIF(符文权重!$A:$A,$C149,符文权重!$D:$D))),"")</f>
        <v/>
      </c>
      <c r="Q149" s="39" t="str" cm="1">
        <f t="array" ref="Q149">IFERROR(IF($A149="","",IF(K149="","",_xlfn.XLOOKUP($C149&amp;"_"&amp;$AG149,符文权重!$A:$A&amp;"_"&amp;符文权重!$C:$C,符文权重!$D:$D)*$X149/SUMIFS($X:$X,K:K,K149,$C:$C,$C149,$AG:$AG,$AG149)/SUMIF(符文权重!$A:$A,$C149,符文权重!$D:$D))),"")</f>
        <v/>
      </c>
      <c r="R149" s="26"/>
      <c r="S149" s="26"/>
      <c r="T149" s="26"/>
      <c r="V149" s="31"/>
      <c r="W149" s="25"/>
      <c r="X149" s="32"/>
      <c r="Y149" s="25"/>
      <c r="Z149" s="32" t="s">
        <v>167</v>
      </c>
      <c r="AA149" s="32" t="str">
        <f t="shared" si="82"/>
        <v/>
      </c>
      <c r="AB149" s="32"/>
      <c r="AC149" s="32" t="s">
        <v>166</v>
      </c>
      <c r="AD149" s="32">
        <f t="shared" si="73"/>
        <v>1144</v>
      </c>
      <c r="AE149" s="38" t="str">
        <f t="shared" si="78"/>
        <v/>
      </c>
      <c r="AF149" s="32" t="str">
        <f t="shared" si="79"/>
        <v/>
      </c>
      <c r="AG149" s="26"/>
      <c r="AH149" s="26"/>
      <c r="AI149" s="26"/>
      <c r="AJ149" s="25" t="s">
        <v>167</v>
      </c>
      <c r="AK149" s="24"/>
      <c r="AL149" s="43"/>
      <c r="AM149" s="26"/>
      <c r="AN149" s="26"/>
      <c r="AO149" s="26"/>
      <c r="AP149" s="20">
        <f t="shared" si="74"/>
        <v>144</v>
      </c>
    </row>
    <row r="150" s="20" customFormat="1" customHeight="1" spans="1:48">
      <c r="A150" s="38">
        <v>5502011</v>
      </c>
      <c r="B150" s="38" t="str">
        <f t="shared" si="75"/>
        <v>5502011</v>
      </c>
      <c r="C150" s="32">
        <f t="shared" si="76"/>
        <v>1</v>
      </c>
      <c r="D150" s="32"/>
      <c r="E150" s="26" t="s">
        <v>325</v>
      </c>
      <c r="F150" s="26">
        <f t="shared" si="70"/>
        <v>1</v>
      </c>
      <c r="G150" s="26" t="str">
        <f>IFERROR(IF(--MID($E150,2*COUNTIF($F150:F150,"&gt;"&amp;0)+2,1)=G$1,G$1,""),"")</f>
        <v/>
      </c>
      <c r="H150" s="26">
        <f>IFERROR(IF(--MID($E150,2*COUNTIF($F150:G150,"&gt;"&amp;0)+2,1)=H$1,H$1,""),"")</f>
        <v>3</v>
      </c>
      <c r="I150" s="26" t="str">
        <f>IFERROR(IF(--MID($E150,2*COUNTIF($F150:H150,"&gt;"&amp;0)+2,1)=I$1,I$1,""),"")</f>
        <v/>
      </c>
      <c r="J150" s="26">
        <f>IFERROR(IF(--MID($E150,2*COUNTIF($F150:I150,"&gt;"&amp;0)+2,1)=J$1,J$1,""),"")</f>
        <v>5</v>
      </c>
      <c r="K150" s="26" t="str">
        <f>IFERROR(IF(--MID($E150,2*COUNTIF($F150:J150,"&gt;"&amp;0)+2,1)=K$1,K$1,""),"")</f>
        <v/>
      </c>
      <c r="L150" s="39" cm="1">
        <f t="array" ref="L150">IFERROR(IF($A150="","",IF(F150="","",_xlfn.XLOOKUP($C150&amp;"_"&amp;$AG150,符文权重!$A:$A&amp;"_"&amp;符文权重!$C:$C,符文权重!$D:$D)*$X150/SUMIFS($X:$X,F:F,F150,$C:$C,$C150,$AG:$AG,$AG150)/SUMIF(符文权重!$A:$A,$C150,符文权重!$D:$D))),"")</f>
        <v>0.0642857142857143</v>
      </c>
      <c r="M150" s="39" t="str" cm="1">
        <f t="array" ref="M150">IFERROR(IF($A150="","",IF(G150="","",_xlfn.XLOOKUP($C150&amp;"_"&amp;$AG150,符文权重!$A:$A&amp;"_"&amp;符文权重!$C:$C,符文权重!$D:$D)*$X150/SUMIFS($X:$X,G:G,G150,$C:$C,$C150,$AG:$AG,$AG150)/SUMIF(符文权重!$A:$A,$C150,符文权重!$D:$D))),"")</f>
        <v/>
      </c>
      <c r="N150" s="39" cm="1">
        <f t="array" ref="N150">IFERROR(IF($A150="","",IF(H150="","",_xlfn.XLOOKUP($C150&amp;"_"&amp;$AG150,符文权重!$A:$A&amp;"_"&amp;符文权重!$C:$C,符文权重!$D:$D)*$X150/SUMIFS($X:$X,H:H,H150,$C:$C,$C150,$AG:$AG,$AG150)/SUMIF(符文权重!$A:$A,$C150,符文权重!$D:$D))),"")</f>
        <v>0.0642857142857143</v>
      </c>
      <c r="O150" s="39" t="str" cm="1">
        <f t="array" ref="O150">IFERROR(IF($A150="","",IF(I150="","",_xlfn.XLOOKUP($C150&amp;"_"&amp;$AG150,符文权重!$A:$A&amp;"_"&amp;符文权重!$C:$C,符文权重!$D:$D)*$X150/SUMIFS($X:$X,I:I,I150,$C:$C,$C150,$AG:$AG,$AG150)/SUMIF(符文权重!$A:$A,$C150,符文权重!$D:$D))),"")</f>
        <v/>
      </c>
      <c r="P150" s="39" cm="1">
        <f t="array" ref="P150">IFERROR(IF($A150="","",IF(J150="","",_xlfn.XLOOKUP($C150&amp;"_"&amp;$AG150,符文权重!$A:$A&amp;"_"&amp;符文权重!$C:$C,符文权重!$D:$D)*$X150/SUMIFS($X:$X,J:J,J150,$C:$C,$C150,$AG:$AG,$AG150)/SUMIF(符文权重!$A:$A,$C150,符文权重!$D:$D))),"")</f>
        <v>0.0642857142857143</v>
      </c>
      <c r="Q150" s="39" t="str" cm="1">
        <f t="array" ref="Q150">IFERROR(IF($A150="","",IF(K150="","",_xlfn.XLOOKUP($C150&amp;"_"&amp;$AG150,符文权重!$A:$A&amp;"_"&amp;符文权重!$C:$C,符文权重!$D:$D)*$X150/SUMIFS($X:$X,K:K,K150,$C:$C,$C150,$AG:$AG,$AG150)/SUMIF(符文权重!$A:$A,$C150,符文权重!$D:$D))),"")</f>
        <v/>
      </c>
      <c r="R150" s="26" t="s">
        <v>163</v>
      </c>
      <c r="S150" s="26"/>
      <c r="T150" s="26" t="e">
        <f>IF(B150="","",SUBSTITUTE(SUBSTITUTE("[{global_atk,"&amp;#REF!*C150&amp;"}]",21,20),9,8))</f>
        <v>#REF!</v>
      </c>
      <c r="U150" s="40" t="str">
        <f t="shared" ref="U150:U156" si="83">"["&amp;A150&amp;"]"</f>
        <v>[5502011]</v>
      </c>
      <c r="V150" s="26"/>
      <c r="W150" s="25"/>
      <c r="X150" s="32">
        <v>50</v>
      </c>
      <c r="Y150" s="25"/>
      <c r="Z150" s="32" t="s">
        <v>165</v>
      </c>
      <c r="AA150" s="32" t="str">
        <f t="shared" si="82"/>
        <v>对血量高于70%的怪物伤害+10%</v>
      </c>
      <c r="AB150" s="32"/>
      <c r="AC150" s="32" t="s">
        <v>166</v>
      </c>
      <c r="AD150" s="32">
        <f t="shared" si="73"/>
        <v>1145</v>
      </c>
      <c r="AE150" s="38" t="str">
        <f t="shared" si="78"/>
        <v>5502011</v>
      </c>
      <c r="AF150" s="32" t="str">
        <f t="shared" si="79"/>
        <v>[10]</v>
      </c>
      <c r="AG150" s="26">
        <v>2</v>
      </c>
      <c r="AH150" s="26"/>
      <c r="AI150" s="26">
        <v>0</v>
      </c>
      <c r="AJ150" s="25" t="s">
        <v>167</v>
      </c>
      <c r="AK150" s="24">
        <v>5502011</v>
      </c>
      <c r="AL150" s="42" t="s">
        <v>326</v>
      </c>
      <c r="AM150" s="26">
        <v>10</v>
      </c>
      <c r="AN150" s="26">
        <v>3</v>
      </c>
      <c r="AO150" s="26" t="s">
        <v>25</v>
      </c>
      <c r="AP150" s="20">
        <f t="shared" si="74"/>
        <v>145</v>
      </c>
    </row>
    <row r="151" s="20" customFormat="1" customHeight="1" spans="1:48">
      <c r="A151" s="38">
        <v>5502012</v>
      </c>
      <c r="B151" s="38" t="str">
        <f t="shared" si="75"/>
        <v>5502011</v>
      </c>
      <c r="C151" s="32">
        <f t="shared" si="76"/>
        <v>2</v>
      </c>
      <c r="D151" s="32"/>
      <c r="E151" s="26" t="s">
        <v>325</v>
      </c>
      <c r="F151" s="26">
        <f t="shared" si="70"/>
        <v>1</v>
      </c>
      <c r="G151" s="26" t="str">
        <f>IFERROR(IF(--MID($E151,2*COUNTIF($F151:F151,"&gt;"&amp;0)+2,1)=G$1,G$1,""),"")</f>
        <v/>
      </c>
      <c r="H151" s="26">
        <f>IFERROR(IF(--MID($E151,2*COUNTIF($F151:G151,"&gt;"&amp;0)+2,1)=H$1,H$1,""),"")</f>
        <v>3</v>
      </c>
      <c r="I151" s="26" t="str">
        <f>IFERROR(IF(--MID($E151,2*COUNTIF($F151:H151,"&gt;"&amp;0)+2,1)=I$1,I$1,""),"")</f>
        <v/>
      </c>
      <c r="J151" s="26">
        <f>IFERROR(IF(--MID($E151,2*COUNTIF($F151:I151,"&gt;"&amp;0)+2,1)=J$1,J$1,""),"")</f>
        <v>5</v>
      </c>
      <c r="K151" s="26" t="str">
        <f>IFERROR(IF(--MID($E151,2*COUNTIF($F151:J151,"&gt;"&amp;0)+2,1)=K$1,K$1,""),"")</f>
        <v/>
      </c>
      <c r="L151" s="39" cm="1">
        <f t="array" ref="L151">IFERROR(IF($A151="","",IF(F151="","",_xlfn.XLOOKUP($C151&amp;"_"&amp;$AG151,符文权重!$A:$A&amp;"_"&amp;符文权重!$C:$C,符文权重!$D:$D)*$X151/SUMIFS($X:$X,F:F,F151,$C:$C,$C151,$AG:$AG,$AG151)/SUMIF(符文权重!$A:$A,$C151,符文权重!$D:$D))),"")</f>
        <v>0.05</v>
      </c>
      <c r="M151" s="39" t="str" cm="1">
        <f t="array" ref="M151">IFERROR(IF($A151="","",IF(G151="","",_xlfn.XLOOKUP($C151&amp;"_"&amp;$AG151,符文权重!$A:$A&amp;"_"&amp;符文权重!$C:$C,符文权重!$D:$D)*$X151/SUMIFS($X:$X,G:G,G151,$C:$C,$C151,$AG:$AG,$AG151)/SUMIF(符文权重!$A:$A,$C151,符文权重!$D:$D))),"")</f>
        <v/>
      </c>
      <c r="N151" s="39" cm="1">
        <f t="array" ref="N151">IFERROR(IF($A151="","",IF(H151="","",_xlfn.XLOOKUP($C151&amp;"_"&amp;$AG151,符文权重!$A:$A&amp;"_"&amp;符文权重!$C:$C,符文权重!$D:$D)*$X151/SUMIFS($X:$X,H:H,H151,$C:$C,$C151,$AG:$AG,$AG151)/SUMIF(符文权重!$A:$A,$C151,符文权重!$D:$D))),"")</f>
        <v>0.05</v>
      </c>
      <c r="O151" s="39" t="str" cm="1">
        <f t="array" ref="O151">IFERROR(IF($A151="","",IF(I151="","",_xlfn.XLOOKUP($C151&amp;"_"&amp;$AG151,符文权重!$A:$A&amp;"_"&amp;符文权重!$C:$C,符文权重!$D:$D)*$X151/SUMIFS($X:$X,I:I,I151,$C:$C,$C151,$AG:$AG,$AG151)/SUMIF(符文权重!$A:$A,$C151,符文权重!$D:$D))),"")</f>
        <v/>
      </c>
      <c r="P151" s="39" cm="1">
        <f t="array" ref="P151">IFERROR(IF($A151="","",IF(J151="","",_xlfn.XLOOKUP($C151&amp;"_"&amp;$AG151,符文权重!$A:$A&amp;"_"&amp;符文权重!$C:$C,符文权重!$D:$D)*$X151/SUMIFS($X:$X,J:J,J151,$C:$C,$C151,$AG:$AG,$AG151)/SUMIF(符文权重!$A:$A,$C151,符文权重!$D:$D))),"")</f>
        <v>0.05</v>
      </c>
      <c r="Q151" s="39" t="str" cm="1">
        <f t="array" ref="Q151">IFERROR(IF($A151="","",IF(K151="","",_xlfn.XLOOKUP($C151&amp;"_"&amp;$AG151,符文权重!$A:$A&amp;"_"&amp;符文权重!$C:$C,符文权重!$D:$D)*$X151/SUMIFS($X:$X,K:K,K151,$C:$C,$C151,$AG:$AG,$AG151)/SUMIF(符文权重!$A:$A,$C151,符文权重!$D:$D))),"")</f>
        <v/>
      </c>
      <c r="R151" s="26" t="s">
        <v>163</v>
      </c>
      <c r="S151" s="26"/>
      <c r="T151" s="26" t="e">
        <f>IF(B151="","",SUBSTITUTE(SUBSTITUTE("[{global_atk,"&amp;#REF!*C151&amp;"}]",21,20),9,8))</f>
        <v>#REF!</v>
      </c>
      <c r="U151" s="40" t="str">
        <f t="shared" si="83"/>
        <v>[5502012]</v>
      </c>
      <c r="V151" s="26"/>
      <c r="W151" s="25"/>
      <c r="X151" s="32">
        <v>50</v>
      </c>
      <c r="Y151" s="25"/>
      <c r="Z151" s="32" t="s">
        <v>170</v>
      </c>
      <c r="AA151" s="32" t="str">
        <f t="shared" si="82"/>
        <v>对血量高于70%的怪物伤害+15%</v>
      </c>
      <c r="AB151" s="32"/>
      <c r="AC151" s="32" t="s">
        <v>166</v>
      </c>
      <c r="AD151" s="32">
        <f t="shared" si="73"/>
        <v>1146</v>
      </c>
      <c r="AE151" s="38" t="str">
        <f t="shared" si="78"/>
        <v>5502011</v>
      </c>
      <c r="AF151" s="32" t="str">
        <f t="shared" si="79"/>
        <v>[15]</v>
      </c>
      <c r="AG151" s="26">
        <v>2</v>
      </c>
      <c r="AH151" s="26"/>
      <c r="AI151" s="26">
        <v>0</v>
      </c>
      <c r="AJ151" s="25" t="s">
        <v>167</v>
      </c>
      <c r="AK151" s="38">
        <f t="shared" ref="AK151:AK156" si="84">AK150+1</f>
        <v>5502012</v>
      </c>
      <c r="AL151" s="41" t="str">
        <f t="shared" ref="AL151:AL156" si="85">AL150</f>
        <v>对血量高于70%的怪物伤害&lt;color=#54b76b&gt;+%s%&lt;/color&gt;</v>
      </c>
      <c r="AM151" s="26">
        <v>15</v>
      </c>
      <c r="AN151" s="26">
        <v>3</v>
      </c>
      <c r="AO151" s="26" t="s">
        <v>25</v>
      </c>
      <c r="AP151" s="20">
        <f t="shared" si="74"/>
        <v>146</v>
      </c>
    </row>
    <row r="152" s="20" customFormat="1" customHeight="1" spans="1:48">
      <c r="A152" s="38">
        <v>5502013</v>
      </c>
      <c r="B152" s="38" t="str">
        <f t="shared" si="75"/>
        <v>5502011</v>
      </c>
      <c r="C152" s="32">
        <f t="shared" si="76"/>
        <v>3</v>
      </c>
      <c r="D152" s="32"/>
      <c r="E152" s="26" t="s">
        <v>325</v>
      </c>
      <c r="F152" s="26">
        <f t="shared" si="70"/>
        <v>1</v>
      </c>
      <c r="G152" s="26" t="str">
        <f>IFERROR(IF(--MID($E152,2*COUNTIF($F152:F152,"&gt;"&amp;0)+2,1)=G$1,G$1,""),"")</f>
        <v/>
      </c>
      <c r="H152" s="26">
        <f>IFERROR(IF(--MID($E152,2*COUNTIF($F152:G152,"&gt;"&amp;0)+2,1)=H$1,H$1,""),"")</f>
        <v>3</v>
      </c>
      <c r="I152" s="26" t="str">
        <f>IFERROR(IF(--MID($E152,2*COUNTIF($F152:H152,"&gt;"&amp;0)+2,1)=I$1,I$1,""),"")</f>
        <v/>
      </c>
      <c r="J152" s="26">
        <f>IFERROR(IF(--MID($E152,2*COUNTIF($F152:I152,"&gt;"&amp;0)+2,1)=J$1,J$1,""),"")</f>
        <v>5</v>
      </c>
      <c r="K152" s="26" t="str">
        <f>IFERROR(IF(--MID($E152,2*COUNTIF($F152:J152,"&gt;"&amp;0)+2,1)=K$1,K$1,""),"")</f>
        <v/>
      </c>
      <c r="L152" s="39" cm="1">
        <f t="array" ref="L152">IFERROR(IF($A152="","",IF(F152="","",_xlfn.XLOOKUP($C152&amp;"_"&amp;$AG152,符文权重!$A:$A&amp;"_"&amp;符文权重!$C:$C,符文权重!$D:$D)*$X152/SUMIFS($X:$X,F:F,F152,$C:$C,$C152,$AG:$AG,$AG152)/SUMIF(符文权重!$A:$A,$C152,符文权重!$D:$D))),"")</f>
        <v>0.0350194552529183</v>
      </c>
      <c r="M152" s="39" t="str" cm="1">
        <f t="array" ref="M152">IFERROR(IF($A152="","",IF(G152="","",_xlfn.XLOOKUP($C152&amp;"_"&amp;$AG152,符文权重!$A:$A&amp;"_"&amp;符文权重!$C:$C,符文权重!$D:$D)*$X152/SUMIFS($X:$X,G:G,G152,$C:$C,$C152,$AG:$AG,$AG152)/SUMIF(符文权重!$A:$A,$C152,符文权重!$D:$D))),"")</f>
        <v/>
      </c>
      <c r="N152" s="39" cm="1">
        <f t="array" ref="N152">IFERROR(IF($A152="","",IF(H152="","",_xlfn.XLOOKUP($C152&amp;"_"&amp;$AG152,符文权重!$A:$A&amp;"_"&amp;符文权重!$C:$C,符文权重!$D:$D)*$X152/SUMIFS($X:$X,H:H,H152,$C:$C,$C152,$AG:$AG,$AG152)/SUMIF(符文权重!$A:$A,$C152,符文权重!$D:$D))),"")</f>
        <v>0.0350194552529183</v>
      </c>
      <c r="O152" s="39" t="str" cm="1">
        <f t="array" ref="O152">IFERROR(IF($A152="","",IF(I152="","",_xlfn.XLOOKUP($C152&amp;"_"&amp;$AG152,符文权重!$A:$A&amp;"_"&amp;符文权重!$C:$C,符文权重!$D:$D)*$X152/SUMIFS($X:$X,I:I,I152,$C:$C,$C152,$AG:$AG,$AG152)/SUMIF(符文权重!$A:$A,$C152,符文权重!$D:$D))),"")</f>
        <v/>
      </c>
      <c r="P152" s="39" cm="1">
        <f t="array" ref="P152">IFERROR(IF($A152="","",IF(J152="","",_xlfn.XLOOKUP($C152&amp;"_"&amp;$AG152,符文权重!$A:$A&amp;"_"&amp;符文权重!$C:$C,符文权重!$D:$D)*$X152/SUMIFS($X:$X,J:J,J152,$C:$C,$C152,$AG:$AG,$AG152)/SUMIF(符文权重!$A:$A,$C152,符文权重!$D:$D))),"")</f>
        <v>0.0344827586206897</v>
      </c>
      <c r="Q152" s="39" t="str" cm="1">
        <f t="array" ref="Q152">IFERROR(IF($A152="","",IF(K152="","",_xlfn.XLOOKUP($C152&amp;"_"&amp;$AG152,符文权重!$A:$A&amp;"_"&amp;符文权重!$C:$C,符文权重!$D:$D)*$X152/SUMIFS($X:$X,K:K,K152,$C:$C,$C152,$AG:$AG,$AG152)/SUMIF(符文权重!$A:$A,$C152,符文权重!$D:$D))),"")</f>
        <v/>
      </c>
      <c r="R152" s="26" t="s">
        <v>163</v>
      </c>
      <c r="S152" s="26"/>
      <c r="T152" s="26" t="e">
        <f>IF(B152="","",SUBSTITUTE(SUBSTITUTE("[{global_atk,"&amp;#REF!*C152&amp;"}]",21,20),9,8))</f>
        <v>#REF!</v>
      </c>
      <c r="U152" s="40" t="str">
        <f t="shared" si="83"/>
        <v>[5502013]</v>
      </c>
      <c r="V152" s="26"/>
      <c r="W152" s="25"/>
      <c r="X152" s="32">
        <v>100</v>
      </c>
      <c r="Y152" s="25"/>
      <c r="Z152" s="32" t="s">
        <v>172</v>
      </c>
      <c r="AA152" s="32" t="str">
        <f t="shared" si="82"/>
        <v>对血量高于70%的怪物伤害+20%</v>
      </c>
      <c r="AB152" s="32"/>
      <c r="AC152" s="32" t="s">
        <v>166</v>
      </c>
      <c r="AD152" s="32">
        <f t="shared" si="73"/>
        <v>1147</v>
      </c>
      <c r="AE152" s="38" t="str">
        <f t="shared" si="78"/>
        <v>5502011</v>
      </c>
      <c r="AF152" s="32" t="str">
        <f t="shared" si="79"/>
        <v>[20]</v>
      </c>
      <c r="AG152" s="26">
        <v>3</v>
      </c>
      <c r="AH152" s="26"/>
      <c r="AI152" s="26">
        <v>0</v>
      </c>
      <c r="AJ152" s="25" t="s">
        <v>167</v>
      </c>
      <c r="AK152" s="38">
        <f t="shared" si="84"/>
        <v>5502013</v>
      </c>
      <c r="AL152" s="41" t="str">
        <f t="shared" si="85"/>
        <v>对血量高于70%的怪物伤害&lt;color=#54b76b&gt;+%s%&lt;/color&gt;</v>
      </c>
      <c r="AM152" s="26">
        <v>20</v>
      </c>
      <c r="AN152" s="26">
        <v>3</v>
      </c>
      <c r="AO152" s="26" t="s">
        <v>25</v>
      </c>
      <c r="AP152" s="20">
        <f t="shared" si="74"/>
        <v>147</v>
      </c>
      <c r="AR152" s="20">
        <v>1500</v>
      </c>
      <c r="AS152" s="20">
        <v>1000</v>
      </c>
      <c r="AT152" s="20">
        <v>1200</v>
      </c>
      <c r="AU152" s="20">
        <v>1000</v>
      </c>
    </row>
    <row r="153" s="20" customFormat="1" customHeight="1" spans="1:48">
      <c r="A153" s="38">
        <v>5502014</v>
      </c>
      <c r="B153" s="38" t="str">
        <f t="shared" si="75"/>
        <v>5502011</v>
      </c>
      <c r="C153" s="32">
        <f t="shared" si="76"/>
        <v>4</v>
      </c>
      <c r="D153" s="32"/>
      <c r="E153" s="26" t="s">
        <v>325</v>
      </c>
      <c r="F153" s="26">
        <f t="shared" si="70"/>
        <v>1</v>
      </c>
      <c r="G153" s="26" t="str">
        <f>IFERROR(IF(--MID($E153,2*COUNTIF($F153:F153,"&gt;"&amp;0)+2,1)=G$1,G$1,""),"")</f>
        <v/>
      </c>
      <c r="H153" s="26">
        <f>IFERROR(IF(--MID($E153,2*COUNTIF($F153:G153,"&gt;"&amp;0)+2,1)=H$1,H$1,""),"")</f>
        <v>3</v>
      </c>
      <c r="I153" s="26" t="str">
        <f>IFERROR(IF(--MID($E153,2*COUNTIF($F153:H153,"&gt;"&amp;0)+2,1)=I$1,I$1,""),"")</f>
        <v/>
      </c>
      <c r="J153" s="26">
        <f>IFERROR(IF(--MID($E153,2*COUNTIF($F153:I153,"&gt;"&amp;0)+2,1)=J$1,J$1,""),"")</f>
        <v>5</v>
      </c>
      <c r="K153" s="26" t="str">
        <f>IFERROR(IF(--MID($E153,2*COUNTIF($F153:J153,"&gt;"&amp;0)+2,1)=K$1,K$1,""),"")</f>
        <v/>
      </c>
      <c r="L153" s="39" cm="1">
        <f t="array" ref="L153">IFERROR(IF($A153="","",IF(F153="","",_xlfn.XLOOKUP($C153&amp;"_"&amp;$AG153,符文权重!$A:$A&amp;"_"&amp;符文权重!$C:$C,符文权重!$D:$D)*$X153/SUMIFS($X:$X,F:F,F153,$C:$C,$C153,$AG:$AG,$AG153)/SUMIF(符文权重!$A:$A,$C153,符文权重!$D:$D))),"")</f>
        <v>0.118560606060606</v>
      </c>
      <c r="M153" s="39" t="str" cm="1">
        <f t="array" ref="M153">IFERROR(IF($A153="","",IF(G153="","",_xlfn.XLOOKUP($C153&amp;"_"&amp;$AG153,符文权重!$A:$A&amp;"_"&amp;符文权重!$C:$C,符文权重!$D:$D)*$X153/SUMIFS($X:$X,G:G,G153,$C:$C,$C153,$AG:$AG,$AG153)/SUMIF(符文权重!$A:$A,$C153,符文权重!$D:$D))),"")</f>
        <v/>
      </c>
      <c r="N153" s="39" cm="1">
        <f t="array" ref="N153">IFERROR(IF($A153="","",IF(H153="","",_xlfn.XLOOKUP($C153&amp;"_"&amp;$AG153,符文权重!$A:$A&amp;"_"&amp;符文权重!$C:$C,符文权重!$D:$D)*$X153/SUMIFS($X:$X,H:H,H153,$C:$C,$C153,$AG:$AG,$AG153)/SUMIF(符文权重!$A:$A,$C153,符文权重!$D:$D))),"")</f>
        <v>0.126209677419355</v>
      </c>
      <c r="O153" s="39" t="str" cm="1">
        <f t="array" ref="O153">IFERROR(IF($A153="","",IF(I153="","",_xlfn.XLOOKUP($C153&amp;"_"&amp;$AG153,符文权重!$A:$A&amp;"_"&amp;符文权重!$C:$C,符文权重!$D:$D)*$X153/SUMIFS($X:$X,I:I,I153,$C:$C,$C153,$AG:$AG,$AG153)/SUMIF(符文权重!$A:$A,$C153,符文权重!$D:$D))),"")</f>
        <v/>
      </c>
      <c r="P153" s="39" cm="1">
        <f t="array" ref="P153">IFERROR(IF($A153="","",IF(J153="","",_xlfn.XLOOKUP($C153&amp;"_"&amp;$AG153,符文权重!$A:$A&amp;"_"&amp;符文权重!$C:$C,符文权重!$D:$D)*$X153/SUMIFS($X:$X,J:J,J153,$C:$C,$C153,$AG:$AG,$AG153)/SUMIF(符文权重!$A:$A,$C153,符文权重!$D:$D))),"")</f>
        <v>0.126209677419355</v>
      </c>
      <c r="Q153" s="39" t="str" cm="1">
        <f t="array" ref="Q153">IFERROR(IF($A153="","",IF(K153="","",_xlfn.XLOOKUP($C153&amp;"_"&amp;$AG153,符文权重!$A:$A&amp;"_"&amp;符文权重!$C:$C,符文权重!$D:$D)*$X153/SUMIFS($X:$X,K:K,K153,$C:$C,$C153,$AG:$AG,$AG153)/SUMIF(符文权重!$A:$A,$C153,符文权重!$D:$D))),"")</f>
        <v/>
      </c>
      <c r="R153" s="26" t="s">
        <v>163</v>
      </c>
      <c r="S153" s="26"/>
      <c r="T153" s="26" t="e">
        <f>IF(B153="","",SUBSTITUTE(SUBSTITUTE("[{global_atk,"&amp;#REF!*C153&amp;"}]",21,20),9,8))</f>
        <v>#REF!</v>
      </c>
      <c r="U153" s="40" t="str">
        <f t="shared" si="83"/>
        <v>[5502014]</v>
      </c>
      <c r="V153" s="26"/>
      <c r="W153" s="25"/>
      <c r="X153" s="32">
        <v>100</v>
      </c>
      <c r="Y153" s="25"/>
      <c r="Z153" s="32" t="s">
        <v>174</v>
      </c>
      <c r="AA153" s="32" t="str">
        <f t="shared" si="82"/>
        <v>对血量高于70%的怪物伤害+25%</v>
      </c>
      <c r="AB153" s="32"/>
      <c r="AC153" s="32" t="s">
        <v>166</v>
      </c>
      <c r="AD153" s="32">
        <f t="shared" si="73"/>
        <v>1148</v>
      </c>
      <c r="AE153" s="38" t="str">
        <f t="shared" si="78"/>
        <v>5502011</v>
      </c>
      <c r="AF153" s="32" t="str">
        <f t="shared" si="79"/>
        <v>[25]</v>
      </c>
      <c r="AG153" s="26">
        <v>3</v>
      </c>
      <c r="AH153" s="26"/>
      <c r="AI153" s="26">
        <v>0</v>
      </c>
      <c r="AJ153" s="25" t="s">
        <v>167</v>
      </c>
      <c r="AK153" s="38">
        <f t="shared" si="84"/>
        <v>5502014</v>
      </c>
      <c r="AL153" s="41" t="str">
        <f t="shared" si="85"/>
        <v>对血量高于70%的怪物伤害&lt;color=#54b76b&gt;+%s%&lt;/color&gt;</v>
      </c>
      <c r="AM153" s="26">
        <v>25</v>
      </c>
      <c r="AN153" s="26">
        <v>3</v>
      </c>
      <c r="AO153" s="26" t="s">
        <v>25</v>
      </c>
      <c r="AP153" s="20">
        <f t="shared" si="74"/>
        <v>148</v>
      </c>
      <c r="AR153" s="20">
        <v>1500</v>
      </c>
      <c r="AS153" s="20">
        <v>1000</v>
      </c>
      <c r="AT153" s="20">
        <v>1200</v>
      </c>
      <c r="AU153" s="20">
        <v>1200</v>
      </c>
      <c r="AV153" s="20">
        <v>1200</v>
      </c>
    </row>
    <row r="154" s="20" customFormat="1" customHeight="1" spans="1:48">
      <c r="A154" s="38">
        <v>5502015</v>
      </c>
      <c r="B154" s="38" t="str">
        <f t="shared" si="75"/>
        <v>5502011</v>
      </c>
      <c r="C154" s="32">
        <f t="shared" si="76"/>
        <v>5</v>
      </c>
      <c r="D154" s="32"/>
      <c r="E154" s="26" t="s">
        <v>325</v>
      </c>
      <c r="F154" s="26">
        <f t="shared" si="70"/>
        <v>1</v>
      </c>
      <c r="G154" s="26" t="str">
        <f>IFERROR(IF(--MID($E154,2*COUNTIF($F154:F154,"&gt;"&amp;0)+2,1)=G$1,G$1,""),"")</f>
        <v/>
      </c>
      <c r="H154" s="26">
        <f>IFERROR(IF(--MID($E154,2*COUNTIF($F154:G154,"&gt;"&amp;0)+2,1)=H$1,H$1,""),"")</f>
        <v>3</v>
      </c>
      <c r="I154" s="26" t="str">
        <f>IFERROR(IF(--MID($E154,2*COUNTIF($F154:H154,"&gt;"&amp;0)+2,1)=I$1,I$1,""),"")</f>
        <v/>
      </c>
      <c r="J154" s="26">
        <f>IFERROR(IF(--MID($E154,2*COUNTIF($F154:I154,"&gt;"&amp;0)+2,1)=J$1,J$1,""),"")</f>
        <v>5</v>
      </c>
      <c r="K154" s="26" t="str">
        <f>IFERROR(IF(--MID($E154,2*COUNTIF($F154:J154,"&gt;"&amp;0)+2,1)=K$1,K$1,""),"")</f>
        <v/>
      </c>
      <c r="L154" s="39" cm="1">
        <f t="array" ref="L154">IFERROR(IF($A154="","",IF(F154="","",_xlfn.XLOOKUP($C154&amp;"_"&amp;$AG154,符文权重!$A:$A&amp;"_"&amp;符文权重!$C:$C,符文权重!$D:$D)*$X154/SUMIFS($X:$X,F:F,F154,$C:$C,$C154,$AG:$AG,$AG154)/SUMIF(符文权重!$A:$A,$C154,符文权重!$D:$D))),"")</f>
        <v>0.139150943396226</v>
      </c>
      <c r="M154" s="39" t="str" cm="1">
        <f t="array" ref="M154">IFERROR(IF($A154="","",IF(G154="","",_xlfn.XLOOKUP($C154&amp;"_"&amp;$AG154,符文权重!$A:$A&amp;"_"&amp;符文权重!$C:$C,符文权重!$D:$D)*$X154/SUMIFS($X:$X,G:G,G154,$C:$C,$C154,$AG:$AG,$AG154)/SUMIF(符文权重!$A:$A,$C154,符文权重!$D:$D))),"")</f>
        <v/>
      </c>
      <c r="N154" s="39" cm="1">
        <f t="array" ref="N154">IFERROR(IF($A154="","",IF(H154="","",_xlfn.XLOOKUP($C154&amp;"_"&amp;$AG154,符文权重!$A:$A&amp;"_"&amp;符文权重!$C:$C,符文权重!$D:$D)*$X154/SUMIFS($X:$X,H:H,H154,$C:$C,$C154,$AG:$AG,$AG154)/SUMIF(符文权重!$A:$A,$C154,符文权重!$D:$D))),"")</f>
        <v>0.139150943396226</v>
      </c>
      <c r="O154" s="39" t="str" cm="1">
        <f t="array" ref="O154">IFERROR(IF($A154="","",IF(I154="","",_xlfn.XLOOKUP($C154&amp;"_"&amp;$AG154,符文权重!$A:$A&amp;"_"&amp;符文权重!$C:$C,符文权重!$D:$D)*$X154/SUMIFS($X:$X,I:I,I154,$C:$C,$C154,$AG:$AG,$AG154)/SUMIF(符文权重!$A:$A,$C154,符文权重!$D:$D))),"")</f>
        <v/>
      </c>
      <c r="P154" s="39" cm="1">
        <f t="array" ref="P154">IFERROR(IF($A154="","",IF(J154="","",_xlfn.XLOOKUP($C154&amp;"_"&amp;$AG154,符文权重!$A:$A&amp;"_"&amp;符文权重!$C:$C,符文权重!$D:$D)*$X154/SUMIFS($X:$X,J:J,J154,$C:$C,$C154,$AG:$AG,$AG154)/SUMIF(符文权重!$A:$A,$C154,符文权重!$D:$D))),"")</f>
        <v>0.133484162895928</v>
      </c>
      <c r="Q154" s="39" t="str" cm="1">
        <f t="array" ref="Q154">IFERROR(IF($A154="","",IF(K154="","",_xlfn.XLOOKUP($C154&amp;"_"&amp;$AG154,符文权重!$A:$A&amp;"_"&amp;符文权重!$C:$C,符文权重!$D:$D)*$X154/SUMIFS($X:$X,K:K,K154,$C:$C,$C154,$AG:$AG,$AG154)/SUMIF(符文权重!$A:$A,$C154,符文权重!$D:$D))),"")</f>
        <v/>
      </c>
      <c r="R154" s="26" t="s">
        <v>163</v>
      </c>
      <c r="S154" s="26"/>
      <c r="T154" s="26" t="e">
        <f>IF(B154="","",SUBSTITUTE(SUBSTITUTE("[{global_atk,"&amp;#REF!*C154&amp;"}]",21,20),9,8))</f>
        <v>#REF!</v>
      </c>
      <c r="U154" s="40" t="str">
        <f t="shared" si="83"/>
        <v>[5502015]</v>
      </c>
      <c r="V154" s="26"/>
      <c r="W154" s="25"/>
      <c r="X154" s="32">
        <v>100</v>
      </c>
      <c r="Y154" s="25"/>
      <c r="Z154" s="32" t="s">
        <v>176</v>
      </c>
      <c r="AA154" s="32" t="str">
        <f t="shared" si="82"/>
        <v>对血量高于70%的怪物伤害+32%</v>
      </c>
      <c r="AB154" s="32"/>
      <c r="AC154" s="32" t="s">
        <v>166</v>
      </c>
      <c r="AD154" s="32">
        <f t="shared" si="73"/>
        <v>1149</v>
      </c>
      <c r="AE154" s="38" t="str">
        <f t="shared" si="78"/>
        <v>5502011</v>
      </c>
      <c r="AF154" s="32" t="str">
        <f t="shared" si="79"/>
        <v>[32]</v>
      </c>
      <c r="AG154" s="26">
        <v>3</v>
      </c>
      <c r="AH154" s="26"/>
      <c r="AI154" s="26">
        <v>0</v>
      </c>
      <c r="AJ154" s="25" t="s">
        <v>167</v>
      </c>
      <c r="AK154" s="38">
        <f t="shared" si="84"/>
        <v>5502015</v>
      </c>
      <c r="AL154" s="41" t="str">
        <f t="shared" si="85"/>
        <v>对血量高于70%的怪物伤害&lt;color=#54b76b&gt;+%s%&lt;/color&gt;</v>
      </c>
      <c r="AM154" s="26">
        <v>32</v>
      </c>
      <c r="AN154" s="26">
        <v>3</v>
      </c>
      <c r="AO154" s="26" t="s">
        <v>25</v>
      </c>
      <c r="AP154" s="20">
        <f t="shared" si="74"/>
        <v>149</v>
      </c>
    </row>
    <row r="155" s="20" customFormat="1" customHeight="1" spans="1:48">
      <c r="A155" s="38">
        <v>5502016</v>
      </c>
      <c r="B155" s="38" t="str">
        <f t="shared" si="75"/>
        <v>5502011</v>
      </c>
      <c r="C155" s="32">
        <f t="shared" si="76"/>
        <v>6</v>
      </c>
      <c r="D155" s="32"/>
      <c r="E155" s="26" t="s">
        <v>325</v>
      </c>
      <c r="F155" s="26">
        <f t="shared" si="70"/>
        <v>1</v>
      </c>
      <c r="G155" s="26" t="str">
        <f>IFERROR(IF(--MID($E155,2*COUNTIF($F155:F155,"&gt;"&amp;0)+2,1)=G$1,G$1,""),"")</f>
        <v/>
      </c>
      <c r="H155" s="26">
        <f>IFERROR(IF(--MID($E155,2*COUNTIF($F155:G155,"&gt;"&amp;0)+2,1)=H$1,H$1,""),"")</f>
        <v>3</v>
      </c>
      <c r="I155" s="26" t="str">
        <f>IFERROR(IF(--MID($E155,2*COUNTIF($F155:H155,"&gt;"&amp;0)+2,1)=I$1,I$1,""),"")</f>
        <v/>
      </c>
      <c r="J155" s="26">
        <f>IFERROR(IF(--MID($E155,2*COUNTIF($F155:I155,"&gt;"&amp;0)+2,1)=J$1,J$1,""),"")</f>
        <v>5</v>
      </c>
      <c r="K155" s="26" t="str">
        <f>IFERROR(IF(--MID($E155,2*COUNTIF($F155:J155,"&gt;"&amp;0)+2,1)=K$1,K$1,""),"")</f>
        <v/>
      </c>
      <c r="L155" s="39" cm="1">
        <f t="array" ref="L155">IFERROR(IF($A155="","",IF(F155="","",_xlfn.XLOOKUP($C155&amp;"_"&amp;$AG155,符文权重!$A:$A&amp;"_"&amp;符文权重!$C:$C,符文权重!$D:$D)*$X155/SUMIFS($X:$X,F:F,F155,$C:$C,$C155,$AG:$AG,$AG155)/SUMIF(符文权重!$A:$A,$C155,符文权重!$D:$D))),"")</f>
        <v>0.139150943396226</v>
      </c>
      <c r="M155" s="39" t="str" cm="1">
        <f t="array" ref="M155">IFERROR(IF($A155="","",IF(G155="","",_xlfn.XLOOKUP($C155&amp;"_"&amp;$AG155,符文权重!$A:$A&amp;"_"&amp;符文权重!$C:$C,符文权重!$D:$D)*$X155/SUMIFS($X:$X,G:G,G155,$C:$C,$C155,$AG:$AG,$AG155)/SUMIF(符文权重!$A:$A,$C155,符文权重!$D:$D))),"")</f>
        <v/>
      </c>
      <c r="N155" s="39" cm="1">
        <f t="array" ref="N155">IFERROR(IF($A155="","",IF(H155="","",_xlfn.XLOOKUP($C155&amp;"_"&amp;$AG155,符文权重!$A:$A&amp;"_"&amp;符文权重!$C:$C,符文权重!$D:$D)*$X155/SUMIFS($X:$X,H:H,H155,$C:$C,$C155,$AG:$AG,$AG155)/SUMIF(符文权重!$A:$A,$C155,符文权重!$D:$D))),"")</f>
        <v>0.139150943396226</v>
      </c>
      <c r="O155" s="39" t="str" cm="1">
        <f t="array" ref="O155">IFERROR(IF($A155="","",IF(I155="","",_xlfn.XLOOKUP($C155&amp;"_"&amp;$AG155,符文权重!$A:$A&amp;"_"&amp;符文权重!$C:$C,符文权重!$D:$D)*$X155/SUMIFS($X:$X,I:I,I155,$C:$C,$C155,$AG:$AG,$AG155)/SUMIF(符文权重!$A:$A,$C155,符文权重!$D:$D))),"")</f>
        <v/>
      </c>
      <c r="P155" s="39" cm="1">
        <f t="array" ref="P155">IFERROR(IF($A155="","",IF(J155="","",_xlfn.XLOOKUP($C155&amp;"_"&amp;$AG155,符文权重!$A:$A&amp;"_"&amp;符文权重!$C:$C,符文权重!$D:$D)*$X155/SUMIFS($X:$X,J:J,J155,$C:$C,$C155,$AG:$AG,$AG155)/SUMIF(符文权重!$A:$A,$C155,符文权重!$D:$D))),"")</f>
        <v>0.133484162895928</v>
      </c>
      <c r="Q155" s="39" t="str" cm="1">
        <f t="array" ref="Q155">IFERROR(IF($A155="","",IF(K155="","",_xlfn.XLOOKUP($C155&amp;"_"&amp;$AG155,符文权重!$A:$A&amp;"_"&amp;符文权重!$C:$C,符文权重!$D:$D)*$X155/SUMIFS($X:$X,K:K,K155,$C:$C,$C155,$AG:$AG,$AG155)/SUMIF(符文权重!$A:$A,$C155,符文权重!$D:$D))),"")</f>
        <v/>
      </c>
      <c r="R155" s="26" t="s">
        <v>163</v>
      </c>
      <c r="S155" s="26"/>
      <c r="T155" s="26" t="e">
        <f>IF(B155="","",SUBSTITUTE(SUBSTITUTE("[{global_atk,"&amp;#REF!*C155&amp;"}]",21,20),9,8))</f>
        <v>#REF!</v>
      </c>
      <c r="U155" s="40" t="str">
        <f t="shared" si="83"/>
        <v>[5502016]</v>
      </c>
      <c r="V155" s="26"/>
      <c r="W155" s="25"/>
      <c r="X155" s="32">
        <v>100</v>
      </c>
      <c r="Y155" s="25"/>
      <c r="Z155" s="32" t="s">
        <v>178</v>
      </c>
      <c r="AA155" s="32" t="str">
        <f t="shared" si="82"/>
        <v>对血量高于70%的怪物伤害+40%</v>
      </c>
      <c r="AB155" s="32"/>
      <c r="AC155" s="32" t="s">
        <v>166</v>
      </c>
      <c r="AD155" s="32">
        <f t="shared" si="73"/>
        <v>1150</v>
      </c>
      <c r="AE155" s="38" t="str">
        <f t="shared" si="78"/>
        <v>5502011</v>
      </c>
      <c r="AF155" s="32" t="str">
        <f t="shared" si="79"/>
        <v>[40]</v>
      </c>
      <c r="AG155" s="26">
        <v>3</v>
      </c>
      <c r="AH155" s="26"/>
      <c r="AI155" s="26">
        <v>0</v>
      </c>
      <c r="AJ155" s="25" t="s">
        <v>167</v>
      </c>
      <c r="AK155" s="38">
        <f t="shared" si="84"/>
        <v>5502016</v>
      </c>
      <c r="AL155" s="41" t="str">
        <f t="shared" si="85"/>
        <v>对血量高于70%的怪物伤害&lt;color=#54b76b&gt;+%s%&lt;/color&gt;</v>
      </c>
      <c r="AM155" s="26">
        <v>40</v>
      </c>
      <c r="AN155" s="26">
        <v>3</v>
      </c>
      <c r="AO155" s="26" t="s">
        <v>25</v>
      </c>
      <c r="AP155" s="20">
        <f t="shared" si="74"/>
        <v>150</v>
      </c>
    </row>
    <row r="156" s="20" customFormat="1" customHeight="1" spans="1:48">
      <c r="A156" s="38">
        <v>5502017</v>
      </c>
      <c r="B156" s="38" t="str">
        <f t="shared" si="75"/>
        <v>5502011</v>
      </c>
      <c r="C156" s="32">
        <f t="shared" si="76"/>
        <v>7</v>
      </c>
      <c r="D156" s="32"/>
      <c r="E156" s="26" t="s">
        <v>325</v>
      </c>
      <c r="F156" s="26">
        <f t="shared" si="70"/>
        <v>1</v>
      </c>
      <c r="G156" s="26" t="str">
        <f>IFERROR(IF(--MID($E156,2*COUNTIF($F156:F156,"&gt;"&amp;0)+2,1)=G$1,G$1,""),"")</f>
        <v/>
      </c>
      <c r="H156" s="26">
        <f>IFERROR(IF(--MID($E156,2*COUNTIF($F156:G156,"&gt;"&amp;0)+2,1)=H$1,H$1,""),"")</f>
        <v>3</v>
      </c>
      <c r="I156" s="26" t="str">
        <f>IFERROR(IF(--MID($E156,2*COUNTIF($F156:H156,"&gt;"&amp;0)+2,1)=I$1,I$1,""),"")</f>
        <v/>
      </c>
      <c r="J156" s="26">
        <f>IFERROR(IF(--MID($E156,2*COUNTIF($F156:I156,"&gt;"&amp;0)+2,1)=J$1,J$1,""),"")</f>
        <v>5</v>
      </c>
      <c r="K156" s="26" t="str">
        <f>IFERROR(IF(--MID($E156,2*COUNTIF($F156:J156,"&gt;"&amp;0)+2,1)=K$1,K$1,""),"")</f>
        <v/>
      </c>
      <c r="L156" s="39" cm="1">
        <f t="array" ref="L156">IFERROR(IF($A156="","",IF(F156="","",_xlfn.XLOOKUP($C156&amp;"_"&amp;$AG156,符文权重!$A:$A&amp;"_"&amp;符文权重!$C:$C,符文权重!$D:$D)*$X156/SUMIFS($X:$X,F:F,F156,$C:$C,$C156,$AG:$AG,$AG156)/SUMIF(符文权重!$A:$A,$C156,符文权重!$D:$D))),"")</f>
        <v>0.139150943396226</v>
      </c>
      <c r="M156" s="39" t="str" cm="1">
        <f t="array" ref="M156">IFERROR(IF($A156="","",IF(G156="","",_xlfn.XLOOKUP($C156&amp;"_"&amp;$AG156,符文权重!$A:$A&amp;"_"&amp;符文权重!$C:$C,符文权重!$D:$D)*$X156/SUMIFS($X:$X,G:G,G156,$C:$C,$C156,$AG:$AG,$AG156)/SUMIF(符文权重!$A:$A,$C156,符文权重!$D:$D))),"")</f>
        <v/>
      </c>
      <c r="N156" s="39" cm="1">
        <f t="array" ref="N156">IFERROR(IF($A156="","",IF(H156="","",_xlfn.XLOOKUP($C156&amp;"_"&amp;$AG156,符文权重!$A:$A&amp;"_"&amp;符文权重!$C:$C,符文权重!$D:$D)*$X156/SUMIFS($X:$X,H:H,H156,$C:$C,$C156,$AG:$AG,$AG156)/SUMIF(符文权重!$A:$A,$C156,符文权重!$D:$D))),"")</f>
        <v>0.139150943396226</v>
      </c>
      <c r="O156" s="39" t="str" cm="1">
        <f t="array" ref="O156">IFERROR(IF($A156="","",IF(I156="","",_xlfn.XLOOKUP($C156&amp;"_"&amp;$AG156,符文权重!$A:$A&amp;"_"&amp;符文权重!$C:$C,符文权重!$D:$D)*$X156/SUMIFS($X:$X,I:I,I156,$C:$C,$C156,$AG:$AG,$AG156)/SUMIF(符文权重!$A:$A,$C156,符文权重!$D:$D))),"")</f>
        <v/>
      </c>
      <c r="P156" s="39" cm="1">
        <f t="array" ref="P156">IFERROR(IF($A156="","",IF(J156="","",_xlfn.XLOOKUP($C156&amp;"_"&amp;$AG156,符文权重!$A:$A&amp;"_"&amp;符文权重!$C:$C,符文权重!$D:$D)*$X156/SUMIFS($X:$X,J:J,J156,$C:$C,$C156,$AG:$AG,$AG156)/SUMIF(符文权重!$A:$A,$C156,符文权重!$D:$D))),"")</f>
        <v>0.133484162895928</v>
      </c>
      <c r="Q156" s="39" t="str" cm="1">
        <f t="array" ref="Q156">IFERROR(IF($A156="","",IF(K156="","",_xlfn.XLOOKUP($C156&amp;"_"&amp;$AG156,符文权重!$A:$A&amp;"_"&amp;符文权重!$C:$C,符文权重!$D:$D)*$X156/SUMIFS($X:$X,K:K,K156,$C:$C,$C156,$AG:$AG,$AG156)/SUMIF(符文权重!$A:$A,$C156,符文权重!$D:$D))),"")</f>
        <v/>
      </c>
      <c r="R156" s="26" t="s">
        <v>163</v>
      </c>
      <c r="S156" s="26"/>
      <c r="T156" s="26" t="e">
        <f>IF(B156="","",SUBSTITUTE(SUBSTITUTE("[{global_atk,"&amp;#REF!*C156&amp;"}]",21,20),9,8))</f>
        <v>#REF!</v>
      </c>
      <c r="U156" s="40" t="str">
        <f t="shared" si="83"/>
        <v>[5502017]</v>
      </c>
      <c r="V156" s="26"/>
      <c r="W156" s="25"/>
      <c r="X156" s="32">
        <v>100</v>
      </c>
      <c r="Y156" s="25"/>
      <c r="Z156" s="32" t="s">
        <v>180</v>
      </c>
      <c r="AA156" s="32" t="str">
        <f t="shared" si="82"/>
        <v>对血量高于70%的怪物伤害+50%</v>
      </c>
      <c r="AB156" s="32"/>
      <c r="AC156" s="32" t="s">
        <v>166</v>
      </c>
      <c r="AD156" s="32">
        <f t="shared" si="73"/>
        <v>1151</v>
      </c>
      <c r="AE156" s="38" t="str">
        <f t="shared" si="78"/>
        <v>5502011</v>
      </c>
      <c r="AF156" s="32" t="str">
        <f t="shared" si="79"/>
        <v>[50]</v>
      </c>
      <c r="AG156" s="26">
        <v>3</v>
      </c>
      <c r="AH156" s="26"/>
      <c r="AI156" s="26">
        <v>0</v>
      </c>
      <c r="AJ156" s="25" t="s">
        <v>167</v>
      </c>
      <c r="AK156" s="38">
        <f t="shared" si="84"/>
        <v>5502017</v>
      </c>
      <c r="AL156" s="41" t="str">
        <f t="shared" si="85"/>
        <v>对血量高于70%的怪物伤害&lt;color=#54b76b&gt;+%s%&lt;/color&gt;</v>
      </c>
      <c r="AM156" s="26">
        <v>50</v>
      </c>
      <c r="AN156" s="26">
        <v>3</v>
      </c>
      <c r="AO156" s="26" t="s">
        <v>25</v>
      </c>
      <c r="AP156" s="20">
        <f t="shared" si="74"/>
        <v>151</v>
      </c>
    </row>
    <row r="157" s="20" customFormat="1" customHeight="1" spans="1:48">
      <c r="A157" s="38" t="s">
        <v>167</v>
      </c>
      <c r="B157" s="38" t="str">
        <f t="shared" si="75"/>
        <v/>
      </c>
      <c r="C157" s="32" t="str">
        <f t="shared" si="76"/>
        <v/>
      </c>
      <c r="D157" s="32"/>
      <c r="E157" s="26"/>
      <c r="F157" s="26" t="str">
        <f t="shared" si="70"/>
        <v/>
      </c>
      <c r="G157" s="26" t="str">
        <f>IFERROR(IF(--MID($E157,2*COUNTIF($F157:F157,"&gt;"&amp;0)+2,1)=G$1,G$1,""),"")</f>
        <v/>
      </c>
      <c r="H157" s="26" t="str">
        <f>IFERROR(IF(--MID($E157,2*COUNTIF($F157:G157,"&gt;"&amp;0)+2,1)=H$1,H$1,""),"")</f>
        <v/>
      </c>
      <c r="I157" s="26" t="str">
        <f>IFERROR(IF(--MID($E157,2*COUNTIF($F157:H157,"&gt;"&amp;0)+2,1)=I$1,I$1,""),"")</f>
        <v/>
      </c>
      <c r="J157" s="26" t="str">
        <f>IFERROR(IF(--MID($E157,2*COUNTIF($F157:I157,"&gt;"&amp;0)+2,1)=J$1,J$1,""),"")</f>
        <v/>
      </c>
      <c r="K157" s="26" t="str">
        <f>IFERROR(IF(--MID($E157,2*COUNTIF($F157:J157,"&gt;"&amp;0)+2,1)=K$1,K$1,""),"")</f>
        <v/>
      </c>
      <c r="L157" s="39" t="str" cm="1">
        <f t="array" ref="L157">IFERROR(IF($A157="","",IF(F157="","",_xlfn.XLOOKUP($C157&amp;"_"&amp;$AG157,符文权重!$A:$A&amp;"_"&amp;符文权重!$C:$C,符文权重!$D:$D)*$X157/SUMIFS($X:$X,F:F,F157,$C:$C,$C157,$AG:$AG,$AG157)/SUMIF(符文权重!$A:$A,$C157,符文权重!$D:$D))),"")</f>
        <v/>
      </c>
      <c r="M157" s="39" t="str" cm="1">
        <f t="array" ref="M157">IFERROR(IF($A157="","",IF(G157="","",_xlfn.XLOOKUP($C157&amp;"_"&amp;$AG157,符文权重!$A:$A&amp;"_"&amp;符文权重!$C:$C,符文权重!$D:$D)*$X157/SUMIFS($X:$X,G:G,G157,$C:$C,$C157,$AG:$AG,$AG157)/SUMIF(符文权重!$A:$A,$C157,符文权重!$D:$D))),"")</f>
        <v/>
      </c>
      <c r="N157" s="39" t="str" cm="1">
        <f t="array" ref="N157">IFERROR(IF($A157="","",IF(H157="","",_xlfn.XLOOKUP($C157&amp;"_"&amp;$AG157,符文权重!$A:$A&amp;"_"&amp;符文权重!$C:$C,符文权重!$D:$D)*$X157/SUMIFS($X:$X,H:H,H157,$C:$C,$C157,$AG:$AG,$AG157)/SUMIF(符文权重!$A:$A,$C157,符文权重!$D:$D))),"")</f>
        <v/>
      </c>
      <c r="O157" s="39" t="str" cm="1">
        <f t="array" ref="O157">IFERROR(IF($A157="","",IF(I157="","",_xlfn.XLOOKUP($C157&amp;"_"&amp;$AG157,符文权重!$A:$A&amp;"_"&amp;符文权重!$C:$C,符文权重!$D:$D)*$X157/SUMIFS($X:$X,I:I,I157,$C:$C,$C157,$AG:$AG,$AG157)/SUMIF(符文权重!$A:$A,$C157,符文权重!$D:$D))),"")</f>
        <v/>
      </c>
      <c r="P157" s="39" t="str" cm="1">
        <f t="array" ref="P157">IFERROR(IF($A157="","",IF(J157="","",_xlfn.XLOOKUP($C157&amp;"_"&amp;$AG157,符文权重!$A:$A&amp;"_"&amp;符文权重!$C:$C,符文权重!$D:$D)*$X157/SUMIFS($X:$X,J:J,J157,$C:$C,$C157,$AG:$AG,$AG157)/SUMIF(符文权重!$A:$A,$C157,符文权重!$D:$D))),"")</f>
        <v/>
      </c>
      <c r="Q157" s="39" t="str" cm="1">
        <f t="array" ref="Q157">IFERROR(IF($A157="","",IF(K157="","",_xlfn.XLOOKUP($C157&amp;"_"&amp;$AG157,符文权重!$A:$A&amp;"_"&amp;符文权重!$C:$C,符文权重!$D:$D)*$X157/SUMIFS($X:$X,K:K,K157,$C:$C,$C157,$AG:$AG,$AG157)/SUMIF(符文权重!$A:$A,$C157,符文权重!$D:$D))),"")</f>
        <v/>
      </c>
      <c r="R157" s="26"/>
      <c r="S157" s="26"/>
      <c r="T157" s="26"/>
      <c r="V157" s="31"/>
      <c r="W157" s="25"/>
      <c r="X157" s="32"/>
      <c r="Y157" s="25"/>
      <c r="Z157" s="32" t="s">
        <v>167</v>
      </c>
      <c r="AA157" s="32" t="str">
        <f t="shared" si="82"/>
        <v/>
      </c>
      <c r="AB157" s="32"/>
      <c r="AC157" s="32" t="s">
        <v>166</v>
      </c>
      <c r="AD157" s="32">
        <f t="shared" si="73"/>
        <v>1152</v>
      </c>
      <c r="AE157" s="38" t="str">
        <f t="shared" si="78"/>
        <v/>
      </c>
      <c r="AF157" s="32" t="str">
        <f t="shared" si="79"/>
        <v/>
      </c>
      <c r="AG157" s="26"/>
      <c r="AH157" s="26"/>
      <c r="AI157" s="26"/>
      <c r="AJ157" s="25" t="s">
        <v>167</v>
      </c>
      <c r="AK157" s="24"/>
      <c r="AL157" s="43"/>
      <c r="AM157" s="26"/>
      <c r="AN157" s="26"/>
      <c r="AO157" s="26"/>
      <c r="AP157" s="20">
        <f t="shared" si="74"/>
        <v>152</v>
      </c>
    </row>
    <row r="158" s="22" customFormat="1" customHeight="1" spans="1:48">
      <c r="A158" s="44">
        <v>5502021</v>
      </c>
      <c r="B158" s="44" t="str">
        <f t="shared" si="75"/>
        <v>5502021</v>
      </c>
      <c r="C158" s="45">
        <f t="shared" si="76"/>
        <v>1</v>
      </c>
      <c r="D158" s="45"/>
      <c r="E158" s="46" t="s">
        <v>327</v>
      </c>
      <c r="F158" s="26" t="str">
        <f t="shared" si="70"/>
        <v/>
      </c>
      <c r="G158" s="26">
        <f>IFERROR(IF(--MID($E158,2*COUNTIF($F158:F158,"&gt;"&amp;0)+2,1)=G$1,G$1,""),"")</f>
        <v>2</v>
      </c>
      <c r="H158" s="26" t="str">
        <f>IFERROR(IF(--MID($E158,2*COUNTIF($F158:G158,"&gt;"&amp;0)+2,1)=H$1,H$1,""),"")</f>
        <v/>
      </c>
      <c r="I158" s="26">
        <f>IFERROR(IF(--MID($E158,2*COUNTIF($F158:H158,"&gt;"&amp;0)+2,1)=I$1,I$1,""),"")</f>
        <v>4</v>
      </c>
      <c r="J158" s="26" t="str">
        <f>IFERROR(IF(--MID($E158,2*COUNTIF($F158:I158,"&gt;"&amp;0)+2,1)=J$1,J$1,""),"")</f>
        <v/>
      </c>
      <c r="K158" s="26">
        <f>IFERROR(IF(--MID($E158,2*COUNTIF($F158:J158,"&gt;"&amp;0)+2,1)=K$1,K$1,""),"")</f>
        <v>6</v>
      </c>
      <c r="L158" s="39" t="str" cm="1">
        <f t="array" ref="L158">IFERROR(IF($A158="","",IF(F158="","",_xlfn.XLOOKUP($C158&amp;"_"&amp;$AG158,符文权重!$A:$A&amp;"_"&amp;符文权重!$C:$C,符文权重!$D:$D)*$X158/SUMIFS($X:$X,F:F,F158,$C:$C,$C158,$AG:$AG,$AG158)/SUMIF(符文权重!$A:$A,$C158,符文权重!$D:$D))),"")</f>
        <v/>
      </c>
      <c r="M158" s="39" t="str" cm="1">
        <f t="array" ref="M158">IFERROR(IF($A158="","",IF(G158="","",_xlfn.XLOOKUP($C158&amp;"_"&amp;$AG158,符文权重!$A:$A&amp;"_"&amp;符文权重!$C:$C,符文权重!$D:$D)*$X158/SUMIFS($X:$X,G:G,G158,$C:$C,$C158,$AG:$AG,$AG158)/SUMIF(符文权重!$A:$A,$C158,符文权重!$D:$D))),"")</f>
        <v/>
      </c>
      <c r="N158" s="39" t="str" cm="1">
        <f t="array" ref="N158">IFERROR(IF($A158="","",IF(H158="","",_xlfn.XLOOKUP($C158&amp;"_"&amp;$AG158,符文权重!$A:$A&amp;"_"&amp;符文权重!$C:$C,符文权重!$D:$D)*$X158/SUMIFS($X:$X,H:H,H158,$C:$C,$C158,$AG:$AG,$AG158)/SUMIF(符文权重!$A:$A,$C158,符文权重!$D:$D))),"")</f>
        <v/>
      </c>
      <c r="O158" s="39" t="str" cm="1">
        <f t="array" ref="O158">IFERROR(IF($A158="","",IF(I158="","",_xlfn.XLOOKUP($C158&amp;"_"&amp;$AG158,符文权重!$A:$A&amp;"_"&amp;符文权重!$C:$C,符文权重!$D:$D)*$X158/SUMIFS($X:$X,I:I,I158,$C:$C,$C158,$AG:$AG,$AG158)/SUMIF(符文权重!$A:$A,$C158,符文权重!$D:$D))),"")</f>
        <v/>
      </c>
      <c r="P158" s="39" t="str" cm="1">
        <f t="array" ref="P158">IFERROR(IF($A158="","",IF(J158="","",_xlfn.XLOOKUP($C158&amp;"_"&amp;$AG158,符文权重!$A:$A&amp;"_"&amp;符文权重!$C:$C,符文权重!$D:$D)*$X158/SUMIFS($X:$X,J:J,J158,$C:$C,$C158,$AG:$AG,$AG158)/SUMIF(符文权重!$A:$A,$C158,符文权重!$D:$D))),"")</f>
        <v/>
      </c>
      <c r="Q158" s="39" t="str" cm="1">
        <f t="array" ref="Q158">IFERROR(IF($A158="","",IF(K158="","",_xlfn.XLOOKUP($C158&amp;"_"&amp;$AG158,符文权重!$A:$A&amp;"_"&amp;符文权重!$C:$C,符文权重!$D:$D)*$X158/SUMIFS($X:$X,K:K,K158,$C:$C,$C158,$AG:$AG,$AG158)/SUMIF(符文权重!$A:$A,$C158,符文权重!$D:$D))),"")</f>
        <v/>
      </c>
      <c r="R158" s="46" t="s">
        <v>163</v>
      </c>
      <c r="S158" s="46"/>
      <c r="T158" s="46" t="e">
        <f>IF(B158="","",SUBSTITUTE(SUBSTITUTE("[{global_atk,"&amp;#REF!*C158&amp;"}]",21,20),9,8))</f>
        <v>#REF!</v>
      </c>
      <c r="U158" s="47" t="str">
        <f t="shared" ref="U158:U164" si="86">"["&amp;A158&amp;"]"</f>
        <v>[5502021]</v>
      </c>
      <c r="V158" s="46"/>
      <c r="W158" s="23"/>
      <c r="X158" s="32">
        <v>100</v>
      </c>
      <c r="Y158" s="23"/>
      <c r="Z158" s="45" t="s">
        <v>165</v>
      </c>
      <c r="AA158" s="32" t="str">
        <f t="shared" si="82"/>
        <v>对有负面状态的怪物伤害+0%</v>
      </c>
      <c r="AB158" s="32"/>
      <c r="AC158" s="32" t="s">
        <v>166</v>
      </c>
      <c r="AD158" s="32">
        <f t="shared" si="73"/>
        <v>1153</v>
      </c>
      <c r="AE158" s="44" t="str">
        <f t="shared" si="78"/>
        <v>5502021</v>
      </c>
      <c r="AF158" s="45" t="str">
        <f t="shared" si="79"/>
        <v>[0]</v>
      </c>
      <c r="AG158" s="26">
        <v>100</v>
      </c>
      <c r="AH158" s="46"/>
      <c r="AI158" s="46">
        <v>1</v>
      </c>
      <c r="AJ158" s="25" t="s">
        <v>167</v>
      </c>
      <c r="AK158" s="48">
        <v>5502021</v>
      </c>
      <c r="AL158" s="49" t="s">
        <v>328</v>
      </c>
      <c r="AM158" s="46">
        <v>0</v>
      </c>
      <c r="AN158" s="26"/>
      <c r="AO158" s="26" t="s">
        <v>25</v>
      </c>
      <c r="AP158" s="20">
        <f t="shared" si="74"/>
        <v>153</v>
      </c>
    </row>
    <row r="159" s="22" customFormat="1" customHeight="1" spans="1:48">
      <c r="A159" s="44">
        <v>5502022</v>
      </c>
      <c r="B159" s="44" t="str">
        <f t="shared" si="75"/>
        <v>5502021</v>
      </c>
      <c r="C159" s="45">
        <f t="shared" si="76"/>
        <v>2</v>
      </c>
      <c r="D159" s="45"/>
      <c r="E159" s="46" t="s">
        <v>327</v>
      </c>
      <c r="F159" s="26" t="str">
        <f t="shared" si="70"/>
        <v/>
      </c>
      <c r="G159" s="26">
        <f>IFERROR(IF(--MID($E159,2*COUNTIF($F159:F159,"&gt;"&amp;0)+2,1)=G$1,G$1,""),"")</f>
        <v>2</v>
      </c>
      <c r="H159" s="26" t="str">
        <f>IFERROR(IF(--MID($E159,2*COUNTIF($F159:G159,"&gt;"&amp;0)+2,1)=H$1,H$1,""),"")</f>
        <v/>
      </c>
      <c r="I159" s="26">
        <f>IFERROR(IF(--MID($E159,2*COUNTIF($F159:H159,"&gt;"&amp;0)+2,1)=I$1,I$1,""),"")</f>
        <v>4</v>
      </c>
      <c r="J159" s="26" t="str">
        <f>IFERROR(IF(--MID($E159,2*COUNTIF($F159:I159,"&gt;"&amp;0)+2,1)=J$1,J$1,""),"")</f>
        <v/>
      </c>
      <c r="K159" s="26">
        <f>IFERROR(IF(--MID($E159,2*COUNTIF($F159:J159,"&gt;"&amp;0)+2,1)=K$1,K$1,""),"")</f>
        <v>6</v>
      </c>
      <c r="L159" s="39" t="str" cm="1">
        <f t="array" ref="L159">IFERROR(IF($A159="","",IF(F159="","",_xlfn.XLOOKUP($C159&amp;"_"&amp;$AG159,符文权重!$A:$A&amp;"_"&amp;符文权重!$C:$C,符文权重!$D:$D)*$X159/SUMIFS($X:$X,F:F,F159,$C:$C,$C159,$AG:$AG,$AG159)/SUMIF(符文权重!$A:$A,$C159,符文权重!$D:$D))),"")</f>
        <v/>
      </c>
      <c r="M159" s="39" t="str" cm="1">
        <f t="array" ref="M159">IFERROR(IF($A159="","",IF(G159="","",_xlfn.XLOOKUP($C159&amp;"_"&amp;$AG159,符文权重!$A:$A&amp;"_"&amp;符文权重!$C:$C,符文权重!$D:$D)*$X159/SUMIFS($X:$X,G:G,G159,$C:$C,$C159,$AG:$AG,$AG159)/SUMIF(符文权重!$A:$A,$C159,符文权重!$D:$D))),"")</f>
        <v/>
      </c>
      <c r="N159" s="39" t="str" cm="1">
        <f t="array" ref="N159">IFERROR(IF($A159="","",IF(H159="","",_xlfn.XLOOKUP($C159&amp;"_"&amp;$AG159,符文权重!$A:$A&amp;"_"&amp;符文权重!$C:$C,符文权重!$D:$D)*$X159/SUMIFS($X:$X,H:H,H159,$C:$C,$C159,$AG:$AG,$AG159)/SUMIF(符文权重!$A:$A,$C159,符文权重!$D:$D))),"")</f>
        <v/>
      </c>
      <c r="O159" s="39" t="str" cm="1">
        <f t="array" ref="O159">IFERROR(IF($A159="","",IF(I159="","",_xlfn.XLOOKUP($C159&amp;"_"&amp;$AG159,符文权重!$A:$A&amp;"_"&amp;符文权重!$C:$C,符文权重!$D:$D)*$X159/SUMIFS($X:$X,I:I,I159,$C:$C,$C159,$AG:$AG,$AG159)/SUMIF(符文权重!$A:$A,$C159,符文权重!$D:$D))),"")</f>
        <v/>
      </c>
      <c r="P159" s="39" t="str" cm="1">
        <f t="array" ref="P159">IFERROR(IF($A159="","",IF(J159="","",_xlfn.XLOOKUP($C159&amp;"_"&amp;$AG159,符文权重!$A:$A&amp;"_"&amp;符文权重!$C:$C,符文权重!$D:$D)*$X159/SUMIFS($X:$X,J:J,J159,$C:$C,$C159,$AG:$AG,$AG159)/SUMIF(符文权重!$A:$A,$C159,符文权重!$D:$D))),"")</f>
        <v/>
      </c>
      <c r="Q159" s="39" t="str" cm="1">
        <f t="array" ref="Q159">IFERROR(IF($A159="","",IF(K159="","",_xlfn.XLOOKUP($C159&amp;"_"&amp;$AG159,符文权重!$A:$A&amp;"_"&amp;符文权重!$C:$C,符文权重!$D:$D)*$X159/SUMIFS($X:$X,K:K,K159,$C:$C,$C159,$AG:$AG,$AG159)/SUMIF(符文权重!$A:$A,$C159,符文权重!$D:$D))),"")</f>
        <v/>
      </c>
      <c r="R159" s="46" t="s">
        <v>163</v>
      </c>
      <c r="S159" s="46"/>
      <c r="T159" s="46" t="e">
        <f>IF(B159="","",SUBSTITUTE(SUBSTITUTE("[{global_atk,"&amp;#REF!*C159&amp;"}]",21,20),9,8))</f>
        <v>#REF!</v>
      </c>
      <c r="U159" s="47" t="str">
        <f t="shared" si="86"/>
        <v>[5502022]</v>
      </c>
      <c r="V159" s="46"/>
      <c r="W159" s="23"/>
      <c r="X159" s="32">
        <v>100</v>
      </c>
      <c r="Y159" s="23"/>
      <c r="Z159" s="45" t="s">
        <v>170</v>
      </c>
      <c r="AA159" s="32" t="str">
        <f t="shared" si="82"/>
        <v>对有负面状态的怪物伤害+8%</v>
      </c>
      <c r="AB159" s="32"/>
      <c r="AC159" s="32" t="s">
        <v>166</v>
      </c>
      <c r="AD159" s="32">
        <f t="shared" si="73"/>
        <v>1154</v>
      </c>
      <c r="AE159" s="44" t="str">
        <f t="shared" si="78"/>
        <v>5502021</v>
      </c>
      <c r="AF159" s="45" t="str">
        <f t="shared" si="79"/>
        <v>[8]</v>
      </c>
      <c r="AG159" s="26">
        <v>100</v>
      </c>
      <c r="AH159" s="46"/>
      <c r="AI159" s="46">
        <v>1</v>
      </c>
      <c r="AJ159" s="25" t="s">
        <v>167</v>
      </c>
      <c r="AK159" s="44">
        <f t="shared" ref="AK159:AK164" si="87">AK158+1</f>
        <v>5502022</v>
      </c>
      <c r="AL159" s="50" t="str">
        <f t="shared" ref="AL159:AL164" si="88">AL158</f>
        <v>对有负面状态的怪物伤害&lt;color=#54b76b&gt;+%s%&lt;/color&gt;</v>
      </c>
      <c r="AM159" s="46">
        <v>8</v>
      </c>
      <c r="AN159" s="26"/>
      <c r="AO159" s="26" t="s">
        <v>25</v>
      </c>
      <c r="AP159" s="20">
        <f t="shared" si="74"/>
        <v>154</v>
      </c>
    </row>
    <row r="160" s="20" customFormat="1" customHeight="1" spans="1:48">
      <c r="A160" s="38">
        <v>5502023</v>
      </c>
      <c r="B160" s="38" t="str">
        <f t="shared" si="75"/>
        <v>5502021</v>
      </c>
      <c r="C160" s="32">
        <f t="shared" si="76"/>
        <v>3</v>
      </c>
      <c r="D160" s="32"/>
      <c r="E160" s="26" t="s">
        <v>327</v>
      </c>
      <c r="F160" s="26" t="str">
        <f t="shared" si="70"/>
        <v/>
      </c>
      <c r="G160" s="26">
        <f>IFERROR(IF(--MID($E160,2*COUNTIF($F160:F160,"&gt;"&amp;0)+2,1)=G$1,G$1,""),"")</f>
        <v>2</v>
      </c>
      <c r="H160" s="26" t="str">
        <f>IFERROR(IF(--MID($E160,2*COUNTIF($F160:G160,"&gt;"&amp;0)+2,1)=H$1,H$1,""),"")</f>
        <v/>
      </c>
      <c r="I160" s="26">
        <f>IFERROR(IF(--MID($E160,2*COUNTIF($F160:H160,"&gt;"&amp;0)+2,1)=I$1,I$1,""),"")</f>
        <v>4</v>
      </c>
      <c r="J160" s="26" t="str">
        <f>IFERROR(IF(--MID($E160,2*COUNTIF($F160:I160,"&gt;"&amp;0)+2,1)=J$1,J$1,""),"")</f>
        <v/>
      </c>
      <c r="K160" s="26">
        <f>IFERROR(IF(--MID($E160,2*COUNTIF($F160:J160,"&gt;"&amp;0)+2,1)=K$1,K$1,""),"")</f>
        <v>6</v>
      </c>
      <c r="L160" s="39" t="str" cm="1">
        <f t="array" ref="L160">IFERROR(IF($A160="","",IF(F160="","",_xlfn.XLOOKUP($C160&amp;"_"&amp;$AG160,符文权重!$A:$A&amp;"_"&amp;符文权重!$C:$C,符文权重!$D:$D)*$X160/SUMIFS($X:$X,F:F,F160,$C:$C,$C160,$AG:$AG,$AG160)/SUMIF(符文权重!$A:$A,$C160,符文权重!$D:$D))),"")</f>
        <v/>
      </c>
      <c r="M160" s="39" cm="1">
        <f t="array" ref="M160">IFERROR(IF($A160="","",IF(G160="","",_xlfn.XLOOKUP($C160&amp;"_"&amp;$AG160,符文权重!$A:$A&amp;"_"&amp;符文权重!$C:$C,符文权重!$D:$D)*$X160/SUMIFS($X:$X,G:G,G160,$C:$C,$C160,$AG:$AG,$AG160)/SUMIF(符文权重!$A:$A,$C160,符文权重!$D:$D))),"")</f>
        <v>0.0344827586206897</v>
      </c>
      <c r="N160" s="39" t="str" cm="1">
        <f t="array" ref="N160">IFERROR(IF($A160="","",IF(H160="","",_xlfn.XLOOKUP($C160&amp;"_"&amp;$AG160,符文权重!$A:$A&amp;"_"&amp;符文权重!$C:$C,符文权重!$D:$D)*$X160/SUMIFS($X:$X,H:H,H160,$C:$C,$C160,$AG:$AG,$AG160)/SUMIF(符文权重!$A:$A,$C160,符文权重!$D:$D))),"")</f>
        <v/>
      </c>
      <c r="O160" s="39" cm="1">
        <f t="array" ref="O160">IFERROR(IF($A160="","",IF(I160="","",_xlfn.XLOOKUP($C160&amp;"_"&amp;$AG160,符文权重!$A:$A&amp;"_"&amp;符文权重!$C:$C,符文权重!$D:$D)*$X160/SUMIFS($X:$X,I:I,I160,$C:$C,$C160,$AG:$AG,$AG160)/SUMIF(符文权重!$A:$A,$C160,符文权重!$D:$D))),"")</f>
        <v>0.0344827586206897</v>
      </c>
      <c r="P160" s="39" t="str" cm="1">
        <f t="array" ref="P160">IFERROR(IF($A160="","",IF(J160="","",_xlfn.XLOOKUP($C160&amp;"_"&amp;$AG160,符文权重!$A:$A&amp;"_"&amp;符文权重!$C:$C,符文权重!$D:$D)*$X160/SUMIFS($X:$X,J:J,J160,$C:$C,$C160,$AG:$AG,$AG160)/SUMIF(符文权重!$A:$A,$C160,符文权重!$D:$D))),"")</f>
        <v/>
      </c>
      <c r="Q160" s="39" cm="1">
        <f t="array" ref="Q160">IFERROR(IF($A160="","",IF(K160="","",_xlfn.XLOOKUP($C160&amp;"_"&amp;$AG160,符文权重!$A:$A&amp;"_"&amp;符文权重!$C:$C,符文权重!$D:$D)*$X160/SUMIFS($X:$X,K:K,K160,$C:$C,$C160,$AG:$AG,$AG160)/SUMIF(符文权重!$A:$A,$C160,符文权重!$D:$D))),"")</f>
        <v>0.0344827586206897</v>
      </c>
      <c r="R160" s="26" t="s">
        <v>163</v>
      </c>
      <c r="S160" s="26"/>
      <c r="T160" s="26" t="e">
        <f>IF(B160="","",SUBSTITUTE(SUBSTITUTE("[{global_atk,"&amp;#REF!*C160&amp;"}]",21,20),9,8))</f>
        <v>#REF!</v>
      </c>
      <c r="U160" s="40" t="str">
        <f t="shared" si="86"/>
        <v>[5502023]</v>
      </c>
      <c r="V160" s="26"/>
      <c r="W160" s="25"/>
      <c r="X160" s="32">
        <v>100</v>
      </c>
      <c r="Y160" s="25"/>
      <c r="Z160" s="32" t="s">
        <v>172</v>
      </c>
      <c r="AA160" s="32" t="str">
        <f t="shared" si="82"/>
        <v>对有负面状态的怪物伤害+12%</v>
      </c>
      <c r="AB160" s="32"/>
      <c r="AC160" s="32" t="s">
        <v>166</v>
      </c>
      <c r="AD160" s="32">
        <f t="shared" si="73"/>
        <v>1155</v>
      </c>
      <c r="AE160" s="38" t="str">
        <f t="shared" si="78"/>
        <v>5502021</v>
      </c>
      <c r="AF160" s="32" t="str">
        <f t="shared" si="79"/>
        <v>[12]</v>
      </c>
      <c r="AG160" s="26">
        <v>3</v>
      </c>
      <c r="AH160" s="26"/>
      <c r="AI160" s="26">
        <v>0</v>
      </c>
      <c r="AJ160" s="25" t="s">
        <v>167</v>
      </c>
      <c r="AK160" s="38">
        <f t="shared" si="87"/>
        <v>5502023</v>
      </c>
      <c r="AL160" s="41" t="str">
        <f t="shared" si="88"/>
        <v>对有负面状态的怪物伤害&lt;color=#54b76b&gt;+%s%&lt;/color&gt;</v>
      </c>
      <c r="AM160" s="26">
        <v>12</v>
      </c>
      <c r="AN160" s="26">
        <v>3</v>
      </c>
      <c r="AO160" s="26" t="s">
        <v>25</v>
      </c>
      <c r="AP160" s="20">
        <f t="shared" si="74"/>
        <v>155</v>
      </c>
    </row>
    <row r="161" s="20" customFormat="1" customHeight="1" spans="1:42">
      <c r="A161" s="38">
        <v>5502024</v>
      </c>
      <c r="B161" s="38" t="str">
        <f t="shared" si="75"/>
        <v>5502021</v>
      </c>
      <c r="C161" s="32">
        <f t="shared" si="76"/>
        <v>4</v>
      </c>
      <c r="D161" s="32"/>
      <c r="E161" s="26" t="s">
        <v>327</v>
      </c>
      <c r="F161" s="26" t="str">
        <f t="shared" si="70"/>
        <v/>
      </c>
      <c r="G161" s="26">
        <f>IFERROR(IF(--MID($E161,2*COUNTIF($F161:F161,"&gt;"&amp;0)+2,1)=G$1,G$1,""),"")</f>
        <v>2</v>
      </c>
      <c r="H161" s="26" t="str">
        <f>IFERROR(IF(--MID($E161,2*COUNTIF($F161:G161,"&gt;"&amp;0)+2,1)=H$1,H$1,""),"")</f>
        <v/>
      </c>
      <c r="I161" s="26">
        <f>IFERROR(IF(--MID($E161,2*COUNTIF($F161:H161,"&gt;"&amp;0)+2,1)=I$1,I$1,""),"")</f>
        <v>4</v>
      </c>
      <c r="J161" s="26" t="str">
        <f>IFERROR(IF(--MID($E161,2*COUNTIF($F161:I161,"&gt;"&amp;0)+2,1)=J$1,J$1,""),"")</f>
        <v/>
      </c>
      <c r="K161" s="26">
        <f>IFERROR(IF(--MID($E161,2*COUNTIF($F161:J161,"&gt;"&amp;0)+2,1)=K$1,K$1,""),"")</f>
        <v>6</v>
      </c>
      <c r="L161" s="39" t="str" cm="1">
        <f t="array" ref="L161">IFERROR(IF($A161="","",IF(F161="","",_xlfn.XLOOKUP($C161&amp;"_"&amp;$AG161,符文权重!$A:$A&amp;"_"&amp;符文权重!$C:$C,符文权重!$D:$D)*$X161/SUMIFS($X:$X,F:F,F161,$C:$C,$C161,$AG:$AG,$AG161)/SUMIF(符文权重!$A:$A,$C161,符文权重!$D:$D))),"")</f>
        <v/>
      </c>
      <c r="M161" s="39" cm="1">
        <f t="array" ref="M161">IFERROR(IF($A161="","",IF(G161="","",_xlfn.XLOOKUP($C161&amp;"_"&amp;$AG161,符文权重!$A:$A&amp;"_"&amp;符文权重!$C:$C,符文权重!$D:$D)*$X161/SUMIFS($X:$X,G:G,G161,$C:$C,$C161,$AG:$AG,$AG161)/SUMIF(符文权重!$A:$A,$C161,符文权重!$D:$D))),"")</f>
        <v>0.118560606060606</v>
      </c>
      <c r="N161" s="39" t="str" cm="1">
        <f t="array" ref="N161">IFERROR(IF($A161="","",IF(H161="","",_xlfn.XLOOKUP($C161&amp;"_"&amp;$AG161,符文权重!$A:$A&amp;"_"&amp;符文权重!$C:$C,符文权重!$D:$D)*$X161/SUMIFS($X:$X,H:H,H161,$C:$C,$C161,$AG:$AG,$AG161)/SUMIF(符文权重!$A:$A,$C161,符文权重!$D:$D))),"")</f>
        <v/>
      </c>
      <c r="O161" s="39" cm="1">
        <f t="array" ref="O161">IFERROR(IF($A161="","",IF(I161="","",_xlfn.XLOOKUP($C161&amp;"_"&amp;$AG161,符文权重!$A:$A&amp;"_"&amp;符文权重!$C:$C,符文权重!$D:$D)*$X161/SUMIFS($X:$X,I:I,I161,$C:$C,$C161,$AG:$AG,$AG161)/SUMIF(符文权重!$A:$A,$C161,符文权重!$D:$D))),"")</f>
        <v>0.118560606060606</v>
      </c>
      <c r="P161" s="39" t="str" cm="1">
        <f t="array" ref="P161">IFERROR(IF($A161="","",IF(J161="","",_xlfn.XLOOKUP($C161&amp;"_"&amp;$AG161,符文权重!$A:$A&amp;"_"&amp;符文权重!$C:$C,符文权重!$D:$D)*$X161/SUMIFS($X:$X,J:J,J161,$C:$C,$C161,$AG:$AG,$AG161)/SUMIF(符文权重!$A:$A,$C161,符文权重!$D:$D))),"")</f>
        <v/>
      </c>
      <c r="Q161" s="39" cm="1">
        <f t="array" ref="Q161">IFERROR(IF($A161="","",IF(K161="","",_xlfn.XLOOKUP($C161&amp;"_"&amp;$AG161,符文权重!$A:$A&amp;"_"&amp;符文权重!$C:$C,符文权重!$D:$D)*$X161/SUMIFS($X:$X,K:K,K161,$C:$C,$C161,$AG:$AG,$AG161)/SUMIF(符文权重!$A:$A,$C161,符文权重!$D:$D))),"")</f>
        <v>0.118560606060606</v>
      </c>
      <c r="R161" s="26" t="s">
        <v>163</v>
      </c>
      <c r="S161" s="26"/>
      <c r="T161" s="26" t="e">
        <f>IF(B161="","",SUBSTITUTE(SUBSTITUTE("[{global_atk,"&amp;#REF!*C161&amp;"}]",21,20),9,8))</f>
        <v>#REF!</v>
      </c>
      <c r="U161" s="40" t="str">
        <f t="shared" si="86"/>
        <v>[5502024]</v>
      </c>
      <c r="V161" s="26"/>
      <c r="W161" s="25"/>
      <c r="X161" s="32">
        <v>100</v>
      </c>
      <c r="Y161" s="25"/>
      <c r="Z161" s="32" t="s">
        <v>174</v>
      </c>
      <c r="AA161" s="32" t="str">
        <f t="shared" si="82"/>
        <v>对有负面状态的怪物伤害+18%</v>
      </c>
      <c r="AB161" s="32"/>
      <c r="AC161" s="32" t="s">
        <v>166</v>
      </c>
      <c r="AD161" s="32">
        <f t="shared" si="73"/>
        <v>1156</v>
      </c>
      <c r="AE161" s="38" t="str">
        <f t="shared" si="78"/>
        <v>5502021</v>
      </c>
      <c r="AF161" s="32" t="str">
        <f t="shared" si="79"/>
        <v>[18]</v>
      </c>
      <c r="AG161" s="26">
        <v>3</v>
      </c>
      <c r="AH161" s="26"/>
      <c r="AI161" s="26">
        <v>0</v>
      </c>
      <c r="AJ161" s="25" t="s">
        <v>167</v>
      </c>
      <c r="AK161" s="38">
        <f t="shared" si="87"/>
        <v>5502024</v>
      </c>
      <c r="AL161" s="41" t="str">
        <f t="shared" si="88"/>
        <v>对有负面状态的怪物伤害&lt;color=#54b76b&gt;+%s%&lt;/color&gt;</v>
      </c>
      <c r="AM161" s="26">
        <v>18</v>
      </c>
      <c r="AN161" s="26">
        <v>3</v>
      </c>
      <c r="AO161" s="26" t="s">
        <v>25</v>
      </c>
      <c r="AP161" s="20">
        <f t="shared" si="74"/>
        <v>156</v>
      </c>
    </row>
    <row r="162" s="20" customFormat="1" customHeight="1" spans="1:42">
      <c r="A162" s="38">
        <v>5502025</v>
      </c>
      <c r="B162" s="38" t="str">
        <f t="shared" si="75"/>
        <v>5502021</v>
      </c>
      <c r="C162" s="32">
        <f t="shared" si="76"/>
        <v>5</v>
      </c>
      <c r="D162" s="32"/>
      <c r="E162" s="26" t="s">
        <v>327</v>
      </c>
      <c r="F162" s="26" t="str">
        <f t="shared" si="70"/>
        <v/>
      </c>
      <c r="G162" s="26">
        <f>IFERROR(IF(--MID($E162,2*COUNTIF($F162:F162,"&gt;"&amp;0)+2,1)=G$1,G$1,""),"")</f>
        <v>2</v>
      </c>
      <c r="H162" s="26" t="str">
        <f>IFERROR(IF(--MID($E162,2*COUNTIF($F162:G162,"&gt;"&amp;0)+2,1)=H$1,H$1,""),"")</f>
        <v/>
      </c>
      <c r="I162" s="26">
        <f>IFERROR(IF(--MID($E162,2*COUNTIF($F162:H162,"&gt;"&amp;0)+2,1)=I$1,I$1,""),"")</f>
        <v>4</v>
      </c>
      <c r="J162" s="26" t="str">
        <f>IFERROR(IF(--MID($E162,2*COUNTIF($F162:I162,"&gt;"&amp;0)+2,1)=J$1,J$1,""),"")</f>
        <v/>
      </c>
      <c r="K162" s="26">
        <f>IFERROR(IF(--MID($E162,2*COUNTIF($F162:J162,"&gt;"&amp;0)+2,1)=K$1,K$1,""),"")</f>
        <v>6</v>
      </c>
      <c r="L162" s="39" t="str" cm="1">
        <f t="array" ref="L162">IFERROR(IF($A162="","",IF(F162="","",_xlfn.XLOOKUP($C162&amp;"_"&amp;$AG162,符文权重!$A:$A&amp;"_"&amp;符文权重!$C:$C,符文权重!$D:$D)*$X162/SUMIFS($X:$X,F:F,F162,$C:$C,$C162,$AG:$AG,$AG162)/SUMIF(符文权重!$A:$A,$C162,符文权重!$D:$D))),"")</f>
        <v/>
      </c>
      <c r="M162" s="39" cm="1">
        <f t="array" ref="M162">IFERROR(IF($A162="","",IF(G162="","",_xlfn.XLOOKUP($C162&amp;"_"&amp;$AG162,符文权重!$A:$A&amp;"_"&amp;符文权重!$C:$C,符文权重!$D:$D)*$X162/SUMIFS($X:$X,G:G,G162,$C:$C,$C162,$AG:$AG,$AG162)/SUMIF(符文权重!$A:$A,$C162,符文权重!$D:$D))),"")</f>
        <v>0.133484162895928</v>
      </c>
      <c r="N162" s="39" t="str" cm="1">
        <f t="array" ref="N162">IFERROR(IF($A162="","",IF(H162="","",_xlfn.XLOOKUP($C162&amp;"_"&amp;$AG162,符文权重!$A:$A&amp;"_"&amp;符文权重!$C:$C,符文权重!$D:$D)*$X162/SUMIFS($X:$X,H:H,H162,$C:$C,$C162,$AG:$AG,$AG162)/SUMIF(符文权重!$A:$A,$C162,符文权重!$D:$D))),"")</f>
        <v/>
      </c>
      <c r="O162" s="39" cm="1">
        <f t="array" ref="O162">IFERROR(IF($A162="","",IF(I162="","",_xlfn.XLOOKUP($C162&amp;"_"&amp;$AG162,符文权重!$A:$A&amp;"_"&amp;符文权重!$C:$C,符文权重!$D:$D)*$X162/SUMIFS($X:$X,I:I,I162,$C:$C,$C162,$AG:$AG,$AG162)/SUMIF(符文权重!$A:$A,$C162,符文权重!$D:$D))),"")</f>
        <v>0.139150943396226</v>
      </c>
      <c r="P162" s="39" t="str" cm="1">
        <f t="array" ref="P162">IFERROR(IF($A162="","",IF(J162="","",_xlfn.XLOOKUP($C162&amp;"_"&amp;$AG162,符文权重!$A:$A&amp;"_"&amp;符文权重!$C:$C,符文权重!$D:$D)*$X162/SUMIFS($X:$X,J:J,J162,$C:$C,$C162,$AG:$AG,$AG162)/SUMIF(符文权重!$A:$A,$C162,符文权重!$D:$D))),"")</f>
        <v/>
      </c>
      <c r="Q162" s="39" cm="1">
        <f t="array" ref="Q162">IFERROR(IF($A162="","",IF(K162="","",_xlfn.XLOOKUP($C162&amp;"_"&amp;$AG162,符文权重!$A:$A&amp;"_"&amp;符文权重!$C:$C,符文权重!$D:$D)*$X162/SUMIFS($X:$X,K:K,K162,$C:$C,$C162,$AG:$AG,$AG162)/SUMIF(符文权重!$A:$A,$C162,符文权重!$D:$D))),"")</f>
        <v>0.139150943396226</v>
      </c>
      <c r="R162" s="26" t="s">
        <v>163</v>
      </c>
      <c r="S162" s="26"/>
      <c r="T162" s="26" t="e">
        <f>IF(B162="","",SUBSTITUTE(SUBSTITUTE("[{global_atk,"&amp;#REF!*C162&amp;"}]",21,20),9,8))</f>
        <v>#REF!</v>
      </c>
      <c r="U162" s="40" t="str">
        <f t="shared" si="86"/>
        <v>[5502025]</v>
      </c>
      <c r="V162" s="26"/>
      <c r="W162" s="25"/>
      <c r="X162" s="32">
        <v>100</v>
      </c>
      <c r="Y162" s="25"/>
      <c r="Z162" s="32" t="s">
        <v>176</v>
      </c>
      <c r="AA162" s="32" t="str">
        <f t="shared" si="82"/>
        <v>对有负面状态的怪物伤害+26%</v>
      </c>
      <c r="AB162" s="32"/>
      <c r="AC162" s="32" t="s">
        <v>166</v>
      </c>
      <c r="AD162" s="32">
        <f t="shared" si="73"/>
        <v>1157</v>
      </c>
      <c r="AE162" s="38" t="str">
        <f t="shared" si="78"/>
        <v>5502021</v>
      </c>
      <c r="AF162" s="32" t="str">
        <f t="shared" si="79"/>
        <v>[26]</v>
      </c>
      <c r="AG162" s="26">
        <v>3</v>
      </c>
      <c r="AH162" s="26"/>
      <c r="AI162" s="26">
        <v>0</v>
      </c>
      <c r="AJ162" s="25" t="s">
        <v>167</v>
      </c>
      <c r="AK162" s="38">
        <f t="shared" si="87"/>
        <v>5502025</v>
      </c>
      <c r="AL162" s="41" t="str">
        <f t="shared" si="88"/>
        <v>对有负面状态的怪物伤害&lt;color=#54b76b&gt;+%s%&lt;/color&gt;</v>
      </c>
      <c r="AM162" s="26">
        <v>26</v>
      </c>
      <c r="AN162" s="26">
        <v>3</v>
      </c>
      <c r="AO162" s="26" t="s">
        <v>25</v>
      </c>
      <c r="AP162" s="20">
        <f t="shared" si="74"/>
        <v>157</v>
      </c>
    </row>
    <row r="163" s="20" customFormat="1" customHeight="1" spans="1:42">
      <c r="A163" s="38">
        <v>5502026</v>
      </c>
      <c r="B163" s="38" t="str">
        <f t="shared" si="75"/>
        <v>5502021</v>
      </c>
      <c r="C163" s="32">
        <f t="shared" si="76"/>
        <v>6</v>
      </c>
      <c r="D163" s="32"/>
      <c r="E163" s="26" t="s">
        <v>327</v>
      </c>
      <c r="F163" s="26" t="str">
        <f t="shared" si="70"/>
        <v/>
      </c>
      <c r="G163" s="26">
        <f>IFERROR(IF(--MID($E163,2*COUNTIF($F163:F163,"&gt;"&amp;0)+2,1)=G$1,G$1,""),"")</f>
        <v>2</v>
      </c>
      <c r="H163" s="26" t="str">
        <f>IFERROR(IF(--MID($E163,2*COUNTIF($F163:G163,"&gt;"&amp;0)+2,1)=H$1,H$1,""),"")</f>
        <v/>
      </c>
      <c r="I163" s="26">
        <f>IFERROR(IF(--MID($E163,2*COUNTIF($F163:H163,"&gt;"&amp;0)+2,1)=I$1,I$1,""),"")</f>
        <v>4</v>
      </c>
      <c r="J163" s="26" t="str">
        <f>IFERROR(IF(--MID($E163,2*COUNTIF($F163:I163,"&gt;"&amp;0)+2,1)=J$1,J$1,""),"")</f>
        <v/>
      </c>
      <c r="K163" s="26">
        <f>IFERROR(IF(--MID($E163,2*COUNTIF($F163:J163,"&gt;"&amp;0)+2,1)=K$1,K$1,""),"")</f>
        <v>6</v>
      </c>
      <c r="L163" s="39" t="str" cm="1">
        <f t="array" ref="L163">IFERROR(IF($A163="","",IF(F163="","",_xlfn.XLOOKUP($C163&amp;"_"&amp;$AG163,符文权重!$A:$A&amp;"_"&amp;符文权重!$C:$C,符文权重!$D:$D)*$X163/SUMIFS($X:$X,F:F,F163,$C:$C,$C163,$AG:$AG,$AG163)/SUMIF(符文权重!$A:$A,$C163,符文权重!$D:$D))),"")</f>
        <v/>
      </c>
      <c r="M163" s="39" cm="1">
        <f t="array" ref="M163">IFERROR(IF($A163="","",IF(G163="","",_xlfn.XLOOKUP($C163&amp;"_"&amp;$AG163,符文权重!$A:$A&amp;"_"&amp;符文权重!$C:$C,符文权重!$D:$D)*$X163/SUMIFS($X:$X,G:G,G163,$C:$C,$C163,$AG:$AG,$AG163)/SUMIF(符文权重!$A:$A,$C163,符文权重!$D:$D))),"")</f>
        <v>0.133484162895928</v>
      </c>
      <c r="N163" s="39" t="str" cm="1">
        <f t="array" ref="N163">IFERROR(IF($A163="","",IF(H163="","",_xlfn.XLOOKUP($C163&amp;"_"&amp;$AG163,符文权重!$A:$A&amp;"_"&amp;符文权重!$C:$C,符文权重!$D:$D)*$X163/SUMIFS($X:$X,H:H,H163,$C:$C,$C163,$AG:$AG,$AG163)/SUMIF(符文权重!$A:$A,$C163,符文权重!$D:$D))),"")</f>
        <v/>
      </c>
      <c r="O163" s="39" cm="1">
        <f t="array" ref="O163">IFERROR(IF($A163="","",IF(I163="","",_xlfn.XLOOKUP($C163&amp;"_"&amp;$AG163,符文权重!$A:$A&amp;"_"&amp;符文权重!$C:$C,符文权重!$D:$D)*$X163/SUMIFS($X:$X,I:I,I163,$C:$C,$C163,$AG:$AG,$AG163)/SUMIF(符文权重!$A:$A,$C163,符文权重!$D:$D))),"")</f>
        <v>0.139150943396226</v>
      </c>
      <c r="P163" s="39" t="str" cm="1">
        <f t="array" ref="P163">IFERROR(IF($A163="","",IF(J163="","",_xlfn.XLOOKUP($C163&amp;"_"&amp;$AG163,符文权重!$A:$A&amp;"_"&amp;符文权重!$C:$C,符文权重!$D:$D)*$X163/SUMIFS($X:$X,J:J,J163,$C:$C,$C163,$AG:$AG,$AG163)/SUMIF(符文权重!$A:$A,$C163,符文权重!$D:$D))),"")</f>
        <v/>
      </c>
      <c r="Q163" s="39" cm="1">
        <f t="array" ref="Q163">IFERROR(IF($A163="","",IF(K163="","",_xlfn.XLOOKUP($C163&amp;"_"&amp;$AG163,符文权重!$A:$A&amp;"_"&amp;符文权重!$C:$C,符文权重!$D:$D)*$X163/SUMIFS($X:$X,K:K,K163,$C:$C,$C163,$AG:$AG,$AG163)/SUMIF(符文权重!$A:$A,$C163,符文权重!$D:$D))),"")</f>
        <v>0.139150943396226</v>
      </c>
      <c r="R163" s="26" t="s">
        <v>163</v>
      </c>
      <c r="S163" s="26"/>
      <c r="T163" s="26" t="e">
        <f>IF(B163="","",SUBSTITUTE(SUBSTITUTE("[{global_atk,"&amp;#REF!*C163&amp;"}]",21,20),9,8))</f>
        <v>#REF!</v>
      </c>
      <c r="U163" s="40" t="str">
        <f t="shared" si="86"/>
        <v>[5502026]</v>
      </c>
      <c r="V163" s="26"/>
      <c r="W163" s="25"/>
      <c r="X163" s="32">
        <v>100</v>
      </c>
      <c r="Y163" s="25"/>
      <c r="Z163" s="32" t="s">
        <v>178</v>
      </c>
      <c r="AA163" s="32" t="str">
        <f t="shared" si="82"/>
        <v>对有负面状态的怪物伤害+36%</v>
      </c>
      <c r="AB163" s="32"/>
      <c r="AC163" s="32" t="s">
        <v>166</v>
      </c>
      <c r="AD163" s="32">
        <f t="shared" si="73"/>
        <v>1158</v>
      </c>
      <c r="AE163" s="38" t="str">
        <f t="shared" si="78"/>
        <v>5502021</v>
      </c>
      <c r="AF163" s="32" t="str">
        <f t="shared" si="79"/>
        <v>[36]</v>
      </c>
      <c r="AG163" s="26">
        <v>3</v>
      </c>
      <c r="AH163" s="26"/>
      <c r="AI163" s="26">
        <v>0</v>
      </c>
      <c r="AJ163" s="25" t="s">
        <v>167</v>
      </c>
      <c r="AK163" s="38">
        <f t="shared" si="87"/>
        <v>5502026</v>
      </c>
      <c r="AL163" s="41" t="str">
        <f t="shared" si="88"/>
        <v>对有负面状态的怪物伤害&lt;color=#54b76b&gt;+%s%&lt;/color&gt;</v>
      </c>
      <c r="AM163" s="26">
        <v>36</v>
      </c>
      <c r="AN163" s="26">
        <v>3</v>
      </c>
      <c r="AO163" s="26" t="s">
        <v>25</v>
      </c>
      <c r="AP163" s="20">
        <f t="shared" si="74"/>
        <v>158</v>
      </c>
    </row>
    <row r="164" s="20" customFormat="1" customHeight="1" spans="1:42">
      <c r="A164" s="38">
        <v>5502027</v>
      </c>
      <c r="B164" s="38" t="str">
        <f t="shared" si="75"/>
        <v>5502021</v>
      </c>
      <c r="C164" s="32">
        <f t="shared" si="76"/>
        <v>7</v>
      </c>
      <c r="D164" s="32"/>
      <c r="E164" s="26" t="s">
        <v>327</v>
      </c>
      <c r="F164" s="26" t="str">
        <f t="shared" si="70"/>
        <v/>
      </c>
      <c r="G164" s="26">
        <f>IFERROR(IF(--MID($E164,2*COUNTIF($F164:F164,"&gt;"&amp;0)+2,1)=G$1,G$1,""),"")</f>
        <v>2</v>
      </c>
      <c r="H164" s="26" t="str">
        <f>IFERROR(IF(--MID($E164,2*COUNTIF($F164:G164,"&gt;"&amp;0)+2,1)=H$1,H$1,""),"")</f>
        <v/>
      </c>
      <c r="I164" s="26">
        <f>IFERROR(IF(--MID($E164,2*COUNTIF($F164:H164,"&gt;"&amp;0)+2,1)=I$1,I$1,""),"")</f>
        <v>4</v>
      </c>
      <c r="J164" s="26" t="str">
        <f>IFERROR(IF(--MID($E164,2*COUNTIF($F164:I164,"&gt;"&amp;0)+2,1)=J$1,J$1,""),"")</f>
        <v/>
      </c>
      <c r="K164" s="26">
        <f>IFERROR(IF(--MID($E164,2*COUNTIF($F164:J164,"&gt;"&amp;0)+2,1)=K$1,K$1,""),"")</f>
        <v>6</v>
      </c>
      <c r="L164" s="39" t="str" cm="1">
        <f t="array" ref="L164">IFERROR(IF($A164="","",IF(F164="","",_xlfn.XLOOKUP($C164&amp;"_"&amp;$AG164,符文权重!$A:$A&amp;"_"&amp;符文权重!$C:$C,符文权重!$D:$D)*$X164/SUMIFS($X:$X,F:F,F164,$C:$C,$C164,$AG:$AG,$AG164)/SUMIF(符文权重!$A:$A,$C164,符文权重!$D:$D))),"")</f>
        <v/>
      </c>
      <c r="M164" s="39" cm="1">
        <f t="array" ref="M164">IFERROR(IF($A164="","",IF(G164="","",_xlfn.XLOOKUP($C164&amp;"_"&amp;$AG164,符文权重!$A:$A&amp;"_"&amp;符文权重!$C:$C,符文权重!$D:$D)*$X164/SUMIFS($X:$X,G:G,G164,$C:$C,$C164,$AG:$AG,$AG164)/SUMIF(符文权重!$A:$A,$C164,符文权重!$D:$D))),"")</f>
        <v>0.133484162895928</v>
      </c>
      <c r="N164" s="39" t="str" cm="1">
        <f t="array" ref="N164">IFERROR(IF($A164="","",IF(H164="","",_xlfn.XLOOKUP($C164&amp;"_"&amp;$AG164,符文权重!$A:$A&amp;"_"&amp;符文权重!$C:$C,符文权重!$D:$D)*$X164/SUMIFS($X:$X,H:H,H164,$C:$C,$C164,$AG:$AG,$AG164)/SUMIF(符文权重!$A:$A,$C164,符文权重!$D:$D))),"")</f>
        <v/>
      </c>
      <c r="O164" s="39" cm="1">
        <f t="array" ref="O164">IFERROR(IF($A164="","",IF(I164="","",_xlfn.XLOOKUP($C164&amp;"_"&amp;$AG164,符文权重!$A:$A&amp;"_"&amp;符文权重!$C:$C,符文权重!$D:$D)*$X164/SUMIFS($X:$X,I:I,I164,$C:$C,$C164,$AG:$AG,$AG164)/SUMIF(符文权重!$A:$A,$C164,符文权重!$D:$D))),"")</f>
        <v>0.139150943396226</v>
      </c>
      <c r="P164" s="39" t="str" cm="1">
        <f t="array" ref="P164">IFERROR(IF($A164="","",IF(J164="","",_xlfn.XLOOKUP($C164&amp;"_"&amp;$AG164,符文权重!$A:$A&amp;"_"&amp;符文权重!$C:$C,符文权重!$D:$D)*$X164/SUMIFS($X:$X,J:J,J164,$C:$C,$C164,$AG:$AG,$AG164)/SUMIF(符文权重!$A:$A,$C164,符文权重!$D:$D))),"")</f>
        <v/>
      </c>
      <c r="Q164" s="39" cm="1">
        <f t="array" ref="Q164">IFERROR(IF($A164="","",IF(K164="","",_xlfn.XLOOKUP($C164&amp;"_"&amp;$AG164,符文权重!$A:$A&amp;"_"&amp;符文权重!$C:$C,符文权重!$D:$D)*$X164/SUMIFS($X:$X,K:K,K164,$C:$C,$C164,$AG:$AG,$AG164)/SUMIF(符文权重!$A:$A,$C164,符文权重!$D:$D))),"")</f>
        <v>0.139150943396226</v>
      </c>
      <c r="R164" s="26" t="s">
        <v>163</v>
      </c>
      <c r="S164" s="26"/>
      <c r="T164" s="26" t="e">
        <f>IF(B164="","",SUBSTITUTE(SUBSTITUTE("[{global_atk,"&amp;#REF!*C164&amp;"}]",21,20),9,8))</f>
        <v>#REF!</v>
      </c>
      <c r="U164" s="40" t="str">
        <f t="shared" si="86"/>
        <v>[5502027]</v>
      </c>
      <c r="V164" s="26"/>
      <c r="W164" s="25"/>
      <c r="X164" s="32">
        <v>100</v>
      </c>
      <c r="Y164" s="25"/>
      <c r="Z164" s="32" t="s">
        <v>180</v>
      </c>
      <c r="AA164" s="32" t="str">
        <f t="shared" si="82"/>
        <v>对有负面状态的怪物伤害+48%</v>
      </c>
      <c r="AB164" s="32"/>
      <c r="AC164" s="32" t="s">
        <v>166</v>
      </c>
      <c r="AD164" s="32">
        <f t="shared" si="73"/>
        <v>1159</v>
      </c>
      <c r="AE164" s="38" t="str">
        <f t="shared" si="78"/>
        <v>5502021</v>
      </c>
      <c r="AF164" s="32" t="str">
        <f t="shared" si="79"/>
        <v>[48]</v>
      </c>
      <c r="AG164" s="26">
        <v>3</v>
      </c>
      <c r="AH164" s="26"/>
      <c r="AI164" s="26">
        <v>0</v>
      </c>
      <c r="AJ164" s="25" t="s">
        <v>167</v>
      </c>
      <c r="AK164" s="38">
        <f t="shared" si="87"/>
        <v>5502027</v>
      </c>
      <c r="AL164" s="41" t="str">
        <f t="shared" si="88"/>
        <v>对有负面状态的怪物伤害&lt;color=#54b76b&gt;+%s%&lt;/color&gt;</v>
      </c>
      <c r="AM164" s="26">
        <v>48</v>
      </c>
      <c r="AN164" s="26">
        <v>3</v>
      </c>
      <c r="AO164" s="26" t="s">
        <v>25</v>
      </c>
      <c r="AP164" s="20">
        <f t="shared" si="74"/>
        <v>159</v>
      </c>
    </row>
    <row r="165" s="20" customFormat="1" customHeight="1" spans="1:42">
      <c r="A165" s="38" t="s">
        <v>167</v>
      </c>
      <c r="B165" s="38" t="str">
        <f t="shared" si="75"/>
        <v/>
      </c>
      <c r="C165" s="32" t="str">
        <f t="shared" si="76"/>
        <v/>
      </c>
      <c r="D165" s="32"/>
      <c r="E165" s="26"/>
      <c r="F165" s="26" t="str">
        <f t="shared" si="70"/>
        <v/>
      </c>
      <c r="G165" s="26" t="str">
        <f>IFERROR(IF(--MID($E165,2*COUNTIF($F165:F165,"&gt;"&amp;0)+2,1)=G$1,G$1,""),"")</f>
        <v/>
      </c>
      <c r="H165" s="26" t="str">
        <f>IFERROR(IF(--MID($E165,2*COUNTIF($F165:G165,"&gt;"&amp;0)+2,1)=H$1,H$1,""),"")</f>
        <v/>
      </c>
      <c r="I165" s="26" t="str">
        <f>IFERROR(IF(--MID($E165,2*COUNTIF($F165:H165,"&gt;"&amp;0)+2,1)=I$1,I$1,""),"")</f>
        <v/>
      </c>
      <c r="J165" s="26" t="str">
        <f>IFERROR(IF(--MID($E165,2*COUNTIF($F165:I165,"&gt;"&amp;0)+2,1)=J$1,J$1,""),"")</f>
        <v/>
      </c>
      <c r="K165" s="26" t="str">
        <f>IFERROR(IF(--MID($E165,2*COUNTIF($F165:J165,"&gt;"&amp;0)+2,1)=K$1,K$1,""),"")</f>
        <v/>
      </c>
      <c r="L165" s="39" t="str" cm="1">
        <f t="array" ref="L165">IFERROR(IF($A165="","",IF(F165="","",_xlfn.XLOOKUP($C165&amp;"_"&amp;$AG165,符文权重!$A:$A&amp;"_"&amp;符文权重!$C:$C,符文权重!$D:$D)*$X165/SUMIFS($X:$X,F:F,F165,$C:$C,$C165,$AG:$AG,$AG165)/SUMIF(符文权重!$A:$A,$C165,符文权重!$D:$D))),"")</f>
        <v/>
      </c>
      <c r="M165" s="39" t="str" cm="1">
        <f t="array" ref="M165">IFERROR(IF($A165="","",IF(G165="","",_xlfn.XLOOKUP($C165&amp;"_"&amp;$AG165,符文权重!$A:$A&amp;"_"&amp;符文权重!$C:$C,符文权重!$D:$D)*$X165/SUMIFS($X:$X,G:G,G165,$C:$C,$C165,$AG:$AG,$AG165)/SUMIF(符文权重!$A:$A,$C165,符文权重!$D:$D))),"")</f>
        <v/>
      </c>
      <c r="N165" s="39" t="str" cm="1">
        <f t="array" ref="N165">IFERROR(IF($A165="","",IF(H165="","",_xlfn.XLOOKUP($C165&amp;"_"&amp;$AG165,符文权重!$A:$A&amp;"_"&amp;符文权重!$C:$C,符文权重!$D:$D)*$X165/SUMIFS($X:$X,H:H,H165,$C:$C,$C165,$AG:$AG,$AG165)/SUMIF(符文权重!$A:$A,$C165,符文权重!$D:$D))),"")</f>
        <v/>
      </c>
      <c r="O165" s="39" t="str" cm="1">
        <f t="array" ref="O165">IFERROR(IF($A165="","",IF(I165="","",_xlfn.XLOOKUP($C165&amp;"_"&amp;$AG165,符文权重!$A:$A&amp;"_"&amp;符文权重!$C:$C,符文权重!$D:$D)*$X165/SUMIFS($X:$X,I:I,I165,$C:$C,$C165,$AG:$AG,$AG165)/SUMIF(符文权重!$A:$A,$C165,符文权重!$D:$D))),"")</f>
        <v/>
      </c>
      <c r="P165" s="39" t="str" cm="1">
        <f t="array" ref="P165">IFERROR(IF($A165="","",IF(J165="","",_xlfn.XLOOKUP($C165&amp;"_"&amp;$AG165,符文权重!$A:$A&amp;"_"&amp;符文权重!$C:$C,符文权重!$D:$D)*$X165/SUMIFS($X:$X,J:J,J165,$C:$C,$C165,$AG:$AG,$AG165)/SUMIF(符文权重!$A:$A,$C165,符文权重!$D:$D))),"")</f>
        <v/>
      </c>
      <c r="Q165" s="39" t="str" cm="1">
        <f t="array" ref="Q165">IFERROR(IF($A165="","",IF(K165="","",_xlfn.XLOOKUP($C165&amp;"_"&amp;$AG165,符文权重!$A:$A&amp;"_"&amp;符文权重!$C:$C,符文权重!$D:$D)*$X165/SUMIFS($X:$X,K:K,K165,$C:$C,$C165,$AG:$AG,$AG165)/SUMIF(符文权重!$A:$A,$C165,符文权重!$D:$D))),"")</f>
        <v/>
      </c>
      <c r="R165" s="26"/>
      <c r="S165" s="26"/>
      <c r="T165" s="26"/>
      <c r="V165" s="31"/>
      <c r="W165" s="25"/>
      <c r="X165" s="32"/>
      <c r="Y165" s="25"/>
      <c r="Z165" s="32" t="s">
        <v>167</v>
      </c>
      <c r="AA165" s="32" t="str">
        <f t="shared" si="82"/>
        <v/>
      </c>
      <c r="AB165" s="32"/>
      <c r="AC165" s="32" t="s">
        <v>166</v>
      </c>
      <c r="AD165" s="32">
        <f t="shared" si="73"/>
        <v>1160</v>
      </c>
      <c r="AE165" s="38" t="str">
        <f t="shared" si="78"/>
        <v/>
      </c>
      <c r="AF165" s="32" t="str">
        <f t="shared" si="79"/>
        <v/>
      </c>
      <c r="AG165" s="26"/>
      <c r="AH165" s="26"/>
      <c r="AI165" s="26"/>
      <c r="AJ165" s="25" t="s">
        <v>167</v>
      </c>
      <c r="AK165" s="24"/>
      <c r="AL165" s="43"/>
      <c r="AM165" s="26"/>
      <c r="AN165" s="26"/>
      <c r="AO165" s="26"/>
      <c r="AP165" s="20">
        <f t="shared" si="74"/>
        <v>160</v>
      </c>
    </row>
    <row r="166" s="22" customFormat="1" customHeight="1" spans="1:42">
      <c r="A166" s="44">
        <v>5502031</v>
      </c>
      <c r="B166" s="44" t="str">
        <f t="shared" si="75"/>
        <v>5502031</v>
      </c>
      <c r="C166" s="45">
        <f t="shared" si="76"/>
        <v>1</v>
      </c>
      <c r="D166" s="45"/>
      <c r="E166" s="46" t="s">
        <v>329</v>
      </c>
      <c r="F166" s="26" t="str">
        <f t="shared" si="70"/>
        <v/>
      </c>
      <c r="G166" s="26">
        <f>IFERROR(IF(--MID($E166,2*COUNTIF($F166:F166,"&gt;"&amp;0)+2,1)=G$1,G$1,""),"")</f>
        <v>2</v>
      </c>
      <c r="H166" s="26" t="str">
        <f>IFERROR(IF(--MID($E166,2*COUNTIF($F166:G166,"&gt;"&amp;0)+2,1)=H$1,H$1,""),"")</f>
        <v/>
      </c>
      <c r="I166" s="26" t="str">
        <f>IFERROR(IF(--MID($E166,2*COUNTIF($F166:H166,"&gt;"&amp;0)+2,1)=I$1,I$1,""),"")</f>
        <v/>
      </c>
      <c r="J166" s="26">
        <f>IFERROR(IF(--MID($E166,2*COUNTIF($F166:I166,"&gt;"&amp;0)+2,1)=J$1,J$1,""),"")</f>
        <v>5</v>
      </c>
      <c r="K166" s="26" t="str">
        <f>IFERROR(IF(--MID($E166,2*COUNTIF($F166:J166,"&gt;"&amp;0)+2,1)=K$1,K$1,""),"")</f>
        <v/>
      </c>
      <c r="L166" s="39" t="str" cm="1">
        <f t="array" ref="L166">IFERROR(IF($A166="","",IF(F166="","",_xlfn.XLOOKUP($C166&amp;"_"&amp;$AG166,符文权重!$A:$A&amp;"_"&amp;符文权重!$C:$C,符文权重!$D:$D)*$X166/SUMIFS($X:$X,F:F,F166,$C:$C,$C166,$AG:$AG,$AG166)/SUMIF(符文权重!$A:$A,$C166,符文权重!$D:$D))),"")</f>
        <v/>
      </c>
      <c r="M166" s="39" t="str" cm="1">
        <f t="array" ref="M166">IFERROR(IF($A166="","",IF(G166="","",_xlfn.XLOOKUP($C166&amp;"_"&amp;$AG166,符文权重!$A:$A&amp;"_"&amp;符文权重!$C:$C,符文权重!$D:$D)*$X166/SUMIFS($X:$X,G:G,G166,$C:$C,$C166,$AG:$AG,$AG166)/SUMIF(符文权重!$A:$A,$C166,符文权重!$D:$D))),"")</f>
        <v/>
      </c>
      <c r="N166" s="39" t="str" cm="1">
        <f t="array" ref="N166">IFERROR(IF($A166="","",IF(H166="","",_xlfn.XLOOKUP($C166&amp;"_"&amp;$AG166,符文权重!$A:$A&amp;"_"&amp;符文权重!$C:$C,符文权重!$D:$D)*$X166/SUMIFS($X:$X,H:H,H166,$C:$C,$C166,$AG:$AG,$AG166)/SUMIF(符文权重!$A:$A,$C166,符文权重!$D:$D))),"")</f>
        <v/>
      </c>
      <c r="O166" s="39" t="str" cm="1">
        <f t="array" ref="O166">IFERROR(IF($A166="","",IF(I166="","",_xlfn.XLOOKUP($C166&amp;"_"&amp;$AG166,符文权重!$A:$A&amp;"_"&amp;符文权重!$C:$C,符文权重!$D:$D)*$X166/SUMIFS($X:$X,I:I,I166,$C:$C,$C166,$AG:$AG,$AG166)/SUMIF(符文权重!$A:$A,$C166,符文权重!$D:$D))),"")</f>
        <v/>
      </c>
      <c r="P166" s="39" t="str" cm="1">
        <f t="array" ref="P166">IFERROR(IF($A166="","",IF(J166="","",_xlfn.XLOOKUP($C166&amp;"_"&amp;$AG166,符文权重!$A:$A&amp;"_"&amp;符文权重!$C:$C,符文权重!$D:$D)*$X166/SUMIFS($X:$X,J:J,J166,$C:$C,$C166,$AG:$AG,$AG166)/SUMIF(符文权重!$A:$A,$C166,符文权重!$D:$D))),"")</f>
        <v/>
      </c>
      <c r="Q166" s="39" t="str" cm="1">
        <f t="array" ref="Q166">IFERROR(IF($A166="","",IF(K166="","",_xlfn.XLOOKUP($C166&amp;"_"&amp;$AG166,符文权重!$A:$A&amp;"_"&amp;符文权重!$C:$C,符文权重!$D:$D)*$X166/SUMIFS($X:$X,K:K,K166,$C:$C,$C166,$AG:$AG,$AG166)/SUMIF(符文权重!$A:$A,$C166,符文权重!$D:$D))),"")</f>
        <v/>
      </c>
      <c r="R166" s="46" t="s">
        <v>330</v>
      </c>
      <c r="S166" s="46"/>
      <c r="T166" s="46" t="e">
        <f>IF(B166="","",SUBSTITUTE(SUBSTITUTE("[{global_atk,"&amp;#REF!*C166&amp;"}]",21,20),9,8))</f>
        <v>#REF!</v>
      </c>
      <c r="U166" s="47" t="str">
        <f t="shared" ref="U166:U172" si="89">"["&amp;A166&amp;"]"</f>
        <v>[5502031]</v>
      </c>
      <c r="V166" s="46"/>
      <c r="W166" s="23"/>
      <c r="X166" s="32">
        <v>100</v>
      </c>
      <c r="Y166" s="23"/>
      <c r="Z166" s="45" t="s">
        <v>165</v>
      </c>
      <c r="AA166" s="32" t="str">
        <f t="shared" si="82"/>
        <v>梦灵可免疫0次伤害</v>
      </c>
      <c r="AB166" s="32"/>
      <c r="AC166" s="32" t="s">
        <v>166</v>
      </c>
      <c r="AD166" s="32">
        <f t="shared" si="73"/>
        <v>1161</v>
      </c>
      <c r="AE166" s="44" t="str">
        <f t="shared" si="78"/>
        <v>5502031</v>
      </c>
      <c r="AF166" s="45" t="str">
        <f t="shared" si="79"/>
        <v>[0]</v>
      </c>
      <c r="AG166" s="26">
        <v>100</v>
      </c>
      <c r="AH166" s="46"/>
      <c r="AI166" s="46">
        <v>1</v>
      </c>
      <c r="AJ166" s="25" t="s">
        <v>167</v>
      </c>
      <c r="AK166" s="48">
        <v>5502031</v>
      </c>
      <c r="AL166" s="49" t="s">
        <v>331</v>
      </c>
      <c r="AM166" s="46">
        <v>0</v>
      </c>
      <c r="AN166" s="26"/>
      <c r="AO166" s="26" t="s">
        <v>28</v>
      </c>
      <c r="AP166" s="20">
        <f t="shared" si="74"/>
        <v>161</v>
      </c>
    </row>
    <row r="167" s="20" customFormat="1" customHeight="1" spans="1:42">
      <c r="A167" s="38">
        <v>5502032</v>
      </c>
      <c r="B167" s="38" t="str">
        <f t="shared" si="75"/>
        <v>5502031</v>
      </c>
      <c r="C167" s="32">
        <f t="shared" si="76"/>
        <v>2</v>
      </c>
      <c r="D167" s="32"/>
      <c r="E167" s="26" t="s">
        <v>329</v>
      </c>
      <c r="F167" s="26" t="str">
        <f t="shared" si="70"/>
        <v/>
      </c>
      <c r="G167" s="26">
        <f>IFERROR(IF(--MID($E167,2*COUNTIF($F167:F167,"&gt;"&amp;0)+2,1)=G$1,G$1,""),"")</f>
        <v>2</v>
      </c>
      <c r="H167" s="26" t="str">
        <f>IFERROR(IF(--MID($E167,2*COUNTIF($F167:G167,"&gt;"&amp;0)+2,1)=H$1,H$1,""),"")</f>
        <v/>
      </c>
      <c r="I167" s="26" t="str">
        <f>IFERROR(IF(--MID($E167,2*COUNTIF($F167:H167,"&gt;"&amp;0)+2,1)=I$1,I$1,""),"")</f>
        <v/>
      </c>
      <c r="J167" s="26">
        <f>IFERROR(IF(--MID($E167,2*COUNTIF($F167:I167,"&gt;"&amp;0)+2,1)=J$1,J$1,""),"")</f>
        <v>5</v>
      </c>
      <c r="K167" s="26" t="str">
        <f>IFERROR(IF(--MID($E167,2*COUNTIF($F167:J167,"&gt;"&amp;0)+2,1)=K$1,K$1,""),"")</f>
        <v/>
      </c>
      <c r="L167" s="39" t="str" cm="1">
        <f t="array" ref="L167">IFERROR(IF($A167="","",IF(F167="","",_xlfn.XLOOKUP($C167&amp;"_"&amp;$AG167,符文权重!$A:$A&amp;"_"&amp;符文权重!$C:$C,符文权重!$D:$D)*$X167/SUMIFS($X:$X,F:F,F167,$C:$C,$C167,$AG:$AG,$AG167)/SUMIF(符文权重!$A:$A,$C167,符文权重!$D:$D))),"")</f>
        <v/>
      </c>
      <c r="M167" s="39" cm="1">
        <f t="array" ref="M167">IFERROR(IF($A167="","",IF(G167="","",_xlfn.XLOOKUP($C167&amp;"_"&amp;$AG167,符文权重!$A:$A&amp;"_"&amp;符文权重!$C:$C,符文权重!$D:$D)*$X167/SUMIFS($X:$X,G:G,G167,$C:$C,$C167,$AG:$AG,$AG167)/SUMIF(符文权重!$A:$A,$C167,符文权重!$D:$D))),"")</f>
        <v>0.11</v>
      </c>
      <c r="N167" s="39" t="str" cm="1">
        <f t="array" ref="N167">IFERROR(IF($A167="","",IF(H167="","",_xlfn.XLOOKUP($C167&amp;"_"&amp;$AG167,符文权重!$A:$A&amp;"_"&amp;符文权重!$C:$C,符文权重!$D:$D)*$X167/SUMIFS($X:$X,H:H,H167,$C:$C,$C167,$AG:$AG,$AG167)/SUMIF(符文权重!$A:$A,$C167,符文权重!$D:$D))),"")</f>
        <v/>
      </c>
      <c r="O167" s="39" t="str" cm="1">
        <f t="array" ref="O167">IFERROR(IF($A167="","",IF(I167="","",_xlfn.XLOOKUP($C167&amp;"_"&amp;$AG167,符文权重!$A:$A&amp;"_"&amp;符文权重!$C:$C,符文权重!$D:$D)*$X167/SUMIFS($X:$X,I:I,I167,$C:$C,$C167,$AG:$AG,$AG167)/SUMIF(符文权重!$A:$A,$C167,符文权重!$D:$D))),"")</f>
        <v/>
      </c>
      <c r="P167" s="39" cm="1">
        <f t="array" ref="P167">IFERROR(IF($A167="","",IF(J167="","",_xlfn.XLOOKUP($C167&amp;"_"&amp;$AG167,符文权重!$A:$A&amp;"_"&amp;符文权重!$C:$C,符文权重!$D:$D)*$X167/SUMIFS($X:$X,J:J,J167,$C:$C,$C167,$AG:$AG,$AG167)/SUMIF(符文权重!$A:$A,$C167,符文权重!$D:$D))),"")</f>
        <v>0.1</v>
      </c>
      <c r="Q167" s="39" t="str" cm="1">
        <f t="array" ref="Q167">IFERROR(IF($A167="","",IF(K167="","",_xlfn.XLOOKUP($C167&amp;"_"&amp;$AG167,符文权重!$A:$A&amp;"_"&amp;符文权重!$C:$C,符文权重!$D:$D)*$X167/SUMIFS($X:$X,K:K,K167,$C:$C,$C167,$AG:$AG,$AG167)/SUMIF(符文权重!$A:$A,$C167,符文权重!$D:$D))),"")</f>
        <v/>
      </c>
      <c r="R167" s="26" t="s">
        <v>330</v>
      </c>
      <c r="S167" s="26"/>
      <c r="T167" s="26" t="e">
        <f>IF(B167="","",SUBSTITUTE(SUBSTITUTE("[{global_atk,"&amp;#REF!*C167&amp;"}]",21,20),9,8))</f>
        <v>#REF!</v>
      </c>
      <c r="U167" s="40" t="str">
        <f t="shared" si="89"/>
        <v>[5502032]</v>
      </c>
      <c r="V167" s="26"/>
      <c r="W167" s="25"/>
      <c r="X167" s="32">
        <v>100</v>
      </c>
      <c r="Y167" s="25"/>
      <c r="Z167" s="32" t="s">
        <v>170</v>
      </c>
      <c r="AA167" s="32" t="str">
        <f t="shared" si="82"/>
        <v>梦灵可免疫1次伤害</v>
      </c>
      <c r="AB167" s="32"/>
      <c r="AC167" s="32" t="s">
        <v>166</v>
      </c>
      <c r="AD167" s="32">
        <f t="shared" si="73"/>
        <v>1162</v>
      </c>
      <c r="AE167" s="38" t="str">
        <f t="shared" si="78"/>
        <v>5502031</v>
      </c>
      <c r="AF167" s="32" t="str">
        <f t="shared" si="79"/>
        <v>[1]</v>
      </c>
      <c r="AG167" s="26">
        <v>2</v>
      </c>
      <c r="AH167" s="26"/>
      <c r="AI167" s="26">
        <v>0</v>
      </c>
      <c r="AJ167" s="25" t="s">
        <v>167</v>
      </c>
      <c r="AK167" s="38">
        <f t="shared" ref="AK167:AK172" si="90">AK166+1</f>
        <v>5502032</v>
      </c>
      <c r="AL167" s="41" t="str">
        <f t="shared" ref="AL167:AL172" si="91">AL166</f>
        <v>梦灵可免疫&lt;color=#54b76b&gt;%s&lt;/color&gt;次伤害</v>
      </c>
      <c r="AM167" s="26">
        <v>1</v>
      </c>
      <c r="AN167" s="26">
        <v>2</v>
      </c>
      <c r="AO167" s="26" t="s">
        <v>28</v>
      </c>
      <c r="AP167" s="20">
        <f t="shared" si="74"/>
        <v>162</v>
      </c>
    </row>
    <row r="168" s="20" customFormat="1" customHeight="1" spans="1:42">
      <c r="A168" s="38">
        <v>5502033</v>
      </c>
      <c r="B168" s="38" t="str">
        <f t="shared" si="75"/>
        <v>5502031</v>
      </c>
      <c r="C168" s="32">
        <f t="shared" si="76"/>
        <v>3</v>
      </c>
      <c r="D168" s="32"/>
      <c r="E168" s="26" t="s">
        <v>329</v>
      </c>
      <c r="F168" s="26" t="str">
        <f t="shared" si="70"/>
        <v/>
      </c>
      <c r="G168" s="26">
        <f>IFERROR(IF(--MID($E168,2*COUNTIF($F168:F168,"&gt;"&amp;0)+2,1)=G$1,G$1,""),"")</f>
        <v>2</v>
      </c>
      <c r="H168" s="26" t="str">
        <f>IFERROR(IF(--MID($E168,2*COUNTIF($F168:G168,"&gt;"&amp;0)+2,1)=H$1,H$1,""),"")</f>
        <v/>
      </c>
      <c r="I168" s="26" t="str">
        <f>IFERROR(IF(--MID($E168,2*COUNTIF($F168:H168,"&gt;"&amp;0)+2,1)=I$1,I$1,""),"")</f>
        <v/>
      </c>
      <c r="J168" s="26">
        <f>IFERROR(IF(--MID($E168,2*COUNTIF($F168:I168,"&gt;"&amp;0)+2,1)=J$1,J$1,""),"")</f>
        <v>5</v>
      </c>
      <c r="K168" s="26" t="str">
        <f>IFERROR(IF(--MID($E168,2*COUNTIF($F168:J168,"&gt;"&amp;0)+2,1)=K$1,K$1,""),"")</f>
        <v/>
      </c>
      <c r="L168" s="39" t="str" cm="1">
        <f t="array" ref="L168">IFERROR(IF($A168="","",IF(F168="","",_xlfn.XLOOKUP($C168&amp;"_"&amp;$AG168,符文权重!$A:$A&amp;"_"&amp;符文权重!$C:$C,符文权重!$D:$D)*$X168/SUMIFS($X:$X,F:F,F168,$C:$C,$C168,$AG:$AG,$AG168)/SUMIF(符文权重!$A:$A,$C168,符文权重!$D:$D))),"")</f>
        <v/>
      </c>
      <c r="M168" s="39" cm="1">
        <f t="array" ref="M168">IFERROR(IF($A168="","",IF(G168="","",_xlfn.XLOOKUP($C168&amp;"_"&amp;$AG168,符文权重!$A:$A&amp;"_"&amp;符文权重!$C:$C,符文权重!$D:$D)*$X168/SUMIFS($X:$X,G:G,G168,$C:$C,$C168,$AG:$AG,$AG168)/SUMIF(符文权重!$A:$A,$C168,符文权重!$D:$D))),"")</f>
        <v>0.0166666666666667</v>
      </c>
      <c r="N168" s="39" t="str" cm="1">
        <f t="array" ref="N168">IFERROR(IF($A168="","",IF(H168="","",_xlfn.XLOOKUP($C168&amp;"_"&amp;$AG168,符文权重!$A:$A&amp;"_"&amp;符文权重!$C:$C,符文权重!$D:$D)*$X168/SUMIFS($X:$X,H:H,H168,$C:$C,$C168,$AG:$AG,$AG168)/SUMIF(符文权重!$A:$A,$C168,符文权重!$D:$D))),"")</f>
        <v/>
      </c>
      <c r="O168" s="39" t="str" cm="1">
        <f t="array" ref="O168">IFERROR(IF($A168="","",IF(I168="","",_xlfn.XLOOKUP($C168&amp;"_"&amp;$AG168,符文权重!$A:$A&amp;"_"&amp;符文权重!$C:$C,符文权重!$D:$D)*$X168/SUMIFS($X:$X,I:I,I168,$C:$C,$C168,$AG:$AG,$AG168)/SUMIF(符文权重!$A:$A,$C168,符文权重!$D:$D))),"")</f>
        <v/>
      </c>
      <c r="P168" s="39" cm="1">
        <f t="array" ref="P168">IFERROR(IF($A168="","",IF(J168="","",_xlfn.XLOOKUP($C168&amp;"_"&amp;$AG168,符文权重!$A:$A&amp;"_"&amp;符文权重!$C:$C,符文权重!$D:$D)*$X168/SUMIFS($X:$X,J:J,J168,$C:$C,$C168,$AG:$AG,$AG168)/SUMIF(符文权重!$A:$A,$C168,符文权重!$D:$D))),"")</f>
        <v>0.0125</v>
      </c>
      <c r="Q168" s="39" t="str" cm="1">
        <f t="array" ref="Q168">IFERROR(IF($A168="","",IF(K168="","",_xlfn.XLOOKUP($C168&amp;"_"&amp;$AG168,符文权重!$A:$A&amp;"_"&amp;符文权重!$C:$C,符文权重!$D:$D)*$X168/SUMIFS($X:$X,K:K,K168,$C:$C,$C168,$AG:$AG,$AG168)/SUMIF(符文权重!$A:$A,$C168,符文权重!$D:$D))),"")</f>
        <v/>
      </c>
      <c r="R168" s="26" t="s">
        <v>330</v>
      </c>
      <c r="S168" s="26"/>
      <c r="T168" s="26" t="e">
        <f>IF(B168="","",SUBSTITUTE(SUBSTITUTE("[{global_atk,"&amp;#REF!*C168&amp;"}]",21,20),9,8))</f>
        <v>#REF!</v>
      </c>
      <c r="U168" s="40" t="str">
        <f t="shared" si="89"/>
        <v>[5502033]</v>
      </c>
      <c r="V168" s="26"/>
      <c r="W168" s="25"/>
      <c r="X168" s="32">
        <v>100</v>
      </c>
      <c r="Y168" s="25"/>
      <c r="Z168" s="32" t="s">
        <v>172</v>
      </c>
      <c r="AA168" s="32" t="str">
        <f t="shared" si="82"/>
        <v>梦灵可免疫3次伤害</v>
      </c>
      <c r="AB168" s="32"/>
      <c r="AC168" s="32" t="s">
        <v>166</v>
      </c>
      <c r="AD168" s="32">
        <f t="shared" si="73"/>
        <v>1163</v>
      </c>
      <c r="AE168" s="38" t="str">
        <f t="shared" si="78"/>
        <v>5502031</v>
      </c>
      <c r="AF168" s="32" t="str">
        <f t="shared" si="79"/>
        <v>[3]</v>
      </c>
      <c r="AG168" s="26">
        <v>4</v>
      </c>
      <c r="AH168" s="26"/>
      <c r="AI168" s="26">
        <v>0</v>
      </c>
      <c r="AJ168" s="25" t="s">
        <v>167</v>
      </c>
      <c r="AK168" s="38">
        <f t="shared" si="90"/>
        <v>5502033</v>
      </c>
      <c r="AL168" s="41" t="str">
        <f t="shared" si="91"/>
        <v>梦灵可免疫&lt;color=#54b76b&gt;%s&lt;/color&gt;次伤害</v>
      </c>
      <c r="AM168" s="26">
        <v>3</v>
      </c>
      <c r="AN168" s="26">
        <v>3</v>
      </c>
      <c r="AO168" s="26" t="s">
        <v>28</v>
      </c>
      <c r="AP168" s="20">
        <f t="shared" si="74"/>
        <v>163</v>
      </c>
    </row>
    <row r="169" s="20" customFormat="1" customHeight="1" spans="1:42">
      <c r="A169" s="38">
        <v>5502034</v>
      </c>
      <c r="B169" s="38" t="str">
        <f t="shared" si="75"/>
        <v>5502031</v>
      </c>
      <c r="C169" s="32">
        <f t="shared" si="76"/>
        <v>4</v>
      </c>
      <c r="D169" s="32"/>
      <c r="E169" s="26" t="s">
        <v>329</v>
      </c>
      <c r="F169" s="26" t="str">
        <f t="shared" si="70"/>
        <v/>
      </c>
      <c r="G169" s="26">
        <f>IFERROR(IF(--MID($E169,2*COUNTIF($F169:F169,"&gt;"&amp;0)+2,1)=G$1,G$1,""),"")</f>
        <v>2</v>
      </c>
      <c r="H169" s="26" t="str">
        <f>IFERROR(IF(--MID($E169,2*COUNTIF($F169:G169,"&gt;"&amp;0)+2,1)=H$1,H$1,""),"")</f>
        <v/>
      </c>
      <c r="I169" s="26" t="str">
        <f>IFERROR(IF(--MID($E169,2*COUNTIF($F169:H169,"&gt;"&amp;0)+2,1)=I$1,I$1,""),"")</f>
        <v/>
      </c>
      <c r="J169" s="26">
        <f>IFERROR(IF(--MID($E169,2*COUNTIF($F169:I169,"&gt;"&amp;0)+2,1)=J$1,J$1,""),"")</f>
        <v>5</v>
      </c>
      <c r="K169" s="26" t="str">
        <f>IFERROR(IF(--MID($E169,2*COUNTIF($F169:J169,"&gt;"&amp;0)+2,1)=K$1,K$1,""),"")</f>
        <v/>
      </c>
      <c r="L169" s="39" t="str" cm="1">
        <f t="array" ref="L169">IFERROR(IF($A169="","",IF(F169="","",_xlfn.XLOOKUP($C169&amp;"_"&amp;$AG169,符文权重!$A:$A&amp;"_"&amp;符文权重!$C:$C,符文权重!$D:$D)*$X169/SUMIFS($X:$X,F:F,F169,$C:$C,$C169,$AG:$AG,$AG169)/SUMIF(符文权重!$A:$A,$C169,符文权重!$D:$D))),"")</f>
        <v/>
      </c>
      <c r="M169" s="39" cm="1">
        <f t="array" ref="M169">IFERROR(IF($A169="","",IF(G169="","",_xlfn.XLOOKUP($C169&amp;"_"&amp;$AG169,符文权重!$A:$A&amp;"_"&amp;符文权重!$C:$C,符文权重!$D:$D)*$X169/SUMIFS($X:$X,G:G,G169,$C:$C,$C169,$AG:$AG,$AG169)/SUMIF(符文权重!$A:$A,$C169,符文权重!$D:$D))),"")</f>
        <v>0.015625</v>
      </c>
      <c r="N169" s="39" t="str" cm="1">
        <f t="array" ref="N169">IFERROR(IF($A169="","",IF(H169="","",_xlfn.XLOOKUP($C169&amp;"_"&amp;$AG169,符文权重!$A:$A&amp;"_"&amp;符文权重!$C:$C,符文权重!$D:$D)*$X169/SUMIFS($X:$X,H:H,H169,$C:$C,$C169,$AG:$AG,$AG169)/SUMIF(符文权重!$A:$A,$C169,符文权重!$D:$D))),"")</f>
        <v/>
      </c>
      <c r="O169" s="39" t="str" cm="1">
        <f t="array" ref="O169">IFERROR(IF($A169="","",IF(I169="","",_xlfn.XLOOKUP($C169&amp;"_"&amp;$AG169,符文权重!$A:$A&amp;"_"&amp;符文权重!$C:$C,符文权重!$D:$D)*$X169/SUMIFS($X:$X,I:I,I169,$C:$C,$C169,$AG:$AG,$AG169)/SUMIF(符文权重!$A:$A,$C169,符文权重!$D:$D))),"")</f>
        <v/>
      </c>
      <c r="P169" s="39" cm="1">
        <f t="array" ref="P169">IFERROR(IF($A169="","",IF(J169="","",_xlfn.XLOOKUP($C169&amp;"_"&amp;$AG169,符文权重!$A:$A&amp;"_"&amp;符文权重!$C:$C,符文权重!$D:$D)*$X169/SUMIFS($X:$X,J:J,J169,$C:$C,$C169,$AG:$AG,$AG169)/SUMIF(符文权重!$A:$A,$C169,符文权重!$D:$D))),"")</f>
        <v>0.0119047619047619</v>
      </c>
      <c r="Q169" s="39" t="str" cm="1">
        <f t="array" ref="Q169">IFERROR(IF($A169="","",IF(K169="","",_xlfn.XLOOKUP($C169&amp;"_"&amp;$AG169,符文权重!$A:$A&amp;"_"&amp;符文权重!$C:$C,符文权重!$D:$D)*$X169/SUMIFS($X:$X,K:K,K169,$C:$C,$C169,$AG:$AG,$AG169)/SUMIF(符文权重!$A:$A,$C169,符文权重!$D:$D))),"")</f>
        <v/>
      </c>
      <c r="R169" s="26" t="s">
        <v>330</v>
      </c>
      <c r="S169" s="26"/>
      <c r="T169" s="26" t="e">
        <f>IF(B169="","",SUBSTITUTE(SUBSTITUTE("[{global_atk,"&amp;#REF!*C169&amp;"}]",21,20),9,8))</f>
        <v>#REF!</v>
      </c>
      <c r="U169" s="40" t="str">
        <f t="shared" si="89"/>
        <v>[5502034]</v>
      </c>
      <c r="V169" s="26"/>
      <c r="W169" s="25"/>
      <c r="X169" s="32">
        <v>100</v>
      </c>
      <c r="Y169" s="25"/>
      <c r="Z169" s="32" t="s">
        <v>174</v>
      </c>
      <c r="AA169" s="32" t="str">
        <f t="shared" si="82"/>
        <v>梦灵可免疫5次伤害</v>
      </c>
      <c r="AB169" s="32"/>
      <c r="AC169" s="32" t="s">
        <v>166</v>
      </c>
      <c r="AD169" s="32">
        <f t="shared" si="73"/>
        <v>1164</v>
      </c>
      <c r="AE169" s="38" t="str">
        <f t="shared" si="78"/>
        <v>5502031</v>
      </c>
      <c r="AF169" s="32" t="str">
        <f t="shared" si="79"/>
        <v>[5]</v>
      </c>
      <c r="AG169" s="26">
        <v>4</v>
      </c>
      <c r="AH169" s="26"/>
      <c r="AI169" s="26">
        <v>0</v>
      </c>
      <c r="AJ169" s="25" t="s">
        <v>167</v>
      </c>
      <c r="AK169" s="38">
        <f t="shared" si="90"/>
        <v>5502034</v>
      </c>
      <c r="AL169" s="41" t="str">
        <f t="shared" si="91"/>
        <v>梦灵可免疫&lt;color=#54b76b&gt;%s&lt;/color&gt;次伤害</v>
      </c>
      <c r="AM169" s="26">
        <v>5</v>
      </c>
      <c r="AN169" s="26">
        <v>5</v>
      </c>
      <c r="AO169" s="26" t="s">
        <v>28</v>
      </c>
      <c r="AP169" s="20">
        <f t="shared" si="74"/>
        <v>164</v>
      </c>
    </row>
    <row r="170" s="20" customFormat="1" customHeight="1" spans="1:42">
      <c r="A170" s="38">
        <v>5502035</v>
      </c>
      <c r="B170" s="38" t="str">
        <f t="shared" si="75"/>
        <v>5502031</v>
      </c>
      <c r="C170" s="32">
        <f t="shared" si="76"/>
        <v>5</v>
      </c>
      <c r="D170" s="32"/>
      <c r="E170" s="26" t="s">
        <v>329</v>
      </c>
      <c r="F170" s="26" t="str">
        <f t="shared" si="70"/>
        <v/>
      </c>
      <c r="G170" s="26">
        <f>IFERROR(IF(--MID($E170,2*COUNTIF($F170:F170,"&gt;"&amp;0)+2,1)=G$1,G$1,""),"")</f>
        <v>2</v>
      </c>
      <c r="H170" s="26" t="str">
        <f>IFERROR(IF(--MID($E170,2*COUNTIF($F170:G170,"&gt;"&amp;0)+2,1)=H$1,H$1,""),"")</f>
        <v/>
      </c>
      <c r="I170" s="26" t="str">
        <f>IFERROR(IF(--MID($E170,2*COUNTIF($F170:H170,"&gt;"&amp;0)+2,1)=I$1,I$1,""),"")</f>
        <v/>
      </c>
      <c r="J170" s="26">
        <f>IFERROR(IF(--MID($E170,2*COUNTIF($F170:I170,"&gt;"&amp;0)+2,1)=J$1,J$1,""),"")</f>
        <v>5</v>
      </c>
      <c r="K170" s="26" t="str">
        <f>IFERROR(IF(--MID($E170,2*COUNTIF($F170:J170,"&gt;"&amp;0)+2,1)=K$1,K$1,""),"")</f>
        <v/>
      </c>
      <c r="L170" s="39" t="str" cm="1">
        <f t="array" ref="L170">IFERROR(IF($A170="","",IF(F170="","",_xlfn.XLOOKUP($C170&amp;"_"&amp;$AG170,符文权重!$A:$A&amp;"_"&amp;符文权重!$C:$C,符文权重!$D:$D)*$X170/SUMIFS($X:$X,F:F,F170,$C:$C,$C170,$AG:$AG,$AG170)/SUMIF(符文权重!$A:$A,$C170,符文权重!$D:$D))),"")</f>
        <v/>
      </c>
      <c r="M170" s="39" cm="1">
        <f t="array" ref="M170">IFERROR(IF($A170="","",IF(G170="","",_xlfn.XLOOKUP($C170&amp;"_"&amp;$AG170,符文权重!$A:$A&amp;"_"&amp;符文权重!$C:$C,符文权重!$D:$D)*$X170/SUMIFS($X:$X,G:G,G170,$C:$C,$C170,$AG:$AG,$AG170)/SUMIF(符文权重!$A:$A,$C170,符文权重!$D:$D))),"")</f>
        <v>0.005625</v>
      </c>
      <c r="N170" s="39" t="str" cm="1">
        <f t="array" ref="N170">IFERROR(IF($A170="","",IF(H170="","",_xlfn.XLOOKUP($C170&amp;"_"&amp;$AG170,符文权重!$A:$A&amp;"_"&amp;符文权重!$C:$C,符文权重!$D:$D)*$X170/SUMIFS($X:$X,H:H,H170,$C:$C,$C170,$AG:$AG,$AG170)/SUMIF(符文权重!$A:$A,$C170,符文权重!$D:$D))),"")</f>
        <v/>
      </c>
      <c r="O170" s="39" t="str" cm="1">
        <f t="array" ref="O170">IFERROR(IF($A170="","",IF(I170="","",_xlfn.XLOOKUP($C170&amp;"_"&amp;$AG170,符文权重!$A:$A&amp;"_"&amp;符文权重!$C:$C,符文权重!$D:$D)*$X170/SUMIFS($X:$X,I:I,I170,$C:$C,$C170,$AG:$AG,$AG170)/SUMIF(符文权重!$A:$A,$C170,符文权重!$D:$D))),"")</f>
        <v/>
      </c>
      <c r="P170" s="39" cm="1">
        <f t="array" ref="P170">IFERROR(IF($A170="","",IF(J170="","",_xlfn.XLOOKUP($C170&amp;"_"&amp;$AG170,符文权重!$A:$A&amp;"_"&amp;符文权重!$C:$C,符文权重!$D:$D)*$X170/SUMIFS($X:$X,J:J,J170,$C:$C,$C170,$AG:$AG,$AG170)/SUMIF(符文权重!$A:$A,$C170,符文权重!$D:$D))),"")</f>
        <v>0.005625</v>
      </c>
      <c r="Q170" s="39" t="str" cm="1">
        <f t="array" ref="Q170">IFERROR(IF($A170="","",IF(K170="","",_xlfn.XLOOKUP($C170&amp;"_"&amp;$AG170,符文权重!$A:$A&amp;"_"&amp;符文权重!$C:$C,符文权重!$D:$D)*$X170/SUMIFS($X:$X,K:K,K170,$C:$C,$C170,$AG:$AG,$AG170)/SUMIF(符文权重!$A:$A,$C170,符文权重!$D:$D))),"")</f>
        <v/>
      </c>
      <c r="R170" s="26" t="s">
        <v>330</v>
      </c>
      <c r="S170" s="26"/>
      <c r="T170" s="26" t="e">
        <f>IF(B170="","",SUBSTITUTE(SUBSTITUTE("[{global_atk,"&amp;#REF!*C170&amp;"}]",21,20),9,8))</f>
        <v>#REF!</v>
      </c>
      <c r="U170" s="40" t="str">
        <f t="shared" si="89"/>
        <v>[5502035]</v>
      </c>
      <c r="V170" s="26"/>
      <c r="W170" s="25"/>
      <c r="X170" s="32">
        <v>100</v>
      </c>
      <c r="Y170" s="25"/>
      <c r="Z170" s="32" t="s">
        <v>176</v>
      </c>
      <c r="AA170" s="32" t="str">
        <f t="shared" si="82"/>
        <v>梦灵可免疫6次伤害</v>
      </c>
      <c r="AB170" s="32"/>
      <c r="AC170" s="32" t="s">
        <v>166</v>
      </c>
      <c r="AD170" s="32">
        <f t="shared" si="73"/>
        <v>1165</v>
      </c>
      <c r="AE170" s="38" t="str">
        <f t="shared" si="78"/>
        <v>5502031</v>
      </c>
      <c r="AF170" s="32" t="str">
        <f t="shared" si="79"/>
        <v>[6]</v>
      </c>
      <c r="AG170" s="26">
        <v>5</v>
      </c>
      <c r="AH170" s="26"/>
      <c r="AI170" s="26">
        <v>0</v>
      </c>
      <c r="AJ170" s="25" t="s">
        <v>167</v>
      </c>
      <c r="AK170" s="38">
        <f t="shared" si="90"/>
        <v>5502035</v>
      </c>
      <c r="AL170" s="41" t="str">
        <f t="shared" si="91"/>
        <v>梦灵可免疫&lt;color=#54b76b&gt;%s&lt;/color&gt;次伤害</v>
      </c>
      <c r="AM170" s="26">
        <v>6</v>
      </c>
      <c r="AN170" s="26">
        <v>5</v>
      </c>
      <c r="AO170" s="26" t="s">
        <v>28</v>
      </c>
      <c r="AP170" s="20">
        <f t="shared" si="74"/>
        <v>165</v>
      </c>
    </row>
    <row r="171" s="20" customFormat="1" customHeight="1" spans="1:42">
      <c r="A171" s="38">
        <v>5502036</v>
      </c>
      <c r="B171" s="38" t="str">
        <f t="shared" si="75"/>
        <v>5502031</v>
      </c>
      <c r="C171" s="32">
        <f t="shared" si="76"/>
        <v>6</v>
      </c>
      <c r="D171" s="32"/>
      <c r="E171" s="26" t="s">
        <v>329</v>
      </c>
      <c r="F171" s="26" t="str">
        <f t="shared" si="70"/>
        <v/>
      </c>
      <c r="G171" s="26">
        <f>IFERROR(IF(--MID($E171,2*COUNTIF($F171:F171,"&gt;"&amp;0)+2,1)=G$1,G$1,""),"")</f>
        <v>2</v>
      </c>
      <c r="H171" s="26" t="str">
        <f>IFERROR(IF(--MID($E171,2*COUNTIF($F171:G171,"&gt;"&amp;0)+2,1)=H$1,H$1,""),"")</f>
        <v/>
      </c>
      <c r="I171" s="26" t="str">
        <f>IFERROR(IF(--MID($E171,2*COUNTIF($F171:H171,"&gt;"&amp;0)+2,1)=I$1,I$1,""),"")</f>
        <v/>
      </c>
      <c r="J171" s="26">
        <f>IFERROR(IF(--MID($E171,2*COUNTIF($F171:I171,"&gt;"&amp;0)+2,1)=J$1,J$1,""),"")</f>
        <v>5</v>
      </c>
      <c r="K171" s="26" t="str">
        <f>IFERROR(IF(--MID($E171,2*COUNTIF($F171:J171,"&gt;"&amp;0)+2,1)=K$1,K$1,""),"")</f>
        <v/>
      </c>
      <c r="L171" s="39" t="str" cm="1">
        <f t="array" ref="L171">IFERROR(IF($A171="","",IF(F171="","",_xlfn.XLOOKUP($C171&amp;"_"&amp;$AG171,符文权重!$A:$A&amp;"_"&amp;符文权重!$C:$C,符文权重!$D:$D)*$X171/SUMIFS($X:$X,F:F,F171,$C:$C,$C171,$AG:$AG,$AG171)/SUMIF(符文权重!$A:$A,$C171,符文权重!$D:$D))),"")</f>
        <v/>
      </c>
      <c r="M171" s="39" cm="1">
        <f t="array" ref="M171">IFERROR(IF($A171="","",IF(G171="","",_xlfn.XLOOKUP($C171&amp;"_"&amp;$AG171,符文权重!$A:$A&amp;"_"&amp;符文权重!$C:$C,符文权重!$D:$D)*$X171/SUMIFS($X:$X,G:G,G171,$C:$C,$C171,$AG:$AG,$AG171)/SUMIF(符文权重!$A:$A,$C171,符文权重!$D:$D))),"")</f>
        <v>0.005625</v>
      </c>
      <c r="N171" s="39" t="str" cm="1">
        <f t="array" ref="N171">IFERROR(IF($A171="","",IF(H171="","",_xlfn.XLOOKUP($C171&amp;"_"&amp;$AG171,符文权重!$A:$A&amp;"_"&amp;符文权重!$C:$C,符文权重!$D:$D)*$X171/SUMIFS($X:$X,H:H,H171,$C:$C,$C171,$AG:$AG,$AG171)/SUMIF(符文权重!$A:$A,$C171,符文权重!$D:$D))),"")</f>
        <v/>
      </c>
      <c r="O171" s="39" t="str" cm="1">
        <f t="array" ref="O171">IFERROR(IF($A171="","",IF(I171="","",_xlfn.XLOOKUP($C171&amp;"_"&amp;$AG171,符文权重!$A:$A&amp;"_"&amp;符文权重!$C:$C,符文权重!$D:$D)*$X171/SUMIFS($X:$X,I:I,I171,$C:$C,$C171,$AG:$AG,$AG171)/SUMIF(符文权重!$A:$A,$C171,符文权重!$D:$D))),"")</f>
        <v/>
      </c>
      <c r="P171" s="39" cm="1">
        <f t="array" ref="P171">IFERROR(IF($A171="","",IF(J171="","",_xlfn.XLOOKUP($C171&amp;"_"&amp;$AG171,符文权重!$A:$A&amp;"_"&amp;符文权重!$C:$C,符文权重!$D:$D)*$X171/SUMIFS($X:$X,J:J,J171,$C:$C,$C171,$AG:$AG,$AG171)/SUMIF(符文权重!$A:$A,$C171,符文权重!$D:$D))),"")</f>
        <v>0.005625</v>
      </c>
      <c r="Q171" s="39" t="str" cm="1">
        <f t="array" ref="Q171">IFERROR(IF($A171="","",IF(K171="","",_xlfn.XLOOKUP($C171&amp;"_"&amp;$AG171,符文权重!$A:$A&amp;"_"&amp;符文权重!$C:$C,符文权重!$D:$D)*$X171/SUMIFS($X:$X,K:K,K171,$C:$C,$C171,$AG:$AG,$AG171)/SUMIF(符文权重!$A:$A,$C171,符文权重!$D:$D))),"")</f>
        <v/>
      </c>
      <c r="R171" s="26" t="s">
        <v>330</v>
      </c>
      <c r="S171" s="26"/>
      <c r="T171" s="26" t="e">
        <f>IF(B171="","",SUBSTITUTE(SUBSTITUTE("[{global_atk,"&amp;#REF!*C171&amp;"}]",21,20),9,8))</f>
        <v>#REF!</v>
      </c>
      <c r="U171" s="40" t="str">
        <f t="shared" si="89"/>
        <v>[5502036]</v>
      </c>
      <c r="V171" s="26"/>
      <c r="W171" s="25"/>
      <c r="X171" s="32">
        <v>100</v>
      </c>
      <c r="Y171" s="25"/>
      <c r="Z171" s="32" t="s">
        <v>178</v>
      </c>
      <c r="AA171" s="32" t="str">
        <f t="shared" si="82"/>
        <v>梦灵可免疫7次伤害</v>
      </c>
      <c r="AB171" s="32"/>
      <c r="AC171" s="32" t="s">
        <v>166</v>
      </c>
      <c r="AD171" s="32">
        <f t="shared" si="73"/>
        <v>1166</v>
      </c>
      <c r="AE171" s="38" t="str">
        <f t="shared" si="78"/>
        <v>5502031</v>
      </c>
      <c r="AF171" s="32" t="str">
        <f t="shared" si="79"/>
        <v>[7]</v>
      </c>
      <c r="AG171" s="26">
        <v>5</v>
      </c>
      <c r="AH171" s="26"/>
      <c r="AI171" s="26">
        <v>0</v>
      </c>
      <c r="AJ171" s="25" t="s">
        <v>167</v>
      </c>
      <c r="AK171" s="38">
        <f t="shared" si="90"/>
        <v>5502036</v>
      </c>
      <c r="AL171" s="41" t="str">
        <f t="shared" si="91"/>
        <v>梦灵可免疫&lt;color=#54b76b&gt;%s&lt;/color&gt;次伤害</v>
      </c>
      <c r="AM171" s="26">
        <v>7</v>
      </c>
      <c r="AN171" s="26">
        <v>5</v>
      </c>
      <c r="AO171" s="26" t="s">
        <v>28</v>
      </c>
      <c r="AP171" s="20">
        <f t="shared" si="74"/>
        <v>166</v>
      </c>
    </row>
    <row r="172" s="20" customFormat="1" customHeight="1" spans="1:42">
      <c r="A172" s="38">
        <v>5502037</v>
      </c>
      <c r="B172" s="38" t="str">
        <f t="shared" si="75"/>
        <v>5502031</v>
      </c>
      <c r="C172" s="32">
        <f t="shared" si="76"/>
        <v>7</v>
      </c>
      <c r="D172" s="32"/>
      <c r="E172" s="26" t="s">
        <v>329</v>
      </c>
      <c r="F172" s="26" t="str">
        <f t="shared" si="70"/>
        <v/>
      </c>
      <c r="G172" s="26">
        <f>IFERROR(IF(--MID($E172,2*COUNTIF($F172:F172,"&gt;"&amp;0)+2,1)=G$1,G$1,""),"")</f>
        <v>2</v>
      </c>
      <c r="H172" s="26" t="str">
        <f>IFERROR(IF(--MID($E172,2*COUNTIF($F172:G172,"&gt;"&amp;0)+2,1)=H$1,H$1,""),"")</f>
        <v/>
      </c>
      <c r="I172" s="26" t="str">
        <f>IFERROR(IF(--MID($E172,2*COUNTIF($F172:H172,"&gt;"&amp;0)+2,1)=I$1,I$1,""),"")</f>
        <v/>
      </c>
      <c r="J172" s="26">
        <f>IFERROR(IF(--MID($E172,2*COUNTIF($F172:I172,"&gt;"&amp;0)+2,1)=J$1,J$1,""),"")</f>
        <v>5</v>
      </c>
      <c r="K172" s="26" t="str">
        <f>IFERROR(IF(--MID($E172,2*COUNTIF($F172:J172,"&gt;"&amp;0)+2,1)=K$1,K$1,""),"")</f>
        <v/>
      </c>
      <c r="L172" s="39" t="str" cm="1">
        <f t="array" ref="L172">IFERROR(IF($A172="","",IF(F172="","",_xlfn.XLOOKUP($C172&amp;"_"&amp;$AG172,符文权重!$A:$A&amp;"_"&amp;符文权重!$C:$C,符文权重!$D:$D)*$X172/SUMIFS($X:$X,F:F,F172,$C:$C,$C172,$AG:$AG,$AG172)/SUMIF(符文权重!$A:$A,$C172,符文权重!$D:$D))),"")</f>
        <v/>
      </c>
      <c r="M172" s="39" cm="1">
        <f t="array" ref="M172">IFERROR(IF($A172="","",IF(G172="","",_xlfn.XLOOKUP($C172&amp;"_"&amp;$AG172,符文权重!$A:$A&amp;"_"&amp;符文权重!$C:$C,符文权重!$D:$D)*$X172/SUMIFS($X:$X,G:G,G172,$C:$C,$C172,$AG:$AG,$AG172)/SUMIF(符文权重!$A:$A,$C172,符文权重!$D:$D))),"")</f>
        <v>0.005625</v>
      </c>
      <c r="N172" s="39" t="str" cm="1">
        <f t="array" ref="N172">IFERROR(IF($A172="","",IF(H172="","",_xlfn.XLOOKUP($C172&amp;"_"&amp;$AG172,符文权重!$A:$A&amp;"_"&amp;符文权重!$C:$C,符文权重!$D:$D)*$X172/SUMIFS($X:$X,H:H,H172,$C:$C,$C172,$AG:$AG,$AG172)/SUMIF(符文权重!$A:$A,$C172,符文权重!$D:$D))),"")</f>
        <v/>
      </c>
      <c r="O172" s="39" t="str" cm="1">
        <f t="array" ref="O172">IFERROR(IF($A172="","",IF(I172="","",_xlfn.XLOOKUP($C172&amp;"_"&amp;$AG172,符文权重!$A:$A&amp;"_"&amp;符文权重!$C:$C,符文权重!$D:$D)*$X172/SUMIFS($X:$X,I:I,I172,$C:$C,$C172,$AG:$AG,$AG172)/SUMIF(符文权重!$A:$A,$C172,符文权重!$D:$D))),"")</f>
        <v/>
      </c>
      <c r="P172" s="39" cm="1">
        <f t="array" ref="P172">IFERROR(IF($A172="","",IF(J172="","",_xlfn.XLOOKUP($C172&amp;"_"&amp;$AG172,符文权重!$A:$A&amp;"_"&amp;符文权重!$C:$C,符文权重!$D:$D)*$X172/SUMIFS($X:$X,J:J,J172,$C:$C,$C172,$AG:$AG,$AG172)/SUMIF(符文权重!$A:$A,$C172,符文权重!$D:$D))),"")</f>
        <v>0.005625</v>
      </c>
      <c r="Q172" s="39" t="str" cm="1">
        <f t="array" ref="Q172">IFERROR(IF($A172="","",IF(K172="","",_xlfn.XLOOKUP($C172&amp;"_"&amp;$AG172,符文权重!$A:$A&amp;"_"&amp;符文权重!$C:$C,符文权重!$D:$D)*$X172/SUMIFS($X:$X,K:K,K172,$C:$C,$C172,$AG:$AG,$AG172)/SUMIF(符文权重!$A:$A,$C172,符文权重!$D:$D))),"")</f>
        <v/>
      </c>
      <c r="R172" s="26" t="s">
        <v>330</v>
      </c>
      <c r="S172" s="26"/>
      <c r="T172" s="26" t="e">
        <f>IF(B172="","",SUBSTITUTE(SUBSTITUTE("[{global_atk,"&amp;#REF!*C172&amp;"}]",21,20),9,8))</f>
        <v>#REF!</v>
      </c>
      <c r="U172" s="40" t="str">
        <f t="shared" si="89"/>
        <v>[5502037]</v>
      </c>
      <c r="V172" s="26"/>
      <c r="W172" s="25"/>
      <c r="X172" s="32">
        <v>100</v>
      </c>
      <c r="Y172" s="25"/>
      <c r="Z172" s="32" t="s">
        <v>180</v>
      </c>
      <c r="AA172" s="32" t="str">
        <f t="shared" si="82"/>
        <v>梦灵可免疫8次伤害</v>
      </c>
      <c r="AB172" s="32"/>
      <c r="AC172" s="32" t="s">
        <v>166</v>
      </c>
      <c r="AD172" s="32">
        <f t="shared" si="73"/>
        <v>1167</v>
      </c>
      <c r="AE172" s="38" t="str">
        <f t="shared" si="78"/>
        <v>5502031</v>
      </c>
      <c r="AF172" s="32" t="str">
        <f t="shared" si="79"/>
        <v>[8]</v>
      </c>
      <c r="AG172" s="26">
        <v>5</v>
      </c>
      <c r="AH172" s="26"/>
      <c r="AI172" s="26">
        <v>0</v>
      </c>
      <c r="AJ172" s="25" t="s">
        <v>167</v>
      </c>
      <c r="AK172" s="38">
        <f t="shared" si="90"/>
        <v>5502037</v>
      </c>
      <c r="AL172" s="41" t="str">
        <f t="shared" si="91"/>
        <v>梦灵可免疫&lt;color=#54b76b&gt;%s&lt;/color&gt;次伤害</v>
      </c>
      <c r="AM172" s="26">
        <v>8</v>
      </c>
      <c r="AN172" s="26">
        <v>5</v>
      </c>
      <c r="AO172" s="26" t="s">
        <v>28</v>
      </c>
      <c r="AP172" s="20">
        <f t="shared" si="74"/>
        <v>167</v>
      </c>
    </row>
    <row r="173" s="20" customFormat="1" customHeight="1" spans="1:42">
      <c r="A173" s="38" t="s">
        <v>167</v>
      </c>
      <c r="B173" s="38" t="str">
        <f t="shared" si="75"/>
        <v/>
      </c>
      <c r="C173" s="32" t="str">
        <f t="shared" si="76"/>
        <v/>
      </c>
      <c r="D173" s="32"/>
      <c r="E173" s="26"/>
      <c r="F173" s="26" t="str">
        <f t="shared" si="70"/>
        <v/>
      </c>
      <c r="G173" s="26" t="str">
        <f>IFERROR(IF(--MID($E173,2*COUNTIF($F173:F173,"&gt;"&amp;0)+2,1)=G$1,G$1,""),"")</f>
        <v/>
      </c>
      <c r="H173" s="26" t="str">
        <f>IFERROR(IF(--MID($E173,2*COUNTIF($F173:G173,"&gt;"&amp;0)+2,1)=H$1,H$1,""),"")</f>
        <v/>
      </c>
      <c r="I173" s="26" t="str">
        <f>IFERROR(IF(--MID($E173,2*COUNTIF($F173:H173,"&gt;"&amp;0)+2,1)=I$1,I$1,""),"")</f>
        <v/>
      </c>
      <c r="J173" s="26" t="str">
        <f>IFERROR(IF(--MID($E173,2*COUNTIF($F173:I173,"&gt;"&amp;0)+2,1)=J$1,J$1,""),"")</f>
        <v/>
      </c>
      <c r="K173" s="26" t="str">
        <f>IFERROR(IF(--MID($E173,2*COUNTIF($F173:J173,"&gt;"&amp;0)+2,1)=K$1,K$1,""),"")</f>
        <v/>
      </c>
      <c r="L173" s="39" t="str" cm="1">
        <f t="array" ref="L173">IFERROR(IF($A173="","",IF(F173="","",_xlfn.XLOOKUP($C173&amp;"_"&amp;$AG173,符文权重!$A:$A&amp;"_"&amp;符文权重!$C:$C,符文权重!$D:$D)*$X173/SUMIFS($X:$X,F:F,F173,$C:$C,$C173,$AG:$AG,$AG173)/SUMIF(符文权重!$A:$A,$C173,符文权重!$D:$D))),"")</f>
        <v/>
      </c>
      <c r="M173" s="39" t="str" cm="1">
        <f t="array" ref="M173">IFERROR(IF($A173="","",IF(G173="","",_xlfn.XLOOKUP($C173&amp;"_"&amp;$AG173,符文权重!$A:$A&amp;"_"&amp;符文权重!$C:$C,符文权重!$D:$D)*$X173/SUMIFS($X:$X,G:G,G173,$C:$C,$C173,$AG:$AG,$AG173)/SUMIF(符文权重!$A:$A,$C173,符文权重!$D:$D))),"")</f>
        <v/>
      </c>
      <c r="N173" s="39" t="str" cm="1">
        <f t="array" ref="N173">IFERROR(IF($A173="","",IF(H173="","",_xlfn.XLOOKUP($C173&amp;"_"&amp;$AG173,符文权重!$A:$A&amp;"_"&amp;符文权重!$C:$C,符文权重!$D:$D)*$X173/SUMIFS($X:$X,H:H,H173,$C:$C,$C173,$AG:$AG,$AG173)/SUMIF(符文权重!$A:$A,$C173,符文权重!$D:$D))),"")</f>
        <v/>
      </c>
      <c r="O173" s="39" t="str" cm="1">
        <f t="array" ref="O173">IFERROR(IF($A173="","",IF(I173="","",_xlfn.XLOOKUP($C173&amp;"_"&amp;$AG173,符文权重!$A:$A&amp;"_"&amp;符文权重!$C:$C,符文权重!$D:$D)*$X173/SUMIFS($X:$X,I:I,I173,$C:$C,$C173,$AG:$AG,$AG173)/SUMIF(符文权重!$A:$A,$C173,符文权重!$D:$D))),"")</f>
        <v/>
      </c>
      <c r="P173" s="39" t="str" cm="1">
        <f t="array" ref="P173">IFERROR(IF($A173="","",IF(J173="","",_xlfn.XLOOKUP($C173&amp;"_"&amp;$AG173,符文权重!$A:$A&amp;"_"&amp;符文权重!$C:$C,符文权重!$D:$D)*$X173/SUMIFS($X:$X,J:J,J173,$C:$C,$C173,$AG:$AG,$AG173)/SUMIF(符文权重!$A:$A,$C173,符文权重!$D:$D))),"")</f>
        <v/>
      </c>
      <c r="Q173" s="39" t="str" cm="1">
        <f t="array" ref="Q173">IFERROR(IF($A173="","",IF(K173="","",_xlfn.XLOOKUP($C173&amp;"_"&amp;$AG173,符文权重!$A:$A&amp;"_"&amp;符文权重!$C:$C,符文权重!$D:$D)*$X173/SUMIFS($X:$X,K:K,K173,$C:$C,$C173,$AG:$AG,$AG173)/SUMIF(符文权重!$A:$A,$C173,符文权重!$D:$D))),"")</f>
        <v/>
      </c>
      <c r="R173" s="26"/>
      <c r="S173" s="26"/>
      <c r="T173" s="26"/>
      <c r="V173" s="31"/>
      <c r="W173" s="25"/>
      <c r="X173" s="32"/>
      <c r="Y173" s="25"/>
      <c r="Z173" s="32" t="s">
        <v>167</v>
      </c>
      <c r="AA173" s="32" t="str">
        <f t="shared" si="82"/>
        <v/>
      </c>
      <c r="AB173" s="32"/>
      <c r="AC173" s="32" t="s">
        <v>166</v>
      </c>
      <c r="AD173" s="32">
        <f t="shared" si="73"/>
        <v>1168</v>
      </c>
      <c r="AE173" s="38" t="str">
        <f t="shared" si="78"/>
        <v/>
      </c>
      <c r="AF173" s="32" t="str">
        <f t="shared" si="79"/>
        <v/>
      </c>
      <c r="AG173" s="26"/>
      <c r="AH173" s="26"/>
      <c r="AI173" s="26"/>
      <c r="AJ173" s="25" t="s">
        <v>167</v>
      </c>
      <c r="AK173" s="24"/>
      <c r="AL173" s="43"/>
      <c r="AM173" s="26"/>
      <c r="AN173" s="26"/>
      <c r="AO173" s="26"/>
      <c r="AP173" s="20">
        <f t="shared" si="74"/>
        <v>168</v>
      </c>
    </row>
    <row r="174" s="22" customFormat="1" customHeight="1" spans="1:42">
      <c r="A174" s="44">
        <v>5502041</v>
      </c>
      <c r="B174" s="44" t="str">
        <f t="shared" si="75"/>
        <v>5502041</v>
      </c>
      <c r="C174" s="45">
        <f t="shared" si="76"/>
        <v>1</v>
      </c>
      <c r="D174" s="45"/>
      <c r="E174" s="46" t="s">
        <v>332</v>
      </c>
      <c r="F174" s="26">
        <f t="shared" si="70"/>
        <v>1</v>
      </c>
      <c r="G174" s="26" t="str">
        <f>IFERROR(IF(--MID($E174,2*COUNTIF($F174:F174,"&gt;"&amp;0)+2,1)=G$1,G$1,""),"")</f>
        <v/>
      </c>
      <c r="H174" s="26" t="str">
        <f>IFERROR(IF(--MID($E174,2*COUNTIF($F174:G174,"&gt;"&amp;0)+2,1)=H$1,H$1,""),"")</f>
        <v/>
      </c>
      <c r="I174" s="26">
        <f>IFERROR(IF(--MID($E174,2*COUNTIF($F174:H174,"&gt;"&amp;0)+2,1)=I$1,I$1,""),"")</f>
        <v>4</v>
      </c>
      <c r="J174" s="26" t="str">
        <f>IFERROR(IF(--MID($E174,2*COUNTIF($F174:I174,"&gt;"&amp;0)+2,1)=J$1,J$1,""),"")</f>
        <v/>
      </c>
      <c r="K174" s="26" t="str">
        <f>IFERROR(IF(--MID($E174,2*COUNTIF($F174:J174,"&gt;"&amp;0)+2,1)=K$1,K$1,""),"")</f>
        <v/>
      </c>
      <c r="L174" s="39" t="str" cm="1">
        <f t="array" ref="L174">IFERROR(IF($A174="","",IF(F174="","",_xlfn.XLOOKUP($C174&amp;"_"&amp;$AG174,符文权重!$A:$A&amp;"_"&amp;符文权重!$C:$C,符文权重!$D:$D)*$X174/SUMIFS($X:$X,F:F,F174,$C:$C,$C174,$AG:$AG,$AG174)/SUMIF(符文权重!$A:$A,$C174,符文权重!$D:$D))),"")</f>
        <v/>
      </c>
      <c r="M174" s="39" t="str" cm="1">
        <f t="array" ref="M174">IFERROR(IF($A174="","",IF(G174="","",_xlfn.XLOOKUP($C174&amp;"_"&amp;$AG174,符文权重!$A:$A&amp;"_"&amp;符文权重!$C:$C,符文权重!$D:$D)*$X174/SUMIFS($X:$X,G:G,G174,$C:$C,$C174,$AG:$AG,$AG174)/SUMIF(符文权重!$A:$A,$C174,符文权重!$D:$D))),"")</f>
        <v/>
      </c>
      <c r="N174" s="39" t="str" cm="1">
        <f t="array" ref="N174">IFERROR(IF($A174="","",IF(H174="","",_xlfn.XLOOKUP($C174&amp;"_"&amp;$AG174,符文权重!$A:$A&amp;"_"&amp;符文权重!$C:$C,符文权重!$D:$D)*$X174/SUMIFS($X:$X,H:H,H174,$C:$C,$C174,$AG:$AG,$AG174)/SUMIF(符文权重!$A:$A,$C174,符文权重!$D:$D))),"")</f>
        <v/>
      </c>
      <c r="O174" s="39" t="str" cm="1">
        <f t="array" ref="O174">IFERROR(IF($A174="","",IF(I174="","",_xlfn.XLOOKUP($C174&amp;"_"&amp;$AG174,符文权重!$A:$A&amp;"_"&amp;符文权重!$C:$C,符文权重!$D:$D)*$X174/SUMIFS($X:$X,I:I,I174,$C:$C,$C174,$AG:$AG,$AG174)/SUMIF(符文权重!$A:$A,$C174,符文权重!$D:$D))),"")</f>
        <v/>
      </c>
      <c r="P174" s="39" t="str" cm="1">
        <f t="array" ref="P174">IFERROR(IF($A174="","",IF(J174="","",_xlfn.XLOOKUP($C174&amp;"_"&amp;$AG174,符文权重!$A:$A&amp;"_"&amp;符文权重!$C:$C,符文权重!$D:$D)*$X174/SUMIFS($X:$X,J:J,J174,$C:$C,$C174,$AG:$AG,$AG174)/SUMIF(符文权重!$A:$A,$C174,符文权重!$D:$D))),"")</f>
        <v/>
      </c>
      <c r="Q174" s="39" t="str" cm="1">
        <f t="array" ref="Q174">IFERROR(IF($A174="","",IF(K174="","",_xlfn.XLOOKUP($C174&amp;"_"&amp;$AG174,符文权重!$A:$A&amp;"_"&amp;符文权重!$C:$C,符文权重!$D:$D)*$X174/SUMIFS($X:$X,K:K,K174,$C:$C,$C174,$AG:$AG,$AG174)/SUMIF(符文权重!$A:$A,$C174,符文权重!$D:$D))),"")</f>
        <v/>
      </c>
      <c r="R174" s="46" t="s">
        <v>163</v>
      </c>
      <c r="S174" s="46"/>
      <c r="T174" s="46" t="e">
        <f>IF(B174="","",SUBSTITUTE(SUBSTITUTE("[{global_atk,"&amp;#REF!*C174&amp;"}]",21,20),9,8))</f>
        <v>#REF!</v>
      </c>
      <c r="U174" s="47" t="str">
        <f t="shared" ref="U174:U180" si="92">"["&amp;A174&amp;"]"</f>
        <v>[5502041]</v>
      </c>
      <c r="V174" s="46"/>
      <c r="W174" s="23"/>
      <c r="X174" s="32">
        <v>100</v>
      </c>
      <c r="Y174" s="23"/>
      <c r="Z174" s="45" t="s">
        <v>165</v>
      </c>
      <c r="AA174" s="32" t="str">
        <f t="shared" si="82"/>
        <v>最前排梦灵获得10%最大生命值</v>
      </c>
      <c r="AB174" s="32"/>
      <c r="AC174" s="32" t="s">
        <v>166</v>
      </c>
      <c r="AD174" s="32">
        <f t="shared" si="73"/>
        <v>1169</v>
      </c>
      <c r="AE174" s="44" t="str">
        <f t="shared" si="78"/>
        <v>5502041</v>
      </c>
      <c r="AF174" s="45" t="str">
        <f t="shared" si="79"/>
        <v>[10]</v>
      </c>
      <c r="AG174" s="26">
        <v>100</v>
      </c>
      <c r="AH174" s="46"/>
      <c r="AI174" s="46">
        <v>1</v>
      </c>
      <c r="AJ174" s="25" t="s">
        <v>167</v>
      </c>
      <c r="AK174" s="48">
        <v>5502041</v>
      </c>
      <c r="AL174" s="49" t="s">
        <v>333</v>
      </c>
      <c r="AM174" s="46">
        <v>10</v>
      </c>
      <c r="AN174" s="26"/>
      <c r="AO174" s="26" t="s">
        <v>28</v>
      </c>
      <c r="AP174" s="20">
        <f t="shared" si="74"/>
        <v>169</v>
      </c>
    </row>
    <row r="175" s="20" customFormat="1" customHeight="1" spans="1:42">
      <c r="A175" s="38">
        <v>5502042</v>
      </c>
      <c r="B175" s="38" t="str">
        <f t="shared" si="75"/>
        <v>5502041</v>
      </c>
      <c r="C175" s="32">
        <f t="shared" si="76"/>
        <v>2</v>
      </c>
      <c r="D175" s="32"/>
      <c r="E175" s="26" t="s">
        <v>332</v>
      </c>
      <c r="F175" s="26">
        <f t="shared" si="70"/>
        <v>1</v>
      </c>
      <c r="G175" s="26" t="str">
        <f>IFERROR(IF(--MID($E175,2*COUNTIF($F175:F175,"&gt;"&amp;0)+2,1)=G$1,G$1,""),"")</f>
        <v/>
      </c>
      <c r="H175" s="26" t="str">
        <f>IFERROR(IF(--MID($E175,2*COUNTIF($F175:G175,"&gt;"&amp;0)+2,1)=H$1,H$1,""),"")</f>
        <v/>
      </c>
      <c r="I175" s="26">
        <f>IFERROR(IF(--MID($E175,2*COUNTIF($F175:H175,"&gt;"&amp;0)+2,1)=I$1,I$1,""),"")</f>
        <v>4</v>
      </c>
      <c r="J175" s="26" t="str">
        <f>IFERROR(IF(--MID($E175,2*COUNTIF($F175:I175,"&gt;"&amp;0)+2,1)=J$1,J$1,""),"")</f>
        <v/>
      </c>
      <c r="K175" s="26" t="str">
        <f>IFERROR(IF(--MID($E175,2*COUNTIF($F175:J175,"&gt;"&amp;0)+2,1)=K$1,K$1,""),"")</f>
        <v/>
      </c>
      <c r="L175" s="39" cm="1">
        <f t="array" ref="L175">IFERROR(IF($A175="","",IF(F175="","",_xlfn.XLOOKUP($C175&amp;"_"&amp;$AG175,符文权重!$A:$A&amp;"_"&amp;符文权重!$C:$C,符文权重!$D:$D)*$X175/SUMIFS($X:$X,F:F,F175,$C:$C,$C175,$AG:$AG,$AG175)/SUMIF(符文权重!$A:$A,$C175,符文权重!$D:$D))),"")</f>
        <v>0.1</v>
      </c>
      <c r="M175" s="39" t="str" cm="1">
        <f t="array" ref="M175">IFERROR(IF($A175="","",IF(G175="","",_xlfn.XLOOKUP($C175&amp;"_"&amp;$AG175,符文权重!$A:$A&amp;"_"&amp;符文权重!$C:$C,符文权重!$D:$D)*$X175/SUMIFS($X:$X,G:G,G175,$C:$C,$C175,$AG:$AG,$AG175)/SUMIF(符文权重!$A:$A,$C175,符文权重!$D:$D))),"")</f>
        <v/>
      </c>
      <c r="N175" s="39" t="str" cm="1">
        <f t="array" ref="N175">IFERROR(IF($A175="","",IF(H175="","",_xlfn.XLOOKUP($C175&amp;"_"&amp;$AG175,符文权重!$A:$A&amp;"_"&amp;符文权重!$C:$C,符文权重!$D:$D)*$X175/SUMIFS($X:$X,H:H,H175,$C:$C,$C175,$AG:$AG,$AG175)/SUMIF(符文权重!$A:$A,$C175,符文权重!$D:$D))),"")</f>
        <v/>
      </c>
      <c r="O175" s="39" cm="1">
        <f t="array" ref="O175">IFERROR(IF($A175="","",IF(I175="","",_xlfn.XLOOKUP($C175&amp;"_"&amp;$AG175,符文权重!$A:$A&amp;"_"&amp;符文权重!$C:$C,符文权重!$D:$D)*$X175/SUMIFS($X:$X,I:I,I175,$C:$C,$C175,$AG:$AG,$AG175)/SUMIF(符文权重!$A:$A,$C175,符文权重!$D:$D))),"")</f>
        <v>0.11</v>
      </c>
      <c r="P175" s="39" t="str" cm="1">
        <f t="array" ref="P175">IFERROR(IF($A175="","",IF(J175="","",_xlfn.XLOOKUP($C175&amp;"_"&amp;$AG175,符文权重!$A:$A&amp;"_"&amp;符文权重!$C:$C,符文权重!$D:$D)*$X175/SUMIFS($X:$X,J:J,J175,$C:$C,$C175,$AG:$AG,$AG175)/SUMIF(符文权重!$A:$A,$C175,符文权重!$D:$D))),"")</f>
        <v/>
      </c>
      <c r="Q175" s="39" t="str" cm="1">
        <f t="array" ref="Q175">IFERROR(IF($A175="","",IF(K175="","",_xlfn.XLOOKUP($C175&amp;"_"&amp;$AG175,符文权重!$A:$A&amp;"_"&amp;符文权重!$C:$C,符文权重!$D:$D)*$X175/SUMIFS($X:$X,K:K,K175,$C:$C,$C175,$AG:$AG,$AG175)/SUMIF(符文权重!$A:$A,$C175,符文权重!$D:$D))),"")</f>
        <v/>
      </c>
      <c r="R175" s="26" t="s">
        <v>163</v>
      </c>
      <c r="S175" s="26"/>
      <c r="T175" s="26" t="e">
        <f>IF(B175="","",SUBSTITUTE(SUBSTITUTE("[{global_atk,"&amp;#REF!*C175&amp;"}]",21,20),9,8))</f>
        <v>#REF!</v>
      </c>
      <c r="U175" s="40" t="str">
        <f t="shared" si="92"/>
        <v>[5502042]</v>
      </c>
      <c r="V175" s="26"/>
      <c r="W175" s="25"/>
      <c r="X175" s="32">
        <v>100</v>
      </c>
      <c r="Y175" s="25"/>
      <c r="Z175" s="32" t="s">
        <v>170</v>
      </c>
      <c r="AA175" s="32" t="str">
        <f t="shared" si="82"/>
        <v>最前排梦灵获得15%最大生命值</v>
      </c>
      <c r="AB175" s="32"/>
      <c r="AC175" s="32" t="s">
        <v>166</v>
      </c>
      <c r="AD175" s="32">
        <f t="shared" si="73"/>
        <v>1170</v>
      </c>
      <c r="AE175" s="38" t="str">
        <f t="shared" si="78"/>
        <v>5502041</v>
      </c>
      <c r="AF175" s="32" t="str">
        <f t="shared" si="79"/>
        <v>[15]</v>
      </c>
      <c r="AG175" s="26">
        <v>2</v>
      </c>
      <c r="AH175" s="26"/>
      <c r="AI175" s="26">
        <v>0</v>
      </c>
      <c r="AJ175" s="25" t="s">
        <v>167</v>
      </c>
      <c r="AK175" s="38">
        <f t="shared" ref="AK175:AK180" si="93">AK174+1</f>
        <v>5502042</v>
      </c>
      <c r="AL175" s="41" t="str">
        <f t="shared" ref="AL175:AL180" si="94">AL174</f>
        <v>最前排梦灵获得&lt;color=#54b76b&gt;%s%&lt;/color&gt;最大生命值</v>
      </c>
      <c r="AM175" s="26">
        <v>15</v>
      </c>
      <c r="AN175" s="26">
        <v>2</v>
      </c>
      <c r="AO175" s="26" t="s">
        <v>28</v>
      </c>
      <c r="AP175" s="20">
        <f t="shared" si="74"/>
        <v>170</v>
      </c>
    </row>
    <row r="176" s="20" customFormat="1" customHeight="1" spans="1:42">
      <c r="A176" s="38">
        <v>5502043</v>
      </c>
      <c r="B176" s="38" t="str">
        <f t="shared" si="75"/>
        <v>5502041</v>
      </c>
      <c r="C176" s="32">
        <f t="shared" si="76"/>
        <v>3</v>
      </c>
      <c r="D176" s="32"/>
      <c r="E176" s="26" t="s">
        <v>332</v>
      </c>
      <c r="F176" s="26">
        <f t="shared" si="70"/>
        <v>1</v>
      </c>
      <c r="G176" s="26" t="str">
        <f>IFERROR(IF(--MID($E176,2*COUNTIF($F176:F176,"&gt;"&amp;0)+2,1)=G$1,G$1,""),"")</f>
        <v/>
      </c>
      <c r="H176" s="26" t="str">
        <f>IFERROR(IF(--MID($E176,2*COUNTIF($F176:G176,"&gt;"&amp;0)+2,1)=H$1,H$1,""),"")</f>
        <v/>
      </c>
      <c r="I176" s="26">
        <f>IFERROR(IF(--MID($E176,2*COUNTIF($F176:H176,"&gt;"&amp;0)+2,1)=I$1,I$1,""),"")</f>
        <v>4</v>
      </c>
      <c r="J176" s="26" t="str">
        <f>IFERROR(IF(--MID($E176,2*COUNTIF($F176:I176,"&gt;"&amp;0)+2,1)=J$1,J$1,""),"")</f>
        <v/>
      </c>
      <c r="K176" s="26" t="str">
        <f>IFERROR(IF(--MID($E176,2*COUNTIF($F176:J176,"&gt;"&amp;0)+2,1)=K$1,K$1,""),"")</f>
        <v/>
      </c>
      <c r="L176" s="39" cm="1">
        <f t="array" ref="L176">IFERROR(IF($A176="","",IF(F176="","",_xlfn.XLOOKUP($C176&amp;"_"&amp;$AG176,符文权重!$A:$A&amp;"_"&amp;符文权重!$C:$C,符文权重!$D:$D)*$X176/SUMIFS($X:$X,F:F,F176,$C:$C,$C176,$AG:$AG,$AG176)/SUMIF(符文权重!$A:$A,$C176,符文权重!$D:$D))),"")</f>
        <v>0.0909961685823755</v>
      </c>
      <c r="M176" s="39" t="str" cm="1">
        <f t="array" ref="M176">IFERROR(IF($A176="","",IF(G176="","",_xlfn.XLOOKUP($C176&amp;"_"&amp;$AG176,符文权重!$A:$A&amp;"_"&amp;符文权重!$C:$C,符文权重!$D:$D)*$X176/SUMIFS($X:$X,G:G,G176,$C:$C,$C176,$AG:$AG,$AG176)/SUMIF(符文权重!$A:$A,$C176,符文权重!$D:$D))),"")</f>
        <v/>
      </c>
      <c r="N176" s="39" t="str" cm="1">
        <f t="array" ref="N176">IFERROR(IF($A176="","",IF(H176="","",_xlfn.XLOOKUP($C176&amp;"_"&amp;$AG176,符文权重!$A:$A&amp;"_"&amp;符文权重!$C:$C,符文权重!$D:$D)*$X176/SUMIFS($X:$X,H:H,H176,$C:$C,$C176,$AG:$AG,$AG176)/SUMIF(符文权重!$A:$A,$C176,符文权重!$D:$D))),"")</f>
        <v/>
      </c>
      <c r="O176" s="39" cm="1">
        <f t="array" ref="O176">IFERROR(IF($A176="","",IF(I176="","",_xlfn.XLOOKUP($C176&amp;"_"&amp;$AG176,符文权重!$A:$A&amp;"_"&amp;符文权重!$C:$C,符文权重!$D:$D)*$X176/SUMIFS($X:$X,I:I,I176,$C:$C,$C176,$AG:$AG,$AG176)/SUMIF(符文权重!$A:$A,$C176,符文权重!$D:$D))),"")</f>
        <v>0.0909961685823755</v>
      </c>
      <c r="P176" s="39" t="str" cm="1">
        <f t="array" ref="P176">IFERROR(IF($A176="","",IF(J176="","",_xlfn.XLOOKUP($C176&amp;"_"&amp;$AG176,符文权重!$A:$A&amp;"_"&amp;符文权重!$C:$C,符文权重!$D:$D)*$X176/SUMIFS($X:$X,J:J,J176,$C:$C,$C176,$AG:$AG,$AG176)/SUMIF(符文权重!$A:$A,$C176,符文权重!$D:$D))),"")</f>
        <v/>
      </c>
      <c r="Q176" s="39" t="str" cm="1">
        <f t="array" ref="Q176">IFERROR(IF($A176="","",IF(K176="","",_xlfn.XLOOKUP($C176&amp;"_"&amp;$AG176,符文权重!$A:$A&amp;"_"&amp;符文权重!$C:$C,符文权重!$D:$D)*$X176/SUMIFS($X:$X,K:K,K176,$C:$C,$C176,$AG:$AG,$AG176)/SUMIF(符文权重!$A:$A,$C176,符文权重!$D:$D))),"")</f>
        <v/>
      </c>
      <c r="R176" s="26" t="s">
        <v>163</v>
      </c>
      <c r="S176" s="26"/>
      <c r="T176" s="26" t="e">
        <f>IF(B176="","",SUBSTITUTE(SUBSTITUTE("[{global_atk,"&amp;#REF!*C176&amp;"}]",21,20),9,8))</f>
        <v>#REF!</v>
      </c>
      <c r="U176" s="40" t="str">
        <f t="shared" si="92"/>
        <v>[5502043]</v>
      </c>
      <c r="V176" s="26"/>
      <c r="W176" s="25"/>
      <c r="X176" s="32">
        <v>100</v>
      </c>
      <c r="Y176" s="25"/>
      <c r="Z176" s="32" t="s">
        <v>172</v>
      </c>
      <c r="AA176" s="32" t="str">
        <f t="shared" si="82"/>
        <v>最前排梦灵获得25%最大生命值</v>
      </c>
      <c r="AB176" s="32"/>
      <c r="AC176" s="32" t="s">
        <v>166</v>
      </c>
      <c r="AD176" s="32">
        <f t="shared" si="73"/>
        <v>1171</v>
      </c>
      <c r="AE176" s="38" t="str">
        <f t="shared" si="78"/>
        <v>5502041</v>
      </c>
      <c r="AF176" s="32" t="str">
        <f t="shared" si="79"/>
        <v>[25]</v>
      </c>
      <c r="AG176" s="26">
        <v>2</v>
      </c>
      <c r="AH176" s="26"/>
      <c r="AI176" s="26">
        <v>0</v>
      </c>
      <c r="AJ176" s="25" t="s">
        <v>167</v>
      </c>
      <c r="AK176" s="38">
        <f t="shared" si="93"/>
        <v>5502043</v>
      </c>
      <c r="AL176" s="41" t="str">
        <f t="shared" si="94"/>
        <v>最前排梦灵获得&lt;color=#54b76b&gt;%s%&lt;/color&gt;最大生命值</v>
      </c>
      <c r="AM176" s="26">
        <v>25</v>
      </c>
      <c r="AN176" s="26">
        <v>2</v>
      </c>
      <c r="AO176" s="26" t="s">
        <v>28</v>
      </c>
      <c r="AP176" s="20">
        <f t="shared" si="74"/>
        <v>171</v>
      </c>
    </row>
    <row r="177" s="20" customFormat="1" customHeight="1" spans="1:42">
      <c r="A177" s="38">
        <v>5502044</v>
      </c>
      <c r="B177" s="38" t="str">
        <f t="shared" si="75"/>
        <v>5502041</v>
      </c>
      <c r="C177" s="32">
        <f t="shared" si="76"/>
        <v>4</v>
      </c>
      <c r="D177" s="32"/>
      <c r="E177" s="26" t="s">
        <v>332</v>
      </c>
      <c r="F177" s="26">
        <f t="shared" si="70"/>
        <v>1</v>
      </c>
      <c r="G177" s="26" t="str">
        <f>IFERROR(IF(--MID($E177,2*COUNTIF($F177:F177,"&gt;"&amp;0)+2,1)=G$1,G$1,""),"")</f>
        <v/>
      </c>
      <c r="H177" s="26" t="str">
        <f>IFERROR(IF(--MID($E177,2*COUNTIF($F177:G177,"&gt;"&amp;0)+2,1)=H$1,H$1,""),"")</f>
        <v/>
      </c>
      <c r="I177" s="26">
        <f>IFERROR(IF(--MID($E177,2*COUNTIF($F177:H177,"&gt;"&amp;0)+2,1)=I$1,I$1,""),"")</f>
        <v>4</v>
      </c>
      <c r="J177" s="26" t="str">
        <f>IFERROR(IF(--MID($E177,2*COUNTIF($F177:I177,"&gt;"&amp;0)+2,1)=J$1,J$1,""),"")</f>
        <v/>
      </c>
      <c r="K177" s="26" t="str">
        <f>IFERROR(IF(--MID($E177,2*COUNTIF($F177:J177,"&gt;"&amp;0)+2,1)=K$1,K$1,""),"")</f>
        <v/>
      </c>
      <c r="L177" s="39" cm="1">
        <f t="array" ref="L177">IFERROR(IF($A177="","",IF(F177="","",_xlfn.XLOOKUP($C177&amp;"_"&amp;$AG177,符文权重!$A:$A&amp;"_"&amp;符文权重!$C:$C,符文权重!$D:$D)*$X177/SUMIFS($X:$X,F:F,F177,$C:$C,$C177,$AG:$AG,$AG177)/SUMIF(符文权重!$A:$A,$C177,符文权重!$D:$D))),"")</f>
        <v>0.0626</v>
      </c>
      <c r="M177" s="39" t="str" cm="1">
        <f t="array" ref="M177">IFERROR(IF($A177="","",IF(G177="","",_xlfn.XLOOKUP($C177&amp;"_"&amp;$AG177,符文权重!$A:$A&amp;"_"&amp;符文权重!$C:$C,符文权重!$D:$D)*$X177/SUMIFS($X:$X,G:G,G177,$C:$C,$C177,$AG:$AG,$AG177)/SUMIF(符文权重!$A:$A,$C177,符文权重!$D:$D))),"")</f>
        <v/>
      </c>
      <c r="N177" s="39" t="str" cm="1">
        <f t="array" ref="N177">IFERROR(IF($A177="","",IF(H177="","",_xlfn.XLOOKUP($C177&amp;"_"&amp;$AG177,符文权重!$A:$A&amp;"_"&amp;符文权重!$C:$C,符文权重!$D:$D)*$X177/SUMIFS($X:$X,H:H,H177,$C:$C,$C177,$AG:$AG,$AG177)/SUMIF(符文权重!$A:$A,$C177,符文权重!$D:$D))),"")</f>
        <v/>
      </c>
      <c r="O177" s="39" cm="1">
        <f t="array" ref="O177">IFERROR(IF($A177="","",IF(I177="","",_xlfn.XLOOKUP($C177&amp;"_"&amp;$AG177,符文权重!$A:$A&amp;"_"&amp;符文权重!$C:$C,符文权重!$D:$D)*$X177/SUMIFS($X:$X,I:I,I177,$C:$C,$C177,$AG:$AG,$AG177)/SUMIF(符文权重!$A:$A,$C177,符文权重!$D:$D))),"")</f>
        <v>0.0626</v>
      </c>
      <c r="P177" s="39" t="str" cm="1">
        <f t="array" ref="P177">IFERROR(IF($A177="","",IF(J177="","",_xlfn.XLOOKUP($C177&amp;"_"&amp;$AG177,符文权重!$A:$A&amp;"_"&amp;符文权重!$C:$C,符文权重!$D:$D)*$X177/SUMIFS($X:$X,J:J,J177,$C:$C,$C177,$AG:$AG,$AG177)/SUMIF(符文权重!$A:$A,$C177,符文权重!$D:$D))),"")</f>
        <v/>
      </c>
      <c r="Q177" s="39" t="str" cm="1">
        <f t="array" ref="Q177">IFERROR(IF($A177="","",IF(K177="","",_xlfn.XLOOKUP($C177&amp;"_"&amp;$AG177,符文权重!$A:$A&amp;"_"&amp;符文权重!$C:$C,符文权重!$D:$D)*$X177/SUMIFS($X:$X,K:K,K177,$C:$C,$C177,$AG:$AG,$AG177)/SUMIF(符文权重!$A:$A,$C177,符文权重!$D:$D))),"")</f>
        <v/>
      </c>
      <c r="R177" s="26" t="s">
        <v>163</v>
      </c>
      <c r="S177" s="26"/>
      <c r="T177" s="26" t="e">
        <f>IF(B177="","",SUBSTITUTE(SUBSTITUTE("[{global_atk,"&amp;#REF!*C177&amp;"}]",21,20),9,8))</f>
        <v>#REF!</v>
      </c>
      <c r="U177" s="40" t="str">
        <f t="shared" si="92"/>
        <v>[5502044]</v>
      </c>
      <c r="V177" s="26"/>
      <c r="W177" s="25"/>
      <c r="X177" s="32">
        <v>100</v>
      </c>
      <c r="Y177" s="25"/>
      <c r="Z177" s="32" t="s">
        <v>174</v>
      </c>
      <c r="AA177" s="32" t="str">
        <f t="shared" si="82"/>
        <v>最前排梦灵获得30%最大生命值</v>
      </c>
      <c r="AB177" s="32"/>
      <c r="AC177" s="32" t="s">
        <v>166</v>
      </c>
      <c r="AD177" s="32">
        <f t="shared" si="73"/>
        <v>1172</v>
      </c>
      <c r="AE177" s="38" t="str">
        <f t="shared" si="78"/>
        <v>5502041</v>
      </c>
      <c r="AF177" s="32" t="str">
        <f t="shared" si="79"/>
        <v>[30]</v>
      </c>
      <c r="AG177" s="26">
        <v>2</v>
      </c>
      <c r="AH177" s="26"/>
      <c r="AI177" s="26">
        <v>0</v>
      </c>
      <c r="AJ177" s="25" t="s">
        <v>167</v>
      </c>
      <c r="AK177" s="38">
        <f t="shared" si="93"/>
        <v>5502044</v>
      </c>
      <c r="AL177" s="41" t="str">
        <f t="shared" si="94"/>
        <v>最前排梦灵获得&lt;color=#54b76b&gt;%s%&lt;/color&gt;最大生命值</v>
      </c>
      <c r="AM177" s="26">
        <v>30</v>
      </c>
      <c r="AN177" s="26">
        <v>2</v>
      </c>
      <c r="AO177" s="26" t="s">
        <v>28</v>
      </c>
      <c r="AP177" s="20">
        <f t="shared" si="74"/>
        <v>172</v>
      </c>
    </row>
    <row r="178" s="20" customFormat="1" customHeight="1" spans="1:42">
      <c r="A178" s="38">
        <v>5502045</v>
      </c>
      <c r="B178" s="38" t="str">
        <f t="shared" si="75"/>
        <v>5502041</v>
      </c>
      <c r="C178" s="32">
        <f t="shared" si="76"/>
        <v>5</v>
      </c>
      <c r="D178" s="32"/>
      <c r="E178" s="26" t="s">
        <v>332</v>
      </c>
      <c r="F178" s="26">
        <f t="shared" si="70"/>
        <v>1</v>
      </c>
      <c r="G178" s="26" t="str">
        <f>IFERROR(IF(--MID($E178,2*COUNTIF($F178:F178,"&gt;"&amp;0)+2,1)=G$1,G$1,""),"")</f>
        <v/>
      </c>
      <c r="H178" s="26" t="str">
        <f>IFERROR(IF(--MID($E178,2*COUNTIF($F178:G178,"&gt;"&amp;0)+2,1)=H$1,H$1,""),"")</f>
        <v/>
      </c>
      <c r="I178" s="26">
        <f>IFERROR(IF(--MID($E178,2*COUNTIF($F178:H178,"&gt;"&amp;0)+2,1)=I$1,I$1,""),"")</f>
        <v>4</v>
      </c>
      <c r="J178" s="26" t="str">
        <f>IFERROR(IF(--MID($E178,2*COUNTIF($F178:I178,"&gt;"&amp;0)+2,1)=J$1,J$1,""),"")</f>
        <v/>
      </c>
      <c r="K178" s="26" t="str">
        <f>IFERROR(IF(--MID($E178,2*COUNTIF($F178:J178,"&gt;"&amp;0)+2,1)=K$1,K$1,""),"")</f>
        <v/>
      </c>
      <c r="L178" s="39" cm="1">
        <f t="array" ref="L178">IFERROR(IF($A178="","",IF(F178="","",_xlfn.XLOOKUP($C178&amp;"_"&amp;$AG178,符文权重!$A:$A&amp;"_"&amp;符文权重!$C:$C,符文权重!$D:$D)*$X178/SUMIFS($X:$X,F:F,F178,$C:$C,$C178,$AG:$AG,$AG178)/SUMIF(符文权重!$A:$A,$C178,符文权重!$D:$D))),"")</f>
        <v>0.059</v>
      </c>
      <c r="M178" s="39" t="str" cm="1">
        <f t="array" ref="M178">IFERROR(IF($A178="","",IF(G178="","",_xlfn.XLOOKUP($C178&amp;"_"&amp;$AG178,符文权重!$A:$A&amp;"_"&amp;符文权重!$C:$C,符文权重!$D:$D)*$X178/SUMIFS($X:$X,G:G,G178,$C:$C,$C178,$AG:$AG,$AG178)/SUMIF(符文权重!$A:$A,$C178,符文权重!$D:$D))),"")</f>
        <v/>
      </c>
      <c r="N178" s="39" t="str" cm="1">
        <f t="array" ref="N178">IFERROR(IF($A178="","",IF(H178="","",_xlfn.XLOOKUP($C178&amp;"_"&amp;$AG178,符文权重!$A:$A&amp;"_"&amp;符文权重!$C:$C,符文权重!$D:$D)*$X178/SUMIFS($X:$X,H:H,H178,$C:$C,$C178,$AG:$AG,$AG178)/SUMIF(符文权重!$A:$A,$C178,符文权重!$D:$D))),"")</f>
        <v/>
      </c>
      <c r="O178" s="39" cm="1">
        <f t="array" ref="O178">IFERROR(IF($A178="","",IF(I178="","",_xlfn.XLOOKUP($C178&amp;"_"&amp;$AG178,符文权重!$A:$A&amp;"_"&amp;符文权重!$C:$C,符文权重!$D:$D)*$X178/SUMIFS($X:$X,I:I,I178,$C:$C,$C178,$AG:$AG,$AG178)/SUMIF(符文权重!$A:$A,$C178,符文权重!$D:$D))),"")</f>
        <v>0.059</v>
      </c>
      <c r="P178" s="39" t="str" cm="1">
        <f t="array" ref="P178">IFERROR(IF($A178="","",IF(J178="","",_xlfn.XLOOKUP($C178&amp;"_"&amp;$AG178,符文权重!$A:$A&amp;"_"&amp;符文权重!$C:$C,符文权重!$D:$D)*$X178/SUMIFS($X:$X,J:J,J178,$C:$C,$C178,$AG:$AG,$AG178)/SUMIF(符文权重!$A:$A,$C178,符文权重!$D:$D))),"")</f>
        <v/>
      </c>
      <c r="Q178" s="39" t="str" cm="1">
        <f t="array" ref="Q178">IFERROR(IF($A178="","",IF(K178="","",_xlfn.XLOOKUP($C178&amp;"_"&amp;$AG178,符文权重!$A:$A&amp;"_"&amp;符文权重!$C:$C,符文权重!$D:$D)*$X178/SUMIFS($X:$X,K:K,K178,$C:$C,$C178,$AG:$AG,$AG178)/SUMIF(符文权重!$A:$A,$C178,符文权重!$D:$D))),"")</f>
        <v/>
      </c>
      <c r="R178" s="26" t="s">
        <v>163</v>
      </c>
      <c r="S178" s="26"/>
      <c r="T178" s="26" t="e">
        <f>IF(B178="","",SUBSTITUTE(SUBSTITUTE("[{global_atk,"&amp;#REF!*C178&amp;"}]",21,20),9,8))</f>
        <v>#REF!</v>
      </c>
      <c r="U178" s="40" t="str">
        <f t="shared" si="92"/>
        <v>[5502045]</v>
      </c>
      <c r="V178" s="26"/>
      <c r="W178" s="25"/>
      <c r="X178" s="32">
        <v>100</v>
      </c>
      <c r="Y178" s="25"/>
      <c r="Z178" s="32" t="s">
        <v>176</v>
      </c>
      <c r="AA178" s="32" t="str">
        <f t="shared" si="82"/>
        <v>最前排梦灵获得36%最大生命值</v>
      </c>
      <c r="AB178" s="32"/>
      <c r="AC178" s="32" t="s">
        <v>166</v>
      </c>
      <c r="AD178" s="32">
        <f t="shared" si="73"/>
        <v>1173</v>
      </c>
      <c r="AE178" s="38" t="str">
        <f t="shared" si="78"/>
        <v>5502041</v>
      </c>
      <c r="AF178" s="32" t="str">
        <f t="shared" si="79"/>
        <v>[36]</v>
      </c>
      <c r="AG178" s="26">
        <v>2</v>
      </c>
      <c r="AH178" s="26"/>
      <c r="AI178" s="26">
        <v>0</v>
      </c>
      <c r="AJ178" s="25" t="s">
        <v>167</v>
      </c>
      <c r="AK178" s="38">
        <f t="shared" si="93"/>
        <v>5502045</v>
      </c>
      <c r="AL178" s="41" t="str">
        <f t="shared" si="94"/>
        <v>最前排梦灵获得&lt;color=#54b76b&gt;%s%&lt;/color&gt;最大生命值</v>
      </c>
      <c r="AM178" s="26">
        <v>36</v>
      </c>
      <c r="AN178" s="26">
        <v>2</v>
      </c>
      <c r="AO178" s="26" t="s">
        <v>28</v>
      </c>
      <c r="AP178" s="20">
        <f t="shared" si="74"/>
        <v>173</v>
      </c>
    </row>
    <row r="179" s="20" customFormat="1" customHeight="1" spans="1:42">
      <c r="A179" s="38">
        <v>5502046</v>
      </c>
      <c r="B179" s="38" t="str">
        <f t="shared" si="75"/>
        <v>5502041</v>
      </c>
      <c r="C179" s="32">
        <f t="shared" si="76"/>
        <v>6</v>
      </c>
      <c r="D179" s="32"/>
      <c r="E179" s="26" t="s">
        <v>332</v>
      </c>
      <c r="F179" s="26">
        <f t="shared" si="70"/>
        <v>1</v>
      </c>
      <c r="G179" s="26" t="str">
        <f>IFERROR(IF(--MID($E179,2*COUNTIF($F179:F179,"&gt;"&amp;0)+2,1)=G$1,G$1,""),"")</f>
        <v/>
      </c>
      <c r="H179" s="26" t="str">
        <f>IFERROR(IF(--MID($E179,2*COUNTIF($F179:G179,"&gt;"&amp;0)+2,1)=H$1,H$1,""),"")</f>
        <v/>
      </c>
      <c r="I179" s="26">
        <f>IFERROR(IF(--MID($E179,2*COUNTIF($F179:H179,"&gt;"&amp;0)+2,1)=I$1,I$1,""),"")</f>
        <v>4</v>
      </c>
      <c r="J179" s="26" t="str">
        <f>IFERROR(IF(--MID($E179,2*COUNTIF($F179:I179,"&gt;"&amp;0)+2,1)=J$1,J$1,""),"")</f>
        <v/>
      </c>
      <c r="K179" s="26" t="str">
        <f>IFERROR(IF(--MID($E179,2*COUNTIF($F179:J179,"&gt;"&amp;0)+2,1)=K$1,K$1,""),"")</f>
        <v/>
      </c>
      <c r="L179" s="39" cm="1">
        <f t="array" ref="L179">IFERROR(IF($A179="","",IF(F179="","",_xlfn.XLOOKUP($C179&amp;"_"&amp;$AG179,符文权重!$A:$A&amp;"_"&amp;符文权重!$C:$C,符文权重!$D:$D)*$X179/SUMIFS($X:$X,F:F,F179,$C:$C,$C179,$AG:$AG,$AG179)/SUMIF(符文权重!$A:$A,$C179,符文权重!$D:$D))),"")</f>
        <v>0.059</v>
      </c>
      <c r="M179" s="39" t="str" cm="1">
        <f t="array" ref="M179">IFERROR(IF($A179="","",IF(G179="","",_xlfn.XLOOKUP($C179&amp;"_"&amp;$AG179,符文权重!$A:$A&amp;"_"&amp;符文权重!$C:$C,符文权重!$D:$D)*$X179/SUMIFS($X:$X,G:G,G179,$C:$C,$C179,$AG:$AG,$AG179)/SUMIF(符文权重!$A:$A,$C179,符文权重!$D:$D))),"")</f>
        <v/>
      </c>
      <c r="N179" s="39" t="str" cm="1">
        <f t="array" ref="N179">IFERROR(IF($A179="","",IF(H179="","",_xlfn.XLOOKUP($C179&amp;"_"&amp;$AG179,符文权重!$A:$A&amp;"_"&amp;符文权重!$C:$C,符文权重!$D:$D)*$X179/SUMIFS($X:$X,H:H,H179,$C:$C,$C179,$AG:$AG,$AG179)/SUMIF(符文权重!$A:$A,$C179,符文权重!$D:$D))),"")</f>
        <v/>
      </c>
      <c r="O179" s="39" cm="1">
        <f t="array" ref="O179">IFERROR(IF($A179="","",IF(I179="","",_xlfn.XLOOKUP($C179&amp;"_"&amp;$AG179,符文权重!$A:$A&amp;"_"&amp;符文权重!$C:$C,符文权重!$D:$D)*$X179/SUMIFS($X:$X,I:I,I179,$C:$C,$C179,$AG:$AG,$AG179)/SUMIF(符文权重!$A:$A,$C179,符文权重!$D:$D))),"")</f>
        <v>0.059</v>
      </c>
      <c r="P179" s="39" t="str" cm="1">
        <f t="array" ref="P179">IFERROR(IF($A179="","",IF(J179="","",_xlfn.XLOOKUP($C179&amp;"_"&amp;$AG179,符文权重!$A:$A&amp;"_"&amp;符文权重!$C:$C,符文权重!$D:$D)*$X179/SUMIFS($X:$X,J:J,J179,$C:$C,$C179,$AG:$AG,$AG179)/SUMIF(符文权重!$A:$A,$C179,符文权重!$D:$D))),"")</f>
        <v/>
      </c>
      <c r="Q179" s="39" t="str" cm="1">
        <f t="array" ref="Q179">IFERROR(IF($A179="","",IF(K179="","",_xlfn.XLOOKUP($C179&amp;"_"&amp;$AG179,符文权重!$A:$A&amp;"_"&amp;符文权重!$C:$C,符文权重!$D:$D)*$X179/SUMIFS($X:$X,K:K,K179,$C:$C,$C179,$AG:$AG,$AG179)/SUMIF(符文权重!$A:$A,$C179,符文权重!$D:$D))),"")</f>
        <v/>
      </c>
      <c r="R179" s="26" t="s">
        <v>163</v>
      </c>
      <c r="S179" s="26"/>
      <c r="T179" s="26" t="e">
        <f>IF(B179="","",SUBSTITUTE(SUBSTITUTE("[{global_atk,"&amp;#REF!*C179&amp;"}]",21,20),9,8))</f>
        <v>#REF!</v>
      </c>
      <c r="U179" s="40" t="str">
        <f t="shared" si="92"/>
        <v>[5502046]</v>
      </c>
      <c r="V179" s="26"/>
      <c r="W179" s="25"/>
      <c r="X179" s="32">
        <v>100</v>
      </c>
      <c r="Y179" s="25"/>
      <c r="Z179" s="32" t="s">
        <v>178</v>
      </c>
      <c r="AA179" s="32" t="str">
        <f t="shared" si="82"/>
        <v>最前排梦灵获得45%最大生命值</v>
      </c>
      <c r="AB179" s="32"/>
      <c r="AC179" s="32" t="s">
        <v>166</v>
      </c>
      <c r="AD179" s="32">
        <f t="shared" si="73"/>
        <v>1174</v>
      </c>
      <c r="AE179" s="38" t="str">
        <f t="shared" si="78"/>
        <v>5502041</v>
      </c>
      <c r="AF179" s="32" t="str">
        <f t="shared" si="79"/>
        <v>[45]</v>
      </c>
      <c r="AG179" s="26">
        <v>2</v>
      </c>
      <c r="AH179" s="26"/>
      <c r="AI179" s="26">
        <v>0</v>
      </c>
      <c r="AJ179" s="25" t="s">
        <v>167</v>
      </c>
      <c r="AK179" s="38">
        <f t="shared" si="93"/>
        <v>5502046</v>
      </c>
      <c r="AL179" s="41" t="str">
        <f t="shared" si="94"/>
        <v>最前排梦灵获得&lt;color=#54b76b&gt;%s%&lt;/color&gt;最大生命值</v>
      </c>
      <c r="AM179" s="26">
        <v>45</v>
      </c>
      <c r="AN179" s="26">
        <v>2</v>
      </c>
      <c r="AO179" s="26" t="s">
        <v>28</v>
      </c>
      <c r="AP179" s="20">
        <f t="shared" si="74"/>
        <v>174</v>
      </c>
    </row>
    <row r="180" s="20" customFormat="1" customHeight="1" spans="1:42">
      <c r="A180" s="38">
        <v>5502047</v>
      </c>
      <c r="B180" s="38" t="str">
        <f t="shared" si="75"/>
        <v>5502041</v>
      </c>
      <c r="C180" s="32">
        <f t="shared" si="76"/>
        <v>7</v>
      </c>
      <c r="D180" s="32"/>
      <c r="E180" s="26" t="s">
        <v>332</v>
      </c>
      <c r="F180" s="26">
        <f t="shared" si="70"/>
        <v>1</v>
      </c>
      <c r="G180" s="26" t="str">
        <f>IFERROR(IF(--MID($E180,2*COUNTIF($F180:F180,"&gt;"&amp;0)+2,1)=G$1,G$1,""),"")</f>
        <v/>
      </c>
      <c r="H180" s="26" t="str">
        <f>IFERROR(IF(--MID($E180,2*COUNTIF($F180:G180,"&gt;"&amp;0)+2,1)=H$1,H$1,""),"")</f>
        <v/>
      </c>
      <c r="I180" s="26">
        <f>IFERROR(IF(--MID($E180,2*COUNTIF($F180:H180,"&gt;"&amp;0)+2,1)=I$1,I$1,""),"")</f>
        <v>4</v>
      </c>
      <c r="J180" s="26" t="str">
        <f>IFERROR(IF(--MID($E180,2*COUNTIF($F180:I180,"&gt;"&amp;0)+2,1)=J$1,J$1,""),"")</f>
        <v/>
      </c>
      <c r="K180" s="26" t="str">
        <f>IFERROR(IF(--MID($E180,2*COUNTIF($F180:J180,"&gt;"&amp;0)+2,1)=K$1,K$1,""),"")</f>
        <v/>
      </c>
      <c r="L180" s="39" cm="1">
        <f t="array" ref="L180">IFERROR(IF($A180="","",IF(F180="","",_xlfn.XLOOKUP($C180&amp;"_"&amp;$AG180,符文权重!$A:$A&amp;"_"&amp;符文权重!$C:$C,符文权重!$D:$D)*$X180/SUMIFS($X:$X,F:F,F180,$C:$C,$C180,$AG:$AG,$AG180)/SUMIF(符文权重!$A:$A,$C180,符文权重!$D:$D))),"")</f>
        <v>0.059</v>
      </c>
      <c r="M180" s="39" t="str" cm="1">
        <f t="array" ref="M180">IFERROR(IF($A180="","",IF(G180="","",_xlfn.XLOOKUP($C180&amp;"_"&amp;$AG180,符文权重!$A:$A&amp;"_"&amp;符文权重!$C:$C,符文权重!$D:$D)*$X180/SUMIFS($X:$X,G:G,G180,$C:$C,$C180,$AG:$AG,$AG180)/SUMIF(符文权重!$A:$A,$C180,符文权重!$D:$D))),"")</f>
        <v/>
      </c>
      <c r="N180" s="39" t="str" cm="1">
        <f t="array" ref="N180">IFERROR(IF($A180="","",IF(H180="","",_xlfn.XLOOKUP($C180&amp;"_"&amp;$AG180,符文权重!$A:$A&amp;"_"&amp;符文权重!$C:$C,符文权重!$D:$D)*$X180/SUMIFS($X:$X,H:H,H180,$C:$C,$C180,$AG:$AG,$AG180)/SUMIF(符文权重!$A:$A,$C180,符文权重!$D:$D))),"")</f>
        <v/>
      </c>
      <c r="O180" s="39" cm="1">
        <f t="array" ref="O180">IFERROR(IF($A180="","",IF(I180="","",_xlfn.XLOOKUP($C180&amp;"_"&amp;$AG180,符文权重!$A:$A&amp;"_"&amp;符文权重!$C:$C,符文权重!$D:$D)*$X180/SUMIFS($X:$X,I:I,I180,$C:$C,$C180,$AG:$AG,$AG180)/SUMIF(符文权重!$A:$A,$C180,符文权重!$D:$D))),"")</f>
        <v>0.059</v>
      </c>
      <c r="P180" s="39" t="str" cm="1">
        <f t="array" ref="P180">IFERROR(IF($A180="","",IF(J180="","",_xlfn.XLOOKUP($C180&amp;"_"&amp;$AG180,符文权重!$A:$A&amp;"_"&amp;符文权重!$C:$C,符文权重!$D:$D)*$X180/SUMIFS($X:$X,J:J,J180,$C:$C,$C180,$AG:$AG,$AG180)/SUMIF(符文权重!$A:$A,$C180,符文权重!$D:$D))),"")</f>
        <v/>
      </c>
      <c r="Q180" s="39" t="str" cm="1">
        <f t="array" ref="Q180">IFERROR(IF($A180="","",IF(K180="","",_xlfn.XLOOKUP($C180&amp;"_"&amp;$AG180,符文权重!$A:$A&amp;"_"&amp;符文权重!$C:$C,符文权重!$D:$D)*$X180/SUMIFS($X:$X,K:K,K180,$C:$C,$C180,$AG:$AG,$AG180)/SUMIF(符文权重!$A:$A,$C180,符文权重!$D:$D))),"")</f>
        <v/>
      </c>
      <c r="R180" s="26" t="s">
        <v>163</v>
      </c>
      <c r="S180" s="26"/>
      <c r="T180" s="26" t="e">
        <f>IF(B180="","",SUBSTITUTE(SUBSTITUTE("[{global_atk,"&amp;#REF!*C180&amp;"}]",21,20),9,8))</f>
        <v>#REF!</v>
      </c>
      <c r="U180" s="40" t="str">
        <f t="shared" si="92"/>
        <v>[5502047]</v>
      </c>
      <c r="V180" s="26"/>
      <c r="W180" s="25"/>
      <c r="X180" s="32">
        <v>100</v>
      </c>
      <c r="Y180" s="25"/>
      <c r="Z180" s="32" t="s">
        <v>180</v>
      </c>
      <c r="AA180" s="32" t="str">
        <f t="shared" si="82"/>
        <v>最前排梦灵获得55%最大生命值</v>
      </c>
      <c r="AB180" s="32"/>
      <c r="AC180" s="32" t="s">
        <v>166</v>
      </c>
      <c r="AD180" s="32">
        <f t="shared" si="73"/>
        <v>1175</v>
      </c>
      <c r="AE180" s="38" t="str">
        <f t="shared" si="78"/>
        <v>5502041</v>
      </c>
      <c r="AF180" s="32" t="str">
        <f t="shared" si="79"/>
        <v>[55]</v>
      </c>
      <c r="AG180" s="26">
        <v>2</v>
      </c>
      <c r="AH180" s="26"/>
      <c r="AI180" s="26">
        <v>0</v>
      </c>
      <c r="AJ180" s="25" t="s">
        <v>167</v>
      </c>
      <c r="AK180" s="38">
        <f t="shared" si="93"/>
        <v>5502047</v>
      </c>
      <c r="AL180" s="41" t="str">
        <f t="shared" si="94"/>
        <v>最前排梦灵获得&lt;color=#54b76b&gt;%s%&lt;/color&gt;最大生命值</v>
      </c>
      <c r="AM180" s="26">
        <v>55</v>
      </c>
      <c r="AN180" s="26">
        <v>2</v>
      </c>
      <c r="AO180" s="26" t="s">
        <v>28</v>
      </c>
      <c r="AP180" s="20">
        <f t="shared" si="74"/>
        <v>175</v>
      </c>
    </row>
    <row r="181" s="20" customFormat="1" customHeight="1" spans="1:42">
      <c r="A181" s="38" t="s">
        <v>167</v>
      </c>
      <c r="B181" s="38" t="str">
        <f t="shared" si="75"/>
        <v/>
      </c>
      <c r="C181" s="32" t="str">
        <f t="shared" si="76"/>
        <v/>
      </c>
      <c r="D181" s="32"/>
      <c r="E181" s="26"/>
      <c r="F181" s="26" t="str">
        <f t="shared" si="70"/>
        <v/>
      </c>
      <c r="G181" s="26" t="str">
        <f>IFERROR(IF(--MID($E181,2*COUNTIF($F181:F181,"&gt;"&amp;0)+2,1)=G$1,G$1,""),"")</f>
        <v/>
      </c>
      <c r="H181" s="26" t="str">
        <f>IFERROR(IF(--MID($E181,2*COUNTIF($F181:G181,"&gt;"&amp;0)+2,1)=H$1,H$1,""),"")</f>
        <v/>
      </c>
      <c r="I181" s="26" t="str">
        <f>IFERROR(IF(--MID($E181,2*COUNTIF($F181:H181,"&gt;"&amp;0)+2,1)=I$1,I$1,""),"")</f>
        <v/>
      </c>
      <c r="J181" s="26" t="str">
        <f>IFERROR(IF(--MID($E181,2*COUNTIF($F181:I181,"&gt;"&amp;0)+2,1)=J$1,J$1,""),"")</f>
        <v/>
      </c>
      <c r="K181" s="26" t="str">
        <f>IFERROR(IF(--MID($E181,2*COUNTIF($F181:J181,"&gt;"&amp;0)+2,1)=K$1,K$1,""),"")</f>
        <v/>
      </c>
      <c r="L181" s="39" t="str" cm="1">
        <f t="array" ref="L181">IFERROR(IF($A181="","",IF(F181="","",_xlfn.XLOOKUP($C181&amp;"_"&amp;$AG181,符文权重!$A:$A&amp;"_"&amp;符文权重!$C:$C,符文权重!$D:$D)*$X181/SUMIFS($X:$X,F:F,F181,$C:$C,$C181,$AG:$AG,$AG181)/SUMIF(符文权重!$A:$A,$C181,符文权重!$D:$D))),"")</f>
        <v/>
      </c>
      <c r="M181" s="39" t="str" cm="1">
        <f t="array" ref="M181">IFERROR(IF($A181="","",IF(G181="","",_xlfn.XLOOKUP($C181&amp;"_"&amp;$AG181,符文权重!$A:$A&amp;"_"&amp;符文权重!$C:$C,符文权重!$D:$D)*$X181/SUMIFS($X:$X,G:G,G181,$C:$C,$C181,$AG:$AG,$AG181)/SUMIF(符文权重!$A:$A,$C181,符文权重!$D:$D))),"")</f>
        <v/>
      </c>
      <c r="N181" s="39" t="str" cm="1">
        <f t="array" ref="N181">IFERROR(IF($A181="","",IF(H181="","",_xlfn.XLOOKUP($C181&amp;"_"&amp;$AG181,符文权重!$A:$A&amp;"_"&amp;符文权重!$C:$C,符文权重!$D:$D)*$X181/SUMIFS($X:$X,H:H,H181,$C:$C,$C181,$AG:$AG,$AG181)/SUMIF(符文权重!$A:$A,$C181,符文权重!$D:$D))),"")</f>
        <v/>
      </c>
      <c r="O181" s="39" t="str" cm="1">
        <f t="array" ref="O181">IFERROR(IF($A181="","",IF(I181="","",_xlfn.XLOOKUP($C181&amp;"_"&amp;$AG181,符文权重!$A:$A&amp;"_"&amp;符文权重!$C:$C,符文权重!$D:$D)*$X181/SUMIFS($X:$X,I:I,I181,$C:$C,$C181,$AG:$AG,$AG181)/SUMIF(符文权重!$A:$A,$C181,符文权重!$D:$D))),"")</f>
        <v/>
      </c>
      <c r="P181" s="39" t="str" cm="1">
        <f t="array" ref="P181">IFERROR(IF($A181="","",IF(J181="","",_xlfn.XLOOKUP($C181&amp;"_"&amp;$AG181,符文权重!$A:$A&amp;"_"&amp;符文权重!$C:$C,符文权重!$D:$D)*$X181/SUMIFS($X:$X,J:J,J181,$C:$C,$C181,$AG:$AG,$AG181)/SUMIF(符文权重!$A:$A,$C181,符文权重!$D:$D))),"")</f>
        <v/>
      </c>
      <c r="Q181" s="39" t="str" cm="1">
        <f t="array" ref="Q181">IFERROR(IF($A181="","",IF(K181="","",_xlfn.XLOOKUP($C181&amp;"_"&amp;$AG181,符文权重!$A:$A&amp;"_"&amp;符文权重!$C:$C,符文权重!$D:$D)*$X181/SUMIFS($X:$X,K:K,K181,$C:$C,$C181,$AG:$AG,$AG181)/SUMIF(符文权重!$A:$A,$C181,符文权重!$D:$D))),"")</f>
        <v/>
      </c>
      <c r="R181" s="26"/>
      <c r="S181" s="26"/>
      <c r="T181" s="26"/>
      <c r="V181" s="31"/>
      <c r="W181" s="25"/>
      <c r="X181" s="32"/>
      <c r="Y181" s="25"/>
      <c r="Z181" s="32" t="s">
        <v>167</v>
      </c>
      <c r="AA181" s="32" t="str">
        <f t="shared" si="82"/>
        <v/>
      </c>
      <c r="AB181" s="32"/>
      <c r="AC181" s="32" t="s">
        <v>166</v>
      </c>
      <c r="AD181" s="32">
        <f t="shared" si="73"/>
        <v>1176</v>
      </c>
      <c r="AE181" s="38" t="str">
        <f t="shared" si="78"/>
        <v/>
      </c>
      <c r="AF181" s="32" t="str">
        <f t="shared" si="79"/>
        <v/>
      </c>
      <c r="AG181" s="26"/>
      <c r="AH181" s="26"/>
      <c r="AI181" s="26"/>
      <c r="AJ181" s="25" t="s">
        <v>167</v>
      </c>
      <c r="AK181" s="24"/>
      <c r="AL181" s="43"/>
      <c r="AM181" s="26"/>
      <c r="AN181" s="26"/>
      <c r="AO181" s="26"/>
      <c r="AP181" s="20">
        <f t="shared" si="74"/>
        <v>176</v>
      </c>
    </row>
    <row r="182" s="22" customFormat="1" customHeight="1" spans="1:42">
      <c r="A182" s="44">
        <v>5502051</v>
      </c>
      <c r="B182" s="44" t="str">
        <f t="shared" si="75"/>
        <v>5502051</v>
      </c>
      <c r="C182" s="45">
        <f t="shared" si="76"/>
        <v>1</v>
      </c>
      <c r="D182" s="45"/>
      <c r="E182" s="46" t="s">
        <v>334</v>
      </c>
      <c r="F182" s="26" t="str">
        <f t="shared" si="70"/>
        <v/>
      </c>
      <c r="G182" s="26" t="str">
        <f>IFERROR(IF(--MID($E182,2*COUNTIF($F182:F182,"&gt;"&amp;0)+2,1)=G$1,G$1,""),"")</f>
        <v/>
      </c>
      <c r="H182" s="26">
        <f>IFERROR(IF(--MID($E182,2*COUNTIF($F182:G182,"&gt;"&amp;0)+2,1)=H$1,H$1,""),"")</f>
        <v>3</v>
      </c>
      <c r="I182" s="26" t="str">
        <f>IFERROR(IF(--MID($E182,2*COUNTIF($F182:H182,"&gt;"&amp;0)+2,1)=I$1,I$1,""),"")</f>
        <v/>
      </c>
      <c r="J182" s="26" t="str">
        <f>IFERROR(IF(--MID($E182,2*COUNTIF($F182:I182,"&gt;"&amp;0)+2,1)=J$1,J$1,""),"")</f>
        <v/>
      </c>
      <c r="K182" s="26">
        <f>IFERROR(IF(--MID($E182,2*COUNTIF($F182:J182,"&gt;"&amp;0)+2,1)=K$1,K$1,""),"")</f>
        <v>6</v>
      </c>
      <c r="L182" s="39" t="str" cm="1">
        <f t="array" ref="L182">IFERROR(IF($A182="","",IF(F182="","",_xlfn.XLOOKUP($C182&amp;"_"&amp;$AG182,符文权重!$A:$A&amp;"_"&amp;符文权重!$C:$C,符文权重!$D:$D)*$X182/SUMIFS($X:$X,F:F,F182,$C:$C,$C182,$AG:$AG,$AG182)/SUMIF(符文权重!$A:$A,$C182,符文权重!$D:$D))),"")</f>
        <v/>
      </c>
      <c r="M182" s="39" t="str" cm="1">
        <f t="array" ref="M182">IFERROR(IF($A182="","",IF(G182="","",_xlfn.XLOOKUP($C182&amp;"_"&amp;$AG182,符文权重!$A:$A&amp;"_"&amp;符文权重!$C:$C,符文权重!$D:$D)*$X182/SUMIFS($X:$X,G:G,G182,$C:$C,$C182,$AG:$AG,$AG182)/SUMIF(符文权重!$A:$A,$C182,符文权重!$D:$D))),"")</f>
        <v/>
      </c>
      <c r="N182" s="39" t="str" cm="1">
        <f t="array" ref="N182">IFERROR(IF($A182="","",IF(H182="","",_xlfn.XLOOKUP($C182&amp;"_"&amp;$AG182,符文权重!$A:$A&amp;"_"&amp;符文权重!$C:$C,符文权重!$D:$D)*$X182/SUMIFS($X:$X,H:H,H182,$C:$C,$C182,$AG:$AG,$AG182)/SUMIF(符文权重!$A:$A,$C182,符文权重!$D:$D))),"")</f>
        <v/>
      </c>
      <c r="O182" s="39" t="str" cm="1">
        <f t="array" ref="O182">IFERROR(IF($A182="","",IF(I182="","",_xlfn.XLOOKUP($C182&amp;"_"&amp;$AG182,符文权重!$A:$A&amp;"_"&amp;符文权重!$C:$C,符文权重!$D:$D)*$X182/SUMIFS($X:$X,I:I,I182,$C:$C,$C182,$AG:$AG,$AG182)/SUMIF(符文权重!$A:$A,$C182,符文权重!$D:$D))),"")</f>
        <v/>
      </c>
      <c r="P182" s="39" t="str" cm="1">
        <f t="array" ref="P182">IFERROR(IF($A182="","",IF(J182="","",_xlfn.XLOOKUP($C182&amp;"_"&amp;$AG182,符文权重!$A:$A&amp;"_"&amp;符文权重!$C:$C,符文权重!$D:$D)*$X182/SUMIFS($X:$X,J:J,J182,$C:$C,$C182,$AG:$AG,$AG182)/SUMIF(符文权重!$A:$A,$C182,符文权重!$D:$D))),"")</f>
        <v/>
      </c>
      <c r="Q182" s="39" t="str" cm="1">
        <f t="array" ref="Q182">IFERROR(IF($A182="","",IF(K182="","",_xlfn.XLOOKUP($C182&amp;"_"&amp;$AG182,符文权重!$A:$A&amp;"_"&amp;符文权重!$C:$C,符文权重!$D:$D)*$X182/SUMIFS($X:$X,K:K,K182,$C:$C,$C182,$AG:$AG,$AG182)/SUMIF(符文权重!$A:$A,$C182,符文权重!$D:$D))),"")</f>
        <v/>
      </c>
      <c r="R182" s="46" t="s">
        <v>163</v>
      </c>
      <c r="S182" s="46"/>
      <c r="T182" s="46" t="e">
        <f>IF(B182="","",SUBSTITUTE(SUBSTITUTE("[{global_atk,"&amp;#REF!*C182&amp;"}]",21,20),9,8))</f>
        <v>#REF!</v>
      </c>
      <c r="U182" s="47" t="str">
        <f t="shared" ref="U182:U188" si="95">"["&amp;A182&amp;"]"</f>
        <v>[5502051]</v>
      </c>
      <c r="V182" s="46"/>
      <c r="W182" s="23"/>
      <c r="X182" s="32">
        <v>100</v>
      </c>
      <c r="Y182" s="23"/>
      <c r="Z182" s="45" t="s">
        <v>165</v>
      </c>
      <c r="AA182" s="32" t="str">
        <f t="shared" si="82"/>
        <v>最前排梦灵获得相当于0%最大生命值的护盾</v>
      </c>
      <c r="AB182" s="32"/>
      <c r="AC182" s="32" t="s">
        <v>166</v>
      </c>
      <c r="AD182" s="32">
        <f t="shared" si="73"/>
        <v>1177</v>
      </c>
      <c r="AE182" s="44" t="str">
        <f t="shared" si="78"/>
        <v>5502051</v>
      </c>
      <c r="AF182" s="45" t="str">
        <f t="shared" si="79"/>
        <v>[0]</v>
      </c>
      <c r="AG182" s="26">
        <v>100</v>
      </c>
      <c r="AH182" s="46"/>
      <c r="AI182" s="46">
        <v>1</v>
      </c>
      <c r="AJ182" s="25" t="s">
        <v>167</v>
      </c>
      <c r="AK182" s="48">
        <v>5502051</v>
      </c>
      <c r="AL182" s="49" t="s">
        <v>335</v>
      </c>
      <c r="AM182" s="46">
        <v>0</v>
      </c>
      <c r="AN182" s="26"/>
      <c r="AO182" s="26" t="s">
        <v>28</v>
      </c>
      <c r="AP182" s="20">
        <f t="shared" si="74"/>
        <v>177</v>
      </c>
    </row>
    <row r="183" s="20" customFormat="1" customHeight="1" spans="1:42">
      <c r="A183" s="38">
        <v>5502052</v>
      </c>
      <c r="B183" s="38" t="str">
        <f t="shared" si="75"/>
        <v>5502051</v>
      </c>
      <c r="C183" s="32">
        <f t="shared" si="76"/>
        <v>2</v>
      </c>
      <c r="D183" s="32"/>
      <c r="E183" s="26" t="s">
        <v>334</v>
      </c>
      <c r="F183" s="26" t="str">
        <f t="shared" si="70"/>
        <v/>
      </c>
      <c r="G183" s="26" t="str">
        <f>IFERROR(IF(--MID($E183,2*COUNTIF($F183:F183,"&gt;"&amp;0)+2,1)=G$1,G$1,""),"")</f>
        <v/>
      </c>
      <c r="H183" s="26">
        <f>IFERROR(IF(--MID($E183,2*COUNTIF($F183:G183,"&gt;"&amp;0)+2,1)=H$1,H$1,""),"")</f>
        <v>3</v>
      </c>
      <c r="I183" s="26" t="str">
        <f>IFERROR(IF(--MID($E183,2*COUNTIF($F183:H183,"&gt;"&amp;0)+2,1)=I$1,I$1,""),"")</f>
        <v/>
      </c>
      <c r="J183" s="26" t="str">
        <f>IFERROR(IF(--MID($E183,2*COUNTIF($F183:I183,"&gt;"&amp;0)+2,1)=J$1,J$1,""),"")</f>
        <v/>
      </c>
      <c r="K183" s="26">
        <f>IFERROR(IF(--MID($E183,2*COUNTIF($F183:J183,"&gt;"&amp;0)+2,1)=K$1,K$1,""),"")</f>
        <v>6</v>
      </c>
      <c r="L183" s="39" t="str" cm="1">
        <f t="array" ref="L183">IFERROR(IF($A183="","",IF(F183="","",_xlfn.XLOOKUP($C183&amp;"_"&amp;$AG183,符文权重!$A:$A&amp;"_"&amp;符文权重!$C:$C,符文权重!$D:$D)*$X183/SUMIFS($X:$X,F:F,F183,$C:$C,$C183,$AG:$AG,$AG183)/SUMIF(符文权重!$A:$A,$C183,符文权重!$D:$D))),"")</f>
        <v/>
      </c>
      <c r="M183" s="39" t="str" cm="1">
        <f t="array" ref="M183">IFERROR(IF($A183="","",IF(G183="","",_xlfn.XLOOKUP($C183&amp;"_"&amp;$AG183,符文权重!$A:$A&amp;"_"&amp;符文权重!$C:$C,符文权重!$D:$D)*$X183/SUMIFS($X:$X,G:G,G183,$C:$C,$C183,$AG:$AG,$AG183)/SUMIF(符文权重!$A:$A,$C183,符文权重!$D:$D))),"")</f>
        <v/>
      </c>
      <c r="N183" s="39" cm="1">
        <f t="array" ref="N183">IFERROR(IF($A183="","",IF(H183="","",_xlfn.XLOOKUP($C183&amp;"_"&amp;$AG183,符文权重!$A:$A&amp;"_"&amp;符文权重!$C:$C,符文权重!$D:$D)*$X183/SUMIFS($X:$X,H:H,H183,$C:$C,$C183,$AG:$AG,$AG183)/SUMIF(符文权重!$A:$A,$C183,符文权重!$D:$D))),"")</f>
        <v>0.1</v>
      </c>
      <c r="O183" s="39" t="str" cm="1">
        <f t="array" ref="O183">IFERROR(IF($A183="","",IF(I183="","",_xlfn.XLOOKUP($C183&amp;"_"&amp;$AG183,符文权重!$A:$A&amp;"_"&amp;符文权重!$C:$C,符文权重!$D:$D)*$X183/SUMIFS($X:$X,I:I,I183,$C:$C,$C183,$AG:$AG,$AG183)/SUMIF(符文权重!$A:$A,$C183,符文权重!$D:$D))),"")</f>
        <v/>
      </c>
      <c r="P183" s="39" t="str" cm="1">
        <f t="array" ref="P183">IFERROR(IF($A183="","",IF(J183="","",_xlfn.XLOOKUP($C183&amp;"_"&amp;$AG183,符文权重!$A:$A&amp;"_"&amp;符文权重!$C:$C,符文权重!$D:$D)*$X183/SUMIFS($X:$X,J:J,J183,$C:$C,$C183,$AG:$AG,$AG183)/SUMIF(符文权重!$A:$A,$C183,符文权重!$D:$D))),"")</f>
        <v/>
      </c>
      <c r="Q183" s="39" cm="1">
        <f t="array" ref="Q183">IFERROR(IF($A183="","",IF(K183="","",_xlfn.XLOOKUP($C183&amp;"_"&amp;$AG183,符文权重!$A:$A&amp;"_"&amp;符文权重!$C:$C,符文权重!$D:$D)*$X183/SUMIFS($X:$X,K:K,K183,$C:$C,$C183,$AG:$AG,$AG183)/SUMIF(符文权重!$A:$A,$C183,符文权重!$D:$D))),"")</f>
        <v>0.11</v>
      </c>
      <c r="R183" s="26" t="s">
        <v>163</v>
      </c>
      <c r="S183" s="26"/>
      <c r="T183" s="26" t="e">
        <f>IF(B183="","",SUBSTITUTE(SUBSTITUTE("[{global_atk,"&amp;#REF!*C183&amp;"}]",21,20),9,8))</f>
        <v>#REF!</v>
      </c>
      <c r="U183" s="40" t="str">
        <f t="shared" si="95"/>
        <v>[5502052]</v>
      </c>
      <c r="V183" s="26"/>
      <c r="W183" s="25"/>
      <c r="X183" s="32">
        <v>100</v>
      </c>
      <c r="Y183" s="25"/>
      <c r="Z183" s="32" t="s">
        <v>170</v>
      </c>
      <c r="AA183" s="32" t="str">
        <f t="shared" si="82"/>
        <v>最前排梦灵获得相当于5%最大生命值的护盾</v>
      </c>
      <c r="AB183" s="32"/>
      <c r="AC183" s="32" t="s">
        <v>166</v>
      </c>
      <c r="AD183" s="32">
        <f t="shared" si="73"/>
        <v>1178</v>
      </c>
      <c r="AE183" s="38" t="str">
        <f t="shared" si="78"/>
        <v>5502051</v>
      </c>
      <c r="AF183" s="32" t="str">
        <f t="shared" si="79"/>
        <v>[5]</v>
      </c>
      <c r="AG183" s="26">
        <v>2</v>
      </c>
      <c r="AH183" s="26"/>
      <c r="AI183" s="26">
        <v>0</v>
      </c>
      <c r="AJ183" s="25" t="s">
        <v>167</v>
      </c>
      <c r="AK183" s="38">
        <f t="shared" ref="AK183:AK188" si="96">AK182+1</f>
        <v>5502052</v>
      </c>
      <c r="AL183" s="41" t="str">
        <f t="shared" ref="AL183:AL188" si="97">AL182</f>
        <v>最前排梦灵获得相当于&lt;color=#54b76b&gt;%s%&lt;/color&gt;最大生命值的护盾</v>
      </c>
      <c r="AM183" s="26">
        <v>5</v>
      </c>
      <c r="AN183" s="26">
        <v>2</v>
      </c>
      <c r="AO183" s="26" t="s">
        <v>28</v>
      </c>
      <c r="AP183" s="20">
        <f t="shared" si="74"/>
        <v>178</v>
      </c>
    </row>
    <row r="184" s="20" customFormat="1" customHeight="1" spans="1:42">
      <c r="A184" s="38">
        <v>5502053</v>
      </c>
      <c r="B184" s="38" t="str">
        <f t="shared" si="75"/>
        <v>5502051</v>
      </c>
      <c r="C184" s="32">
        <f t="shared" si="76"/>
        <v>3</v>
      </c>
      <c r="D184" s="32"/>
      <c r="E184" s="26" t="s">
        <v>334</v>
      </c>
      <c r="F184" s="26" t="str">
        <f t="shared" si="70"/>
        <v/>
      </c>
      <c r="G184" s="26" t="str">
        <f>IFERROR(IF(--MID($E184,2*COUNTIF($F184:F184,"&gt;"&amp;0)+2,1)=G$1,G$1,""),"")</f>
        <v/>
      </c>
      <c r="H184" s="26">
        <f>IFERROR(IF(--MID($E184,2*COUNTIF($F184:G184,"&gt;"&amp;0)+2,1)=H$1,H$1,""),"")</f>
        <v>3</v>
      </c>
      <c r="I184" s="26" t="str">
        <f>IFERROR(IF(--MID($E184,2*COUNTIF($F184:H184,"&gt;"&amp;0)+2,1)=I$1,I$1,""),"")</f>
        <v/>
      </c>
      <c r="J184" s="26" t="str">
        <f>IFERROR(IF(--MID($E184,2*COUNTIF($F184:I184,"&gt;"&amp;0)+2,1)=J$1,J$1,""),"")</f>
        <v/>
      </c>
      <c r="K184" s="26">
        <f>IFERROR(IF(--MID($E184,2*COUNTIF($F184:J184,"&gt;"&amp;0)+2,1)=K$1,K$1,""),"")</f>
        <v>6</v>
      </c>
      <c r="L184" s="39" t="str" cm="1">
        <f t="array" ref="L184">IFERROR(IF($A184="","",IF(F184="","",_xlfn.XLOOKUP($C184&amp;"_"&amp;$AG184,符文权重!$A:$A&amp;"_"&amp;符文权重!$C:$C,符文权重!$D:$D)*$X184/SUMIFS($X:$X,F:F,F184,$C:$C,$C184,$AG:$AG,$AG184)/SUMIF(符文权重!$A:$A,$C184,符文权重!$D:$D))),"")</f>
        <v/>
      </c>
      <c r="M184" s="39" t="str" cm="1">
        <f t="array" ref="M184">IFERROR(IF($A184="","",IF(G184="","",_xlfn.XLOOKUP($C184&amp;"_"&amp;$AG184,符文权重!$A:$A&amp;"_"&amp;符文权重!$C:$C,符文权重!$D:$D)*$X184/SUMIFS($X:$X,G:G,G184,$C:$C,$C184,$AG:$AG,$AG184)/SUMIF(符文权重!$A:$A,$C184,符文权重!$D:$D))),"")</f>
        <v/>
      </c>
      <c r="N184" s="39" cm="1">
        <f t="array" ref="N184">IFERROR(IF($A184="","",IF(H184="","",_xlfn.XLOOKUP($C184&amp;"_"&amp;$AG184,符文权重!$A:$A&amp;"_"&amp;符文权重!$C:$C,符文权重!$D:$D)*$X184/SUMIFS($X:$X,H:H,H184,$C:$C,$C184,$AG:$AG,$AG184)/SUMIF(符文权重!$A:$A,$C184,符文权重!$D:$D))),"")</f>
        <v>0.0929549902152642</v>
      </c>
      <c r="O184" s="39" t="str" cm="1">
        <f t="array" ref="O184">IFERROR(IF($A184="","",IF(I184="","",_xlfn.XLOOKUP($C184&amp;"_"&amp;$AG184,符文权重!$A:$A&amp;"_"&amp;符文权重!$C:$C,符文权重!$D:$D)*$X184/SUMIFS($X:$X,I:I,I184,$C:$C,$C184,$AG:$AG,$AG184)/SUMIF(符文权重!$A:$A,$C184,符文权重!$D:$D))),"")</f>
        <v/>
      </c>
      <c r="P184" s="39" t="str" cm="1">
        <f t="array" ref="P184">IFERROR(IF($A184="","",IF(J184="","",_xlfn.XLOOKUP($C184&amp;"_"&amp;$AG184,符文权重!$A:$A&amp;"_"&amp;符文权重!$C:$C,符文权重!$D:$D)*$X184/SUMIFS($X:$X,J:J,J184,$C:$C,$C184,$AG:$AG,$AG184)/SUMIF(符文权重!$A:$A,$C184,符文权重!$D:$D))),"")</f>
        <v/>
      </c>
      <c r="Q184" s="39" cm="1">
        <f t="array" ref="Q184">IFERROR(IF($A184="","",IF(K184="","",_xlfn.XLOOKUP($C184&amp;"_"&amp;$AG184,符文权重!$A:$A&amp;"_"&amp;符文权重!$C:$C,符文权重!$D:$D)*$X184/SUMIFS($X:$X,K:K,K184,$C:$C,$C184,$AG:$AG,$AG184)/SUMIF(符文权重!$A:$A,$C184,符文权重!$D:$D))),"")</f>
        <v>0.0909961685823755</v>
      </c>
      <c r="R184" s="26" t="s">
        <v>163</v>
      </c>
      <c r="S184" s="26"/>
      <c r="T184" s="26" t="e">
        <f>IF(B184="","",SUBSTITUTE(SUBSTITUTE("[{global_atk,"&amp;#REF!*C184&amp;"}]",21,20),9,8))</f>
        <v>#REF!</v>
      </c>
      <c r="U184" s="40" t="str">
        <f t="shared" si="95"/>
        <v>[5502053]</v>
      </c>
      <c r="V184" s="26"/>
      <c r="W184" s="25"/>
      <c r="X184" s="32">
        <v>100</v>
      </c>
      <c r="Y184" s="25"/>
      <c r="Z184" s="32" t="s">
        <v>172</v>
      </c>
      <c r="AA184" s="32" t="str">
        <f t="shared" si="82"/>
        <v>最前排梦灵获得相当于7.5%最大生命值的护盾</v>
      </c>
      <c r="AB184" s="32"/>
      <c r="AC184" s="32" t="s">
        <v>166</v>
      </c>
      <c r="AD184" s="32">
        <f t="shared" si="73"/>
        <v>1179</v>
      </c>
      <c r="AE184" s="38" t="str">
        <f t="shared" si="78"/>
        <v>5502051</v>
      </c>
      <c r="AF184" s="32" t="str">
        <f t="shared" si="79"/>
        <v>[7.5]</v>
      </c>
      <c r="AG184" s="26">
        <v>2</v>
      </c>
      <c r="AH184" s="26"/>
      <c r="AI184" s="26">
        <v>0</v>
      </c>
      <c r="AJ184" s="25" t="s">
        <v>167</v>
      </c>
      <c r="AK184" s="38">
        <f t="shared" si="96"/>
        <v>5502053</v>
      </c>
      <c r="AL184" s="41" t="str">
        <f t="shared" si="97"/>
        <v>最前排梦灵获得相当于&lt;color=#54b76b&gt;%s%&lt;/color&gt;最大生命值的护盾</v>
      </c>
      <c r="AM184" s="26">
        <v>7.5</v>
      </c>
      <c r="AN184" s="26">
        <v>2</v>
      </c>
      <c r="AO184" s="26" t="s">
        <v>28</v>
      </c>
      <c r="AP184" s="20">
        <f t="shared" si="74"/>
        <v>179</v>
      </c>
    </row>
    <row r="185" s="20" customFormat="1" customHeight="1" spans="1:42">
      <c r="A185" s="38">
        <v>5502054</v>
      </c>
      <c r="B185" s="38" t="str">
        <f t="shared" si="75"/>
        <v>5502051</v>
      </c>
      <c r="C185" s="32">
        <f t="shared" si="76"/>
        <v>4</v>
      </c>
      <c r="D185" s="32"/>
      <c r="E185" s="26" t="s">
        <v>334</v>
      </c>
      <c r="F185" s="26" t="str">
        <f t="shared" si="70"/>
        <v/>
      </c>
      <c r="G185" s="26" t="str">
        <f>IFERROR(IF(--MID($E185,2*COUNTIF($F185:F185,"&gt;"&amp;0)+2,1)=G$1,G$1,""),"")</f>
        <v/>
      </c>
      <c r="H185" s="26">
        <f>IFERROR(IF(--MID($E185,2*COUNTIF($F185:G185,"&gt;"&amp;0)+2,1)=H$1,H$1,""),"")</f>
        <v>3</v>
      </c>
      <c r="I185" s="26" t="str">
        <f>IFERROR(IF(--MID($E185,2*COUNTIF($F185:H185,"&gt;"&amp;0)+2,1)=I$1,I$1,""),"")</f>
        <v/>
      </c>
      <c r="J185" s="26" t="str">
        <f>IFERROR(IF(--MID($E185,2*COUNTIF($F185:I185,"&gt;"&amp;0)+2,1)=J$1,J$1,""),"")</f>
        <v/>
      </c>
      <c r="K185" s="26">
        <f>IFERROR(IF(--MID($E185,2*COUNTIF($F185:J185,"&gt;"&amp;0)+2,1)=K$1,K$1,""),"")</f>
        <v>6</v>
      </c>
      <c r="L185" s="39" t="str" cm="1">
        <f t="array" ref="L185">IFERROR(IF($A185="","",IF(F185="","",_xlfn.XLOOKUP($C185&amp;"_"&amp;$AG185,符文权重!$A:$A&amp;"_"&amp;符文权重!$C:$C,符文权重!$D:$D)*$X185/SUMIFS($X:$X,F:F,F185,$C:$C,$C185,$AG:$AG,$AG185)/SUMIF(符文权重!$A:$A,$C185,符文权重!$D:$D))),"")</f>
        <v/>
      </c>
      <c r="M185" s="39" t="str" cm="1">
        <f t="array" ref="M185">IFERROR(IF($A185="","",IF(G185="","",_xlfn.XLOOKUP($C185&amp;"_"&amp;$AG185,符文权重!$A:$A&amp;"_"&amp;符文权重!$C:$C,符文权重!$D:$D)*$X185/SUMIFS($X:$X,G:G,G185,$C:$C,$C185,$AG:$AG,$AG185)/SUMIF(符文权重!$A:$A,$C185,符文权重!$D:$D))),"")</f>
        <v/>
      </c>
      <c r="N185" s="39" cm="1">
        <f t="array" ref="N185">IFERROR(IF($A185="","",IF(H185="","",_xlfn.XLOOKUP($C185&amp;"_"&amp;$AG185,符文权重!$A:$A&amp;"_"&amp;符文权重!$C:$C,符文权重!$D:$D)*$X185/SUMIFS($X:$X,H:H,H185,$C:$C,$C185,$AG:$AG,$AG185)/SUMIF(符文权重!$A:$A,$C185,符文权重!$D:$D))),"")</f>
        <v>0.0626</v>
      </c>
      <c r="O185" s="39" t="str" cm="1">
        <f t="array" ref="O185">IFERROR(IF($A185="","",IF(I185="","",_xlfn.XLOOKUP($C185&amp;"_"&amp;$AG185,符文权重!$A:$A&amp;"_"&amp;符文权重!$C:$C,符文权重!$D:$D)*$X185/SUMIFS($X:$X,I:I,I185,$C:$C,$C185,$AG:$AG,$AG185)/SUMIF(符文权重!$A:$A,$C185,符文权重!$D:$D))),"")</f>
        <v/>
      </c>
      <c r="P185" s="39" t="str" cm="1">
        <f t="array" ref="P185">IFERROR(IF($A185="","",IF(J185="","",_xlfn.XLOOKUP($C185&amp;"_"&amp;$AG185,符文权重!$A:$A&amp;"_"&amp;符文权重!$C:$C,符文权重!$D:$D)*$X185/SUMIFS($X:$X,J:J,J185,$C:$C,$C185,$AG:$AG,$AG185)/SUMIF(符文权重!$A:$A,$C185,符文权重!$D:$D))),"")</f>
        <v/>
      </c>
      <c r="Q185" s="39" cm="1">
        <f t="array" ref="Q185">IFERROR(IF($A185="","",IF(K185="","",_xlfn.XLOOKUP($C185&amp;"_"&amp;$AG185,符文权重!$A:$A&amp;"_"&amp;符文权重!$C:$C,符文权重!$D:$D)*$X185/SUMIFS($X:$X,K:K,K185,$C:$C,$C185,$AG:$AG,$AG185)/SUMIF(符文权重!$A:$A,$C185,符文权重!$D:$D))),"")</f>
        <v>0.0626</v>
      </c>
      <c r="R185" s="26" t="s">
        <v>163</v>
      </c>
      <c r="S185" s="26"/>
      <c r="T185" s="26" t="e">
        <f>IF(B185="","",SUBSTITUTE(SUBSTITUTE("[{global_atk,"&amp;#REF!*C185&amp;"}]",21,20),9,8))</f>
        <v>#REF!</v>
      </c>
      <c r="U185" s="40" t="str">
        <f t="shared" si="95"/>
        <v>[5502054]</v>
      </c>
      <c r="V185" s="26"/>
      <c r="W185" s="25"/>
      <c r="X185" s="32">
        <v>100</v>
      </c>
      <c r="Y185" s="25"/>
      <c r="Z185" s="32" t="s">
        <v>174</v>
      </c>
      <c r="AA185" s="32" t="str">
        <f t="shared" si="82"/>
        <v>最前排梦灵获得相当于10%最大生命值的护盾</v>
      </c>
      <c r="AB185" s="32"/>
      <c r="AC185" s="32" t="s">
        <v>166</v>
      </c>
      <c r="AD185" s="32">
        <f t="shared" si="73"/>
        <v>1180</v>
      </c>
      <c r="AE185" s="38" t="str">
        <f t="shared" si="78"/>
        <v>5502051</v>
      </c>
      <c r="AF185" s="32" t="str">
        <f t="shared" si="79"/>
        <v>[10]</v>
      </c>
      <c r="AG185" s="26">
        <v>2</v>
      </c>
      <c r="AH185" s="26"/>
      <c r="AI185" s="26">
        <v>0</v>
      </c>
      <c r="AJ185" s="25" t="s">
        <v>167</v>
      </c>
      <c r="AK185" s="38">
        <f t="shared" si="96"/>
        <v>5502054</v>
      </c>
      <c r="AL185" s="41" t="str">
        <f t="shared" si="97"/>
        <v>最前排梦灵获得相当于&lt;color=#54b76b&gt;%s%&lt;/color&gt;最大生命值的护盾</v>
      </c>
      <c r="AM185" s="26">
        <v>10</v>
      </c>
      <c r="AN185" s="26">
        <v>2</v>
      </c>
      <c r="AO185" s="26" t="s">
        <v>28</v>
      </c>
      <c r="AP185" s="20">
        <f t="shared" si="74"/>
        <v>180</v>
      </c>
    </row>
    <row r="186" s="20" customFormat="1" customHeight="1" spans="1:42">
      <c r="A186" s="38">
        <v>5502055</v>
      </c>
      <c r="B186" s="38" t="str">
        <f t="shared" si="75"/>
        <v>5502051</v>
      </c>
      <c r="C186" s="32">
        <f t="shared" si="76"/>
        <v>5</v>
      </c>
      <c r="D186" s="32"/>
      <c r="E186" s="26" t="s">
        <v>334</v>
      </c>
      <c r="F186" s="26" t="str">
        <f t="shared" si="70"/>
        <v/>
      </c>
      <c r="G186" s="26" t="str">
        <f>IFERROR(IF(--MID($E186,2*COUNTIF($F186:F186,"&gt;"&amp;0)+2,1)=G$1,G$1,""),"")</f>
        <v/>
      </c>
      <c r="H186" s="26">
        <f>IFERROR(IF(--MID($E186,2*COUNTIF($F186:G186,"&gt;"&amp;0)+2,1)=H$1,H$1,""),"")</f>
        <v>3</v>
      </c>
      <c r="I186" s="26" t="str">
        <f>IFERROR(IF(--MID($E186,2*COUNTIF($F186:H186,"&gt;"&amp;0)+2,1)=I$1,I$1,""),"")</f>
        <v/>
      </c>
      <c r="J186" s="26" t="str">
        <f>IFERROR(IF(--MID($E186,2*COUNTIF($F186:I186,"&gt;"&amp;0)+2,1)=J$1,J$1,""),"")</f>
        <v/>
      </c>
      <c r="K186" s="26">
        <f>IFERROR(IF(--MID($E186,2*COUNTIF($F186:J186,"&gt;"&amp;0)+2,1)=K$1,K$1,""),"")</f>
        <v>6</v>
      </c>
      <c r="L186" s="39" t="str" cm="1">
        <f t="array" ref="L186">IFERROR(IF($A186="","",IF(F186="","",_xlfn.XLOOKUP($C186&amp;"_"&amp;$AG186,符文权重!$A:$A&amp;"_"&amp;符文权重!$C:$C,符文权重!$D:$D)*$X186/SUMIFS($X:$X,F:F,F186,$C:$C,$C186,$AG:$AG,$AG186)/SUMIF(符文权重!$A:$A,$C186,符文权重!$D:$D))),"")</f>
        <v/>
      </c>
      <c r="M186" s="39" t="str" cm="1">
        <f t="array" ref="M186">IFERROR(IF($A186="","",IF(G186="","",_xlfn.XLOOKUP($C186&amp;"_"&amp;$AG186,符文权重!$A:$A&amp;"_"&amp;符文权重!$C:$C,符文权重!$D:$D)*$X186/SUMIFS($X:$X,G:G,G186,$C:$C,$C186,$AG:$AG,$AG186)/SUMIF(符文权重!$A:$A,$C186,符文权重!$D:$D))),"")</f>
        <v/>
      </c>
      <c r="N186" s="39" cm="1">
        <f t="array" ref="N186">IFERROR(IF($A186="","",IF(H186="","",_xlfn.XLOOKUP($C186&amp;"_"&amp;$AG186,符文权重!$A:$A&amp;"_"&amp;符文权重!$C:$C,符文权重!$D:$D)*$X186/SUMIFS($X:$X,H:H,H186,$C:$C,$C186,$AG:$AG,$AG186)/SUMIF(符文权重!$A:$A,$C186,符文权重!$D:$D))),"")</f>
        <v>0.059</v>
      </c>
      <c r="O186" s="39" t="str" cm="1">
        <f t="array" ref="O186">IFERROR(IF($A186="","",IF(I186="","",_xlfn.XLOOKUP($C186&amp;"_"&amp;$AG186,符文权重!$A:$A&amp;"_"&amp;符文权重!$C:$C,符文权重!$D:$D)*$X186/SUMIFS($X:$X,I:I,I186,$C:$C,$C186,$AG:$AG,$AG186)/SUMIF(符文权重!$A:$A,$C186,符文权重!$D:$D))),"")</f>
        <v/>
      </c>
      <c r="P186" s="39" t="str" cm="1">
        <f t="array" ref="P186">IFERROR(IF($A186="","",IF(J186="","",_xlfn.XLOOKUP($C186&amp;"_"&amp;$AG186,符文权重!$A:$A&amp;"_"&amp;符文权重!$C:$C,符文权重!$D:$D)*$X186/SUMIFS($X:$X,J:J,J186,$C:$C,$C186,$AG:$AG,$AG186)/SUMIF(符文权重!$A:$A,$C186,符文权重!$D:$D))),"")</f>
        <v/>
      </c>
      <c r="Q186" s="39" cm="1">
        <f t="array" ref="Q186">IFERROR(IF($A186="","",IF(K186="","",_xlfn.XLOOKUP($C186&amp;"_"&amp;$AG186,符文权重!$A:$A&amp;"_"&amp;符文权重!$C:$C,符文权重!$D:$D)*$X186/SUMIFS($X:$X,K:K,K186,$C:$C,$C186,$AG:$AG,$AG186)/SUMIF(符文权重!$A:$A,$C186,符文权重!$D:$D))),"")</f>
        <v>0.059</v>
      </c>
      <c r="R186" s="26" t="s">
        <v>163</v>
      </c>
      <c r="S186" s="26"/>
      <c r="T186" s="26" t="e">
        <f>IF(B186="","",SUBSTITUTE(SUBSTITUTE("[{global_atk,"&amp;#REF!*C186&amp;"}]",21,20),9,8))</f>
        <v>#REF!</v>
      </c>
      <c r="U186" s="40" t="str">
        <f t="shared" si="95"/>
        <v>[5502055]</v>
      </c>
      <c r="V186" s="26"/>
      <c r="W186" s="25"/>
      <c r="X186" s="32">
        <v>100</v>
      </c>
      <c r="Y186" s="25"/>
      <c r="Z186" s="32" t="s">
        <v>176</v>
      </c>
      <c r="AA186" s="32" t="str">
        <f t="shared" si="82"/>
        <v>最前排梦灵获得相当于12.5%最大生命值的护盾</v>
      </c>
      <c r="AB186" s="32"/>
      <c r="AC186" s="32" t="s">
        <v>166</v>
      </c>
      <c r="AD186" s="32">
        <f t="shared" si="73"/>
        <v>1181</v>
      </c>
      <c r="AE186" s="38" t="str">
        <f t="shared" si="78"/>
        <v>5502051</v>
      </c>
      <c r="AF186" s="32" t="str">
        <f t="shared" si="79"/>
        <v>[12.5]</v>
      </c>
      <c r="AG186" s="26">
        <v>2</v>
      </c>
      <c r="AH186" s="26"/>
      <c r="AI186" s="26">
        <v>0</v>
      </c>
      <c r="AJ186" s="25" t="s">
        <v>167</v>
      </c>
      <c r="AK186" s="38">
        <f t="shared" si="96"/>
        <v>5502055</v>
      </c>
      <c r="AL186" s="41" t="str">
        <f t="shared" si="97"/>
        <v>最前排梦灵获得相当于&lt;color=#54b76b&gt;%s%&lt;/color&gt;最大生命值的护盾</v>
      </c>
      <c r="AM186" s="26">
        <v>12.5</v>
      </c>
      <c r="AN186" s="26">
        <v>2</v>
      </c>
      <c r="AO186" s="26" t="s">
        <v>28</v>
      </c>
      <c r="AP186" s="20">
        <f t="shared" si="74"/>
        <v>181</v>
      </c>
    </row>
    <row r="187" s="20" customFormat="1" customHeight="1" spans="1:42">
      <c r="A187" s="38">
        <v>5502056</v>
      </c>
      <c r="B187" s="38" t="str">
        <f t="shared" si="75"/>
        <v>5502051</v>
      </c>
      <c r="C187" s="32">
        <f t="shared" si="76"/>
        <v>6</v>
      </c>
      <c r="D187" s="32"/>
      <c r="E187" s="26" t="s">
        <v>334</v>
      </c>
      <c r="F187" s="26" t="str">
        <f t="shared" si="70"/>
        <v/>
      </c>
      <c r="G187" s="26" t="str">
        <f>IFERROR(IF(--MID($E187,2*COUNTIF($F187:F187,"&gt;"&amp;0)+2,1)=G$1,G$1,""),"")</f>
        <v/>
      </c>
      <c r="H187" s="26">
        <f>IFERROR(IF(--MID($E187,2*COUNTIF($F187:G187,"&gt;"&amp;0)+2,1)=H$1,H$1,""),"")</f>
        <v>3</v>
      </c>
      <c r="I187" s="26" t="str">
        <f>IFERROR(IF(--MID($E187,2*COUNTIF($F187:H187,"&gt;"&amp;0)+2,1)=I$1,I$1,""),"")</f>
        <v/>
      </c>
      <c r="J187" s="26" t="str">
        <f>IFERROR(IF(--MID($E187,2*COUNTIF($F187:I187,"&gt;"&amp;0)+2,1)=J$1,J$1,""),"")</f>
        <v/>
      </c>
      <c r="K187" s="26">
        <f>IFERROR(IF(--MID($E187,2*COUNTIF($F187:J187,"&gt;"&amp;0)+2,1)=K$1,K$1,""),"")</f>
        <v>6</v>
      </c>
      <c r="L187" s="39" t="str" cm="1">
        <f t="array" ref="L187">IFERROR(IF($A187="","",IF(F187="","",_xlfn.XLOOKUP($C187&amp;"_"&amp;$AG187,符文权重!$A:$A&amp;"_"&amp;符文权重!$C:$C,符文权重!$D:$D)*$X187/SUMIFS($X:$X,F:F,F187,$C:$C,$C187,$AG:$AG,$AG187)/SUMIF(符文权重!$A:$A,$C187,符文权重!$D:$D))),"")</f>
        <v/>
      </c>
      <c r="M187" s="39" t="str" cm="1">
        <f t="array" ref="M187">IFERROR(IF($A187="","",IF(G187="","",_xlfn.XLOOKUP($C187&amp;"_"&amp;$AG187,符文权重!$A:$A&amp;"_"&amp;符文权重!$C:$C,符文权重!$D:$D)*$X187/SUMIFS($X:$X,G:G,G187,$C:$C,$C187,$AG:$AG,$AG187)/SUMIF(符文权重!$A:$A,$C187,符文权重!$D:$D))),"")</f>
        <v/>
      </c>
      <c r="N187" s="39" cm="1">
        <f t="array" ref="N187">IFERROR(IF($A187="","",IF(H187="","",_xlfn.XLOOKUP($C187&amp;"_"&amp;$AG187,符文权重!$A:$A&amp;"_"&amp;符文权重!$C:$C,符文权重!$D:$D)*$X187/SUMIFS($X:$X,H:H,H187,$C:$C,$C187,$AG:$AG,$AG187)/SUMIF(符文权重!$A:$A,$C187,符文权重!$D:$D))),"")</f>
        <v>0.059</v>
      </c>
      <c r="O187" s="39" t="str" cm="1">
        <f t="array" ref="O187">IFERROR(IF($A187="","",IF(I187="","",_xlfn.XLOOKUP($C187&amp;"_"&amp;$AG187,符文权重!$A:$A&amp;"_"&amp;符文权重!$C:$C,符文权重!$D:$D)*$X187/SUMIFS($X:$X,I:I,I187,$C:$C,$C187,$AG:$AG,$AG187)/SUMIF(符文权重!$A:$A,$C187,符文权重!$D:$D))),"")</f>
        <v/>
      </c>
      <c r="P187" s="39" t="str" cm="1">
        <f t="array" ref="P187">IFERROR(IF($A187="","",IF(J187="","",_xlfn.XLOOKUP($C187&amp;"_"&amp;$AG187,符文权重!$A:$A&amp;"_"&amp;符文权重!$C:$C,符文权重!$D:$D)*$X187/SUMIFS($X:$X,J:J,J187,$C:$C,$C187,$AG:$AG,$AG187)/SUMIF(符文权重!$A:$A,$C187,符文权重!$D:$D))),"")</f>
        <v/>
      </c>
      <c r="Q187" s="39" cm="1">
        <f t="array" ref="Q187">IFERROR(IF($A187="","",IF(K187="","",_xlfn.XLOOKUP($C187&amp;"_"&amp;$AG187,符文权重!$A:$A&amp;"_"&amp;符文权重!$C:$C,符文权重!$D:$D)*$X187/SUMIFS($X:$X,K:K,K187,$C:$C,$C187,$AG:$AG,$AG187)/SUMIF(符文权重!$A:$A,$C187,符文权重!$D:$D))),"")</f>
        <v>0.059</v>
      </c>
      <c r="R187" s="26" t="s">
        <v>163</v>
      </c>
      <c r="S187" s="26"/>
      <c r="T187" s="26" t="e">
        <f>IF(B187="","",SUBSTITUTE(SUBSTITUTE("[{global_atk,"&amp;#REF!*C187&amp;"}]",21,20),9,8))</f>
        <v>#REF!</v>
      </c>
      <c r="U187" s="40" t="str">
        <f t="shared" si="95"/>
        <v>[5502056]</v>
      </c>
      <c r="V187" s="26"/>
      <c r="W187" s="25"/>
      <c r="X187" s="32">
        <v>100</v>
      </c>
      <c r="Y187" s="25"/>
      <c r="Z187" s="32" t="s">
        <v>178</v>
      </c>
      <c r="AA187" s="32" t="str">
        <f t="shared" si="82"/>
        <v>最前排梦灵获得相当于15%最大生命值的护盾</v>
      </c>
      <c r="AB187" s="32"/>
      <c r="AC187" s="32" t="s">
        <v>166</v>
      </c>
      <c r="AD187" s="32">
        <f t="shared" si="73"/>
        <v>1182</v>
      </c>
      <c r="AE187" s="38" t="str">
        <f t="shared" si="78"/>
        <v>5502051</v>
      </c>
      <c r="AF187" s="32" t="str">
        <f t="shared" si="79"/>
        <v>[15]</v>
      </c>
      <c r="AG187" s="26">
        <v>2</v>
      </c>
      <c r="AH187" s="26"/>
      <c r="AI187" s="26">
        <v>0</v>
      </c>
      <c r="AJ187" s="25" t="s">
        <v>167</v>
      </c>
      <c r="AK187" s="38">
        <f t="shared" si="96"/>
        <v>5502056</v>
      </c>
      <c r="AL187" s="41" t="str">
        <f t="shared" si="97"/>
        <v>最前排梦灵获得相当于&lt;color=#54b76b&gt;%s%&lt;/color&gt;最大生命值的护盾</v>
      </c>
      <c r="AM187" s="26">
        <v>15</v>
      </c>
      <c r="AN187" s="26">
        <v>2</v>
      </c>
      <c r="AO187" s="26" t="s">
        <v>28</v>
      </c>
      <c r="AP187" s="20">
        <f t="shared" si="74"/>
        <v>182</v>
      </c>
    </row>
    <row r="188" s="20" customFormat="1" customHeight="1" spans="1:42">
      <c r="A188" s="38">
        <v>5502057</v>
      </c>
      <c r="B188" s="38" t="str">
        <f t="shared" si="75"/>
        <v>5502051</v>
      </c>
      <c r="C188" s="32">
        <f t="shared" si="76"/>
        <v>7</v>
      </c>
      <c r="D188" s="32"/>
      <c r="E188" s="26" t="s">
        <v>334</v>
      </c>
      <c r="F188" s="26" t="str">
        <f t="shared" si="70"/>
        <v/>
      </c>
      <c r="G188" s="26" t="str">
        <f>IFERROR(IF(--MID($E188,2*COUNTIF($F188:F188,"&gt;"&amp;0)+2,1)=G$1,G$1,""),"")</f>
        <v/>
      </c>
      <c r="H188" s="26">
        <f>IFERROR(IF(--MID($E188,2*COUNTIF($F188:G188,"&gt;"&amp;0)+2,1)=H$1,H$1,""),"")</f>
        <v>3</v>
      </c>
      <c r="I188" s="26" t="str">
        <f>IFERROR(IF(--MID($E188,2*COUNTIF($F188:H188,"&gt;"&amp;0)+2,1)=I$1,I$1,""),"")</f>
        <v/>
      </c>
      <c r="J188" s="26" t="str">
        <f>IFERROR(IF(--MID($E188,2*COUNTIF($F188:I188,"&gt;"&amp;0)+2,1)=J$1,J$1,""),"")</f>
        <v/>
      </c>
      <c r="K188" s="26">
        <f>IFERROR(IF(--MID($E188,2*COUNTIF($F188:J188,"&gt;"&amp;0)+2,1)=K$1,K$1,""),"")</f>
        <v>6</v>
      </c>
      <c r="L188" s="39" t="str" cm="1">
        <f t="array" ref="L188">IFERROR(IF($A188="","",IF(F188="","",_xlfn.XLOOKUP($C188&amp;"_"&amp;$AG188,符文权重!$A:$A&amp;"_"&amp;符文权重!$C:$C,符文权重!$D:$D)*$X188/SUMIFS($X:$X,F:F,F188,$C:$C,$C188,$AG:$AG,$AG188)/SUMIF(符文权重!$A:$A,$C188,符文权重!$D:$D))),"")</f>
        <v/>
      </c>
      <c r="M188" s="39" t="str" cm="1">
        <f t="array" ref="M188">IFERROR(IF($A188="","",IF(G188="","",_xlfn.XLOOKUP($C188&amp;"_"&amp;$AG188,符文权重!$A:$A&amp;"_"&amp;符文权重!$C:$C,符文权重!$D:$D)*$X188/SUMIFS($X:$X,G:G,G188,$C:$C,$C188,$AG:$AG,$AG188)/SUMIF(符文权重!$A:$A,$C188,符文权重!$D:$D))),"")</f>
        <v/>
      </c>
      <c r="N188" s="39" cm="1">
        <f t="array" ref="N188">IFERROR(IF($A188="","",IF(H188="","",_xlfn.XLOOKUP($C188&amp;"_"&amp;$AG188,符文权重!$A:$A&amp;"_"&amp;符文权重!$C:$C,符文权重!$D:$D)*$X188/SUMIFS($X:$X,H:H,H188,$C:$C,$C188,$AG:$AG,$AG188)/SUMIF(符文权重!$A:$A,$C188,符文权重!$D:$D))),"")</f>
        <v>0.059</v>
      </c>
      <c r="O188" s="39" t="str" cm="1">
        <f t="array" ref="O188">IFERROR(IF($A188="","",IF(I188="","",_xlfn.XLOOKUP($C188&amp;"_"&amp;$AG188,符文权重!$A:$A&amp;"_"&amp;符文权重!$C:$C,符文权重!$D:$D)*$X188/SUMIFS($X:$X,I:I,I188,$C:$C,$C188,$AG:$AG,$AG188)/SUMIF(符文权重!$A:$A,$C188,符文权重!$D:$D))),"")</f>
        <v/>
      </c>
      <c r="P188" s="39" t="str" cm="1">
        <f t="array" ref="P188">IFERROR(IF($A188="","",IF(J188="","",_xlfn.XLOOKUP($C188&amp;"_"&amp;$AG188,符文权重!$A:$A&amp;"_"&amp;符文权重!$C:$C,符文权重!$D:$D)*$X188/SUMIFS($X:$X,J:J,J188,$C:$C,$C188,$AG:$AG,$AG188)/SUMIF(符文权重!$A:$A,$C188,符文权重!$D:$D))),"")</f>
        <v/>
      </c>
      <c r="Q188" s="39" cm="1">
        <f t="array" ref="Q188">IFERROR(IF($A188="","",IF(K188="","",_xlfn.XLOOKUP($C188&amp;"_"&amp;$AG188,符文权重!$A:$A&amp;"_"&amp;符文权重!$C:$C,符文权重!$D:$D)*$X188/SUMIFS($X:$X,K:K,K188,$C:$C,$C188,$AG:$AG,$AG188)/SUMIF(符文权重!$A:$A,$C188,符文权重!$D:$D))),"")</f>
        <v>0.059</v>
      </c>
      <c r="R188" s="26" t="s">
        <v>163</v>
      </c>
      <c r="S188" s="26"/>
      <c r="T188" s="26" t="e">
        <f>IF(B188="","",SUBSTITUTE(SUBSTITUTE("[{global_atk,"&amp;#REF!*C188&amp;"}]",21,20),9,8))</f>
        <v>#REF!</v>
      </c>
      <c r="U188" s="40" t="str">
        <f t="shared" si="95"/>
        <v>[5502057]</v>
      </c>
      <c r="V188" s="26"/>
      <c r="W188" s="25"/>
      <c r="X188" s="32">
        <v>100</v>
      </c>
      <c r="Y188" s="25"/>
      <c r="Z188" s="32" t="s">
        <v>180</v>
      </c>
      <c r="AA188" s="32" t="str">
        <f t="shared" si="82"/>
        <v>最前排梦灵获得相当于17.5%最大生命值的护盾</v>
      </c>
      <c r="AB188" s="32"/>
      <c r="AC188" s="32" t="s">
        <v>166</v>
      </c>
      <c r="AD188" s="32">
        <f t="shared" si="73"/>
        <v>1183</v>
      </c>
      <c r="AE188" s="38" t="str">
        <f t="shared" si="78"/>
        <v>5502051</v>
      </c>
      <c r="AF188" s="32" t="str">
        <f t="shared" si="79"/>
        <v>[17.5]</v>
      </c>
      <c r="AG188" s="26">
        <v>2</v>
      </c>
      <c r="AH188" s="26"/>
      <c r="AI188" s="26">
        <v>0</v>
      </c>
      <c r="AJ188" s="25" t="s">
        <v>167</v>
      </c>
      <c r="AK188" s="38">
        <f t="shared" si="96"/>
        <v>5502057</v>
      </c>
      <c r="AL188" s="41" t="str">
        <f t="shared" si="97"/>
        <v>最前排梦灵获得相当于&lt;color=#54b76b&gt;%s%&lt;/color&gt;最大生命值的护盾</v>
      </c>
      <c r="AM188" s="26">
        <v>17.5</v>
      </c>
      <c r="AN188" s="26">
        <v>2</v>
      </c>
      <c r="AO188" s="26" t="s">
        <v>28</v>
      </c>
      <c r="AP188" s="20">
        <f t="shared" si="74"/>
        <v>183</v>
      </c>
    </row>
    <row r="189" s="20" customFormat="1" customHeight="1" spans="1:42">
      <c r="A189" s="38" t="s">
        <v>167</v>
      </c>
      <c r="B189" s="38" t="str">
        <f t="shared" si="75"/>
        <v/>
      </c>
      <c r="C189" s="32" t="str">
        <f t="shared" si="76"/>
        <v/>
      </c>
      <c r="D189" s="32"/>
      <c r="E189" s="26"/>
      <c r="F189" s="26" t="str">
        <f t="shared" si="70"/>
        <v/>
      </c>
      <c r="G189" s="26" t="str">
        <f>IFERROR(IF(--MID($E189,2*COUNTIF($F189:F189,"&gt;"&amp;0)+2,1)=G$1,G$1,""),"")</f>
        <v/>
      </c>
      <c r="H189" s="26" t="str">
        <f>IFERROR(IF(--MID($E189,2*COUNTIF($F189:G189,"&gt;"&amp;0)+2,1)=H$1,H$1,""),"")</f>
        <v/>
      </c>
      <c r="I189" s="26" t="str">
        <f>IFERROR(IF(--MID($E189,2*COUNTIF($F189:H189,"&gt;"&amp;0)+2,1)=I$1,I$1,""),"")</f>
        <v/>
      </c>
      <c r="J189" s="26" t="str">
        <f>IFERROR(IF(--MID($E189,2*COUNTIF($F189:I189,"&gt;"&amp;0)+2,1)=J$1,J$1,""),"")</f>
        <v/>
      </c>
      <c r="K189" s="26" t="str">
        <f>IFERROR(IF(--MID($E189,2*COUNTIF($F189:J189,"&gt;"&amp;0)+2,1)=K$1,K$1,""),"")</f>
        <v/>
      </c>
      <c r="L189" s="39" t="str" cm="1">
        <f t="array" ref="L189">IFERROR(IF($A189="","",IF(F189="","",_xlfn.XLOOKUP($C189&amp;"_"&amp;$AG189,符文权重!$A:$A&amp;"_"&amp;符文权重!$C:$C,符文权重!$D:$D)*$X189/SUMIFS($X:$X,F:F,F189,$C:$C,$C189,$AG:$AG,$AG189)/SUMIF(符文权重!$A:$A,$C189,符文权重!$D:$D))),"")</f>
        <v/>
      </c>
      <c r="M189" s="39" t="str" cm="1">
        <f t="array" ref="M189">IFERROR(IF($A189="","",IF(G189="","",_xlfn.XLOOKUP($C189&amp;"_"&amp;$AG189,符文权重!$A:$A&amp;"_"&amp;符文权重!$C:$C,符文权重!$D:$D)*$X189/SUMIFS($X:$X,G:G,G189,$C:$C,$C189,$AG:$AG,$AG189)/SUMIF(符文权重!$A:$A,$C189,符文权重!$D:$D))),"")</f>
        <v/>
      </c>
      <c r="N189" s="39" t="str" cm="1">
        <f t="array" ref="N189">IFERROR(IF($A189="","",IF(H189="","",_xlfn.XLOOKUP($C189&amp;"_"&amp;$AG189,符文权重!$A:$A&amp;"_"&amp;符文权重!$C:$C,符文权重!$D:$D)*$X189/SUMIFS($X:$X,H:H,H189,$C:$C,$C189,$AG:$AG,$AG189)/SUMIF(符文权重!$A:$A,$C189,符文权重!$D:$D))),"")</f>
        <v/>
      </c>
      <c r="O189" s="39" t="str" cm="1">
        <f t="array" ref="O189">IFERROR(IF($A189="","",IF(I189="","",_xlfn.XLOOKUP($C189&amp;"_"&amp;$AG189,符文权重!$A:$A&amp;"_"&amp;符文权重!$C:$C,符文权重!$D:$D)*$X189/SUMIFS($X:$X,I:I,I189,$C:$C,$C189,$AG:$AG,$AG189)/SUMIF(符文权重!$A:$A,$C189,符文权重!$D:$D))),"")</f>
        <v/>
      </c>
      <c r="P189" s="39" t="str" cm="1">
        <f t="array" ref="P189">IFERROR(IF($A189="","",IF(J189="","",_xlfn.XLOOKUP($C189&amp;"_"&amp;$AG189,符文权重!$A:$A&amp;"_"&amp;符文权重!$C:$C,符文权重!$D:$D)*$X189/SUMIFS($X:$X,J:J,J189,$C:$C,$C189,$AG:$AG,$AG189)/SUMIF(符文权重!$A:$A,$C189,符文权重!$D:$D))),"")</f>
        <v/>
      </c>
      <c r="Q189" s="39" t="str" cm="1">
        <f t="array" ref="Q189">IFERROR(IF($A189="","",IF(K189="","",_xlfn.XLOOKUP($C189&amp;"_"&amp;$AG189,符文权重!$A:$A&amp;"_"&amp;符文权重!$C:$C,符文权重!$D:$D)*$X189/SUMIFS($X:$X,K:K,K189,$C:$C,$C189,$AG:$AG,$AG189)/SUMIF(符文权重!$A:$A,$C189,符文权重!$D:$D))),"")</f>
        <v/>
      </c>
      <c r="R189" s="26"/>
      <c r="S189" s="26"/>
      <c r="T189" s="26"/>
      <c r="V189" s="31"/>
      <c r="W189" s="25"/>
      <c r="X189" s="32"/>
      <c r="Y189" s="25"/>
      <c r="Z189" s="32" t="s">
        <v>167</v>
      </c>
      <c r="AA189" s="32" t="str">
        <f t="shared" si="82"/>
        <v/>
      </c>
      <c r="AB189" s="32"/>
      <c r="AC189" s="32" t="s">
        <v>166</v>
      </c>
      <c r="AD189" s="32">
        <f t="shared" si="73"/>
        <v>1184</v>
      </c>
      <c r="AE189" s="38" t="str">
        <f t="shared" si="78"/>
        <v/>
      </c>
      <c r="AF189" s="32" t="str">
        <f t="shared" si="79"/>
        <v/>
      </c>
      <c r="AG189" s="26"/>
      <c r="AH189" s="26"/>
      <c r="AI189" s="26"/>
      <c r="AJ189" s="25" t="s">
        <v>167</v>
      </c>
      <c r="AK189" s="24"/>
      <c r="AL189" s="43"/>
      <c r="AM189" s="26"/>
      <c r="AN189" s="26"/>
      <c r="AO189" s="26"/>
      <c r="AP189" s="20">
        <f t="shared" si="74"/>
        <v>184</v>
      </c>
    </row>
    <row r="190" s="22" customFormat="1" customHeight="1" spans="1:42">
      <c r="A190" s="44">
        <v>5502061</v>
      </c>
      <c r="B190" s="44" t="str">
        <f t="shared" si="75"/>
        <v>5502061</v>
      </c>
      <c r="C190" s="45">
        <f t="shared" si="76"/>
        <v>1</v>
      </c>
      <c r="D190" s="45"/>
      <c r="E190" s="46" t="s">
        <v>209</v>
      </c>
      <c r="F190" s="26" t="str">
        <f t="shared" si="70"/>
        <v/>
      </c>
      <c r="G190" s="26" t="str">
        <f>IFERROR(IF(--MID($E190,2*COUNTIF($F190:F190,"&gt;"&amp;0)+2,1)=G$1,G$1,""),"")</f>
        <v/>
      </c>
      <c r="H190" s="26" t="str">
        <f>IFERROR(IF(--MID($E190,2*COUNTIF($F190:G190,"&gt;"&amp;0)+2,1)=H$1,H$1,""),"")</f>
        <v/>
      </c>
      <c r="I190" s="26" t="str">
        <f>IFERROR(IF(--MID($E190,2*COUNTIF($F190:H190,"&gt;"&amp;0)+2,1)=I$1,I$1,""),"")</f>
        <v/>
      </c>
      <c r="J190" s="26" t="str">
        <f>IFERROR(IF(--MID($E190,2*COUNTIF($F190:I190,"&gt;"&amp;0)+2,1)=J$1,J$1,""),"")</f>
        <v/>
      </c>
      <c r="K190" s="26">
        <f>IFERROR(IF(--MID($E190,2*COUNTIF($F190:J190,"&gt;"&amp;0)+2,1)=K$1,K$1,""),"")</f>
        <v>6</v>
      </c>
      <c r="L190" s="39" t="str" cm="1">
        <f t="array" ref="L190">IFERROR(IF($A190="","",IF(F190="","",_xlfn.XLOOKUP($C190&amp;"_"&amp;$AG190,符文权重!$A:$A&amp;"_"&amp;符文权重!$C:$C,符文权重!$D:$D)*$X190/SUMIFS($X:$X,F:F,F190,$C:$C,$C190,$AG:$AG,$AG190)/SUMIF(符文权重!$A:$A,$C190,符文权重!$D:$D))),"")</f>
        <v/>
      </c>
      <c r="M190" s="39" t="str" cm="1">
        <f t="array" ref="M190">IFERROR(IF($A190="","",IF(G190="","",_xlfn.XLOOKUP($C190&amp;"_"&amp;$AG190,符文权重!$A:$A&amp;"_"&amp;符文权重!$C:$C,符文权重!$D:$D)*$X190/SUMIFS($X:$X,G:G,G190,$C:$C,$C190,$AG:$AG,$AG190)/SUMIF(符文权重!$A:$A,$C190,符文权重!$D:$D))),"")</f>
        <v/>
      </c>
      <c r="N190" s="39" t="str" cm="1">
        <f t="array" ref="N190">IFERROR(IF($A190="","",IF(H190="","",_xlfn.XLOOKUP($C190&amp;"_"&amp;$AG190,符文权重!$A:$A&amp;"_"&amp;符文权重!$C:$C,符文权重!$D:$D)*$X190/SUMIFS($X:$X,H:H,H190,$C:$C,$C190,$AG:$AG,$AG190)/SUMIF(符文权重!$A:$A,$C190,符文权重!$D:$D))),"")</f>
        <v/>
      </c>
      <c r="O190" s="39" t="str" cm="1">
        <f t="array" ref="O190">IFERROR(IF($A190="","",IF(I190="","",_xlfn.XLOOKUP($C190&amp;"_"&amp;$AG190,符文权重!$A:$A&amp;"_"&amp;符文权重!$C:$C,符文权重!$D:$D)*$X190/SUMIFS($X:$X,I:I,I190,$C:$C,$C190,$AG:$AG,$AG190)/SUMIF(符文权重!$A:$A,$C190,符文权重!$D:$D))),"")</f>
        <v/>
      </c>
      <c r="P190" s="39" t="str" cm="1">
        <f t="array" ref="P190">IFERROR(IF($A190="","",IF(J190="","",_xlfn.XLOOKUP($C190&amp;"_"&amp;$AG190,符文权重!$A:$A&amp;"_"&amp;符文权重!$C:$C,符文权重!$D:$D)*$X190/SUMIFS($X:$X,J:J,J190,$C:$C,$C190,$AG:$AG,$AG190)/SUMIF(符文权重!$A:$A,$C190,符文权重!$D:$D))),"")</f>
        <v/>
      </c>
      <c r="Q190" s="39" t="str" cm="1">
        <f t="array" ref="Q190">IFERROR(IF($A190="","",IF(K190="","",_xlfn.XLOOKUP($C190&amp;"_"&amp;$AG190,符文权重!$A:$A&amp;"_"&amp;符文权重!$C:$C,符文权重!$D:$D)*$X190/SUMIFS($X:$X,K:K,K190,$C:$C,$C190,$AG:$AG,$AG190)/SUMIF(符文权重!$A:$A,$C190,符文权重!$D:$D))),"")</f>
        <v/>
      </c>
      <c r="R190" s="46" t="s">
        <v>163</v>
      </c>
      <c r="S190" s="46"/>
      <c r="T190" s="46" t="e">
        <f>IF(B190="","",SUBSTITUTE(SUBSTITUTE("[{global_atk,"&amp;#REF!*C190&amp;"}]",21,20),9,8))</f>
        <v>#REF!</v>
      </c>
      <c r="U190" s="47" t="str">
        <f t="shared" ref="U190:U196" si="98">"["&amp;A190&amp;"]"</f>
        <v>[5502061]</v>
      </c>
      <c r="V190" s="46"/>
      <c r="W190" s="23"/>
      <c r="X190" s="32">
        <v>100</v>
      </c>
      <c r="Y190" s="23"/>
      <c r="Z190" s="45" t="s">
        <v>165</v>
      </c>
      <c r="AA190" s="32" t="str">
        <f t="shared" si="82"/>
        <v>受到远程怪伤害降低0%</v>
      </c>
      <c r="AB190" s="32"/>
      <c r="AC190" s="32" t="s">
        <v>166</v>
      </c>
      <c r="AD190" s="32">
        <f t="shared" si="73"/>
        <v>1185</v>
      </c>
      <c r="AE190" s="44" t="str">
        <f t="shared" si="78"/>
        <v>5502061</v>
      </c>
      <c r="AF190" s="45" t="str">
        <f t="shared" si="79"/>
        <v>[0]</v>
      </c>
      <c r="AG190" s="26">
        <v>100</v>
      </c>
      <c r="AH190" s="46"/>
      <c r="AI190" s="46">
        <v>1</v>
      </c>
      <c r="AJ190" s="23" t="s">
        <v>167</v>
      </c>
      <c r="AK190" s="48">
        <v>5502061</v>
      </c>
      <c r="AL190" s="49" t="s">
        <v>336</v>
      </c>
      <c r="AM190" s="46">
        <v>0</v>
      </c>
      <c r="AN190" s="26"/>
      <c r="AO190" s="26" t="s">
        <v>28</v>
      </c>
      <c r="AP190" s="20">
        <f t="shared" si="74"/>
        <v>185</v>
      </c>
    </row>
    <row r="191" s="22" customFormat="1" customHeight="1" spans="1:42">
      <c r="A191" s="44">
        <v>5502062</v>
      </c>
      <c r="B191" s="44" t="str">
        <f t="shared" si="75"/>
        <v>5502061</v>
      </c>
      <c r="C191" s="45">
        <f t="shared" si="76"/>
        <v>2</v>
      </c>
      <c r="D191" s="45"/>
      <c r="E191" s="46" t="s">
        <v>209</v>
      </c>
      <c r="F191" s="26" t="str">
        <f t="shared" si="70"/>
        <v/>
      </c>
      <c r="G191" s="26" t="str">
        <f>IFERROR(IF(--MID($E191,2*COUNTIF($F191:F191,"&gt;"&amp;0)+2,1)=G$1,G$1,""),"")</f>
        <v/>
      </c>
      <c r="H191" s="26" t="str">
        <f>IFERROR(IF(--MID($E191,2*COUNTIF($F191:G191,"&gt;"&amp;0)+2,1)=H$1,H$1,""),"")</f>
        <v/>
      </c>
      <c r="I191" s="26" t="str">
        <f>IFERROR(IF(--MID($E191,2*COUNTIF($F191:H191,"&gt;"&amp;0)+2,1)=I$1,I$1,""),"")</f>
        <v/>
      </c>
      <c r="J191" s="26" t="str">
        <f>IFERROR(IF(--MID($E191,2*COUNTIF($F191:I191,"&gt;"&amp;0)+2,1)=J$1,J$1,""),"")</f>
        <v/>
      </c>
      <c r="K191" s="26">
        <f>IFERROR(IF(--MID($E191,2*COUNTIF($F191:J191,"&gt;"&amp;0)+2,1)=K$1,K$1,""),"")</f>
        <v>6</v>
      </c>
      <c r="L191" s="39" t="str" cm="1">
        <f t="array" ref="L191">IFERROR(IF($A191="","",IF(F191="","",_xlfn.XLOOKUP($C191&amp;"_"&amp;$AG191,符文权重!$A:$A&amp;"_"&amp;符文权重!$C:$C,符文权重!$D:$D)*$X191/SUMIFS($X:$X,F:F,F191,$C:$C,$C191,$AG:$AG,$AG191)/SUMIF(符文权重!$A:$A,$C191,符文权重!$D:$D))),"")</f>
        <v/>
      </c>
      <c r="M191" s="39" t="str" cm="1">
        <f t="array" ref="M191">IFERROR(IF($A191="","",IF(G191="","",_xlfn.XLOOKUP($C191&amp;"_"&amp;$AG191,符文权重!$A:$A&amp;"_"&amp;符文权重!$C:$C,符文权重!$D:$D)*$X191/SUMIFS($X:$X,G:G,G191,$C:$C,$C191,$AG:$AG,$AG191)/SUMIF(符文权重!$A:$A,$C191,符文权重!$D:$D))),"")</f>
        <v/>
      </c>
      <c r="N191" s="39" t="str" cm="1">
        <f t="array" ref="N191">IFERROR(IF($A191="","",IF(H191="","",_xlfn.XLOOKUP($C191&amp;"_"&amp;$AG191,符文权重!$A:$A&amp;"_"&amp;符文权重!$C:$C,符文权重!$D:$D)*$X191/SUMIFS($X:$X,H:H,H191,$C:$C,$C191,$AG:$AG,$AG191)/SUMIF(符文权重!$A:$A,$C191,符文权重!$D:$D))),"")</f>
        <v/>
      </c>
      <c r="O191" s="39" t="str" cm="1">
        <f t="array" ref="O191">IFERROR(IF($A191="","",IF(I191="","",_xlfn.XLOOKUP($C191&amp;"_"&amp;$AG191,符文权重!$A:$A&amp;"_"&amp;符文权重!$C:$C,符文权重!$D:$D)*$X191/SUMIFS($X:$X,I:I,I191,$C:$C,$C191,$AG:$AG,$AG191)/SUMIF(符文权重!$A:$A,$C191,符文权重!$D:$D))),"")</f>
        <v/>
      </c>
      <c r="P191" s="39" t="str" cm="1">
        <f t="array" ref="P191">IFERROR(IF($A191="","",IF(J191="","",_xlfn.XLOOKUP($C191&amp;"_"&amp;$AG191,符文权重!$A:$A&amp;"_"&amp;符文权重!$C:$C,符文权重!$D:$D)*$X191/SUMIFS($X:$X,J:J,J191,$C:$C,$C191,$AG:$AG,$AG191)/SUMIF(符文权重!$A:$A,$C191,符文权重!$D:$D))),"")</f>
        <v/>
      </c>
      <c r="Q191" s="39" t="str" cm="1">
        <f t="array" ref="Q191">IFERROR(IF($A191="","",IF(K191="","",_xlfn.XLOOKUP($C191&amp;"_"&amp;$AG191,符文权重!$A:$A&amp;"_"&amp;符文权重!$C:$C,符文权重!$D:$D)*$X191/SUMIFS($X:$X,K:K,K191,$C:$C,$C191,$AG:$AG,$AG191)/SUMIF(符文权重!$A:$A,$C191,符文权重!$D:$D))),"")</f>
        <v/>
      </c>
      <c r="R191" s="46" t="s">
        <v>163</v>
      </c>
      <c r="S191" s="46"/>
      <c r="T191" s="46" t="e">
        <f>IF(B191="","",SUBSTITUTE(SUBSTITUTE("[{global_atk,"&amp;#REF!*C191&amp;"}]",21,20),9,8))</f>
        <v>#REF!</v>
      </c>
      <c r="U191" s="47" t="str">
        <f t="shared" si="98"/>
        <v>[5502062]</v>
      </c>
      <c r="V191" s="46"/>
      <c r="W191" s="23"/>
      <c r="X191" s="32">
        <v>100</v>
      </c>
      <c r="Y191" s="23"/>
      <c r="Z191" s="45" t="s">
        <v>170</v>
      </c>
      <c r="AA191" s="32" t="str">
        <f t="shared" si="82"/>
        <v>受到远程怪伤害降低8%</v>
      </c>
      <c r="AB191" s="32"/>
      <c r="AC191" s="32" t="s">
        <v>166</v>
      </c>
      <c r="AD191" s="32">
        <f t="shared" si="73"/>
        <v>1186</v>
      </c>
      <c r="AE191" s="44" t="str">
        <f t="shared" si="78"/>
        <v>5502061</v>
      </c>
      <c r="AF191" s="45" t="str">
        <f t="shared" si="79"/>
        <v>[8]</v>
      </c>
      <c r="AG191" s="26">
        <v>100</v>
      </c>
      <c r="AH191" s="46"/>
      <c r="AI191" s="46">
        <v>1</v>
      </c>
      <c r="AJ191" s="23" t="s">
        <v>167</v>
      </c>
      <c r="AK191" s="44">
        <f t="shared" ref="AK191:AK196" si="99">AK190+1</f>
        <v>5502062</v>
      </c>
      <c r="AL191" s="50" t="str">
        <f t="shared" ref="AL191:AL196" si="100">AL190</f>
        <v>受到远程怪伤害降低&lt;color=#54b76b&gt;%s%&lt;/color&gt;</v>
      </c>
      <c r="AM191" s="46">
        <v>8</v>
      </c>
      <c r="AN191" s="26"/>
      <c r="AO191" s="26" t="s">
        <v>28</v>
      </c>
      <c r="AP191" s="20">
        <f t="shared" si="74"/>
        <v>186</v>
      </c>
    </row>
    <row r="192" s="22" customFormat="1" customHeight="1" spans="1:42">
      <c r="A192" s="44">
        <v>5502063</v>
      </c>
      <c r="B192" s="44" t="str">
        <f t="shared" si="75"/>
        <v>5502061</v>
      </c>
      <c r="C192" s="45">
        <f t="shared" si="76"/>
        <v>3</v>
      </c>
      <c r="D192" s="45"/>
      <c r="E192" s="46" t="s">
        <v>209</v>
      </c>
      <c r="F192" s="26" t="str">
        <f t="shared" si="70"/>
        <v/>
      </c>
      <c r="G192" s="26" t="str">
        <f>IFERROR(IF(--MID($E192,2*COUNTIF($F192:F192,"&gt;"&amp;0)+2,1)=G$1,G$1,""),"")</f>
        <v/>
      </c>
      <c r="H192" s="26" t="str">
        <f>IFERROR(IF(--MID($E192,2*COUNTIF($F192:G192,"&gt;"&amp;0)+2,1)=H$1,H$1,""),"")</f>
        <v/>
      </c>
      <c r="I192" s="26" t="str">
        <f>IFERROR(IF(--MID($E192,2*COUNTIF($F192:H192,"&gt;"&amp;0)+2,1)=I$1,I$1,""),"")</f>
        <v/>
      </c>
      <c r="J192" s="26" t="str">
        <f>IFERROR(IF(--MID($E192,2*COUNTIF($F192:I192,"&gt;"&amp;0)+2,1)=J$1,J$1,""),"")</f>
        <v/>
      </c>
      <c r="K192" s="26">
        <f>IFERROR(IF(--MID($E192,2*COUNTIF($F192:J192,"&gt;"&amp;0)+2,1)=K$1,K$1,""),"")</f>
        <v>6</v>
      </c>
      <c r="L192" s="39" t="str" cm="1">
        <f t="array" ref="L192">IFERROR(IF($A192="","",IF(F192="","",_xlfn.XLOOKUP($C192&amp;"_"&amp;$AG192,符文权重!$A:$A&amp;"_"&amp;符文权重!$C:$C,符文权重!$D:$D)*$X192/SUMIFS($X:$X,F:F,F192,$C:$C,$C192,$AG:$AG,$AG192)/SUMIF(符文权重!$A:$A,$C192,符文权重!$D:$D))),"")</f>
        <v/>
      </c>
      <c r="M192" s="39" t="str" cm="1">
        <f t="array" ref="M192">IFERROR(IF($A192="","",IF(G192="","",_xlfn.XLOOKUP($C192&amp;"_"&amp;$AG192,符文权重!$A:$A&amp;"_"&amp;符文权重!$C:$C,符文权重!$D:$D)*$X192/SUMIFS($X:$X,G:G,G192,$C:$C,$C192,$AG:$AG,$AG192)/SUMIF(符文权重!$A:$A,$C192,符文权重!$D:$D))),"")</f>
        <v/>
      </c>
      <c r="N192" s="39" t="str" cm="1">
        <f t="array" ref="N192">IFERROR(IF($A192="","",IF(H192="","",_xlfn.XLOOKUP($C192&amp;"_"&amp;$AG192,符文权重!$A:$A&amp;"_"&amp;符文权重!$C:$C,符文权重!$D:$D)*$X192/SUMIFS($X:$X,H:H,H192,$C:$C,$C192,$AG:$AG,$AG192)/SUMIF(符文权重!$A:$A,$C192,符文权重!$D:$D))),"")</f>
        <v/>
      </c>
      <c r="O192" s="39" t="str" cm="1">
        <f t="array" ref="O192">IFERROR(IF($A192="","",IF(I192="","",_xlfn.XLOOKUP($C192&amp;"_"&amp;$AG192,符文权重!$A:$A&amp;"_"&amp;符文权重!$C:$C,符文权重!$D:$D)*$X192/SUMIFS($X:$X,I:I,I192,$C:$C,$C192,$AG:$AG,$AG192)/SUMIF(符文权重!$A:$A,$C192,符文权重!$D:$D))),"")</f>
        <v/>
      </c>
      <c r="P192" s="39" t="str" cm="1">
        <f t="array" ref="P192">IFERROR(IF($A192="","",IF(J192="","",_xlfn.XLOOKUP($C192&amp;"_"&amp;$AG192,符文权重!$A:$A&amp;"_"&amp;符文权重!$C:$C,符文权重!$D:$D)*$X192/SUMIFS($X:$X,J:J,J192,$C:$C,$C192,$AG:$AG,$AG192)/SUMIF(符文权重!$A:$A,$C192,符文权重!$D:$D))),"")</f>
        <v/>
      </c>
      <c r="Q192" s="39" t="str" cm="1">
        <f t="array" ref="Q192">IFERROR(IF($A192="","",IF(K192="","",_xlfn.XLOOKUP($C192&amp;"_"&amp;$AG192,符文权重!$A:$A&amp;"_"&amp;符文权重!$C:$C,符文权重!$D:$D)*$X192/SUMIFS($X:$X,K:K,K192,$C:$C,$C192,$AG:$AG,$AG192)/SUMIF(符文权重!$A:$A,$C192,符文权重!$D:$D))),"")</f>
        <v/>
      </c>
      <c r="R192" s="46" t="s">
        <v>163</v>
      </c>
      <c r="S192" s="46"/>
      <c r="T192" s="46" t="e">
        <f>IF(B192="","",SUBSTITUTE(SUBSTITUTE("[{global_atk,"&amp;#REF!*C192&amp;"}]",21,20),9,8))</f>
        <v>#REF!</v>
      </c>
      <c r="U192" s="47" t="str">
        <f t="shared" si="98"/>
        <v>[5502063]</v>
      </c>
      <c r="V192" s="46"/>
      <c r="W192" s="23"/>
      <c r="X192" s="32">
        <v>100</v>
      </c>
      <c r="Y192" s="23"/>
      <c r="Z192" s="45" t="s">
        <v>172</v>
      </c>
      <c r="AA192" s="32" t="str">
        <f t="shared" si="82"/>
        <v>受到远程怪伤害降低12%</v>
      </c>
      <c r="AB192" s="32"/>
      <c r="AC192" s="32" t="s">
        <v>166</v>
      </c>
      <c r="AD192" s="32">
        <f t="shared" si="73"/>
        <v>1187</v>
      </c>
      <c r="AE192" s="44" t="str">
        <f t="shared" si="78"/>
        <v>5502061</v>
      </c>
      <c r="AF192" s="45" t="str">
        <f t="shared" si="79"/>
        <v>[12]</v>
      </c>
      <c r="AG192" s="26">
        <v>100</v>
      </c>
      <c r="AH192" s="46"/>
      <c r="AI192" s="46">
        <v>1</v>
      </c>
      <c r="AJ192" s="23" t="s">
        <v>167</v>
      </c>
      <c r="AK192" s="44">
        <f t="shared" si="99"/>
        <v>5502063</v>
      </c>
      <c r="AL192" s="50" t="str">
        <f t="shared" si="100"/>
        <v>受到远程怪伤害降低&lt;color=#54b76b&gt;%s%&lt;/color&gt;</v>
      </c>
      <c r="AM192" s="46">
        <v>12</v>
      </c>
      <c r="AN192" s="26"/>
      <c r="AO192" s="26" t="s">
        <v>28</v>
      </c>
      <c r="AP192" s="20">
        <f t="shared" si="74"/>
        <v>187</v>
      </c>
    </row>
    <row r="193" s="22" customFormat="1" customHeight="1" spans="1:42">
      <c r="A193" s="44">
        <v>5502064</v>
      </c>
      <c r="B193" s="44" t="str">
        <f t="shared" si="75"/>
        <v>5502061</v>
      </c>
      <c r="C193" s="45">
        <f t="shared" si="76"/>
        <v>4</v>
      </c>
      <c r="D193" s="45"/>
      <c r="E193" s="46" t="s">
        <v>209</v>
      </c>
      <c r="F193" s="26" t="str">
        <f t="shared" si="70"/>
        <v/>
      </c>
      <c r="G193" s="26" t="str">
        <f>IFERROR(IF(--MID($E193,2*COUNTIF($F193:F193,"&gt;"&amp;0)+2,1)=G$1,G$1,""),"")</f>
        <v/>
      </c>
      <c r="H193" s="26" t="str">
        <f>IFERROR(IF(--MID($E193,2*COUNTIF($F193:G193,"&gt;"&amp;0)+2,1)=H$1,H$1,""),"")</f>
        <v/>
      </c>
      <c r="I193" s="26" t="str">
        <f>IFERROR(IF(--MID($E193,2*COUNTIF($F193:H193,"&gt;"&amp;0)+2,1)=I$1,I$1,""),"")</f>
        <v/>
      </c>
      <c r="J193" s="26" t="str">
        <f>IFERROR(IF(--MID($E193,2*COUNTIF($F193:I193,"&gt;"&amp;0)+2,1)=J$1,J$1,""),"")</f>
        <v/>
      </c>
      <c r="K193" s="26">
        <f>IFERROR(IF(--MID($E193,2*COUNTIF($F193:J193,"&gt;"&amp;0)+2,1)=K$1,K$1,""),"")</f>
        <v>6</v>
      </c>
      <c r="L193" s="39" t="str" cm="1">
        <f t="array" ref="L193">IFERROR(IF($A193="","",IF(F193="","",_xlfn.XLOOKUP($C193&amp;"_"&amp;$AG193,符文权重!$A:$A&amp;"_"&amp;符文权重!$C:$C,符文权重!$D:$D)*$X193/SUMIFS($X:$X,F:F,F193,$C:$C,$C193,$AG:$AG,$AG193)/SUMIF(符文权重!$A:$A,$C193,符文权重!$D:$D))),"")</f>
        <v/>
      </c>
      <c r="M193" s="39" t="str" cm="1">
        <f t="array" ref="M193">IFERROR(IF($A193="","",IF(G193="","",_xlfn.XLOOKUP($C193&amp;"_"&amp;$AG193,符文权重!$A:$A&amp;"_"&amp;符文权重!$C:$C,符文权重!$D:$D)*$X193/SUMIFS($X:$X,G:G,G193,$C:$C,$C193,$AG:$AG,$AG193)/SUMIF(符文权重!$A:$A,$C193,符文权重!$D:$D))),"")</f>
        <v/>
      </c>
      <c r="N193" s="39" t="str" cm="1">
        <f t="array" ref="N193">IFERROR(IF($A193="","",IF(H193="","",_xlfn.XLOOKUP($C193&amp;"_"&amp;$AG193,符文权重!$A:$A&amp;"_"&amp;符文权重!$C:$C,符文权重!$D:$D)*$X193/SUMIFS($X:$X,H:H,H193,$C:$C,$C193,$AG:$AG,$AG193)/SUMIF(符文权重!$A:$A,$C193,符文权重!$D:$D))),"")</f>
        <v/>
      </c>
      <c r="O193" s="39" t="str" cm="1">
        <f t="array" ref="O193">IFERROR(IF($A193="","",IF(I193="","",_xlfn.XLOOKUP($C193&amp;"_"&amp;$AG193,符文权重!$A:$A&amp;"_"&amp;符文权重!$C:$C,符文权重!$D:$D)*$X193/SUMIFS($X:$X,I:I,I193,$C:$C,$C193,$AG:$AG,$AG193)/SUMIF(符文权重!$A:$A,$C193,符文权重!$D:$D))),"")</f>
        <v/>
      </c>
      <c r="P193" s="39" t="str" cm="1">
        <f t="array" ref="P193">IFERROR(IF($A193="","",IF(J193="","",_xlfn.XLOOKUP($C193&amp;"_"&amp;$AG193,符文权重!$A:$A&amp;"_"&amp;符文权重!$C:$C,符文权重!$D:$D)*$X193/SUMIFS($X:$X,J:J,J193,$C:$C,$C193,$AG:$AG,$AG193)/SUMIF(符文权重!$A:$A,$C193,符文权重!$D:$D))),"")</f>
        <v/>
      </c>
      <c r="Q193" s="39" t="str" cm="1">
        <f t="array" ref="Q193">IFERROR(IF($A193="","",IF(K193="","",_xlfn.XLOOKUP($C193&amp;"_"&amp;$AG193,符文权重!$A:$A&amp;"_"&amp;符文权重!$C:$C,符文权重!$D:$D)*$X193/SUMIFS($X:$X,K:K,K193,$C:$C,$C193,$AG:$AG,$AG193)/SUMIF(符文权重!$A:$A,$C193,符文权重!$D:$D))),"")</f>
        <v/>
      </c>
      <c r="R193" s="46" t="s">
        <v>163</v>
      </c>
      <c r="S193" s="46"/>
      <c r="T193" s="46" t="e">
        <f>IF(B193="","",SUBSTITUTE(SUBSTITUTE("[{global_atk,"&amp;#REF!*C193&amp;"}]",21,20),9,8))</f>
        <v>#REF!</v>
      </c>
      <c r="U193" s="47" t="str">
        <f t="shared" si="98"/>
        <v>[5502064]</v>
      </c>
      <c r="V193" s="46"/>
      <c r="W193" s="23"/>
      <c r="X193" s="32">
        <v>100</v>
      </c>
      <c r="Y193" s="23"/>
      <c r="Z193" s="45" t="s">
        <v>174</v>
      </c>
      <c r="AA193" s="32" t="str">
        <f t="shared" si="82"/>
        <v>受到远程怪伤害降低16%</v>
      </c>
      <c r="AB193" s="32"/>
      <c r="AC193" s="32" t="s">
        <v>166</v>
      </c>
      <c r="AD193" s="32">
        <f t="shared" si="73"/>
        <v>1188</v>
      </c>
      <c r="AE193" s="44" t="str">
        <f t="shared" si="78"/>
        <v>5502061</v>
      </c>
      <c r="AF193" s="45" t="str">
        <f t="shared" si="79"/>
        <v>[16]</v>
      </c>
      <c r="AG193" s="26">
        <v>100</v>
      </c>
      <c r="AH193" s="46"/>
      <c r="AI193" s="46">
        <v>1</v>
      </c>
      <c r="AJ193" s="23" t="s">
        <v>167</v>
      </c>
      <c r="AK193" s="44">
        <f t="shared" si="99"/>
        <v>5502064</v>
      </c>
      <c r="AL193" s="50" t="str">
        <f t="shared" si="100"/>
        <v>受到远程怪伤害降低&lt;color=#54b76b&gt;%s%&lt;/color&gt;</v>
      </c>
      <c r="AM193" s="46">
        <v>16</v>
      </c>
      <c r="AN193" s="26"/>
      <c r="AO193" s="26" t="s">
        <v>28</v>
      </c>
      <c r="AP193" s="20">
        <f t="shared" si="74"/>
        <v>188</v>
      </c>
    </row>
    <row r="194" s="22" customFormat="1" customHeight="1" spans="1:42">
      <c r="A194" s="44">
        <v>5502065</v>
      </c>
      <c r="B194" s="44" t="str">
        <f t="shared" si="75"/>
        <v>5502061</v>
      </c>
      <c r="C194" s="45">
        <f t="shared" si="76"/>
        <v>5</v>
      </c>
      <c r="D194" s="45"/>
      <c r="E194" s="46" t="s">
        <v>209</v>
      </c>
      <c r="F194" s="26" t="str">
        <f t="shared" si="70"/>
        <v/>
      </c>
      <c r="G194" s="26" t="str">
        <f>IFERROR(IF(--MID($E194,2*COUNTIF($F194:F194,"&gt;"&amp;0)+2,1)=G$1,G$1,""),"")</f>
        <v/>
      </c>
      <c r="H194" s="26" t="str">
        <f>IFERROR(IF(--MID($E194,2*COUNTIF($F194:G194,"&gt;"&amp;0)+2,1)=H$1,H$1,""),"")</f>
        <v/>
      </c>
      <c r="I194" s="26" t="str">
        <f>IFERROR(IF(--MID($E194,2*COUNTIF($F194:H194,"&gt;"&amp;0)+2,1)=I$1,I$1,""),"")</f>
        <v/>
      </c>
      <c r="J194" s="26" t="str">
        <f>IFERROR(IF(--MID($E194,2*COUNTIF($F194:I194,"&gt;"&amp;0)+2,1)=J$1,J$1,""),"")</f>
        <v/>
      </c>
      <c r="K194" s="26">
        <f>IFERROR(IF(--MID($E194,2*COUNTIF($F194:J194,"&gt;"&amp;0)+2,1)=K$1,K$1,""),"")</f>
        <v>6</v>
      </c>
      <c r="L194" s="39" t="str" cm="1">
        <f t="array" ref="L194">IFERROR(IF($A194="","",IF(F194="","",_xlfn.XLOOKUP($C194&amp;"_"&amp;$AG194,符文权重!$A:$A&amp;"_"&amp;符文权重!$C:$C,符文权重!$D:$D)*$X194/SUMIFS($X:$X,F:F,F194,$C:$C,$C194,$AG:$AG,$AG194)/SUMIF(符文权重!$A:$A,$C194,符文权重!$D:$D))),"")</f>
        <v/>
      </c>
      <c r="M194" s="39" t="str" cm="1">
        <f t="array" ref="M194">IFERROR(IF($A194="","",IF(G194="","",_xlfn.XLOOKUP($C194&amp;"_"&amp;$AG194,符文权重!$A:$A&amp;"_"&amp;符文权重!$C:$C,符文权重!$D:$D)*$X194/SUMIFS($X:$X,G:G,G194,$C:$C,$C194,$AG:$AG,$AG194)/SUMIF(符文权重!$A:$A,$C194,符文权重!$D:$D))),"")</f>
        <v/>
      </c>
      <c r="N194" s="39" t="str" cm="1">
        <f t="array" ref="N194">IFERROR(IF($A194="","",IF(H194="","",_xlfn.XLOOKUP($C194&amp;"_"&amp;$AG194,符文权重!$A:$A&amp;"_"&amp;符文权重!$C:$C,符文权重!$D:$D)*$X194/SUMIFS($X:$X,H:H,H194,$C:$C,$C194,$AG:$AG,$AG194)/SUMIF(符文权重!$A:$A,$C194,符文权重!$D:$D))),"")</f>
        <v/>
      </c>
      <c r="O194" s="39" t="str" cm="1">
        <f t="array" ref="O194">IFERROR(IF($A194="","",IF(I194="","",_xlfn.XLOOKUP($C194&amp;"_"&amp;$AG194,符文权重!$A:$A&amp;"_"&amp;符文权重!$C:$C,符文权重!$D:$D)*$X194/SUMIFS($X:$X,I:I,I194,$C:$C,$C194,$AG:$AG,$AG194)/SUMIF(符文权重!$A:$A,$C194,符文权重!$D:$D))),"")</f>
        <v/>
      </c>
      <c r="P194" s="39" t="str" cm="1">
        <f t="array" ref="P194">IFERROR(IF($A194="","",IF(J194="","",_xlfn.XLOOKUP($C194&amp;"_"&amp;$AG194,符文权重!$A:$A&amp;"_"&amp;符文权重!$C:$C,符文权重!$D:$D)*$X194/SUMIFS($X:$X,J:J,J194,$C:$C,$C194,$AG:$AG,$AG194)/SUMIF(符文权重!$A:$A,$C194,符文权重!$D:$D))),"")</f>
        <v/>
      </c>
      <c r="Q194" s="39" t="str" cm="1">
        <f t="array" ref="Q194">IFERROR(IF($A194="","",IF(K194="","",_xlfn.XLOOKUP($C194&amp;"_"&amp;$AG194,符文权重!$A:$A&amp;"_"&amp;符文权重!$C:$C,符文权重!$D:$D)*$X194/SUMIFS($X:$X,K:K,K194,$C:$C,$C194,$AG:$AG,$AG194)/SUMIF(符文权重!$A:$A,$C194,符文权重!$D:$D))),"")</f>
        <v/>
      </c>
      <c r="R194" s="46" t="s">
        <v>163</v>
      </c>
      <c r="S194" s="46"/>
      <c r="T194" s="46" t="e">
        <f>IF(B194="","",SUBSTITUTE(SUBSTITUTE("[{global_atk,"&amp;#REF!*C194&amp;"}]",21,20),9,8))</f>
        <v>#REF!</v>
      </c>
      <c r="U194" s="47" t="str">
        <f t="shared" si="98"/>
        <v>[5502065]</v>
      </c>
      <c r="V194" s="46"/>
      <c r="W194" s="23"/>
      <c r="X194" s="32">
        <v>100</v>
      </c>
      <c r="Y194" s="23"/>
      <c r="Z194" s="45" t="s">
        <v>176</v>
      </c>
      <c r="AA194" s="32" t="str">
        <f t="shared" si="82"/>
        <v>受到远程怪伤害降低20%</v>
      </c>
      <c r="AB194" s="32"/>
      <c r="AC194" s="32" t="s">
        <v>166</v>
      </c>
      <c r="AD194" s="32">
        <f t="shared" si="73"/>
        <v>1189</v>
      </c>
      <c r="AE194" s="44" t="str">
        <f t="shared" si="78"/>
        <v>5502061</v>
      </c>
      <c r="AF194" s="45" t="str">
        <f t="shared" si="79"/>
        <v>[20]</v>
      </c>
      <c r="AG194" s="26">
        <v>100</v>
      </c>
      <c r="AH194" s="46"/>
      <c r="AI194" s="46">
        <v>1</v>
      </c>
      <c r="AJ194" s="23" t="s">
        <v>167</v>
      </c>
      <c r="AK194" s="44">
        <f t="shared" si="99"/>
        <v>5502065</v>
      </c>
      <c r="AL194" s="50" t="str">
        <f t="shared" si="100"/>
        <v>受到远程怪伤害降低&lt;color=#54b76b&gt;%s%&lt;/color&gt;</v>
      </c>
      <c r="AM194" s="46">
        <v>20</v>
      </c>
      <c r="AN194" s="26"/>
      <c r="AO194" s="26" t="s">
        <v>28</v>
      </c>
      <c r="AP194" s="20">
        <f t="shared" si="74"/>
        <v>189</v>
      </c>
    </row>
    <row r="195" s="22" customFormat="1" customHeight="1" spans="1:42">
      <c r="A195" s="44">
        <v>5502066</v>
      </c>
      <c r="B195" s="44" t="str">
        <f t="shared" si="75"/>
        <v>5502061</v>
      </c>
      <c r="C195" s="45">
        <f t="shared" si="76"/>
        <v>6</v>
      </c>
      <c r="D195" s="45"/>
      <c r="E195" s="46" t="s">
        <v>209</v>
      </c>
      <c r="F195" s="26" t="str">
        <f t="shared" si="70"/>
        <v/>
      </c>
      <c r="G195" s="26" t="str">
        <f>IFERROR(IF(--MID($E195,2*COUNTIF($F195:F195,"&gt;"&amp;0)+2,1)=G$1,G$1,""),"")</f>
        <v/>
      </c>
      <c r="H195" s="26" t="str">
        <f>IFERROR(IF(--MID($E195,2*COUNTIF($F195:G195,"&gt;"&amp;0)+2,1)=H$1,H$1,""),"")</f>
        <v/>
      </c>
      <c r="I195" s="26" t="str">
        <f>IFERROR(IF(--MID($E195,2*COUNTIF($F195:H195,"&gt;"&amp;0)+2,1)=I$1,I$1,""),"")</f>
        <v/>
      </c>
      <c r="J195" s="26" t="str">
        <f>IFERROR(IF(--MID($E195,2*COUNTIF($F195:I195,"&gt;"&amp;0)+2,1)=J$1,J$1,""),"")</f>
        <v/>
      </c>
      <c r="K195" s="26">
        <f>IFERROR(IF(--MID($E195,2*COUNTIF($F195:J195,"&gt;"&amp;0)+2,1)=K$1,K$1,""),"")</f>
        <v>6</v>
      </c>
      <c r="L195" s="39" t="str" cm="1">
        <f t="array" ref="L195">IFERROR(IF($A195="","",IF(F195="","",_xlfn.XLOOKUP($C195&amp;"_"&amp;$AG195,符文权重!$A:$A&amp;"_"&amp;符文权重!$C:$C,符文权重!$D:$D)*$X195/SUMIFS($X:$X,F:F,F195,$C:$C,$C195,$AG:$AG,$AG195)/SUMIF(符文权重!$A:$A,$C195,符文权重!$D:$D))),"")</f>
        <v/>
      </c>
      <c r="M195" s="39" t="str" cm="1">
        <f t="array" ref="M195">IFERROR(IF($A195="","",IF(G195="","",_xlfn.XLOOKUP($C195&amp;"_"&amp;$AG195,符文权重!$A:$A&amp;"_"&amp;符文权重!$C:$C,符文权重!$D:$D)*$X195/SUMIFS($X:$X,G:G,G195,$C:$C,$C195,$AG:$AG,$AG195)/SUMIF(符文权重!$A:$A,$C195,符文权重!$D:$D))),"")</f>
        <v/>
      </c>
      <c r="N195" s="39" t="str" cm="1">
        <f t="array" ref="N195">IFERROR(IF($A195="","",IF(H195="","",_xlfn.XLOOKUP($C195&amp;"_"&amp;$AG195,符文权重!$A:$A&amp;"_"&amp;符文权重!$C:$C,符文权重!$D:$D)*$X195/SUMIFS($X:$X,H:H,H195,$C:$C,$C195,$AG:$AG,$AG195)/SUMIF(符文权重!$A:$A,$C195,符文权重!$D:$D))),"")</f>
        <v/>
      </c>
      <c r="O195" s="39" t="str" cm="1">
        <f t="array" ref="O195">IFERROR(IF($A195="","",IF(I195="","",_xlfn.XLOOKUP($C195&amp;"_"&amp;$AG195,符文权重!$A:$A&amp;"_"&amp;符文权重!$C:$C,符文权重!$D:$D)*$X195/SUMIFS($X:$X,I:I,I195,$C:$C,$C195,$AG:$AG,$AG195)/SUMIF(符文权重!$A:$A,$C195,符文权重!$D:$D))),"")</f>
        <v/>
      </c>
      <c r="P195" s="39" t="str" cm="1">
        <f t="array" ref="P195">IFERROR(IF($A195="","",IF(J195="","",_xlfn.XLOOKUP($C195&amp;"_"&amp;$AG195,符文权重!$A:$A&amp;"_"&amp;符文权重!$C:$C,符文权重!$D:$D)*$X195/SUMIFS($X:$X,J:J,J195,$C:$C,$C195,$AG:$AG,$AG195)/SUMIF(符文权重!$A:$A,$C195,符文权重!$D:$D))),"")</f>
        <v/>
      </c>
      <c r="Q195" s="39" t="str" cm="1">
        <f t="array" ref="Q195">IFERROR(IF($A195="","",IF(K195="","",_xlfn.XLOOKUP($C195&amp;"_"&amp;$AG195,符文权重!$A:$A&amp;"_"&amp;符文权重!$C:$C,符文权重!$D:$D)*$X195/SUMIFS($X:$X,K:K,K195,$C:$C,$C195,$AG:$AG,$AG195)/SUMIF(符文权重!$A:$A,$C195,符文权重!$D:$D))),"")</f>
        <v/>
      </c>
      <c r="R195" s="46" t="s">
        <v>163</v>
      </c>
      <c r="S195" s="46"/>
      <c r="T195" s="46" t="e">
        <f>IF(B195="","",SUBSTITUTE(SUBSTITUTE("[{global_atk,"&amp;#REF!*C195&amp;"}]",21,20),9,8))</f>
        <v>#REF!</v>
      </c>
      <c r="U195" s="47" t="str">
        <f t="shared" si="98"/>
        <v>[5502066]</v>
      </c>
      <c r="V195" s="46"/>
      <c r="W195" s="23"/>
      <c r="X195" s="32">
        <v>100</v>
      </c>
      <c r="Y195" s="23"/>
      <c r="Z195" s="45" t="s">
        <v>178</v>
      </c>
      <c r="AA195" s="32" t="str">
        <f t="shared" si="82"/>
        <v>受到远程怪伤害降低24%</v>
      </c>
      <c r="AB195" s="32"/>
      <c r="AC195" s="32" t="s">
        <v>166</v>
      </c>
      <c r="AD195" s="32">
        <f t="shared" si="73"/>
        <v>1190</v>
      </c>
      <c r="AE195" s="44" t="str">
        <f t="shared" si="78"/>
        <v>5502061</v>
      </c>
      <c r="AF195" s="45" t="str">
        <f t="shared" si="79"/>
        <v>[24]</v>
      </c>
      <c r="AG195" s="26">
        <v>100</v>
      </c>
      <c r="AH195" s="46"/>
      <c r="AI195" s="46">
        <v>1</v>
      </c>
      <c r="AJ195" s="23" t="s">
        <v>167</v>
      </c>
      <c r="AK195" s="44">
        <f t="shared" si="99"/>
        <v>5502066</v>
      </c>
      <c r="AL195" s="50" t="str">
        <f t="shared" si="100"/>
        <v>受到远程怪伤害降低&lt;color=#54b76b&gt;%s%&lt;/color&gt;</v>
      </c>
      <c r="AM195" s="46">
        <v>24</v>
      </c>
      <c r="AN195" s="26"/>
      <c r="AO195" s="26" t="s">
        <v>28</v>
      </c>
      <c r="AP195" s="20">
        <f t="shared" si="74"/>
        <v>190</v>
      </c>
    </row>
    <row r="196" s="22" customFormat="1" customHeight="1" spans="1:42">
      <c r="A196" s="44">
        <v>5502067</v>
      </c>
      <c r="B196" s="44" t="str">
        <f t="shared" si="75"/>
        <v>5502061</v>
      </c>
      <c r="C196" s="45">
        <f t="shared" si="76"/>
        <v>7</v>
      </c>
      <c r="D196" s="45"/>
      <c r="E196" s="46" t="s">
        <v>209</v>
      </c>
      <c r="F196" s="26" t="str">
        <f t="shared" si="70"/>
        <v/>
      </c>
      <c r="G196" s="26" t="str">
        <f>IFERROR(IF(--MID($E196,2*COUNTIF($F196:F196,"&gt;"&amp;0)+2,1)=G$1,G$1,""),"")</f>
        <v/>
      </c>
      <c r="H196" s="26" t="str">
        <f>IFERROR(IF(--MID($E196,2*COUNTIF($F196:G196,"&gt;"&amp;0)+2,1)=H$1,H$1,""),"")</f>
        <v/>
      </c>
      <c r="I196" s="26" t="str">
        <f>IFERROR(IF(--MID($E196,2*COUNTIF($F196:H196,"&gt;"&amp;0)+2,1)=I$1,I$1,""),"")</f>
        <v/>
      </c>
      <c r="J196" s="26" t="str">
        <f>IFERROR(IF(--MID($E196,2*COUNTIF($F196:I196,"&gt;"&amp;0)+2,1)=J$1,J$1,""),"")</f>
        <v/>
      </c>
      <c r="K196" s="26">
        <f>IFERROR(IF(--MID($E196,2*COUNTIF($F196:J196,"&gt;"&amp;0)+2,1)=K$1,K$1,""),"")</f>
        <v>6</v>
      </c>
      <c r="L196" s="39" t="str" cm="1">
        <f t="array" ref="L196">IFERROR(IF($A196="","",IF(F196="","",_xlfn.XLOOKUP($C196&amp;"_"&amp;$AG196,符文权重!$A:$A&amp;"_"&amp;符文权重!$C:$C,符文权重!$D:$D)*$X196/SUMIFS($X:$X,F:F,F196,$C:$C,$C196,$AG:$AG,$AG196)/SUMIF(符文权重!$A:$A,$C196,符文权重!$D:$D))),"")</f>
        <v/>
      </c>
      <c r="M196" s="39" t="str" cm="1">
        <f t="array" ref="M196">IFERROR(IF($A196="","",IF(G196="","",_xlfn.XLOOKUP($C196&amp;"_"&amp;$AG196,符文权重!$A:$A&amp;"_"&amp;符文权重!$C:$C,符文权重!$D:$D)*$X196/SUMIFS($X:$X,G:G,G196,$C:$C,$C196,$AG:$AG,$AG196)/SUMIF(符文权重!$A:$A,$C196,符文权重!$D:$D))),"")</f>
        <v/>
      </c>
      <c r="N196" s="39" t="str" cm="1">
        <f t="array" ref="N196">IFERROR(IF($A196="","",IF(H196="","",_xlfn.XLOOKUP($C196&amp;"_"&amp;$AG196,符文权重!$A:$A&amp;"_"&amp;符文权重!$C:$C,符文权重!$D:$D)*$X196/SUMIFS($X:$X,H:H,H196,$C:$C,$C196,$AG:$AG,$AG196)/SUMIF(符文权重!$A:$A,$C196,符文权重!$D:$D))),"")</f>
        <v/>
      </c>
      <c r="O196" s="39" t="str" cm="1">
        <f t="array" ref="O196">IFERROR(IF($A196="","",IF(I196="","",_xlfn.XLOOKUP($C196&amp;"_"&amp;$AG196,符文权重!$A:$A&amp;"_"&amp;符文权重!$C:$C,符文权重!$D:$D)*$X196/SUMIFS($X:$X,I:I,I196,$C:$C,$C196,$AG:$AG,$AG196)/SUMIF(符文权重!$A:$A,$C196,符文权重!$D:$D))),"")</f>
        <v/>
      </c>
      <c r="P196" s="39" t="str" cm="1">
        <f t="array" ref="P196">IFERROR(IF($A196="","",IF(J196="","",_xlfn.XLOOKUP($C196&amp;"_"&amp;$AG196,符文权重!$A:$A&amp;"_"&amp;符文权重!$C:$C,符文权重!$D:$D)*$X196/SUMIFS($X:$X,J:J,J196,$C:$C,$C196,$AG:$AG,$AG196)/SUMIF(符文权重!$A:$A,$C196,符文权重!$D:$D))),"")</f>
        <v/>
      </c>
      <c r="Q196" s="39" t="str" cm="1">
        <f t="array" ref="Q196">IFERROR(IF($A196="","",IF(K196="","",_xlfn.XLOOKUP($C196&amp;"_"&amp;$AG196,符文权重!$A:$A&amp;"_"&amp;符文权重!$C:$C,符文权重!$D:$D)*$X196/SUMIFS($X:$X,K:K,K196,$C:$C,$C196,$AG:$AG,$AG196)/SUMIF(符文权重!$A:$A,$C196,符文权重!$D:$D))),"")</f>
        <v/>
      </c>
      <c r="R196" s="46" t="s">
        <v>163</v>
      </c>
      <c r="S196" s="46"/>
      <c r="T196" s="46" t="e">
        <f>IF(B196="","",SUBSTITUTE(SUBSTITUTE("[{global_atk,"&amp;#REF!*C196&amp;"}]",21,20),9,8))</f>
        <v>#REF!</v>
      </c>
      <c r="U196" s="47" t="str">
        <f t="shared" si="98"/>
        <v>[5502067]</v>
      </c>
      <c r="V196" s="46"/>
      <c r="W196" s="23"/>
      <c r="X196" s="32">
        <v>100</v>
      </c>
      <c r="Y196" s="23"/>
      <c r="Z196" s="45" t="s">
        <v>180</v>
      </c>
      <c r="AA196" s="32" t="str">
        <f t="shared" si="82"/>
        <v>受到远程怪伤害降低28%</v>
      </c>
      <c r="AB196" s="32"/>
      <c r="AC196" s="32" t="s">
        <v>166</v>
      </c>
      <c r="AD196" s="32">
        <f t="shared" si="73"/>
        <v>1191</v>
      </c>
      <c r="AE196" s="44" t="str">
        <f t="shared" si="78"/>
        <v>5502061</v>
      </c>
      <c r="AF196" s="45" t="str">
        <f t="shared" si="79"/>
        <v>[28]</v>
      </c>
      <c r="AG196" s="26">
        <v>100</v>
      </c>
      <c r="AH196" s="46"/>
      <c r="AI196" s="46">
        <v>1</v>
      </c>
      <c r="AJ196" s="23" t="s">
        <v>167</v>
      </c>
      <c r="AK196" s="44">
        <f t="shared" si="99"/>
        <v>5502067</v>
      </c>
      <c r="AL196" s="50" t="str">
        <f t="shared" si="100"/>
        <v>受到远程怪伤害降低&lt;color=#54b76b&gt;%s%&lt;/color&gt;</v>
      </c>
      <c r="AM196" s="46">
        <v>28</v>
      </c>
      <c r="AN196" s="26"/>
      <c r="AO196" s="26" t="s">
        <v>28</v>
      </c>
      <c r="AP196" s="20">
        <f t="shared" si="74"/>
        <v>191</v>
      </c>
    </row>
    <row r="197" s="20" customFormat="1" customHeight="1" spans="1:42">
      <c r="A197" s="38" t="s">
        <v>167</v>
      </c>
      <c r="B197" s="38" t="str">
        <f t="shared" si="75"/>
        <v/>
      </c>
      <c r="C197" s="32" t="str">
        <f t="shared" si="76"/>
        <v/>
      </c>
      <c r="D197" s="32"/>
      <c r="E197" s="26"/>
      <c r="F197" s="26" t="str">
        <f t="shared" si="70"/>
        <v/>
      </c>
      <c r="G197" s="26" t="str">
        <f>IFERROR(IF(--MID($E197,2*COUNTIF($F197:F197,"&gt;"&amp;0)+2,1)=G$1,G$1,""),"")</f>
        <v/>
      </c>
      <c r="H197" s="26" t="str">
        <f>IFERROR(IF(--MID($E197,2*COUNTIF($F197:G197,"&gt;"&amp;0)+2,1)=H$1,H$1,""),"")</f>
        <v/>
      </c>
      <c r="I197" s="26" t="str">
        <f>IFERROR(IF(--MID($E197,2*COUNTIF($F197:H197,"&gt;"&amp;0)+2,1)=I$1,I$1,""),"")</f>
        <v/>
      </c>
      <c r="J197" s="26" t="str">
        <f>IFERROR(IF(--MID($E197,2*COUNTIF($F197:I197,"&gt;"&amp;0)+2,1)=J$1,J$1,""),"")</f>
        <v/>
      </c>
      <c r="K197" s="26" t="str">
        <f>IFERROR(IF(--MID($E197,2*COUNTIF($F197:J197,"&gt;"&amp;0)+2,1)=K$1,K$1,""),"")</f>
        <v/>
      </c>
      <c r="L197" s="39" t="str" cm="1">
        <f t="array" ref="L197">IFERROR(IF($A197="","",IF(F197="","",_xlfn.XLOOKUP($C197&amp;"_"&amp;$AG197,符文权重!$A:$A&amp;"_"&amp;符文权重!$C:$C,符文权重!$D:$D)*$X197/SUMIFS($X:$X,F:F,F197,$C:$C,$C197,$AG:$AG,$AG197)/SUMIF(符文权重!$A:$A,$C197,符文权重!$D:$D))),"")</f>
        <v/>
      </c>
      <c r="M197" s="39" t="str" cm="1">
        <f t="array" ref="M197">IFERROR(IF($A197="","",IF(G197="","",_xlfn.XLOOKUP($C197&amp;"_"&amp;$AG197,符文权重!$A:$A&amp;"_"&amp;符文权重!$C:$C,符文权重!$D:$D)*$X197/SUMIFS($X:$X,G:G,G197,$C:$C,$C197,$AG:$AG,$AG197)/SUMIF(符文权重!$A:$A,$C197,符文权重!$D:$D))),"")</f>
        <v/>
      </c>
      <c r="N197" s="39" t="str" cm="1">
        <f t="array" ref="N197">IFERROR(IF($A197="","",IF(H197="","",_xlfn.XLOOKUP($C197&amp;"_"&amp;$AG197,符文权重!$A:$A&amp;"_"&amp;符文权重!$C:$C,符文权重!$D:$D)*$X197/SUMIFS($X:$X,H:H,H197,$C:$C,$C197,$AG:$AG,$AG197)/SUMIF(符文权重!$A:$A,$C197,符文权重!$D:$D))),"")</f>
        <v/>
      </c>
      <c r="O197" s="39" t="str" cm="1">
        <f t="array" ref="O197">IFERROR(IF($A197="","",IF(I197="","",_xlfn.XLOOKUP($C197&amp;"_"&amp;$AG197,符文权重!$A:$A&amp;"_"&amp;符文权重!$C:$C,符文权重!$D:$D)*$X197/SUMIFS($X:$X,I:I,I197,$C:$C,$C197,$AG:$AG,$AG197)/SUMIF(符文权重!$A:$A,$C197,符文权重!$D:$D))),"")</f>
        <v/>
      </c>
      <c r="P197" s="39" t="str" cm="1">
        <f t="array" ref="P197">IFERROR(IF($A197="","",IF(J197="","",_xlfn.XLOOKUP($C197&amp;"_"&amp;$AG197,符文权重!$A:$A&amp;"_"&amp;符文权重!$C:$C,符文权重!$D:$D)*$X197/SUMIFS($X:$X,J:J,J197,$C:$C,$C197,$AG:$AG,$AG197)/SUMIF(符文权重!$A:$A,$C197,符文权重!$D:$D))),"")</f>
        <v/>
      </c>
      <c r="Q197" s="39" t="str" cm="1">
        <f t="array" ref="Q197">IFERROR(IF($A197="","",IF(K197="","",_xlfn.XLOOKUP($C197&amp;"_"&amp;$AG197,符文权重!$A:$A&amp;"_"&amp;符文权重!$C:$C,符文权重!$D:$D)*$X197/SUMIFS($X:$X,K:K,K197,$C:$C,$C197,$AG:$AG,$AG197)/SUMIF(符文权重!$A:$A,$C197,符文权重!$D:$D))),"")</f>
        <v/>
      </c>
      <c r="R197" s="26"/>
      <c r="S197" s="26"/>
      <c r="T197" s="26"/>
      <c r="V197" s="31"/>
      <c r="W197" s="25"/>
      <c r="X197" s="32"/>
      <c r="Y197" s="25"/>
      <c r="Z197" s="32" t="s">
        <v>167</v>
      </c>
      <c r="AA197" s="32" t="str">
        <f t="shared" si="82"/>
        <v/>
      </c>
      <c r="AB197" s="32"/>
      <c r="AC197" s="32" t="s">
        <v>166</v>
      </c>
      <c r="AD197" s="32">
        <f t="shared" si="73"/>
        <v>1192</v>
      </c>
      <c r="AE197" s="38" t="str">
        <f t="shared" si="78"/>
        <v/>
      </c>
      <c r="AF197" s="32" t="str">
        <f t="shared" si="79"/>
        <v/>
      </c>
      <c r="AG197" s="26"/>
      <c r="AH197" s="26"/>
      <c r="AI197" s="26"/>
      <c r="AJ197" s="25" t="s">
        <v>167</v>
      </c>
      <c r="AK197" s="24"/>
      <c r="AL197" s="43"/>
      <c r="AM197" s="26"/>
      <c r="AN197" s="26"/>
      <c r="AO197" s="26"/>
      <c r="AP197" s="20">
        <f t="shared" si="74"/>
        <v>192</v>
      </c>
    </row>
    <row r="198" s="22" customFormat="1" customHeight="1" spans="1:42">
      <c r="A198" s="44">
        <v>5503011</v>
      </c>
      <c r="B198" s="44" t="str">
        <f t="shared" si="75"/>
        <v>5503011</v>
      </c>
      <c r="C198" s="45">
        <f t="shared" si="76"/>
        <v>1</v>
      </c>
      <c r="D198" s="45"/>
      <c r="E198" s="46" t="s">
        <v>337</v>
      </c>
      <c r="F198" s="26">
        <f t="shared" si="70"/>
        <v>1</v>
      </c>
      <c r="G198" s="26" t="str">
        <f>IFERROR(IF(--MID($E198,2*COUNTIF($F198:F198,"&gt;"&amp;0)+2,1)=G$1,G$1,""),"")</f>
        <v/>
      </c>
      <c r="H198" s="26" t="str">
        <f>IFERROR(IF(--MID($E198,2*COUNTIF($F198:G198,"&gt;"&amp;0)+2,1)=H$1,H$1,""),"")</f>
        <v/>
      </c>
      <c r="I198" s="26" t="str">
        <f>IFERROR(IF(--MID($E198,2*COUNTIF($F198:H198,"&gt;"&amp;0)+2,1)=I$1,I$1,""),"")</f>
        <v/>
      </c>
      <c r="J198" s="26" t="str">
        <f>IFERROR(IF(--MID($E198,2*COUNTIF($F198:I198,"&gt;"&amp;0)+2,1)=J$1,J$1,""),"")</f>
        <v/>
      </c>
      <c r="K198" s="26">
        <f>IFERROR(IF(--MID($E198,2*COUNTIF($F198:J198,"&gt;"&amp;0)+2,1)=K$1,K$1,""),"")</f>
        <v>6</v>
      </c>
      <c r="L198" s="39" t="str" cm="1">
        <f t="array" ref="L198">IFERROR(IF($A198="","",IF(F198="","",_xlfn.XLOOKUP($C198&amp;"_"&amp;$AG198,符文权重!$A:$A&amp;"_"&amp;符文权重!$C:$C,符文权重!$D:$D)*$X198/SUMIFS($X:$X,F:F,F198,$C:$C,$C198,$AG:$AG,$AG198)/SUMIF(符文权重!$A:$A,$C198,符文权重!$D:$D))),"")</f>
        <v/>
      </c>
      <c r="M198" s="39" t="str" cm="1">
        <f t="array" ref="M198">IFERROR(IF($A198="","",IF(G198="","",_xlfn.XLOOKUP($C198&amp;"_"&amp;$AG198,符文权重!$A:$A&amp;"_"&amp;符文权重!$C:$C,符文权重!$D:$D)*$X198/SUMIFS($X:$X,G:G,G198,$C:$C,$C198,$AG:$AG,$AG198)/SUMIF(符文权重!$A:$A,$C198,符文权重!$D:$D))),"")</f>
        <v/>
      </c>
      <c r="N198" s="39" t="str" cm="1">
        <f t="array" ref="N198">IFERROR(IF($A198="","",IF(H198="","",_xlfn.XLOOKUP($C198&amp;"_"&amp;$AG198,符文权重!$A:$A&amp;"_"&amp;符文权重!$C:$C,符文权重!$D:$D)*$X198/SUMIFS($X:$X,H:H,H198,$C:$C,$C198,$AG:$AG,$AG198)/SUMIF(符文权重!$A:$A,$C198,符文权重!$D:$D))),"")</f>
        <v/>
      </c>
      <c r="O198" s="39" t="str" cm="1">
        <f t="array" ref="O198">IFERROR(IF($A198="","",IF(I198="","",_xlfn.XLOOKUP($C198&amp;"_"&amp;$AG198,符文权重!$A:$A&amp;"_"&amp;符文权重!$C:$C,符文权重!$D:$D)*$X198/SUMIFS($X:$X,I:I,I198,$C:$C,$C198,$AG:$AG,$AG198)/SUMIF(符文权重!$A:$A,$C198,符文权重!$D:$D))),"")</f>
        <v/>
      </c>
      <c r="P198" s="39" t="str" cm="1">
        <f t="array" ref="P198">IFERROR(IF($A198="","",IF(J198="","",_xlfn.XLOOKUP($C198&amp;"_"&amp;$AG198,符文权重!$A:$A&amp;"_"&amp;符文权重!$C:$C,符文权重!$D:$D)*$X198/SUMIFS($X:$X,J:J,J198,$C:$C,$C198,$AG:$AG,$AG198)/SUMIF(符文权重!$A:$A,$C198,符文权重!$D:$D))),"")</f>
        <v/>
      </c>
      <c r="Q198" s="39" t="str" cm="1">
        <f t="array" ref="Q198">IFERROR(IF($A198="","",IF(K198="","",_xlfn.XLOOKUP($C198&amp;"_"&amp;$AG198,符文权重!$A:$A&amp;"_"&amp;符文权重!$C:$C,符文权重!$D:$D)*$X198/SUMIFS($X:$X,K:K,K198,$C:$C,$C198,$AG:$AG,$AG198)/SUMIF(符文权重!$A:$A,$C198,符文权重!$D:$D))),"")</f>
        <v/>
      </c>
      <c r="R198" s="46" t="s">
        <v>244</v>
      </c>
      <c r="S198" s="46"/>
      <c r="T198" s="46" t="e">
        <f>IF(B198="","",SUBSTITUTE(SUBSTITUTE("[{global_atk,"&amp;#REF!*C198&amp;"}]",21,20),9,8))</f>
        <v>#REF!</v>
      </c>
      <c r="U198" s="47" t="str">
        <f t="shared" ref="U198:U204" si="101">"["&amp;A198&amp;"]"</f>
        <v>[5503011]</v>
      </c>
      <c r="V198" s="46"/>
      <c r="W198" s="23"/>
      <c r="X198" s="32">
        <v>33</v>
      </c>
      <c r="Y198" s="23"/>
      <c r="Z198" s="45" t="s">
        <v>165</v>
      </c>
      <c r="AA198" s="32" t="str">
        <f t="shared" si="82"/>
        <v>队长技能冷却缩短10%</v>
      </c>
      <c r="AB198" s="32"/>
      <c r="AC198" s="32" t="s">
        <v>166</v>
      </c>
      <c r="AD198" s="32">
        <f t="shared" si="73"/>
        <v>1193</v>
      </c>
      <c r="AE198" s="44" t="str">
        <f t="shared" si="78"/>
        <v>5503011</v>
      </c>
      <c r="AF198" s="45" t="str">
        <f t="shared" si="79"/>
        <v>[10]</v>
      </c>
      <c r="AG198" s="26">
        <v>100</v>
      </c>
      <c r="AH198" s="46"/>
      <c r="AI198" s="46">
        <v>1</v>
      </c>
      <c r="AJ198" s="25">
        <v>1</v>
      </c>
      <c r="AK198" s="48">
        <v>5503011</v>
      </c>
      <c r="AL198" s="49" t="s">
        <v>338</v>
      </c>
      <c r="AM198" s="46">
        <v>10</v>
      </c>
      <c r="AN198" s="26"/>
      <c r="AO198" s="26" t="s">
        <v>31</v>
      </c>
      <c r="AP198" s="20">
        <f t="shared" si="74"/>
        <v>193</v>
      </c>
    </row>
    <row r="199" s="22" customFormat="1" customHeight="1" spans="1:42">
      <c r="A199" s="44">
        <v>5503012</v>
      </c>
      <c r="B199" s="44" t="str">
        <f t="shared" si="75"/>
        <v>5503011</v>
      </c>
      <c r="C199" s="45">
        <f t="shared" si="76"/>
        <v>2</v>
      </c>
      <c r="D199" s="45"/>
      <c r="E199" s="46" t="s">
        <v>337</v>
      </c>
      <c r="F199" s="26">
        <f t="shared" ref="F199:F262" si="102">IF(LEFT(E199,2)="[1",1,"")</f>
        <v>1</v>
      </c>
      <c r="G199" s="26" t="str">
        <f>IFERROR(IF(--MID($E199,2*COUNTIF($F199:F199,"&gt;"&amp;0)+2,1)=G$1,G$1,""),"")</f>
        <v/>
      </c>
      <c r="H199" s="26" t="str">
        <f>IFERROR(IF(--MID($E199,2*COUNTIF($F199:G199,"&gt;"&amp;0)+2,1)=H$1,H$1,""),"")</f>
        <v/>
      </c>
      <c r="I199" s="26" t="str">
        <f>IFERROR(IF(--MID($E199,2*COUNTIF($F199:H199,"&gt;"&amp;0)+2,1)=I$1,I$1,""),"")</f>
        <v/>
      </c>
      <c r="J199" s="26" t="str">
        <f>IFERROR(IF(--MID($E199,2*COUNTIF($F199:I199,"&gt;"&amp;0)+2,1)=J$1,J$1,""),"")</f>
        <v/>
      </c>
      <c r="K199" s="26">
        <f>IFERROR(IF(--MID($E199,2*COUNTIF($F199:J199,"&gt;"&amp;0)+2,1)=K$1,K$1,""),"")</f>
        <v>6</v>
      </c>
      <c r="L199" s="39" t="str" cm="1">
        <f t="array" ref="L199">IFERROR(IF($A199="","",IF(F199="","",_xlfn.XLOOKUP($C199&amp;"_"&amp;$AG199,符文权重!$A:$A&amp;"_"&amp;符文权重!$C:$C,符文权重!$D:$D)*$X199/SUMIFS($X:$X,F:F,F199,$C:$C,$C199,$AG:$AG,$AG199)/SUMIF(符文权重!$A:$A,$C199,符文权重!$D:$D))),"")</f>
        <v/>
      </c>
      <c r="M199" s="39" t="str" cm="1">
        <f t="array" ref="M199">IFERROR(IF($A199="","",IF(G199="","",_xlfn.XLOOKUP($C199&amp;"_"&amp;$AG199,符文权重!$A:$A&amp;"_"&amp;符文权重!$C:$C,符文权重!$D:$D)*$X199/SUMIFS($X:$X,G:G,G199,$C:$C,$C199,$AG:$AG,$AG199)/SUMIF(符文权重!$A:$A,$C199,符文权重!$D:$D))),"")</f>
        <v/>
      </c>
      <c r="N199" s="39" t="str" cm="1">
        <f t="array" ref="N199">IFERROR(IF($A199="","",IF(H199="","",_xlfn.XLOOKUP($C199&amp;"_"&amp;$AG199,符文权重!$A:$A&amp;"_"&amp;符文权重!$C:$C,符文权重!$D:$D)*$X199/SUMIFS($X:$X,H:H,H199,$C:$C,$C199,$AG:$AG,$AG199)/SUMIF(符文权重!$A:$A,$C199,符文权重!$D:$D))),"")</f>
        <v/>
      </c>
      <c r="O199" s="39" t="str" cm="1">
        <f t="array" ref="O199">IFERROR(IF($A199="","",IF(I199="","",_xlfn.XLOOKUP($C199&amp;"_"&amp;$AG199,符文权重!$A:$A&amp;"_"&amp;符文权重!$C:$C,符文权重!$D:$D)*$X199/SUMIFS($X:$X,I:I,I199,$C:$C,$C199,$AG:$AG,$AG199)/SUMIF(符文权重!$A:$A,$C199,符文权重!$D:$D))),"")</f>
        <v/>
      </c>
      <c r="P199" s="39" t="str" cm="1">
        <f t="array" ref="P199">IFERROR(IF($A199="","",IF(J199="","",_xlfn.XLOOKUP($C199&amp;"_"&amp;$AG199,符文权重!$A:$A&amp;"_"&amp;符文权重!$C:$C,符文权重!$D:$D)*$X199/SUMIFS($X:$X,J:J,J199,$C:$C,$C199,$AG:$AG,$AG199)/SUMIF(符文权重!$A:$A,$C199,符文权重!$D:$D))),"")</f>
        <v/>
      </c>
      <c r="Q199" s="39" t="str" cm="1">
        <f t="array" ref="Q199">IFERROR(IF($A199="","",IF(K199="","",_xlfn.XLOOKUP($C199&amp;"_"&amp;$AG199,符文权重!$A:$A&amp;"_"&amp;符文权重!$C:$C,符文权重!$D:$D)*$X199/SUMIFS($X:$X,K:K,K199,$C:$C,$C199,$AG:$AG,$AG199)/SUMIF(符文权重!$A:$A,$C199,符文权重!$D:$D))),"")</f>
        <v/>
      </c>
      <c r="R199" s="46" t="s">
        <v>244</v>
      </c>
      <c r="S199" s="46"/>
      <c r="T199" s="46" t="e">
        <f>IF(B199="","",SUBSTITUTE(SUBSTITUTE("[{global_atk,"&amp;#REF!*C199&amp;"}]",21,20),9,8))</f>
        <v>#REF!</v>
      </c>
      <c r="U199" s="47" t="str">
        <f t="shared" si="101"/>
        <v>[5503012]</v>
      </c>
      <c r="V199" s="46"/>
      <c r="W199" s="23"/>
      <c r="X199" s="32">
        <v>33</v>
      </c>
      <c r="Y199" s="23"/>
      <c r="Z199" s="45" t="s">
        <v>170</v>
      </c>
      <c r="AA199" s="32" t="str">
        <f t="shared" si="82"/>
        <v>队长技能冷却缩短15%</v>
      </c>
      <c r="AB199" s="32"/>
      <c r="AC199" s="32" t="s">
        <v>166</v>
      </c>
      <c r="AD199" s="32">
        <f t="shared" si="73"/>
        <v>1194</v>
      </c>
      <c r="AE199" s="44" t="str">
        <f t="shared" si="78"/>
        <v>5503011</v>
      </c>
      <c r="AF199" s="45" t="str">
        <f t="shared" si="79"/>
        <v>[15]</v>
      </c>
      <c r="AG199" s="26">
        <v>100</v>
      </c>
      <c r="AH199" s="46"/>
      <c r="AI199" s="46">
        <v>1</v>
      </c>
      <c r="AJ199" s="25">
        <v>1</v>
      </c>
      <c r="AK199" s="44">
        <f t="shared" ref="AK199:AK204" si="103">AK198+1</f>
        <v>5503012</v>
      </c>
      <c r="AL199" s="50" t="str">
        <f t="shared" ref="AL199:AL204" si="104">AL198</f>
        <v>队长技能冷却缩短&lt;color=#54b76b&gt;%s%&lt;/color&gt;</v>
      </c>
      <c r="AM199" s="46">
        <v>15</v>
      </c>
      <c r="AN199" s="26"/>
      <c r="AO199" s="26" t="s">
        <v>31</v>
      </c>
      <c r="AP199" s="20">
        <f t="shared" si="74"/>
        <v>194</v>
      </c>
    </row>
    <row r="200" s="20" customFormat="1" customHeight="1" spans="1:42">
      <c r="A200" s="38">
        <v>5503013</v>
      </c>
      <c r="B200" s="38" t="str">
        <f t="shared" si="75"/>
        <v>5503011</v>
      </c>
      <c r="C200" s="32">
        <f t="shared" si="76"/>
        <v>3</v>
      </c>
      <c r="D200" s="32"/>
      <c r="E200" s="26" t="s">
        <v>337</v>
      </c>
      <c r="F200" s="26">
        <f t="shared" si="102"/>
        <v>1</v>
      </c>
      <c r="G200" s="26" t="str">
        <f>IFERROR(IF(--MID($E200,2*COUNTIF($F200:F200,"&gt;"&amp;0)+2,1)=G$1,G$1,""),"")</f>
        <v/>
      </c>
      <c r="H200" s="26" t="str">
        <f>IFERROR(IF(--MID($E200,2*COUNTIF($F200:G200,"&gt;"&amp;0)+2,1)=H$1,H$1,""),"")</f>
        <v/>
      </c>
      <c r="I200" s="26" t="str">
        <f>IFERROR(IF(--MID($E200,2*COUNTIF($F200:H200,"&gt;"&amp;0)+2,1)=I$1,I$1,""),"")</f>
        <v/>
      </c>
      <c r="J200" s="26" t="str">
        <f>IFERROR(IF(--MID($E200,2*COUNTIF($F200:I200,"&gt;"&amp;0)+2,1)=J$1,J$1,""),"")</f>
        <v/>
      </c>
      <c r="K200" s="26">
        <f>IFERROR(IF(--MID($E200,2*COUNTIF($F200:J200,"&gt;"&amp;0)+2,1)=K$1,K$1,""),"")</f>
        <v>6</v>
      </c>
      <c r="L200" s="39" cm="1">
        <f t="array" ref="L200">IFERROR(IF($A200="","",IF(F200="","",_xlfn.XLOOKUP($C200&amp;"_"&amp;$AG200,符文权重!$A:$A&amp;"_"&amp;符文权重!$C:$C,符文权重!$D:$D)*$X200/SUMIFS($X:$X,F:F,F200,$C:$C,$C200,$AG:$AG,$AG200)/SUMIF(符文权重!$A:$A,$C200,符文权重!$D:$D))),"")</f>
        <v>0.011556420233463</v>
      </c>
      <c r="M200" s="39" t="str" cm="1">
        <f t="array" ref="M200">IFERROR(IF($A200="","",IF(G200="","",_xlfn.XLOOKUP($C200&amp;"_"&amp;$AG200,符文权重!$A:$A&amp;"_"&amp;符文权重!$C:$C,符文权重!$D:$D)*$X200/SUMIFS($X:$X,G:G,G200,$C:$C,$C200,$AG:$AG,$AG200)/SUMIF(符文权重!$A:$A,$C200,符文权重!$D:$D))),"")</f>
        <v/>
      </c>
      <c r="N200" s="39" t="str" cm="1">
        <f t="array" ref="N200">IFERROR(IF($A200="","",IF(H200="","",_xlfn.XLOOKUP($C200&amp;"_"&amp;$AG200,符文权重!$A:$A&amp;"_"&amp;符文权重!$C:$C,符文权重!$D:$D)*$X200/SUMIFS($X:$X,H:H,H200,$C:$C,$C200,$AG:$AG,$AG200)/SUMIF(符文权重!$A:$A,$C200,符文权重!$D:$D))),"")</f>
        <v/>
      </c>
      <c r="O200" s="39" t="str" cm="1">
        <f t="array" ref="O200">IFERROR(IF($A200="","",IF(I200="","",_xlfn.XLOOKUP($C200&amp;"_"&amp;$AG200,符文权重!$A:$A&amp;"_"&amp;符文权重!$C:$C,符文权重!$D:$D)*$X200/SUMIFS($X:$X,I:I,I200,$C:$C,$C200,$AG:$AG,$AG200)/SUMIF(符文权重!$A:$A,$C200,符文权重!$D:$D))),"")</f>
        <v/>
      </c>
      <c r="P200" s="39" t="str" cm="1">
        <f t="array" ref="P200">IFERROR(IF($A200="","",IF(J200="","",_xlfn.XLOOKUP($C200&amp;"_"&amp;$AG200,符文权重!$A:$A&amp;"_"&amp;符文权重!$C:$C,符文权重!$D:$D)*$X200/SUMIFS($X:$X,J:J,J200,$C:$C,$C200,$AG:$AG,$AG200)/SUMIF(符文权重!$A:$A,$C200,符文权重!$D:$D))),"")</f>
        <v/>
      </c>
      <c r="Q200" s="39" cm="1">
        <f t="array" ref="Q200">IFERROR(IF($A200="","",IF(K200="","",_xlfn.XLOOKUP($C200&amp;"_"&amp;$AG200,符文权重!$A:$A&amp;"_"&amp;符文权重!$C:$C,符文权重!$D:$D)*$X200/SUMIFS($X:$X,K:K,K200,$C:$C,$C200,$AG:$AG,$AG200)/SUMIF(符文权重!$A:$A,$C200,符文权重!$D:$D))),"")</f>
        <v>0.0113793103448276</v>
      </c>
      <c r="R200" s="26" t="s">
        <v>244</v>
      </c>
      <c r="S200" s="26"/>
      <c r="T200" s="26" t="e">
        <f>IF(B200="","",SUBSTITUTE(SUBSTITUTE("[{global_atk,"&amp;#REF!*C200&amp;"}]",21,20),9,8))</f>
        <v>#REF!</v>
      </c>
      <c r="U200" s="40" t="str">
        <f t="shared" si="101"/>
        <v>[5503013]</v>
      </c>
      <c r="V200" s="26"/>
      <c r="W200" s="25"/>
      <c r="X200" s="32">
        <v>33</v>
      </c>
      <c r="Y200" s="25"/>
      <c r="Z200" s="32" t="s">
        <v>172</v>
      </c>
      <c r="AA200" s="32" t="str">
        <f t="shared" si="82"/>
        <v>队长技能冷却缩短20%</v>
      </c>
      <c r="AB200" s="32"/>
      <c r="AC200" s="32" t="s">
        <v>166</v>
      </c>
      <c r="AD200" s="32">
        <f t="shared" ref="AD200:AD263" si="105">AD199+1</f>
        <v>1195</v>
      </c>
      <c r="AE200" s="38" t="str">
        <f t="shared" si="78"/>
        <v>5503011</v>
      </c>
      <c r="AF200" s="32" t="str">
        <f t="shared" si="79"/>
        <v>[20]</v>
      </c>
      <c r="AG200" s="26">
        <v>3</v>
      </c>
      <c r="AH200" s="26"/>
      <c r="AI200" s="26">
        <v>0</v>
      </c>
      <c r="AJ200" s="25">
        <v>1</v>
      </c>
      <c r="AK200" s="38">
        <f t="shared" si="103"/>
        <v>5503013</v>
      </c>
      <c r="AL200" s="41" t="str">
        <f t="shared" si="104"/>
        <v>队长技能冷却缩短&lt;color=#54b76b&gt;%s%&lt;/color&gt;</v>
      </c>
      <c r="AM200" s="26">
        <v>20</v>
      </c>
      <c r="AN200" s="26">
        <v>3</v>
      </c>
      <c r="AO200" s="26" t="s">
        <v>31</v>
      </c>
      <c r="AP200" s="20">
        <f t="shared" ref="AP200:AP263" si="106">AP199+1</f>
        <v>195</v>
      </c>
    </row>
    <row r="201" s="20" customFormat="1" customHeight="1" spans="1:42">
      <c r="A201" s="38">
        <v>5503014</v>
      </c>
      <c r="B201" s="38" t="str">
        <f t="shared" si="75"/>
        <v>5503011</v>
      </c>
      <c r="C201" s="32">
        <f t="shared" si="76"/>
        <v>4</v>
      </c>
      <c r="D201" s="32"/>
      <c r="E201" s="26" t="s">
        <v>337</v>
      </c>
      <c r="F201" s="26">
        <f t="shared" si="102"/>
        <v>1</v>
      </c>
      <c r="G201" s="26" t="str">
        <f>IFERROR(IF(--MID($E201,2*COUNTIF($F201:F201,"&gt;"&amp;0)+2,1)=G$1,G$1,""),"")</f>
        <v/>
      </c>
      <c r="H201" s="26" t="str">
        <f>IFERROR(IF(--MID($E201,2*COUNTIF($F201:G201,"&gt;"&amp;0)+2,1)=H$1,H$1,""),"")</f>
        <v/>
      </c>
      <c r="I201" s="26" t="str">
        <f>IFERROR(IF(--MID($E201,2*COUNTIF($F201:H201,"&gt;"&amp;0)+2,1)=I$1,I$1,""),"")</f>
        <v/>
      </c>
      <c r="J201" s="26" t="str">
        <f>IFERROR(IF(--MID($E201,2*COUNTIF($F201:I201,"&gt;"&amp;0)+2,1)=J$1,J$1,""),"")</f>
        <v/>
      </c>
      <c r="K201" s="26">
        <f>IFERROR(IF(--MID($E201,2*COUNTIF($F201:J201,"&gt;"&amp;0)+2,1)=K$1,K$1,""),"")</f>
        <v>6</v>
      </c>
      <c r="L201" s="39" cm="1">
        <f t="array" ref="L201">IFERROR(IF($A201="","",IF(F201="","",_xlfn.XLOOKUP($C201&amp;"_"&amp;$AG201,符文权重!$A:$A&amp;"_"&amp;符文权重!$C:$C,符文权重!$D:$D)*$X201/SUMIFS($X:$X,F:F,F201,$C:$C,$C201,$AG:$AG,$AG201)/SUMIF(符文权重!$A:$A,$C201,符文权重!$D:$D))),"")</f>
        <v>0.0130416666666667</v>
      </c>
      <c r="M201" s="39" t="str" cm="1">
        <f t="array" ref="M201">IFERROR(IF($A201="","",IF(G201="","",_xlfn.XLOOKUP($C201&amp;"_"&amp;$AG201,符文权重!$A:$A&amp;"_"&amp;符文权重!$C:$C,符文权重!$D:$D)*$X201/SUMIFS($X:$X,G:G,G201,$C:$C,$C201,$AG:$AG,$AG201)/SUMIF(符文权重!$A:$A,$C201,符文权重!$D:$D))),"")</f>
        <v/>
      </c>
      <c r="N201" s="39" t="str" cm="1">
        <f t="array" ref="N201">IFERROR(IF($A201="","",IF(H201="","",_xlfn.XLOOKUP($C201&amp;"_"&amp;$AG201,符文权重!$A:$A&amp;"_"&amp;符文权重!$C:$C,符文权重!$D:$D)*$X201/SUMIFS($X:$X,H:H,H201,$C:$C,$C201,$AG:$AG,$AG201)/SUMIF(符文权重!$A:$A,$C201,符文权重!$D:$D))),"")</f>
        <v/>
      </c>
      <c r="O201" s="39" t="str" cm="1">
        <f t="array" ref="O201">IFERROR(IF($A201="","",IF(I201="","",_xlfn.XLOOKUP($C201&amp;"_"&amp;$AG201,符文权重!$A:$A&amp;"_"&amp;符文权重!$C:$C,符文权重!$D:$D)*$X201/SUMIFS($X:$X,I:I,I201,$C:$C,$C201,$AG:$AG,$AG201)/SUMIF(符文权重!$A:$A,$C201,符文权重!$D:$D))),"")</f>
        <v/>
      </c>
      <c r="P201" s="39" t="str" cm="1">
        <f t="array" ref="P201">IFERROR(IF($A201="","",IF(J201="","",_xlfn.XLOOKUP($C201&amp;"_"&amp;$AG201,符文权重!$A:$A&amp;"_"&amp;符文权重!$C:$C,符文权重!$D:$D)*$X201/SUMIFS($X:$X,J:J,J201,$C:$C,$C201,$AG:$AG,$AG201)/SUMIF(符文权重!$A:$A,$C201,符文权重!$D:$D))),"")</f>
        <v/>
      </c>
      <c r="Q201" s="39" cm="1">
        <f t="array" ref="Q201">IFERROR(IF($A201="","",IF(K201="","",_xlfn.XLOOKUP($C201&amp;"_"&amp;$AG201,符文权重!$A:$A&amp;"_"&amp;符文权重!$C:$C,符文权重!$D:$D)*$X201/SUMIFS($X:$X,K:K,K201,$C:$C,$C201,$AG:$AG,$AG201)/SUMIF(符文权重!$A:$A,$C201,符文权重!$D:$D))),"")</f>
        <v>0.0130416666666667</v>
      </c>
      <c r="R201" s="26" t="s">
        <v>244</v>
      </c>
      <c r="S201" s="26"/>
      <c r="T201" s="26" t="e">
        <f>IF(B201="","",SUBSTITUTE(SUBSTITUTE("[{global_atk,"&amp;#REF!*C201&amp;"}]",21,20),9,8))</f>
        <v>#REF!</v>
      </c>
      <c r="U201" s="40" t="str">
        <f t="shared" si="101"/>
        <v>[5503014]</v>
      </c>
      <c r="V201" s="26"/>
      <c r="W201" s="25"/>
      <c r="X201" s="32">
        <v>11</v>
      </c>
      <c r="Y201" s="25"/>
      <c r="Z201" s="32" t="s">
        <v>174</v>
      </c>
      <c r="AA201" s="32" t="str">
        <f t="shared" si="82"/>
        <v>队长技能冷却缩短25%</v>
      </c>
      <c r="AB201" s="32"/>
      <c r="AC201" s="32" t="s">
        <v>166</v>
      </c>
      <c r="AD201" s="32">
        <f t="shared" si="105"/>
        <v>1196</v>
      </c>
      <c r="AE201" s="38" t="str">
        <f t="shared" si="78"/>
        <v>5503011</v>
      </c>
      <c r="AF201" s="32" t="str">
        <f t="shared" si="79"/>
        <v>[25]</v>
      </c>
      <c r="AG201" s="26">
        <v>3</v>
      </c>
      <c r="AH201" s="26"/>
      <c r="AI201" s="26">
        <v>0</v>
      </c>
      <c r="AJ201" s="25">
        <v>1</v>
      </c>
      <c r="AK201" s="38">
        <f t="shared" si="103"/>
        <v>5503014</v>
      </c>
      <c r="AL201" s="41" t="str">
        <f t="shared" si="104"/>
        <v>队长技能冷却缩短&lt;color=#54b76b&gt;%s%&lt;/color&gt;</v>
      </c>
      <c r="AM201" s="26">
        <v>25</v>
      </c>
      <c r="AN201" s="26">
        <v>3</v>
      </c>
      <c r="AO201" s="26" t="s">
        <v>31</v>
      </c>
      <c r="AP201" s="20">
        <f t="shared" si="106"/>
        <v>196</v>
      </c>
    </row>
    <row r="202" s="20" customFormat="1" customHeight="1" spans="1:42">
      <c r="A202" s="38">
        <v>5503015</v>
      </c>
      <c r="B202" s="38" t="str">
        <f t="shared" si="75"/>
        <v>5503011</v>
      </c>
      <c r="C202" s="32">
        <f t="shared" si="76"/>
        <v>5</v>
      </c>
      <c r="D202" s="32"/>
      <c r="E202" s="26" t="s">
        <v>337</v>
      </c>
      <c r="F202" s="26">
        <f t="shared" si="102"/>
        <v>1</v>
      </c>
      <c r="G202" s="26" t="str">
        <f>IFERROR(IF(--MID($E202,2*COUNTIF($F202:F202,"&gt;"&amp;0)+2,1)=G$1,G$1,""),"")</f>
        <v/>
      </c>
      <c r="H202" s="26" t="str">
        <f>IFERROR(IF(--MID($E202,2*COUNTIF($F202:G202,"&gt;"&amp;0)+2,1)=H$1,H$1,""),"")</f>
        <v/>
      </c>
      <c r="I202" s="26" t="str">
        <f>IFERROR(IF(--MID($E202,2*COUNTIF($F202:H202,"&gt;"&amp;0)+2,1)=I$1,I$1,""),"")</f>
        <v/>
      </c>
      <c r="J202" s="26" t="str">
        <f>IFERROR(IF(--MID($E202,2*COUNTIF($F202:I202,"&gt;"&amp;0)+2,1)=J$1,J$1,""),"")</f>
        <v/>
      </c>
      <c r="K202" s="26">
        <f>IFERROR(IF(--MID($E202,2*COUNTIF($F202:J202,"&gt;"&amp;0)+2,1)=K$1,K$1,""),"")</f>
        <v>6</v>
      </c>
      <c r="L202" s="39" cm="1">
        <f t="array" ref="L202">IFERROR(IF($A202="","",IF(F202="","",_xlfn.XLOOKUP($C202&amp;"_"&amp;$AG202,符文权重!$A:$A&amp;"_"&amp;符文权重!$C:$C,符文权重!$D:$D)*$X202/SUMIFS($X:$X,F:F,F202,$C:$C,$C202,$AG:$AG,$AG202)/SUMIF(符文权重!$A:$A,$C202,符文权重!$D:$D))),"")</f>
        <v>0.0115384615384615</v>
      </c>
      <c r="M202" s="39" t="str" cm="1">
        <f t="array" ref="M202">IFERROR(IF($A202="","",IF(G202="","",_xlfn.XLOOKUP($C202&amp;"_"&amp;$AG202,符文权重!$A:$A&amp;"_"&amp;符文权重!$C:$C,符文权重!$D:$D)*$X202/SUMIFS($X:$X,G:G,G202,$C:$C,$C202,$AG:$AG,$AG202)/SUMIF(符文权重!$A:$A,$C202,符文权重!$D:$D))),"")</f>
        <v/>
      </c>
      <c r="N202" s="39" t="str" cm="1">
        <f t="array" ref="N202">IFERROR(IF($A202="","",IF(H202="","",_xlfn.XLOOKUP($C202&amp;"_"&amp;$AG202,符文权重!$A:$A&amp;"_"&amp;符文权重!$C:$C,符文权重!$D:$D)*$X202/SUMIFS($X:$X,H:H,H202,$C:$C,$C202,$AG:$AG,$AG202)/SUMIF(符文权重!$A:$A,$C202,符文权重!$D:$D))),"")</f>
        <v/>
      </c>
      <c r="O202" s="39" t="str" cm="1">
        <f t="array" ref="O202">IFERROR(IF($A202="","",IF(I202="","",_xlfn.XLOOKUP($C202&amp;"_"&amp;$AG202,符文权重!$A:$A&amp;"_"&amp;符文权重!$C:$C,符文权重!$D:$D)*$X202/SUMIFS($X:$X,I:I,I202,$C:$C,$C202,$AG:$AG,$AG202)/SUMIF(符文权重!$A:$A,$C202,符文权重!$D:$D))),"")</f>
        <v/>
      </c>
      <c r="P202" s="39" t="str" cm="1">
        <f t="array" ref="P202">IFERROR(IF($A202="","",IF(J202="","",_xlfn.XLOOKUP($C202&amp;"_"&amp;$AG202,符文权重!$A:$A&amp;"_"&amp;符文权重!$C:$C,符文权重!$D:$D)*$X202/SUMIFS($X:$X,J:J,J202,$C:$C,$C202,$AG:$AG,$AG202)/SUMIF(符文权重!$A:$A,$C202,符文权重!$D:$D))),"")</f>
        <v/>
      </c>
      <c r="Q202" s="39" cm="1">
        <f t="array" ref="Q202">IFERROR(IF($A202="","",IF(K202="","",_xlfn.XLOOKUP($C202&amp;"_"&amp;$AG202,符文权重!$A:$A&amp;"_"&amp;符文权重!$C:$C,符文权重!$D:$D)*$X202/SUMIFS($X:$X,K:K,K202,$C:$C,$C202,$AG:$AG,$AG202)/SUMIF(符文权重!$A:$A,$C202,符文权重!$D:$D))),"")</f>
        <v>0.009375</v>
      </c>
      <c r="R202" s="26" t="s">
        <v>244</v>
      </c>
      <c r="S202" s="26"/>
      <c r="T202" s="26" t="e">
        <f>IF(B202="","",SUBSTITUTE(SUBSTITUTE("[{global_atk,"&amp;#REF!*C202&amp;"}]",21,20),9,8))</f>
        <v>#REF!</v>
      </c>
      <c r="U202" s="40" t="str">
        <f t="shared" si="101"/>
        <v>[5503015]</v>
      </c>
      <c r="V202" s="26"/>
      <c r="W202" s="25"/>
      <c r="X202" s="32">
        <v>100</v>
      </c>
      <c r="Y202" s="25"/>
      <c r="Z202" s="32" t="s">
        <v>176</v>
      </c>
      <c r="AA202" s="32" t="str">
        <f t="shared" si="82"/>
        <v>队长技能冷却缩短30%</v>
      </c>
      <c r="AB202" s="32"/>
      <c r="AC202" s="32" t="s">
        <v>166</v>
      </c>
      <c r="AD202" s="32">
        <f t="shared" si="105"/>
        <v>1197</v>
      </c>
      <c r="AE202" s="38" t="str">
        <f t="shared" si="78"/>
        <v>5503011</v>
      </c>
      <c r="AF202" s="32" t="str">
        <f t="shared" si="79"/>
        <v>[30]</v>
      </c>
      <c r="AG202" s="26">
        <v>4</v>
      </c>
      <c r="AH202" s="26"/>
      <c r="AI202" s="26">
        <v>0</v>
      </c>
      <c r="AJ202" s="25">
        <v>1</v>
      </c>
      <c r="AK202" s="38">
        <f t="shared" si="103"/>
        <v>5503015</v>
      </c>
      <c r="AL202" s="41" t="str">
        <f t="shared" si="104"/>
        <v>队长技能冷却缩短&lt;color=#54b76b&gt;%s%&lt;/color&gt;</v>
      </c>
      <c r="AM202" s="26">
        <v>30</v>
      </c>
      <c r="AN202" s="26">
        <v>3</v>
      </c>
      <c r="AO202" s="26" t="s">
        <v>31</v>
      </c>
      <c r="AP202" s="20">
        <f t="shared" si="106"/>
        <v>197</v>
      </c>
    </row>
    <row r="203" s="20" customFormat="1" customHeight="1" spans="1:42">
      <c r="A203" s="38">
        <v>5503016</v>
      </c>
      <c r="B203" s="38" t="str">
        <f t="shared" si="75"/>
        <v>5503011</v>
      </c>
      <c r="C203" s="32">
        <f t="shared" si="76"/>
        <v>6</v>
      </c>
      <c r="D203" s="32"/>
      <c r="E203" s="26" t="s">
        <v>337</v>
      </c>
      <c r="F203" s="26">
        <f t="shared" si="102"/>
        <v>1</v>
      </c>
      <c r="G203" s="26" t="str">
        <f>IFERROR(IF(--MID($E203,2*COUNTIF($F203:F203,"&gt;"&amp;0)+2,1)=G$1,G$1,""),"")</f>
        <v/>
      </c>
      <c r="H203" s="26" t="str">
        <f>IFERROR(IF(--MID($E203,2*COUNTIF($F203:G203,"&gt;"&amp;0)+2,1)=H$1,H$1,""),"")</f>
        <v/>
      </c>
      <c r="I203" s="26" t="str">
        <f>IFERROR(IF(--MID($E203,2*COUNTIF($F203:H203,"&gt;"&amp;0)+2,1)=I$1,I$1,""),"")</f>
        <v/>
      </c>
      <c r="J203" s="26" t="str">
        <f>IFERROR(IF(--MID($E203,2*COUNTIF($F203:I203,"&gt;"&amp;0)+2,1)=J$1,J$1,""),"")</f>
        <v/>
      </c>
      <c r="K203" s="26">
        <f>IFERROR(IF(--MID($E203,2*COUNTIF($F203:J203,"&gt;"&amp;0)+2,1)=K$1,K$1,""),"")</f>
        <v>6</v>
      </c>
      <c r="L203" s="39" cm="1">
        <f t="array" ref="L203">IFERROR(IF($A203="","",IF(F203="","",_xlfn.XLOOKUP($C203&amp;"_"&amp;$AG203,符文权重!$A:$A&amp;"_"&amp;符文权重!$C:$C,符文权重!$D:$D)*$X203/SUMIFS($X:$X,F:F,F203,$C:$C,$C203,$AG:$AG,$AG203)/SUMIF(符文权重!$A:$A,$C203,符文权重!$D:$D))),"")</f>
        <v>0.0115384615384615</v>
      </c>
      <c r="M203" s="39" t="str" cm="1">
        <f t="array" ref="M203">IFERROR(IF($A203="","",IF(G203="","",_xlfn.XLOOKUP($C203&amp;"_"&amp;$AG203,符文权重!$A:$A&amp;"_"&amp;符文权重!$C:$C,符文权重!$D:$D)*$X203/SUMIFS($X:$X,G:G,G203,$C:$C,$C203,$AG:$AG,$AG203)/SUMIF(符文权重!$A:$A,$C203,符文权重!$D:$D))),"")</f>
        <v/>
      </c>
      <c r="N203" s="39" t="str" cm="1">
        <f t="array" ref="N203">IFERROR(IF($A203="","",IF(H203="","",_xlfn.XLOOKUP($C203&amp;"_"&amp;$AG203,符文权重!$A:$A&amp;"_"&amp;符文权重!$C:$C,符文权重!$D:$D)*$X203/SUMIFS($X:$X,H:H,H203,$C:$C,$C203,$AG:$AG,$AG203)/SUMIF(符文权重!$A:$A,$C203,符文权重!$D:$D))),"")</f>
        <v/>
      </c>
      <c r="O203" s="39" t="str" cm="1">
        <f t="array" ref="O203">IFERROR(IF($A203="","",IF(I203="","",_xlfn.XLOOKUP($C203&amp;"_"&amp;$AG203,符文权重!$A:$A&amp;"_"&amp;符文权重!$C:$C,符文权重!$D:$D)*$X203/SUMIFS($X:$X,I:I,I203,$C:$C,$C203,$AG:$AG,$AG203)/SUMIF(符文权重!$A:$A,$C203,符文权重!$D:$D))),"")</f>
        <v/>
      </c>
      <c r="P203" s="39" t="str" cm="1">
        <f t="array" ref="P203">IFERROR(IF($A203="","",IF(J203="","",_xlfn.XLOOKUP($C203&amp;"_"&amp;$AG203,符文权重!$A:$A&amp;"_"&amp;符文权重!$C:$C,符文权重!$D:$D)*$X203/SUMIFS($X:$X,J:J,J203,$C:$C,$C203,$AG:$AG,$AG203)/SUMIF(符文权重!$A:$A,$C203,符文权重!$D:$D))),"")</f>
        <v/>
      </c>
      <c r="Q203" s="39" cm="1">
        <f t="array" ref="Q203">IFERROR(IF($A203="","",IF(K203="","",_xlfn.XLOOKUP($C203&amp;"_"&amp;$AG203,符文权重!$A:$A&amp;"_"&amp;符文权重!$C:$C,符文权重!$D:$D)*$X203/SUMIFS($X:$X,K:K,K203,$C:$C,$C203,$AG:$AG,$AG203)/SUMIF(符文权重!$A:$A,$C203,符文权重!$D:$D))),"")</f>
        <v>0.009375</v>
      </c>
      <c r="R203" s="26" t="s">
        <v>244</v>
      </c>
      <c r="S203" s="26"/>
      <c r="T203" s="26" t="e">
        <f>IF(B203="","",SUBSTITUTE(SUBSTITUTE("[{global_atk,"&amp;#REF!*C203&amp;"}]",21,20),9,8))</f>
        <v>#REF!</v>
      </c>
      <c r="U203" s="40" t="str">
        <f t="shared" si="101"/>
        <v>[5503016]</v>
      </c>
      <c r="V203" s="26"/>
      <c r="W203" s="25"/>
      <c r="X203" s="32">
        <v>100</v>
      </c>
      <c r="Y203" s="25"/>
      <c r="Z203" s="32" t="s">
        <v>178</v>
      </c>
      <c r="AA203" s="32" t="str">
        <f t="shared" si="82"/>
        <v>队长技能冷却缩短35%</v>
      </c>
      <c r="AB203" s="32"/>
      <c r="AC203" s="32" t="s">
        <v>166</v>
      </c>
      <c r="AD203" s="32">
        <f t="shared" si="105"/>
        <v>1198</v>
      </c>
      <c r="AE203" s="38" t="str">
        <f t="shared" si="78"/>
        <v>5503011</v>
      </c>
      <c r="AF203" s="32" t="str">
        <f t="shared" si="79"/>
        <v>[35]</v>
      </c>
      <c r="AG203" s="26">
        <v>4</v>
      </c>
      <c r="AH203" s="26"/>
      <c r="AI203" s="26">
        <v>0</v>
      </c>
      <c r="AJ203" s="25">
        <v>1</v>
      </c>
      <c r="AK203" s="38">
        <f t="shared" si="103"/>
        <v>5503016</v>
      </c>
      <c r="AL203" s="41" t="str">
        <f t="shared" si="104"/>
        <v>队长技能冷却缩短&lt;color=#54b76b&gt;%s%&lt;/color&gt;</v>
      </c>
      <c r="AM203" s="26">
        <v>35</v>
      </c>
      <c r="AN203" s="26">
        <v>3</v>
      </c>
      <c r="AO203" s="26" t="s">
        <v>31</v>
      </c>
      <c r="AP203" s="20">
        <f t="shared" si="106"/>
        <v>198</v>
      </c>
    </row>
    <row r="204" s="20" customFormat="1" customHeight="1" spans="1:42">
      <c r="A204" s="38">
        <v>5503017</v>
      </c>
      <c r="B204" s="38" t="str">
        <f t="shared" si="75"/>
        <v>5503011</v>
      </c>
      <c r="C204" s="32">
        <f t="shared" si="76"/>
        <v>7</v>
      </c>
      <c r="D204" s="32"/>
      <c r="E204" s="26" t="s">
        <v>337</v>
      </c>
      <c r="F204" s="26">
        <f t="shared" si="102"/>
        <v>1</v>
      </c>
      <c r="G204" s="26" t="str">
        <f>IFERROR(IF(--MID($E204,2*COUNTIF($F204:F204,"&gt;"&amp;0)+2,1)=G$1,G$1,""),"")</f>
        <v/>
      </c>
      <c r="H204" s="26" t="str">
        <f>IFERROR(IF(--MID($E204,2*COUNTIF($F204:G204,"&gt;"&amp;0)+2,1)=H$1,H$1,""),"")</f>
        <v/>
      </c>
      <c r="I204" s="26" t="str">
        <f>IFERROR(IF(--MID($E204,2*COUNTIF($F204:H204,"&gt;"&amp;0)+2,1)=I$1,I$1,""),"")</f>
        <v/>
      </c>
      <c r="J204" s="26" t="str">
        <f>IFERROR(IF(--MID($E204,2*COUNTIF($F204:I204,"&gt;"&amp;0)+2,1)=J$1,J$1,""),"")</f>
        <v/>
      </c>
      <c r="K204" s="26">
        <f>IFERROR(IF(--MID($E204,2*COUNTIF($F204:J204,"&gt;"&amp;0)+2,1)=K$1,K$1,""),"")</f>
        <v>6</v>
      </c>
      <c r="L204" s="39" cm="1">
        <f t="array" ref="L204">IFERROR(IF($A204="","",IF(F204="","",_xlfn.XLOOKUP($C204&amp;"_"&amp;$AG204,符文权重!$A:$A&amp;"_"&amp;符文权重!$C:$C,符文权重!$D:$D)*$X204/SUMIFS($X:$X,F:F,F204,$C:$C,$C204,$AG:$AG,$AG204)/SUMIF(符文权重!$A:$A,$C204,符文权重!$D:$D))),"")</f>
        <v>0.0115384615384615</v>
      </c>
      <c r="M204" s="39" t="str" cm="1">
        <f t="array" ref="M204">IFERROR(IF($A204="","",IF(G204="","",_xlfn.XLOOKUP($C204&amp;"_"&amp;$AG204,符文权重!$A:$A&amp;"_"&amp;符文权重!$C:$C,符文权重!$D:$D)*$X204/SUMIFS($X:$X,G:G,G204,$C:$C,$C204,$AG:$AG,$AG204)/SUMIF(符文权重!$A:$A,$C204,符文权重!$D:$D))),"")</f>
        <v/>
      </c>
      <c r="N204" s="39" t="str" cm="1">
        <f t="array" ref="N204">IFERROR(IF($A204="","",IF(H204="","",_xlfn.XLOOKUP($C204&amp;"_"&amp;$AG204,符文权重!$A:$A&amp;"_"&amp;符文权重!$C:$C,符文权重!$D:$D)*$X204/SUMIFS($X:$X,H:H,H204,$C:$C,$C204,$AG:$AG,$AG204)/SUMIF(符文权重!$A:$A,$C204,符文权重!$D:$D))),"")</f>
        <v/>
      </c>
      <c r="O204" s="39" t="str" cm="1">
        <f t="array" ref="O204">IFERROR(IF($A204="","",IF(I204="","",_xlfn.XLOOKUP($C204&amp;"_"&amp;$AG204,符文权重!$A:$A&amp;"_"&amp;符文权重!$C:$C,符文权重!$D:$D)*$X204/SUMIFS($X:$X,I:I,I204,$C:$C,$C204,$AG:$AG,$AG204)/SUMIF(符文权重!$A:$A,$C204,符文权重!$D:$D))),"")</f>
        <v/>
      </c>
      <c r="P204" s="39" t="str" cm="1">
        <f t="array" ref="P204">IFERROR(IF($A204="","",IF(J204="","",_xlfn.XLOOKUP($C204&amp;"_"&amp;$AG204,符文权重!$A:$A&amp;"_"&amp;符文权重!$C:$C,符文权重!$D:$D)*$X204/SUMIFS($X:$X,J:J,J204,$C:$C,$C204,$AG:$AG,$AG204)/SUMIF(符文权重!$A:$A,$C204,符文权重!$D:$D))),"")</f>
        <v/>
      </c>
      <c r="Q204" s="39" cm="1">
        <f t="array" ref="Q204">IFERROR(IF($A204="","",IF(K204="","",_xlfn.XLOOKUP($C204&amp;"_"&amp;$AG204,符文权重!$A:$A&amp;"_"&amp;符文权重!$C:$C,符文权重!$D:$D)*$X204/SUMIFS($X:$X,K:K,K204,$C:$C,$C204,$AG:$AG,$AG204)/SUMIF(符文权重!$A:$A,$C204,符文权重!$D:$D))),"")</f>
        <v>0.009375</v>
      </c>
      <c r="R204" s="26" t="s">
        <v>244</v>
      </c>
      <c r="S204" s="26"/>
      <c r="T204" s="26" t="e">
        <f>IF(B204="","",SUBSTITUTE(SUBSTITUTE("[{global_atk,"&amp;#REF!*C204&amp;"}]",21,20),9,8))</f>
        <v>#REF!</v>
      </c>
      <c r="U204" s="40" t="str">
        <f t="shared" si="101"/>
        <v>[5503017]</v>
      </c>
      <c r="V204" s="26"/>
      <c r="W204" s="25"/>
      <c r="X204" s="32">
        <v>100</v>
      </c>
      <c r="Y204" s="25"/>
      <c r="Z204" s="32" t="s">
        <v>180</v>
      </c>
      <c r="AA204" s="32" t="str">
        <f t="shared" si="82"/>
        <v>队长技能冷却缩短40%</v>
      </c>
      <c r="AB204" s="32"/>
      <c r="AC204" s="32" t="s">
        <v>166</v>
      </c>
      <c r="AD204" s="32">
        <f t="shared" si="105"/>
        <v>1199</v>
      </c>
      <c r="AE204" s="38" t="str">
        <f t="shared" si="78"/>
        <v>5503011</v>
      </c>
      <c r="AF204" s="32" t="str">
        <f t="shared" si="79"/>
        <v>[40]</v>
      </c>
      <c r="AG204" s="26">
        <v>4</v>
      </c>
      <c r="AH204" s="26"/>
      <c r="AI204" s="26">
        <v>0</v>
      </c>
      <c r="AJ204" s="25">
        <v>1</v>
      </c>
      <c r="AK204" s="38">
        <f t="shared" si="103"/>
        <v>5503017</v>
      </c>
      <c r="AL204" s="41" t="str">
        <f t="shared" si="104"/>
        <v>队长技能冷却缩短&lt;color=#54b76b&gt;%s%&lt;/color&gt;</v>
      </c>
      <c r="AM204" s="26">
        <v>40</v>
      </c>
      <c r="AN204" s="26">
        <v>3</v>
      </c>
      <c r="AO204" s="26" t="s">
        <v>31</v>
      </c>
      <c r="AP204" s="20">
        <f t="shared" si="106"/>
        <v>199</v>
      </c>
    </row>
    <row r="205" s="20" customFormat="1" customHeight="1" spans="1:42">
      <c r="A205" s="38" t="s">
        <v>167</v>
      </c>
      <c r="B205" s="38" t="str">
        <f t="shared" si="75"/>
        <v/>
      </c>
      <c r="C205" s="32" t="str">
        <f t="shared" si="76"/>
        <v/>
      </c>
      <c r="D205" s="32"/>
      <c r="E205" s="26"/>
      <c r="F205" s="26" t="str">
        <f t="shared" si="102"/>
        <v/>
      </c>
      <c r="G205" s="26" t="str">
        <f>IFERROR(IF(--MID($E205,2*COUNTIF($F205:F205,"&gt;"&amp;0)+2,1)=G$1,G$1,""),"")</f>
        <v/>
      </c>
      <c r="H205" s="26" t="str">
        <f>IFERROR(IF(--MID($E205,2*COUNTIF($F205:G205,"&gt;"&amp;0)+2,1)=H$1,H$1,""),"")</f>
        <v/>
      </c>
      <c r="I205" s="26" t="str">
        <f>IFERROR(IF(--MID($E205,2*COUNTIF($F205:H205,"&gt;"&amp;0)+2,1)=I$1,I$1,""),"")</f>
        <v/>
      </c>
      <c r="J205" s="26" t="str">
        <f>IFERROR(IF(--MID($E205,2*COUNTIF($F205:I205,"&gt;"&amp;0)+2,1)=J$1,J$1,""),"")</f>
        <v/>
      </c>
      <c r="K205" s="26" t="str">
        <f>IFERROR(IF(--MID($E205,2*COUNTIF($F205:J205,"&gt;"&amp;0)+2,1)=K$1,K$1,""),"")</f>
        <v/>
      </c>
      <c r="L205" s="39" t="str" cm="1">
        <f t="array" ref="L205">IFERROR(IF($A205="","",IF(F205="","",_xlfn.XLOOKUP($C205&amp;"_"&amp;$AG205,符文权重!$A:$A&amp;"_"&amp;符文权重!$C:$C,符文权重!$D:$D)*$X205/SUMIFS($X:$X,F:F,F205,$C:$C,$C205,$AG:$AG,$AG205)/SUMIF(符文权重!$A:$A,$C205,符文权重!$D:$D))),"")</f>
        <v/>
      </c>
      <c r="M205" s="39" t="str" cm="1">
        <f t="array" ref="M205">IFERROR(IF($A205="","",IF(G205="","",_xlfn.XLOOKUP($C205&amp;"_"&amp;$AG205,符文权重!$A:$A&amp;"_"&amp;符文权重!$C:$C,符文权重!$D:$D)*$X205/SUMIFS($X:$X,G:G,G205,$C:$C,$C205,$AG:$AG,$AG205)/SUMIF(符文权重!$A:$A,$C205,符文权重!$D:$D))),"")</f>
        <v/>
      </c>
      <c r="N205" s="39" t="str" cm="1">
        <f t="array" ref="N205">IFERROR(IF($A205="","",IF(H205="","",_xlfn.XLOOKUP($C205&amp;"_"&amp;$AG205,符文权重!$A:$A&amp;"_"&amp;符文权重!$C:$C,符文权重!$D:$D)*$X205/SUMIFS($X:$X,H:H,H205,$C:$C,$C205,$AG:$AG,$AG205)/SUMIF(符文权重!$A:$A,$C205,符文权重!$D:$D))),"")</f>
        <v/>
      </c>
      <c r="O205" s="39" t="str" cm="1">
        <f t="array" ref="O205">IFERROR(IF($A205="","",IF(I205="","",_xlfn.XLOOKUP($C205&amp;"_"&amp;$AG205,符文权重!$A:$A&amp;"_"&amp;符文权重!$C:$C,符文权重!$D:$D)*$X205/SUMIFS($X:$X,I:I,I205,$C:$C,$C205,$AG:$AG,$AG205)/SUMIF(符文权重!$A:$A,$C205,符文权重!$D:$D))),"")</f>
        <v/>
      </c>
      <c r="P205" s="39" t="str" cm="1">
        <f t="array" ref="P205">IFERROR(IF($A205="","",IF(J205="","",_xlfn.XLOOKUP($C205&amp;"_"&amp;$AG205,符文权重!$A:$A&amp;"_"&amp;符文权重!$C:$C,符文权重!$D:$D)*$X205/SUMIFS($X:$X,J:J,J205,$C:$C,$C205,$AG:$AG,$AG205)/SUMIF(符文权重!$A:$A,$C205,符文权重!$D:$D))),"")</f>
        <v/>
      </c>
      <c r="Q205" s="39" t="str" cm="1">
        <f t="array" ref="Q205">IFERROR(IF($A205="","",IF(K205="","",_xlfn.XLOOKUP($C205&amp;"_"&amp;$AG205,符文权重!$A:$A&amp;"_"&amp;符文权重!$C:$C,符文权重!$D:$D)*$X205/SUMIFS($X:$X,K:K,K205,$C:$C,$C205,$AG:$AG,$AG205)/SUMIF(符文权重!$A:$A,$C205,符文权重!$D:$D))),"")</f>
        <v/>
      </c>
      <c r="R205" s="26"/>
      <c r="S205" s="26"/>
      <c r="T205" s="26"/>
      <c r="V205" s="31"/>
      <c r="W205" s="25"/>
      <c r="X205" s="32"/>
      <c r="Y205" s="25"/>
      <c r="Z205" s="32" t="s">
        <v>167</v>
      </c>
      <c r="AA205" s="32" t="str">
        <f t="shared" si="82"/>
        <v/>
      </c>
      <c r="AB205" s="32"/>
      <c r="AC205" s="32" t="s">
        <v>166</v>
      </c>
      <c r="AD205" s="32">
        <f t="shared" si="105"/>
        <v>1200</v>
      </c>
      <c r="AE205" s="38" t="str">
        <f t="shared" si="78"/>
        <v/>
      </c>
      <c r="AF205" s="32" t="str">
        <f t="shared" si="79"/>
        <v/>
      </c>
      <c r="AG205" s="26"/>
      <c r="AH205" s="26"/>
      <c r="AI205" s="26"/>
      <c r="AJ205" s="25" t="s">
        <v>167</v>
      </c>
      <c r="AK205" s="24"/>
      <c r="AL205" s="43"/>
      <c r="AM205" s="26"/>
      <c r="AN205" s="26"/>
      <c r="AO205" s="26"/>
      <c r="AP205" s="20">
        <f t="shared" si="106"/>
        <v>200</v>
      </c>
    </row>
    <row r="206" s="22" customFormat="1" customHeight="1" spans="1:42">
      <c r="A206" s="44">
        <v>5503021</v>
      </c>
      <c r="B206" s="44" t="str">
        <f t="shared" ref="B206:B268" si="107">IF(ISBLANK(AK206),"",LEFT(AK206,6)&amp;1)</f>
        <v>5503021</v>
      </c>
      <c r="C206" s="45">
        <f t="shared" ref="C206:C268" si="108">IF(ISBLANK(AK206),"",VALUE(RIGHT(A206,1)))</f>
        <v>1</v>
      </c>
      <c r="D206" s="45"/>
      <c r="E206" s="46" t="s">
        <v>329</v>
      </c>
      <c r="F206" s="26" t="str">
        <f t="shared" si="102"/>
        <v/>
      </c>
      <c r="G206" s="26">
        <f>IFERROR(IF(--MID($E206,2*COUNTIF($F206:F206,"&gt;"&amp;0)+2,1)=G$1,G$1,""),"")</f>
        <v>2</v>
      </c>
      <c r="H206" s="26" t="str">
        <f>IFERROR(IF(--MID($E206,2*COUNTIF($F206:G206,"&gt;"&amp;0)+2,1)=H$1,H$1,""),"")</f>
        <v/>
      </c>
      <c r="I206" s="26" t="str">
        <f>IFERROR(IF(--MID($E206,2*COUNTIF($F206:H206,"&gt;"&amp;0)+2,1)=I$1,I$1,""),"")</f>
        <v/>
      </c>
      <c r="J206" s="26">
        <f>IFERROR(IF(--MID($E206,2*COUNTIF($F206:I206,"&gt;"&amp;0)+2,1)=J$1,J$1,""),"")</f>
        <v>5</v>
      </c>
      <c r="K206" s="26" t="str">
        <f>IFERROR(IF(--MID($E206,2*COUNTIF($F206:J206,"&gt;"&amp;0)+2,1)=K$1,K$1,""),"")</f>
        <v/>
      </c>
      <c r="L206" s="39" t="str" cm="1">
        <f t="array" ref="L206">IFERROR(IF($A206="","",IF(F206="","",_xlfn.XLOOKUP($C206&amp;"_"&amp;$AG206,符文权重!$A:$A&amp;"_"&amp;符文权重!$C:$C,符文权重!$D:$D)*$X206/SUMIFS($X:$X,F:F,F206,$C:$C,$C206,$AG:$AG,$AG206)/SUMIF(符文权重!$A:$A,$C206,符文权重!$D:$D))),"")</f>
        <v/>
      </c>
      <c r="M206" s="39" t="str" cm="1">
        <f t="array" ref="M206">IFERROR(IF($A206="","",IF(G206="","",_xlfn.XLOOKUP($C206&amp;"_"&amp;$AG206,符文权重!$A:$A&amp;"_"&amp;符文权重!$C:$C,符文权重!$D:$D)*$X206/SUMIFS($X:$X,G:G,G206,$C:$C,$C206,$AG:$AG,$AG206)/SUMIF(符文权重!$A:$A,$C206,符文权重!$D:$D))),"")</f>
        <v/>
      </c>
      <c r="N206" s="39" t="str" cm="1">
        <f t="array" ref="N206">IFERROR(IF($A206="","",IF(H206="","",_xlfn.XLOOKUP($C206&amp;"_"&amp;$AG206,符文权重!$A:$A&amp;"_"&amp;符文权重!$C:$C,符文权重!$D:$D)*$X206/SUMIFS($X:$X,H:H,H206,$C:$C,$C206,$AG:$AG,$AG206)/SUMIF(符文权重!$A:$A,$C206,符文权重!$D:$D))),"")</f>
        <v/>
      </c>
      <c r="O206" s="39" t="str" cm="1">
        <f t="array" ref="O206">IFERROR(IF($A206="","",IF(I206="","",_xlfn.XLOOKUP($C206&amp;"_"&amp;$AG206,符文权重!$A:$A&amp;"_"&amp;符文权重!$C:$C,符文权重!$D:$D)*$X206/SUMIFS($X:$X,I:I,I206,$C:$C,$C206,$AG:$AG,$AG206)/SUMIF(符文权重!$A:$A,$C206,符文权重!$D:$D))),"")</f>
        <v/>
      </c>
      <c r="P206" s="39" t="str" cm="1">
        <f t="array" ref="P206">IFERROR(IF($A206="","",IF(J206="","",_xlfn.XLOOKUP($C206&amp;"_"&amp;$AG206,符文权重!$A:$A&amp;"_"&amp;符文权重!$C:$C,符文权重!$D:$D)*$X206/SUMIFS($X:$X,J:J,J206,$C:$C,$C206,$AG:$AG,$AG206)/SUMIF(符文权重!$A:$A,$C206,符文权重!$D:$D))),"")</f>
        <v/>
      </c>
      <c r="Q206" s="39" t="str" cm="1">
        <f t="array" ref="Q206">IFERROR(IF($A206="","",IF(K206="","",_xlfn.XLOOKUP($C206&amp;"_"&amp;$AG206,符文权重!$A:$A&amp;"_"&amp;符文权重!$C:$C,符文权重!$D:$D)*$X206/SUMIFS($X:$X,K:K,K206,$C:$C,$C206,$AG:$AG,$AG206)/SUMIF(符文权重!$A:$A,$C206,符文权重!$D:$D))),"")</f>
        <v/>
      </c>
      <c r="R206" s="46" t="s">
        <v>163</v>
      </c>
      <c r="S206" s="46"/>
      <c r="T206" s="46" t="e">
        <f>IF(B206="","",SUBSTITUTE(SUBSTITUTE("[{global_atk,"&amp;#REF!*C206&amp;"}]",21,20),9,8))</f>
        <v>#REF!</v>
      </c>
      <c r="U206" s="47" t="str">
        <f t="shared" ref="U206:U212" si="109">"["&amp;A206&amp;"]"</f>
        <v>[5503021]</v>
      </c>
      <c r="V206" s="46" t="s">
        <v>339</v>
      </c>
      <c r="W206" s="23"/>
      <c r="X206" s="32">
        <v>33</v>
      </c>
      <c r="Y206" s="23"/>
      <c r="Z206" s="45" t="s">
        <v>165</v>
      </c>
      <c r="AA206" s="32" t="str">
        <f t="shared" si="82"/>
        <v>暴击伤害+20%</v>
      </c>
      <c r="AB206" s="32"/>
      <c r="AC206" s="32" t="s">
        <v>166</v>
      </c>
      <c r="AD206" s="32">
        <f t="shared" si="105"/>
        <v>1201</v>
      </c>
      <c r="AE206" s="44" t="str">
        <f t="shared" ref="AE206:AE268" si="110">IF(ISBLANK(AK206),"",B206)</f>
        <v>5503021</v>
      </c>
      <c r="AF206" s="45" t="str">
        <f t="shared" ref="AF206:AF268" si="111">IF(ISBLANK(AM206),"","["&amp;AM206&amp;"]")</f>
        <v>[20]</v>
      </c>
      <c r="AG206" s="26">
        <v>100</v>
      </c>
      <c r="AH206" s="46"/>
      <c r="AI206" s="46">
        <v>1</v>
      </c>
      <c r="AJ206" s="25">
        <v>1</v>
      </c>
      <c r="AK206" s="48">
        <v>5503021</v>
      </c>
      <c r="AL206" s="49" t="s">
        <v>340</v>
      </c>
      <c r="AM206" s="46">
        <v>20</v>
      </c>
      <c r="AN206" s="26"/>
      <c r="AO206" s="26" t="s">
        <v>25</v>
      </c>
      <c r="AP206" s="20">
        <f t="shared" si="106"/>
        <v>201</v>
      </c>
    </row>
    <row r="207" s="22" customFormat="1" customHeight="1" spans="1:42">
      <c r="A207" s="44">
        <v>5503022</v>
      </c>
      <c r="B207" s="44" t="str">
        <f t="shared" si="107"/>
        <v>5503021</v>
      </c>
      <c r="C207" s="45">
        <f t="shared" si="108"/>
        <v>2</v>
      </c>
      <c r="D207" s="45"/>
      <c r="E207" s="46" t="s">
        <v>329</v>
      </c>
      <c r="F207" s="26" t="str">
        <f t="shared" si="102"/>
        <v/>
      </c>
      <c r="G207" s="26">
        <f>IFERROR(IF(--MID($E207,2*COUNTIF($F207:F207,"&gt;"&amp;0)+2,1)=G$1,G$1,""),"")</f>
        <v>2</v>
      </c>
      <c r="H207" s="26" t="str">
        <f>IFERROR(IF(--MID($E207,2*COUNTIF($F207:G207,"&gt;"&amp;0)+2,1)=H$1,H$1,""),"")</f>
        <v/>
      </c>
      <c r="I207" s="26" t="str">
        <f>IFERROR(IF(--MID($E207,2*COUNTIF($F207:H207,"&gt;"&amp;0)+2,1)=I$1,I$1,""),"")</f>
        <v/>
      </c>
      <c r="J207" s="26">
        <f>IFERROR(IF(--MID($E207,2*COUNTIF($F207:I207,"&gt;"&amp;0)+2,1)=J$1,J$1,""),"")</f>
        <v>5</v>
      </c>
      <c r="K207" s="26" t="str">
        <f>IFERROR(IF(--MID($E207,2*COUNTIF($F207:J207,"&gt;"&amp;0)+2,1)=K$1,K$1,""),"")</f>
        <v/>
      </c>
      <c r="L207" s="39" t="str" cm="1">
        <f t="array" ref="L207">IFERROR(IF($A207="","",IF(F207="","",_xlfn.XLOOKUP($C207&amp;"_"&amp;$AG207,符文权重!$A:$A&amp;"_"&amp;符文权重!$C:$C,符文权重!$D:$D)*$X207/SUMIFS($X:$X,F:F,F207,$C:$C,$C207,$AG:$AG,$AG207)/SUMIF(符文权重!$A:$A,$C207,符文权重!$D:$D))),"")</f>
        <v/>
      </c>
      <c r="M207" s="39" t="str" cm="1">
        <f t="array" ref="M207">IFERROR(IF($A207="","",IF(G207="","",_xlfn.XLOOKUP($C207&amp;"_"&amp;$AG207,符文权重!$A:$A&amp;"_"&amp;符文权重!$C:$C,符文权重!$D:$D)*$X207/SUMIFS($X:$X,G:G,G207,$C:$C,$C207,$AG:$AG,$AG207)/SUMIF(符文权重!$A:$A,$C207,符文权重!$D:$D))),"")</f>
        <v/>
      </c>
      <c r="N207" s="39" t="str" cm="1">
        <f t="array" ref="N207">IFERROR(IF($A207="","",IF(H207="","",_xlfn.XLOOKUP($C207&amp;"_"&amp;$AG207,符文权重!$A:$A&amp;"_"&amp;符文权重!$C:$C,符文权重!$D:$D)*$X207/SUMIFS($X:$X,H:H,H207,$C:$C,$C207,$AG:$AG,$AG207)/SUMIF(符文权重!$A:$A,$C207,符文权重!$D:$D))),"")</f>
        <v/>
      </c>
      <c r="O207" s="39" t="str" cm="1">
        <f t="array" ref="O207">IFERROR(IF($A207="","",IF(I207="","",_xlfn.XLOOKUP($C207&amp;"_"&amp;$AG207,符文权重!$A:$A&amp;"_"&amp;符文权重!$C:$C,符文权重!$D:$D)*$X207/SUMIFS($X:$X,I:I,I207,$C:$C,$C207,$AG:$AG,$AG207)/SUMIF(符文权重!$A:$A,$C207,符文权重!$D:$D))),"")</f>
        <v/>
      </c>
      <c r="P207" s="39" t="str" cm="1">
        <f t="array" ref="P207">IFERROR(IF($A207="","",IF(J207="","",_xlfn.XLOOKUP($C207&amp;"_"&amp;$AG207,符文权重!$A:$A&amp;"_"&amp;符文权重!$C:$C,符文权重!$D:$D)*$X207/SUMIFS($X:$X,J:J,J207,$C:$C,$C207,$AG:$AG,$AG207)/SUMIF(符文权重!$A:$A,$C207,符文权重!$D:$D))),"")</f>
        <v/>
      </c>
      <c r="Q207" s="39" t="str" cm="1">
        <f t="array" ref="Q207">IFERROR(IF($A207="","",IF(K207="","",_xlfn.XLOOKUP($C207&amp;"_"&amp;$AG207,符文权重!$A:$A&amp;"_"&amp;符文权重!$C:$C,符文权重!$D:$D)*$X207/SUMIFS($X:$X,K:K,K207,$C:$C,$C207,$AG:$AG,$AG207)/SUMIF(符文权重!$A:$A,$C207,符文权重!$D:$D))),"")</f>
        <v/>
      </c>
      <c r="R207" s="46" t="s">
        <v>163</v>
      </c>
      <c r="S207" s="46"/>
      <c r="T207" s="46" t="e">
        <f>IF(B207="","",SUBSTITUTE(SUBSTITUTE("[{global_atk,"&amp;#REF!*C207&amp;"}]",21,20),9,8))</f>
        <v>#REF!</v>
      </c>
      <c r="U207" s="47" t="str">
        <f t="shared" si="109"/>
        <v>[5503022]</v>
      </c>
      <c r="V207" s="46" t="s">
        <v>341</v>
      </c>
      <c r="W207" s="23"/>
      <c r="X207" s="32">
        <v>33</v>
      </c>
      <c r="Y207" s="23"/>
      <c r="Z207" s="45" t="s">
        <v>170</v>
      </c>
      <c r="AA207" s="32" t="str">
        <f t="shared" si="82"/>
        <v>暴击伤害+30%</v>
      </c>
      <c r="AB207" s="32"/>
      <c r="AC207" s="32" t="s">
        <v>166</v>
      </c>
      <c r="AD207" s="32">
        <f t="shared" si="105"/>
        <v>1202</v>
      </c>
      <c r="AE207" s="44" t="str">
        <f t="shared" si="110"/>
        <v>5503021</v>
      </c>
      <c r="AF207" s="45" t="str">
        <f t="shared" si="111"/>
        <v>[30]</v>
      </c>
      <c r="AG207" s="26">
        <v>100</v>
      </c>
      <c r="AH207" s="46"/>
      <c r="AI207" s="46">
        <v>1</v>
      </c>
      <c r="AJ207" s="25">
        <v>1</v>
      </c>
      <c r="AK207" s="44">
        <f t="shared" ref="AK207:AK212" si="112">AK206+1</f>
        <v>5503022</v>
      </c>
      <c r="AL207" s="50" t="str">
        <f t="shared" ref="AL207:AL212" si="113">AL206</f>
        <v>暴击伤害&lt;color=#54b76b&gt;+%s%&lt;/color&gt;</v>
      </c>
      <c r="AM207" s="46">
        <v>30</v>
      </c>
      <c r="AN207" s="26"/>
      <c r="AO207" s="26" t="s">
        <v>25</v>
      </c>
      <c r="AP207" s="20">
        <f t="shared" si="106"/>
        <v>202</v>
      </c>
    </row>
    <row r="208" s="20" customFormat="1" customHeight="1" spans="1:42">
      <c r="A208" s="38">
        <v>5503023</v>
      </c>
      <c r="B208" s="38" t="str">
        <f t="shared" si="107"/>
        <v>5503021</v>
      </c>
      <c r="C208" s="32">
        <f t="shared" si="108"/>
        <v>3</v>
      </c>
      <c r="D208" s="32"/>
      <c r="E208" s="26" t="s">
        <v>329</v>
      </c>
      <c r="F208" s="26" t="str">
        <f t="shared" si="102"/>
        <v/>
      </c>
      <c r="G208" s="26">
        <f>IFERROR(IF(--MID($E208,2*COUNTIF($F208:F208,"&gt;"&amp;0)+2,1)=G$1,G$1,""),"")</f>
        <v>2</v>
      </c>
      <c r="H208" s="26" t="str">
        <f>IFERROR(IF(--MID($E208,2*COUNTIF($F208:G208,"&gt;"&amp;0)+2,1)=H$1,H$1,""),"")</f>
        <v/>
      </c>
      <c r="I208" s="26" t="str">
        <f>IFERROR(IF(--MID($E208,2*COUNTIF($F208:H208,"&gt;"&amp;0)+2,1)=I$1,I$1,""),"")</f>
        <v/>
      </c>
      <c r="J208" s="26">
        <f>IFERROR(IF(--MID($E208,2*COUNTIF($F208:I208,"&gt;"&amp;0)+2,1)=J$1,J$1,""),"")</f>
        <v>5</v>
      </c>
      <c r="K208" s="26" t="str">
        <f>IFERROR(IF(--MID($E208,2*COUNTIF($F208:J208,"&gt;"&amp;0)+2,1)=K$1,K$1,""),"")</f>
        <v/>
      </c>
      <c r="L208" s="39" t="str" cm="1">
        <f t="array" ref="L208">IFERROR(IF($A208="","",IF(F208="","",_xlfn.XLOOKUP($C208&amp;"_"&amp;$AG208,符文权重!$A:$A&amp;"_"&amp;符文权重!$C:$C,符文权重!$D:$D)*$X208/SUMIFS($X:$X,F:F,F208,$C:$C,$C208,$AG:$AG,$AG208)/SUMIF(符文权重!$A:$A,$C208,符文权重!$D:$D))),"")</f>
        <v/>
      </c>
      <c r="M208" s="39" cm="1">
        <f t="array" ref="M208">IFERROR(IF($A208="","",IF(G208="","",_xlfn.XLOOKUP($C208&amp;"_"&amp;$AG208,符文权重!$A:$A&amp;"_"&amp;符文权重!$C:$C,符文权重!$D:$D)*$X208/SUMIFS($X:$X,G:G,G208,$C:$C,$C208,$AG:$AG,$AG208)/SUMIF(符文权重!$A:$A,$C208,符文权重!$D:$D))),"")</f>
        <v>0.0113793103448276</v>
      </c>
      <c r="N208" s="39" t="str" cm="1">
        <f t="array" ref="N208">IFERROR(IF($A208="","",IF(H208="","",_xlfn.XLOOKUP($C208&amp;"_"&amp;$AG208,符文权重!$A:$A&amp;"_"&amp;符文权重!$C:$C,符文权重!$D:$D)*$X208/SUMIFS($X:$X,H:H,H208,$C:$C,$C208,$AG:$AG,$AG208)/SUMIF(符文权重!$A:$A,$C208,符文权重!$D:$D))),"")</f>
        <v/>
      </c>
      <c r="O208" s="39" t="str" cm="1">
        <f t="array" ref="O208">IFERROR(IF($A208="","",IF(I208="","",_xlfn.XLOOKUP($C208&amp;"_"&amp;$AG208,符文权重!$A:$A&amp;"_"&amp;符文权重!$C:$C,符文权重!$D:$D)*$X208/SUMIFS($X:$X,I:I,I208,$C:$C,$C208,$AG:$AG,$AG208)/SUMIF(符文权重!$A:$A,$C208,符文权重!$D:$D))),"")</f>
        <v/>
      </c>
      <c r="P208" s="39" cm="1">
        <f t="array" ref="P208">IFERROR(IF($A208="","",IF(J208="","",_xlfn.XLOOKUP($C208&amp;"_"&amp;$AG208,符文权重!$A:$A&amp;"_"&amp;符文权重!$C:$C,符文权重!$D:$D)*$X208/SUMIFS($X:$X,J:J,J208,$C:$C,$C208,$AG:$AG,$AG208)/SUMIF(符文权重!$A:$A,$C208,符文权重!$D:$D))),"")</f>
        <v>0.0113793103448276</v>
      </c>
      <c r="Q208" s="39" t="str" cm="1">
        <f t="array" ref="Q208">IFERROR(IF($A208="","",IF(K208="","",_xlfn.XLOOKUP($C208&amp;"_"&amp;$AG208,符文权重!$A:$A&amp;"_"&amp;符文权重!$C:$C,符文权重!$D:$D)*$X208/SUMIFS($X:$X,K:K,K208,$C:$C,$C208,$AG:$AG,$AG208)/SUMIF(符文权重!$A:$A,$C208,符文权重!$D:$D))),"")</f>
        <v/>
      </c>
      <c r="R208" s="26" t="s">
        <v>163</v>
      </c>
      <c r="S208" s="26"/>
      <c r="T208" s="26" t="e">
        <f>IF(B208="","",SUBSTITUTE(SUBSTITUTE("[{global_atk,"&amp;#REF!*C208&amp;"}]",21,20),9,8))</f>
        <v>#REF!</v>
      </c>
      <c r="U208" s="40" t="str">
        <f t="shared" si="109"/>
        <v>[5503023]</v>
      </c>
      <c r="V208" s="26" t="s">
        <v>342</v>
      </c>
      <c r="W208" s="25"/>
      <c r="X208" s="32">
        <v>33</v>
      </c>
      <c r="Y208" s="25"/>
      <c r="Z208" s="32" t="s">
        <v>172</v>
      </c>
      <c r="AA208" s="32" t="str">
        <f t="shared" si="82"/>
        <v>暴击伤害+40%</v>
      </c>
      <c r="AB208" s="32"/>
      <c r="AC208" s="32" t="s">
        <v>166</v>
      </c>
      <c r="AD208" s="32">
        <f t="shared" si="105"/>
        <v>1203</v>
      </c>
      <c r="AE208" s="38" t="str">
        <f t="shared" si="110"/>
        <v>5503021</v>
      </c>
      <c r="AF208" s="32" t="str">
        <f t="shared" si="111"/>
        <v>[40]</v>
      </c>
      <c r="AG208" s="26">
        <v>3</v>
      </c>
      <c r="AH208" s="26"/>
      <c r="AI208" s="26">
        <v>0</v>
      </c>
      <c r="AJ208" s="25">
        <v>1</v>
      </c>
      <c r="AK208" s="38">
        <f t="shared" si="112"/>
        <v>5503023</v>
      </c>
      <c r="AL208" s="41" t="str">
        <f t="shared" si="113"/>
        <v>暴击伤害&lt;color=#54b76b&gt;+%s%&lt;/color&gt;</v>
      </c>
      <c r="AM208" s="26">
        <v>40</v>
      </c>
      <c r="AN208" s="26">
        <v>3</v>
      </c>
      <c r="AO208" s="26" t="s">
        <v>25</v>
      </c>
      <c r="AP208" s="20">
        <f t="shared" si="106"/>
        <v>203</v>
      </c>
    </row>
    <row r="209" s="20" customFormat="1" customHeight="1" spans="1:42">
      <c r="A209" s="38">
        <v>5503024</v>
      </c>
      <c r="B209" s="38" t="str">
        <f t="shared" si="107"/>
        <v>5503021</v>
      </c>
      <c r="C209" s="32">
        <f t="shared" si="108"/>
        <v>4</v>
      </c>
      <c r="D209" s="32"/>
      <c r="E209" s="26" t="s">
        <v>329</v>
      </c>
      <c r="F209" s="26" t="str">
        <f t="shared" si="102"/>
        <v/>
      </c>
      <c r="G209" s="26">
        <f>IFERROR(IF(--MID($E209,2*COUNTIF($F209:F209,"&gt;"&amp;0)+2,1)=G$1,G$1,""),"")</f>
        <v>2</v>
      </c>
      <c r="H209" s="26" t="str">
        <f>IFERROR(IF(--MID($E209,2*COUNTIF($F209:G209,"&gt;"&amp;0)+2,1)=H$1,H$1,""),"")</f>
        <v/>
      </c>
      <c r="I209" s="26" t="str">
        <f>IFERROR(IF(--MID($E209,2*COUNTIF($F209:H209,"&gt;"&amp;0)+2,1)=I$1,I$1,""),"")</f>
        <v/>
      </c>
      <c r="J209" s="26">
        <f>IFERROR(IF(--MID($E209,2*COUNTIF($F209:I209,"&gt;"&amp;0)+2,1)=J$1,J$1,""),"")</f>
        <v>5</v>
      </c>
      <c r="K209" s="26" t="str">
        <f>IFERROR(IF(--MID($E209,2*COUNTIF($F209:J209,"&gt;"&amp;0)+2,1)=K$1,K$1,""),"")</f>
        <v/>
      </c>
      <c r="L209" s="39" t="str" cm="1">
        <f t="array" ref="L209">IFERROR(IF($A209="","",IF(F209="","",_xlfn.XLOOKUP($C209&amp;"_"&amp;$AG209,符文权重!$A:$A&amp;"_"&amp;符文权重!$C:$C,符文权重!$D:$D)*$X209/SUMIFS($X:$X,F:F,F209,$C:$C,$C209,$AG:$AG,$AG209)/SUMIF(符文权重!$A:$A,$C209,符文权重!$D:$D))),"")</f>
        <v/>
      </c>
      <c r="M209" s="39" cm="1">
        <f t="array" ref="M209">IFERROR(IF($A209="","",IF(G209="","",_xlfn.XLOOKUP($C209&amp;"_"&amp;$AG209,符文权重!$A:$A&amp;"_"&amp;符文权重!$C:$C,符文权重!$D:$D)*$X209/SUMIFS($X:$X,G:G,G209,$C:$C,$C209,$AG:$AG,$AG209)/SUMIF(符文权重!$A:$A,$C209,符文权重!$D:$D))),"")</f>
        <v>0.0130416666666667</v>
      </c>
      <c r="N209" s="39" t="str" cm="1">
        <f t="array" ref="N209">IFERROR(IF($A209="","",IF(H209="","",_xlfn.XLOOKUP($C209&amp;"_"&amp;$AG209,符文权重!$A:$A&amp;"_"&amp;符文权重!$C:$C,符文权重!$D:$D)*$X209/SUMIFS($X:$X,H:H,H209,$C:$C,$C209,$AG:$AG,$AG209)/SUMIF(符文权重!$A:$A,$C209,符文权重!$D:$D))),"")</f>
        <v/>
      </c>
      <c r="O209" s="39" t="str" cm="1">
        <f t="array" ref="O209">IFERROR(IF($A209="","",IF(I209="","",_xlfn.XLOOKUP($C209&amp;"_"&amp;$AG209,符文权重!$A:$A&amp;"_"&amp;符文权重!$C:$C,符文权重!$D:$D)*$X209/SUMIFS($X:$X,I:I,I209,$C:$C,$C209,$AG:$AG,$AG209)/SUMIF(符文权重!$A:$A,$C209,符文权重!$D:$D))),"")</f>
        <v/>
      </c>
      <c r="P209" s="39" cm="1">
        <f t="array" ref="P209">IFERROR(IF($A209="","",IF(J209="","",_xlfn.XLOOKUP($C209&amp;"_"&amp;$AG209,符文权重!$A:$A&amp;"_"&amp;符文权重!$C:$C,符文权重!$D:$D)*$X209/SUMIFS($X:$X,J:J,J209,$C:$C,$C209,$AG:$AG,$AG209)/SUMIF(符文权重!$A:$A,$C209,符文权重!$D:$D))),"")</f>
        <v>0.013883064516129</v>
      </c>
      <c r="Q209" s="39" t="str" cm="1">
        <f t="array" ref="Q209">IFERROR(IF($A209="","",IF(K209="","",_xlfn.XLOOKUP($C209&amp;"_"&amp;$AG209,符文权重!$A:$A&amp;"_"&amp;符文权重!$C:$C,符文权重!$D:$D)*$X209/SUMIFS($X:$X,K:K,K209,$C:$C,$C209,$AG:$AG,$AG209)/SUMIF(符文权重!$A:$A,$C209,符文权重!$D:$D))),"")</f>
        <v/>
      </c>
      <c r="R209" s="26" t="s">
        <v>163</v>
      </c>
      <c r="S209" s="26"/>
      <c r="T209" s="26" t="e">
        <f>IF(B209="","",SUBSTITUTE(SUBSTITUTE("[{global_atk,"&amp;#REF!*C209&amp;"}]",21,20),9,8))</f>
        <v>#REF!</v>
      </c>
      <c r="U209" s="40" t="str">
        <f t="shared" si="109"/>
        <v>[5503024]</v>
      </c>
      <c r="V209" s="26" t="s">
        <v>343</v>
      </c>
      <c r="W209" s="25"/>
      <c r="X209" s="32">
        <v>11</v>
      </c>
      <c r="Y209" s="25"/>
      <c r="Z209" s="32" t="s">
        <v>174</v>
      </c>
      <c r="AA209" s="32" t="str">
        <f t="shared" si="82"/>
        <v>暴击伤害+50%</v>
      </c>
      <c r="AB209" s="32"/>
      <c r="AC209" s="32" t="s">
        <v>166</v>
      </c>
      <c r="AD209" s="32">
        <f t="shared" si="105"/>
        <v>1204</v>
      </c>
      <c r="AE209" s="38" t="str">
        <f t="shared" si="110"/>
        <v>5503021</v>
      </c>
      <c r="AF209" s="32" t="str">
        <f t="shared" si="111"/>
        <v>[50]</v>
      </c>
      <c r="AG209" s="26">
        <v>3</v>
      </c>
      <c r="AH209" s="26"/>
      <c r="AI209" s="26">
        <v>0</v>
      </c>
      <c r="AJ209" s="25">
        <v>1</v>
      </c>
      <c r="AK209" s="38">
        <f t="shared" si="112"/>
        <v>5503024</v>
      </c>
      <c r="AL209" s="41" t="str">
        <f t="shared" si="113"/>
        <v>暴击伤害&lt;color=#54b76b&gt;+%s%&lt;/color&gt;</v>
      </c>
      <c r="AM209" s="26">
        <v>50</v>
      </c>
      <c r="AN209" s="26">
        <v>3</v>
      </c>
      <c r="AO209" s="26" t="s">
        <v>25</v>
      </c>
      <c r="AP209" s="20">
        <f t="shared" si="106"/>
        <v>204</v>
      </c>
    </row>
    <row r="210" s="20" customFormat="1" customHeight="1" spans="1:42">
      <c r="A210" s="38">
        <v>5503025</v>
      </c>
      <c r="B210" s="38" t="str">
        <f t="shared" si="107"/>
        <v>5503021</v>
      </c>
      <c r="C210" s="32">
        <f t="shared" si="108"/>
        <v>5</v>
      </c>
      <c r="D210" s="32"/>
      <c r="E210" s="26" t="s">
        <v>329</v>
      </c>
      <c r="F210" s="26" t="str">
        <f t="shared" si="102"/>
        <v/>
      </c>
      <c r="G210" s="26">
        <f>IFERROR(IF(--MID($E210,2*COUNTIF($F210:F210,"&gt;"&amp;0)+2,1)=G$1,G$1,""),"")</f>
        <v>2</v>
      </c>
      <c r="H210" s="26" t="str">
        <f>IFERROR(IF(--MID($E210,2*COUNTIF($F210:G210,"&gt;"&amp;0)+2,1)=H$1,H$1,""),"")</f>
        <v/>
      </c>
      <c r="I210" s="26" t="str">
        <f>IFERROR(IF(--MID($E210,2*COUNTIF($F210:H210,"&gt;"&amp;0)+2,1)=I$1,I$1,""),"")</f>
        <v/>
      </c>
      <c r="J210" s="26">
        <f>IFERROR(IF(--MID($E210,2*COUNTIF($F210:I210,"&gt;"&amp;0)+2,1)=J$1,J$1,""),"")</f>
        <v>5</v>
      </c>
      <c r="K210" s="26" t="str">
        <f>IFERROR(IF(--MID($E210,2*COUNTIF($F210:J210,"&gt;"&amp;0)+2,1)=K$1,K$1,""),"")</f>
        <v/>
      </c>
      <c r="L210" s="39" t="str" cm="1">
        <f t="array" ref="L210">IFERROR(IF($A210="","",IF(F210="","",_xlfn.XLOOKUP($C210&amp;"_"&amp;$AG210,符文权重!$A:$A&amp;"_"&amp;符文权重!$C:$C,符文权重!$D:$D)*$X210/SUMIFS($X:$X,F:F,F210,$C:$C,$C210,$AG:$AG,$AG210)/SUMIF(符文权重!$A:$A,$C210,符文权重!$D:$D))),"")</f>
        <v/>
      </c>
      <c r="M210" s="39" cm="1">
        <f t="array" ref="M210">IFERROR(IF($A210="","",IF(G210="","",_xlfn.XLOOKUP($C210&amp;"_"&amp;$AG210,符文权重!$A:$A&amp;"_"&amp;符文权重!$C:$C,符文权重!$D:$D)*$X210/SUMIFS($X:$X,G:G,G210,$C:$C,$C210,$AG:$AG,$AG210)/SUMIF(符文权重!$A:$A,$C210,符文权重!$D:$D))),"")</f>
        <v>0.0120135746606335</v>
      </c>
      <c r="N210" s="39" t="str" cm="1">
        <f t="array" ref="N210">IFERROR(IF($A210="","",IF(H210="","",_xlfn.XLOOKUP($C210&amp;"_"&amp;$AG210,符文权重!$A:$A&amp;"_"&amp;符文权重!$C:$C,符文权重!$D:$D)*$X210/SUMIFS($X:$X,H:H,H210,$C:$C,$C210,$AG:$AG,$AG210)/SUMIF(符文权重!$A:$A,$C210,符文权重!$D:$D))),"")</f>
        <v/>
      </c>
      <c r="O210" s="39" t="str" cm="1">
        <f t="array" ref="O210">IFERROR(IF($A210="","",IF(I210="","",_xlfn.XLOOKUP($C210&amp;"_"&amp;$AG210,符文权重!$A:$A&amp;"_"&amp;符文权重!$C:$C,符文权重!$D:$D)*$X210/SUMIFS($X:$X,I:I,I210,$C:$C,$C210,$AG:$AG,$AG210)/SUMIF(符文权重!$A:$A,$C210,符文权重!$D:$D))),"")</f>
        <v/>
      </c>
      <c r="P210" s="39" cm="1">
        <f t="array" ref="P210">IFERROR(IF($A210="","",IF(J210="","",_xlfn.XLOOKUP($C210&amp;"_"&amp;$AG210,符文权重!$A:$A&amp;"_"&amp;符文权重!$C:$C,符文权重!$D:$D)*$X210/SUMIFS($X:$X,J:J,J210,$C:$C,$C210,$AG:$AG,$AG210)/SUMIF(符文权重!$A:$A,$C210,符文权重!$D:$D))),"")</f>
        <v>0.0120135746606335</v>
      </c>
      <c r="Q210" s="39" t="str" cm="1">
        <f t="array" ref="Q210">IFERROR(IF($A210="","",IF(K210="","",_xlfn.XLOOKUP($C210&amp;"_"&amp;$AG210,符文权重!$A:$A&amp;"_"&amp;符文权重!$C:$C,符文权重!$D:$D)*$X210/SUMIFS($X:$X,K:K,K210,$C:$C,$C210,$AG:$AG,$AG210)/SUMIF(符文权重!$A:$A,$C210,符文权重!$D:$D))),"")</f>
        <v/>
      </c>
      <c r="R210" s="26" t="s">
        <v>163</v>
      </c>
      <c r="S210" s="26"/>
      <c r="T210" s="26" t="e">
        <f>IF(B210="","",SUBSTITUTE(SUBSTITUTE("[{global_atk,"&amp;#REF!*C210&amp;"}]",21,20),9,8))</f>
        <v>#REF!</v>
      </c>
      <c r="U210" s="40" t="str">
        <f t="shared" si="109"/>
        <v>[5503025]</v>
      </c>
      <c r="V210" s="26" t="s">
        <v>344</v>
      </c>
      <c r="W210" s="25"/>
      <c r="X210" s="32">
        <v>9</v>
      </c>
      <c r="Y210" s="25"/>
      <c r="Z210" s="32" t="s">
        <v>176</v>
      </c>
      <c r="AA210" s="32" t="str">
        <f t="shared" ref="AA210:AA273" si="114">SUBSTITUTE(SUBSTITUTE(SUBSTITUTE(SUBSTITUTE(AL210,"%s",AM210),"&lt;color=#54b76b&gt;",""),"&lt;/color&gt; ",""),"&lt;/color&gt;","")</f>
        <v>暴击伤害+65%</v>
      </c>
      <c r="AB210" s="32"/>
      <c r="AC210" s="32" t="s">
        <v>166</v>
      </c>
      <c r="AD210" s="32">
        <f t="shared" si="105"/>
        <v>1205</v>
      </c>
      <c r="AE210" s="38" t="str">
        <f t="shared" si="110"/>
        <v>5503021</v>
      </c>
      <c r="AF210" s="32" t="str">
        <f t="shared" si="111"/>
        <v>[65]</v>
      </c>
      <c r="AG210" s="26">
        <v>3</v>
      </c>
      <c r="AH210" s="26"/>
      <c r="AI210" s="26">
        <v>0</v>
      </c>
      <c r="AJ210" s="25">
        <v>1</v>
      </c>
      <c r="AK210" s="38">
        <f t="shared" si="112"/>
        <v>5503025</v>
      </c>
      <c r="AL210" s="41" t="str">
        <f t="shared" si="113"/>
        <v>暴击伤害&lt;color=#54b76b&gt;+%s%&lt;/color&gt;</v>
      </c>
      <c r="AM210" s="26">
        <v>65</v>
      </c>
      <c r="AN210" s="26">
        <v>3</v>
      </c>
      <c r="AO210" s="26" t="s">
        <v>25</v>
      </c>
      <c r="AP210" s="20">
        <f t="shared" si="106"/>
        <v>205</v>
      </c>
    </row>
    <row r="211" s="20" customFormat="1" customHeight="1" spans="1:42">
      <c r="A211" s="38">
        <v>5503026</v>
      </c>
      <c r="B211" s="38" t="str">
        <f t="shared" si="107"/>
        <v>5503021</v>
      </c>
      <c r="C211" s="32">
        <f t="shared" si="108"/>
        <v>6</v>
      </c>
      <c r="D211" s="32"/>
      <c r="E211" s="26" t="s">
        <v>329</v>
      </c>
      <c r="F211" s="26" t="str">
        <f t="shared" si="102"/>
        <v/>
      </c>
      <c r="G211" s="26">
        <f>IFERROR(IF(--MID($E211,2*COUNTIF($F211:F211,"&gt;"&amp;0)+2,1)=G$1,G$1,""),"")</f>
        <v>2</v>
      </c>
      <c r="H211" s="26" t="str">
        <f>IFERROR(IF(--MID($E211,2*COUNTIF($F211:G211,"&gt;"&amp;0)+2,1)=H$1,H$1,""),"")</f>
        <v/>
      </c>
      <c r="I211" s="26" t="str">
        <f>IFERROR(IF(--MID($E211,2*COUNTIF($F211:H211,"&gt;"&amp;0)+2,1)=I$1,I$1,""),"")</f>
        <v/>
      </c>
      <c r="J211" s="26">
        <f>IFERROR(IF(--MID($E211,2*COUNTIF($F211:I211,"&gt;"&amp;0)+2,1)=J$1,J$1,""),"")</f>
        <v>5</v>
      </c>
      <c r="K211" s="26" t="str">
        <f>IFERROR(IF(--MID($E211,2*COUNTIF($F211:J211,"&gt;"&amp;0)+2,1)=K$1,K$1,""),"")</f>
        <v/>
      </c>
      <c r="L211" s="39" t="str" cm="1">
        <f t="array" ref="L211">IFERROR(IF($A211="","",IF(F211="","",_xlfn.XLOOKUP($C211&amp;"_"&amp;$AG211,符文权重!$A:$A&amp;"_"&amp;符文权重!$C:$C,符文权重!$D:$D)*$X211/SUMIFS($X:$X,F:F,F211,$C:$C,$C211,$AG:$AG,$AG211)/SUMIF(符文权重!$A:$A,$C211,符文权重!$D:$D))),"")</f>
        <v/>
      </c>
      <c r="M211" s="39" cm="1">
        <f t="array" ref="M211">IFERROR(IF($A211="","",IF(G211="","",_xlfn.XLOOKUP($C211&amp;"_"&amp;$AG211,符文权重!$A:$A&amp;"_"&amp;符文权重!$C:$C,符文权重!$D:$D)*$X211/SUMIFS($X:$X,G:G,G211,$C:$C,$C211,$AG:$AG,$AG211)/SUMIF(符文权重!$A:$A,$C211,符文权重!$D:$D))),"")</f>
        <v>0.0120135746606335</v>
      </c>
      <c r="N211" s="39" t="str" cm="1">
        <f t="array" ref="N211">IFERROR(IF($A211="","",IF(H211="","",_xlfn.XLOOKUP($C211&amp;"_"&amp;$AG211,符文权重!$A:$A&amp;"_"&amp;符文权重!$C:$C,符文权重!$D:$D)*$X211/SUMIFS($X:$X,H:H,H211,$C:$C,$C211,$AG:$AG,$AG211)/SUMIF(符文权重!$A:$A,$C211,符文权重!$D:$D))),"")</f>
        <v/>
      </c>
      <c r="O211" s="39" t="str" cm="1">
        <f t="array" ref="O211">IFERROR(IF($A211="","",IF(I211="","",_xlfn.XLOOKUP($C211&amp;"_"&amp;$AG211,符文权重!$A:$A&amp;"_"&amp;符文权重!$C:$C,符文权重!$D:$D)*$X211/SUMIFS($X:$X,I:I,I211,$C:$C,$C211,$AG:$AG,$AG211)/SUMIF(符文权重!$A:$A,$C211,符文权重!$D:$D))),"")</f>
        <v/>
      </c>
      <c r="P211" s="39" cm="1">
        <f t="array" ref="P211">IFERROR(IF($A211="","",IF(J211="","",_xlfn.XLOOKUP($C211&amp;"_"&amp;$AG211,符文权重!$A:$A&amp;"_"&amp;符文权重!$C:$C,符文权重!$D:$D)*$X211/SUMIFS($X:$X,J:J,J211,$C:$C,$C211,$AG:$AG,$AG211)/SUMIF(符文权重!$A:$A,$C211,符文权重!$D:$D))),"")</f>
        <v>0.0120135746606335</v>
      </c>
      <c r="Q211" s="39" t="str" cm="1">
        <f t="array" ref="Q211">IFERROR(IF($A211="","",IF(K211="","",_xlfn.XLOOKUP($C211&amp;"_"&amp;$AG211,符文权重!$A:$A&amp;"_"&amp;符文权重!$C:$C,符文权重!$D:$D)*$X211/SUMIFS($X:$X,K:K,K211,$C:$C,$C211,$AG:$AG,$AG211)/SUMIF(符文权重!$A:$A,$C211,符文权重!$D:$D))),"")</f>
        <v/>
      </c>
      <c r="R211" s="26" t="s">
        <v>163</v>
      </c>
      <c r="S211" s="26"/>
      <c r="T211" s="26" t="e">
        <f>IF(B211="","",SUBSTITUTE(SUBSTITUTE("[{global_atk,"&amp;#REF!*C211&amp;"}]",21,20),9,8))</f>
        <v>#REF!</v>
      </c>
      <c r="U211" s="40" t="str">
        <f t="shared" si="109"/>
        <v>[5503026]</v>
      </c>
      <c r="V211" s="26" t="s">
        <v>345</v>
      </c>
      <c r="W211" s="25"/>
      <c r="X211" s="32">
        <v>9</v>
      </c>
      <c r="Y211" s="25"/>
      <c r="Z211" s="32" t="s">
        <v>178</v>
      </c>
      <c r="AA211" s="32" t="str">
        <f t="shared" si="114"/>
        <v>暴击伤害+80%</v>
      </c>
      <c r="AB211" s="32"/>
      <c r="AC211" s="32" t="s">
        <v>166</v>
      </c>
      <c r="AD211" s="32">
        <f t="shared" si="105"/>
        <v>1206</v>
      </c>
      <c r="AE211" s="38" t="str">
        <f t="shared" si="110"/>
        <v>5503021</v>
      </c>
      <c r="AF211" s="32" t="str">
        <f t="shared" si="111"/>
        <v>[80]</v>
      </c>
      <c r="AG211" s="26">
        <v>3</v>
      </c>
      <c r="AH211" s="26"/>
      <c r="AI211" s="26">
        <v>0</v>
      </c>
      <c r="AJ211" s="25">
        <v>1</v>
      </c>
      <c r="AK211" s="38">
        <f t="shared" si="112"/>
        <v>5503026</v>
      </c>
      <c r="AL211" s="41" t="str">
        <f t="shared" si="113"/>
        <v>暴击伤害&lt;color=#54b76b&gt;+%s%&lt;/color&gt;</v>
      </c>
      <c r="AM211" s="26">
        <v>80</v>
      </c>
      <c r="AN211" s="26">
        <v>3</v>
      </c>
      <c r="AO211" s="26" t="s">
        <v>25</v>
      </c>
      <c r="AP211" s="20">
        <f t="shared" si="106"/>
        <v>206</v>
      </c>
    </row>
    <row r="212" s="20" customFormat="1" customHeight="1" spans="1:42">
      <c r="A212" s="38">
        <v>5503027</v>
      </c>
      <c r="B212" s="38" t="str">
        <f t="shared" si="107"/>
        <v>5503021</v>
      </c>
      <c r="C212" s="32">
        <f t="shared" si="108"/>
        <v>7</v>
      </c>
      <c r="D212" s="32"/>
      <c r="E212" s="26" t="s">
        <v>329</v>
      </c>
      <c r="F212" s="26" t="str">
        <f t="shared" si="102"/>
        <v/>
      </c>
      <c r="G212" s="26">
        <f>IFERROR(IF(--MID($E212,2*COUNTIF($F212:F212,"&gt;"&amp;0)+2,1)=G$1,G$1,""),"")</f>
        <v>2</v>
      </c>
      <c r="H212" s="26" t="str">
        <f>IFERROR(IF(--MID($E212,2*COUNTIF($F212:G212,"&gt;"&amp;0)+2,1)=H$1,H$1,""),"")</f>
        <v/>
      </c>
      <c r="I212" s="26" t="str">
        <f>IFERROR(IF(--MID($E212,2*COUNTIF($F212:H212,"&gt;"&amp;0)+2,1)=I$1,I$1,""),"")</f>
        <v/>
      </c>
      <c r="J212" s="26">
        <f>IFERROR(IF(--MID($E212,2*COUNTIF($F212:I212,"&gt;"&amp;0)+2,1)=J$1,J$1,""),"")</f>
        <v>5</v>
      </c>
      <c r="K212" s="26" t="str">
        <f>IFERROR(IF(--MID($E212,2*COUNTIF($F212:J212,"&gt;"&amp;0)+2,1)=K$1,K$1,""),"")</f>
        <v/>
      </c>
      <c r="L212" s="39" t="str" cm="1">
        <f t="array" ref="L212">IFERROR(IF($A212="","",IF(F212="","",_xlfn.XLOOKUP($C212&amp;"_"&amp;$AG212,符文权重!$A:$A&amp;"_"&amp;符文权重!$C:$C,符文权重!$D:$D)*$X212/SUMIFS($X:$X,F:F,F212,$C:$C,$C212,$AG:$AG,$AG212)/SUMIF(符文权重!$A:$A,$C212,符文权重!$D:$D))),"")</f>
        <v/>
      </c>
      <c r="M212" s="39" cm="1">
        <f t="array" ref="M212">IFERROR(IF($A212="","",IF(G212="","",_xlfn.XLOOKUP($C212&amp;"_"&amp;$AG212,符文权重!$A:$A&amp;"_"&amp;符文权重!$C:$C,符文权重!$D:$D)*$X212/SUMIFS($X:$X,G:G,G212,$C:$C,$C212,$AG:$AG,$AG212)/SUMIF(符文权重!$A:$A,$C212,符文权重!$D:$D))),"")</f>
        <v>0.0120135746606335</v>
      </c>
      <c r="N212" s="39" t="str" cm="1">
        <f t="array" ref="N212">IFERROR(IF($A212="","",IF(H212="","",_xlfn.XLOOKUP($C212&amp;"_"&amp;$AG212,符文权重!$A:$A&amp;"_"&amp;符文权重!$C:$C,符文权重!$D:$D)*$X212/SUMIFS($X:$X,H:H,H212,$C:$C,$C212,$AG:$AG,$AG212)/SUMIF(符文权重!$A:$A,$C212,符文权重!$D:$D))),"")</f>
        <v/>
      </c>
      <c r="O212" s="39" t="str" cm="1">
        <f t="array" ref="O212">IFERROR(IF($A212="","",IF(I212="","",_xlfn.XLOOKUP($C212&amp;"_"&amp;$AG212,符文权重!$A:$A&amp;"_"&amp;符文权重!$C:$C,符文权重!$D:$D)*$X212/SUMIFS($X:$X,I:I,I212,$C:$C,$C212,$AG:$AG,$AG212)/SUMIF(符文权重!$A:$A,$C212,符文权重!$D:$D))),"")</f>
        <v/>
      </c>
      <c r="P212" s="39" cm="1">
        <f t="array" ref="P212">IFERROR(IF($A212="","",IF(J212="","",_xlfn.XLOOKUP($C212&amp;"_"&amp;$AG212,符文权重!$A:$A&amp;"_"&amp;符文权重!$C:$C,符文权重!$D:$D)*$X212/SUMIFS($X:$X,J:J,J212,$C:$C,$C212,$AG:$AG,$AG212)/SUMIF(符文权重!$A:$A,$C212,符文权重!$D:$D))),"")</f>
        <v>0.0120135746606335</v>
      </c>
      <c r="Q212" s="39" t="str" cm="1">
        <f t="array" ref="Q212">IFERROR(IF($A212="","",IF(K212="","",_xlfn.XLOOKUP($C212&amp;"_"&amp;$AG212,符文权重!$A:$A&amp;"_"&amp;符文权重!$C:$C,符文权重!$D:$D)*$X212/SUMIFS($X:$X,K:K,K212,$C:$C,$C212,$AG:$AG,$AG212)/SUMIF(符文权重!$A:$A,$C212,符文权重!$D:$D))),"")</f>
        <v/>
      </c>
      <c r="R212" s="26" t="s">
        <v>163</v>
      </c>
      <c r="S212" s="26"/>
      <c r="T212" s="26" t="e">
        <f>IF(B212="","",SUBSTITUTE(SUBSTITUTE("[{global_atk,"&amp;#REF!*C212&amp;"}]",21,20),9,8))</f>
        <v>#REF!</v>
      </c>
      <c r="U212" s="40" t="str">
        <f t="shared" si="109"/>
        <v>[5503027]</v>
      </c>
      <c r="V212" s="26" t="s">
        <v>346</v>
      </c>
      <c r="W212" s="25"/>
      <c r="X212" s="32">
        <v>9</v>
      </c>
      <c r="Y212" s="25"/>
      <c r="Z212" s="32" t="s">
        <v>180</v>
      </c>
      <c r="AA212" s="32" t="str">
        <f t="shared" si="114"/>
        <v>暴击伤害+100%</v>
      </c>
      <c r="AB212" s="32"/>
      <c r="AC212" s="32" t="s">
        <v>166</v>
      </c>
      <c r="AD212" s="32">
        <f t="shared" si="105"/>
        <v>1207</v>
      </c>
      <c r="AE212" s="38" t="str">
        <f t="shared" si="110"/>
        <v>5503021</v>
      </c>
      <c r="AF212" s="32" t="str">
        <f t="shared" si="111"/>
        <v>[100]</v>
      </c>
      <c r="AG212" s="26">
        <v>3</v>
      </c>
      <c r="AH212" s="26"/>
      <c r="AI212" s="26">
        <v>0</v>
      </c>
      <c r="AJ212" s="25">
        <v>1</v>
      </c>
      <c r="AK212" s="38">
        <f t="shared" si="112"/>
        <v>5503027</v>
      </c>
      <c r="AL212" s="41" t="str">
        <f t="shared" si="113"/>
        <v>暴击伤害&lt;color=#54b76b&gt;+%s%&lt;/color&gt;</v>
      </c>
      <c r="AM212" s="26">
        <v>100</v>
      </c>
      <c r="AN212" s="26">
        <v>3</v>
      </c>
      <c r="AO212" s="26" t="s">
        <v>25</v>
      </c>
      <c r="AP212" s="20">
        <f t="shared" si="106"/>
        <v>207</v>
      </c>
    </row>
    <row r="213" s="20" customFormat="1" customHeight="1" spans="1:42">
      <c r="A213" s="38" t="s">
        <v>167</v>
      </c>
      <c r="B213" s="38" t="str">
        <f t="shared" si="107"/>
        <v/>
      </c>
      <c r="C213" s="32" t="str">
        <f t="shared" si="108"/>
        <v/>
      </c>
      <c r="D213" s="32"/>
      <c r="E213" s="26"/>
      <c r="F213" s="26" t="str">
        <f t="shared" si="102"/>
        <v/>
      </c>
      <c r="G213" s="26" t="str">
        <f>IFERROR(IF(--MID($E213,2*COUNTIF($F213:F213,"&gt;"&amp;0)+2,1)=G$1,G$1,""),"")</f>
        <v/>
      </c>
      <c r="H213" s="26" t="str">
        <f>IFERROR(IF(--MID($E213,2*COUNTIF($F213:G213,"&gt;"&amp;0)+2,1)=H$1,H$1,""),"")</f>
        <v/>
      </c>
      <c r="I213" s="26" t="str">
        <f>IFERROR(IF(--MID($E213,2*COUNTIF($F213:H213,"&gt;"&amp;0)+2,1)=I$1,I$1,""),"")</f>
        <v/>
      </c>
      <c r="J213" s="26" t="str">
        <f>IFERROR(IF(--MID($E213,2*COUNTIF($F213:I213,"&gt;"&amp;0)+2,1)=J$1,J$1,""),"")</f>
        <v/>
      </c>
      <c r="K213" s="26" t="str">
        <f>IFERROR(IF(--MID($E213,2*COUNTIF($F213:J213,"&gt;"&amp;0)+2,1)=K$1,K$1,""),"")</f>
        <v/>
      </c>
      <c r="L213" s="39" t="str" cm="1">
        <f t="array" ref="L213">IFERROR(IF($A213="","",IF(F213="","",_xlfn.XLOOKUP($C213&amp;"_"&amp;$AG213,符文权重!$A:$A&amp;"_"&amp;符文权重!$C:$C,符文权重!$D:$D)*$X213/SUMIFS($X:$X,F:F,F213,$C:$C,$C213,$AG:$AG,$AG213)/SUMIF(符文权重!$A:$A,$C213,符文权重!$D:$D))),"")</f>
        <v/>
      </c>
      <c r="M213" s="39" t="str" cm="1">
        <f t="array" ref="M213">IFERROR(IF($A213="","",IF(G213="","",_xlfn.XLOOKUP($C213&amp;"_"&amp;$AG213,符文权重!$A:$A&amp;"_"&amp;符文权重!$C:$C,符文权重!$D:$D)*$X213/SUMIFS($X:$X,G:G,G213,$C:$C,$C213,$AG:$AG,$AG213)/SUMIF(符文权重!$A:$A,$C213,符文权重!$D:$D))),"")</f>
        <v/>
      </c>
      <c r="N213" s="39" t="str" cm="1">
        <f t="array" ref="N213">IFERROR(IF($A213="","",IF(H213="","",_xlfn.XLOOKUP($C213&amp;"_"&amp;$AG213,符文权重!$A:$A&amp;"_"&amp;符文权重!$C:$C,符文权重!$D:$D)*$X213/SUMIFS($X:$X,H:H,H213,$C:$C,$C213,$AG:$AG,$AG213)/SUMIF(符文权重!$A:$A,$C213,符文权重!$D:$D))),"")</f>
        <v/>
      </c>
      <c r="O213" s="39" t="str" cm="1">
        <f t="array" ref="O213">IFERROR(IF($A213="","",IF(I213="","",_xlfn.XLOOKUP($C213&amp;"_"&amp;$AG213,符文权重!$A:$A&amp;"_"&amp;符文权重!$C:$C,符文权重!$D:$D)*$X213/SUMIFS($X:$X,I:I,I213,$C:$C,$C213,$AG:$AG,$AG213)/SUMIF(符文权重!$A:$A,$C213,符文权重!$D:$D))),"")</f>
        <v/>
      </c>
      <c r="P213" s="39" t="str" cm="1">
        <f t="array" ref="P213">IFERROR(IF($A213="","",IF(J213="","",_xlfn.XLOOKUP($C213&amp;"_"&amp;$AG213,符文权重!$A:$A&amp;"_"&amp;符文权重!$C:$C,符文权重!$D:$D)*$X213/SUMIFS($X:$X,J:J,J213,$C:$C,$C213,$AG:$AG,$AG213)/SUMIF(符文权重!$A:$A,$C213,符文权重!$D:$D))),"")</f>
        <v/>
      </c>
      <c r="Q213" s="39" t="str" cm="1">
        <f t="array" ref="Q213">IFERROR(IF($A213="","",IF(K213="","",_xlfn.XLOOKUP($C213&amp;"_"&amp;$AG213,符文权重!$A:$A&amp;"_"&amp;符文权重!$C:$C,符文权重!$D:$D)*$X213/SUMIFS($X:$X,K:K,K213,$C:$C,$C213,$AG:$AG,$AG213)/SUMIF(符文权重!$A:$A,$C213,符文权重!$D:$D))),"")</f>
        <v/>
      </c>
      <c r="R213" s="26"/>
      <c r="S213" s="26"/>
      <c r="T213" s="26"/>
      <c r="V213" s="31"/>
      <c r="W213" s="25"/>
      <c r="X213" s="32"/>
      <c r="Y213" s="25"/>
      <c r="Z213" s="32" t="s">
        <v>167</v>
      </c>
      <c r="AA213" s="32" t="str">
        <f t="shared" si="114"/>
        <v/>
      </c>
      <c r="AB213" s="32"/>
      <c r="AC213" s="32" t="s">
        <v>166</v>
      </c>
      <c r="AD213" s="32">
        <f t="shared" si="105"/>
        <v>1208</v>
      </c>
      <c r="AE213" s="38" t="str">
        <f t="shared" si="110"/>
        <v/>
      </c>
      <c r="AF213" s="32" t="str">
        <f t="shared" si="111"/>
        <v/>
      </c>
      <c r="AG213" s="26"/>
      <c r="AH213" s="26"/>
      <c r="AI213" s="26"/>
      <c r="AJ213" s="25" t="s">
        <v>167</v>
      </c>
      <c r="AK213" s="24"/>
      <c r="AL213" s="43"/>
      <c r="AM213" s="26"/>
      <c r="AN213" s="26"/>
      <c r="AO213" s="26"/>
      <c r="AP213" s="20">
        <f t="shared" si="106"/>
        <v>208</v>
      </c>
    </row>
    <row r="214" s="22" customFormat="1" customHeight="1" spans="1:42">
      <c r="A214" s="44">
        <v>5503031</v>
      </c>
      <c r="B214" s="44" t="str">
        <f t="shared" si="107"/>
        <v>5503031</v>
      </c>
      <c r="C214" s="45">
        <f t="shared" si="108"/>
        <v>1</v>
      </c>
      <c r="D214" s="45"/>
      <c r="E214" s="46" t="s">
        <v>162</v>
      </c>
      <c r="F214" s="26">
        <f t="shared" si="102"/>
        <v>1</v>
      </c>
      <c r="G214" s="26">
        <f>IFERROR(IF(--MID($E214,2*COUNTIF($F214:F214,"&gt;"&amp;0)+2,1)=G$1,G$1,""),"")</f>
        <v>2</v>
      </c>
      <c r="H214" s="26">
        <f>IFERROR(IF(--MID($E214,2*COUNTIF($F214:G214,"&gt;"&amp;0)+2,1)=H$1,H$1,""),"")</f>
        <v>3</v>
      </c>
      <c r="I214" s="26">
        <f>IFERROR(IF(--MID($E214,2*COUNTIF($F214:H214,"&gt;"&amp;0)+2,1)=I$1,I$1,""),"")</f>
        <v>4</v>
      </c>
      <c r="J214" s="26">
        <f>IFERROR(IF(--MID($E214,2*COUNTIF($F214:I214,"&gt;"&amp;0)+2,1)=J$1,J$1,""),"")</f>
        <v>5</v>
      </c>
      <c r="K214" s="26">
        <f>IFERROR(IF(--MID($E214,2*COUNTIF($F214:J214,"&gt;"&amp;0)+2,1)=K$1,K$1,""),"")</f>
        <v>6</v>
      </c>
      <c r="L214" s="39" t="str" cm="1">
        <f t="array" ref="L214">IFERROR(IF($A214="","",IF(F214="","",_xlfn.XLOOKUP($C214&amp;"_"&amp;$AG214,符文权重!$A:$A&amp;"_"&amp;符文权重!$C:$C,符文权重!$D:$D)*$X214/SUMIFS($X:$X,F:F,F214,$C:$C,$C214,$AG:$AG,$AG214)/SUMIF(符文权重!$A:$A,$C214,符文权重!$D:$D))),"")</f>
        <v/>
      </c>
      <c r="M214" s="39" t="str" cm="1">
        <f t="array" ref="M214">IFERROR(IF($A214="","",IF(G214="","",_xlfn.XLOOKUP($C214&amp;"_"&amp;$AG214,符文权重!$A:$A&amp;"_"&amp;符文权重!$C:$C,符文权重!$D:$D)*$X214/SUMIFS($X:$X,G:G,G214,$C:$C,$C214,$AG:$AG,$AG214)/SUMIF(符文权重!$A:$A,$C214,符文权重!$D:$D))),"")</f>
        <v/>
      </c>
      <c r="N214" s="39" t="str" cm="1">
        <f t="array" ref="N214">IFERROR(IF($A214="","",IF(H214="","",_xlfn.XLOOKUP($C214&amp;"_"&amp;$AG214,符文权重!$A:$A&amp;"_"&amp;符文权重!$C:$C,符文权重!$D:$D)*$X214/SUMIFS($X:$X,H:H,H214,$C:$C,$C214,$AG:$AG,$AG214)/SUMIF(符文权重!$A:$A,$C214,符文权重!$D:$D))),"")</f>
        <v/>
      </c>
      <c r="O214" s="39" t="str" cm="1">
        <f t="array" ref="O214">IFERROR(IF($A214="","",IF(I214="","",_xlfn.XLOOKUP($C214&amp;"_"&amp;$AG214,符文权重!$A:$A&amp;"_"&amp;符文权重!$C:$C,符文权重!$D:$D)*$X214/SUMIFS($X:$X,I:I,I214,$C:$C,$C214,$AG:$AG,$AG214)/SUMIF(符文权重!$A:$A,$C214,符文权重!$D:$D))),"")</f>
        <v/>
      </c>
      <c r="P214" s="39" t="str" cm="1">
        <f t="array" ref="P214">IFERROR(IF($A214="","",IF(J214="","",_xlfn.XLOOKUP($C214&amp;"_"&amp;$AG214,符文权重!$A:$A&amp;"_"&amp;符文权重!$C:$C,符文权重!$D:$D)*$X214/SUMIFS($X:$X,J:J,J214,$C:$C,$C214,$AG:$AG,$AG214)/SUMIF(符文权重!$A:$A,$C214,符文权重!$D:$D))),"")</f>
        <v/>
      </c>
      <c r="Q214" s="39" t="str" cm="1">
        <f t="array" ref="Q214">IFERROR(IF($A214="","",IF(K214="","",_xlfn.XLOOKUP($C214&amp;"_"&amp;$AG214,符文权重!$A:$A&amp;"_"&amp;符文权重!$C:$C,符文权重!$D:$D)*$X214/SUMIFS($X:$X,K:K,K214,$C:$C,$C214,$AG:$AG,$AG214)/SUMIF(符文权重!$A:$A,$C214,符文权重!$D:$D))),"")</f>
        <v/>
      </c>
      <c r="R214" s="46" t="s">
        <v>163</v>
      </c>
      <c r="S214" s="46"/>
      <c r="T214" s="46" t="e">
        <f>IF(B214="","",SUBSTITUTE(SUBSTITUTE("[{global_atk,"&amp;#REF!*C214&amp;"}]",21,20),9,8))</f>
        <v>#REF!</v>
      </c>
      <c r="U214" s="47" t="str">
        <f t="shared" ref="U214:U220" si="115">"["&amp;A214&amp;"]"</f>
        <v>[5503031]</v>
      </c>
      <c r="V214" s="46"/>
      <c r="W214" s="23"/>
      <c r="X214" s="32">
        <v>100</v>
      </c>
      <c r="Y214" s="23"/>
      <c r="Z214" s="45" t="s">
        <v>165</v>
      </c>
      <c r="AA214" s="32" t="str">
        <f t="shared" si="114"/>
        <v>进入战斗前60秒对怪物伤害+10%</v>
      </c>
      <c r="AB214" s="32"/>
      <c r="AC214" s="32" t="s">
        <v>166</v>
      </c>
      <c r="AD214" s="32">
        <f t="shared" si="105"/>
        <v>1209</v>
      </c>
      <c r="AE214" s="44" t="str">
        <f t="shared" si="110"/>
        <v>5503031</v>
      </c>
      <c r="AF214" s="45" t="str">
        <f t="shared" si="111"/>
        <v>[10]</v>
      </c>
      <c r="AG214" s="26">
        <v>100</v>
      </c>
      <c r="AH214" s="46"/>
      <c r="AI214" s="46">
        <v>1</v>
      </c>
      <c r="AJ214" s="25" t="s">
        <v>167</v>
      </c>
      <c r="AK214" s="48">
        <v>5503031</v>
      </c>
      <c r="AL214" s="49" t="s">
        <v>347</v>
      </c>
      <c r="AM214" s="46">
        <v>10</v>
      </c>
      <c r="AN214" s="26"/>
      <c r="AO214" s="26" t="s">
        <v>25</v>
      </c>
      <c r="AP214" s="20">
        <f t="shared" si="106"/>
        <v>209</v>
      </c>
    </row>
    <row r="215" s="22" customFormat="1" customHeight="1" spans="1:42">
      <c r="A215" s="44">
        <v>5503032</v>
      </c>
      <c r="B215" s="44" t="str">
        <f t="shared" si="107"/>
        <v>5503031</v>
      </c>
      <c r="C215" s="45">
        <f t="shared" si="108"/>
        <v>2</v>
      </c>
      <c r="D215" s="45"/>
      <c r="E215" s="46" t="s">
        <v>162</v>
      </c>
      <c r="F215" s="26">
        <f t="shared" si="102"/>
        <v>1</v>
      </c>
      <c r="G215" s="26">
        <f>IFERROR(IF(--MID($E215,2*COUNTIF($F215:F215,"&gt;"&amp;0)+2,1)=G$1,G$1,""),"")</f>
        <v>2</v>
      </c>
      <c r="H215" s="26">
        <f>IFERROR(IF(--MID($E215,2*COUNTIF($F215:G215,"&gt;"&amp;0)+2,1)=H$1,H$1,""),"")</f>
        <v>3</v>
      </c>
      <c r="I215" s="26">
        <f>IFERROR(IF(--MID($E215,2*COUNTIF($F215:H215,"&gt;"&amp;0)+2,1)=I$1,I$1,""),"")</f>
        <v>4</v>
      </c>
      <c r="J215" s="26">
        <f>IFERROR(IF(--MID($E215,2*COUNTIF($F215:I215,"&gt;"&amp;0)+2,1)=J$1,J$1,""),"")</f>
        <v>5</v>
      </c>
      <c r="K215" s="26">
        <f>IFERROR(IF(--MID($E215,2*COUNTIF($F215:J215,"&gt;"&amp;0)+2,1)=K$1,K$1,""),"")</f>
        <v>6</v>
      </c>
      <c r="L215" s="39" t="str" cm="1">
        <f t="array" ref="L215">IFERROR(IF($A215="","",IF(F215="","",_xlfn.XLOOKUP($C215&amp;"_"&amp;$AG215,符文权重!$A:$A&amp;"_"&amp;符文权重!$C:$C,符文权重!$D:$D)*$X215/SUMIFS($X:$X,F:F,F215,$C:$C,$C215,$AG:$AG,$AG215)/SUMIF(符文权重!$A:$A,$C215,符文权重!$D:$D))),"")</f>
        <v/>
      </c>
      <c r="M215" s="39" t="str" cm="1">
        <f t="array" ref="M215">IFERROR(IF($A215="","",IF(G215="","",_xlfn.XLOOKUP($C215&amp;"_"&amp;$AG215,符文权重!$A:$A&amp;"_"&amp;符文权重!$C:$C,符文权重!$D:$D)*$X215/SUMIFS($X:$X,G:G,G215,$C:$C,$C215,$AG:$AG,$AG215)/SUMIF(符文权重!$A:$A,$C215,符文权重!$D:$D))),"")</f>
        <v/>
      </c>
      <c r="N215" s="39" t="str" cm="1">
        <f t="array" ref="N215">IFERROR(IF($A215="","",IF(H215="","",_xlfn.XLOOKUP($C215&amp;"_"&amp;$AG215,符文权重!$A:$A&amp;"_"&amp;符文权重!$C:$C,符文权重!$D:$D)*$X215/SUMIFS($X:$X,H:H,H215,$C:$C,$C215,$AG:$AG,$AG215)/SUMIF(符文权重!$A:$A,$C215,符文权重!$D:$D))),"")</f>
        <v/>
      </c>
      <c r="O215" s="39" t="str" cm="1">
        <f t="array" ref="O215">IFERROR(IF($A215="","",IF(I215="","",_xlfn.XLOOKUP($C215&amp;"_"&amp;$AG215,符文权重!$A:$A&amp;"_"&amp;符文权重!$C:$C,符文权重!$D:$D)*$X215/SUMIFS($X:$X,I:I,I215,$C:$C,$C215,$AG:$AG,$AG215)/SUMIF(符文权重!$A:$A,$C215,符文权重!$D:$D))),"")</f>
        <v/>
      </c>
      <c r="P215" s="39" t="str" cm="1">
        <f t="array" ref="P215">IFERROR(IF($A215="","",IF(J215="","",_xlfn.XLOOKUP($C215&amp;"_"&amp;$AG215,符文权重!$A:$A&amp;"_"&amp;符文权重!$C:$C,符文权重!$D:$D)*$X215/SUMIFS($X:$X,J:J,J215,$C:$C,$C215,$AG:$AG,$AG215)/SUMIF(符文权重!$A:$A,$C215,符文权重!$D:$D))),"")</f>
        <v/>
      </c>
      <c r="Q215" s="39" t="str" cm="1">
        <f t="array" ref="Q215">IFERROR(IF($A215="","",IF(K215="","",_xlfn.XLOOKUP($C215&amp;"_"&amp;$AG215,符文权重!$A:$A&amp;"_"&amp;符文权重!$C:$C,符文权重!$D:$D)*$X215/SUMIFS($X:$X,K:K,K215,$C:$C,$C215,$AG:$AG,$AG215)/SUMIF(符文权重!$A:$A,$C215,符文权重!$D:$D))),"")</f>
        <v/>
      </c>
      <c r="R215" s="46" t="s">
        <v>163</v>
      </c>
      <c r="S215" s="46"/>
      <c r="T215" s="46" t="e">
        <f>IF(B215="","",SUBSTITUTE(SUBSTITUTE("[{global_atk,"&amp;#REF!*C215&amp;"}]",21,20),9,8))</f>
        <v>#REF!</v>
      </c>
      <c r="U215" s="47" t="str">
        <f t="shared" si="115"/>
        <v>[5503032]</v>
      </c>
      <c r="V215" s="46"/>
      <c r="W215" s="23"/>
      <c r="X215" s="32">
        <v>100</v>
      </c>
      <c r="Y215" s="23"/>
      <c r="Z215" s="45" t="s">
        <v>170</v>
      </c>
      <c r="AA215" s="32" t="str">
        <f t="shared" si="114"/>
        <v>进入战斗前60秒对怪物伤害+15%</v>
      </c>
      <c r="AB215" s="32"/>
      <c r="AC215" s="32" t="s">
        <v>166</v>
      </c>
      <c r="AD215" s="32">
        <f t="shared" si="105"/>
        <v>1210</v>
      </c>
      <c r="AE215" s="44" t="str">
        <f t="shared" si="110"/>
        <v>5503031</v>
      </c>
      <c r="AF215" s="45" t="str">
        <f t="shared" si="111"/>
        <v>[15]</v>
      </c>
      <c r="AG215" s="26">
        <v>100</v>
      </c>
      <c r="AH215" s="46"/>
      <c r="AI215" s="46">
        <v>1</v>
      </c>
      <c r="AJ215" s="25" t="s">
        <v>167</v>
      </c>
      <c r="AK215" s="44">
        <f t="shared" ref="AK215:AK220" si="116">AK214+1</f>
        <v>5503032</v>
      </c>
      <c r="AL215" s="50" t="str">
        <f t="shared" ref="AL215:AL220" si="117">AL214</f>
        <v>进入战斗前60秒对怪物伤害&lt;color=#54b76b&gt;+%s%&lt;/color&gt;</v>
      </c>
      <c r="AM215" s="46">
        <v>15</v>
      </c>
      <c r="AN215" s="26"/>
      <c r="AO215" s="26" t="s">
        <v>25</v>
      </c>
      <c r="AP215" s="20">
        <f t="shared" si="106"/>
        <v>210</v>
      </c>
    </row>
    <row r="216" s="20" customFormat="1" customHeight="1" spans="1:42">
      <c r="A216" s="38">
        <v>5503033</v>
      </c>
      <c r="B216" s="38" t="str">
        <f t="shared" si="107"/>
        <v>5503031</v>
      </c>
      <c r="C216" s="32">
        <f t="shared" si="108"/>
        <v>3</v>
      </c>
      <c r="D216" s="32"/>
      <c r="E216" s="26" t="s">
        <v>162</v>
      </c>
      <c r="F216" s="26">
        <f t="shared" si="102"/>
        <v>1</v>
      </c>
      <c r="G216" s="26">
        <f>IFERROR(IF(--MID($E216,2*COUNTIF($F216:F216,"&gt;"&amp;0)+2,1)=G$1,G$1,""),"")</f>
        <v>2</v>
      </c>
      <c r="H216" s="26">
        <f>IFERROR(IF(--MID($E216,2*COUNTIF($F216:G216,"&gt;"&amp;0)+2,1)=H$1,H$1,""),"")</f>
        <v>3</v>
      </c>
      <c r="I216" s="26">
        <f>IFERROR(IF(--MID($E216,2*COUNTIF($F216:H216,"&gt;"&amp;0)+2,1)=I$1,I$1,""),"")</f>
        <v>4</v>
      </c>
      <c r="J216" s="26">
        <f>IFERROR(IF(--MID($E216,2*COUNTIF($F216:I216,"&gt;"&amp;0)+2,1)=J$1,J$1,""),"")</f>
        <v>5</v>
      </c>
      <c r="K216" s="26">
        <f>IFERROR(IF(--MID($E216,2*COUNTIF($F216:J216,"&gt;"&amp;0)+2,1)=K$1,K$1,""),"")</f>
        <v>6</v>
      </c>
      <c r="L216" s="39" cm="1">
        <f t="array" ref="L216">IFERROR(IF($A216="","",IF(F216="","",_xlfn.XLOOKUP($C216&amp;"_"&amp;$AG216,符文权重!$A:$A&amp;"_"&amp;符文权重!$C:$C,符文权重!$D:$D)*$X216/SUMIFS($X:$X,F:F,F216,$C:$C,$C216,$AG:$AG,$AG216)/SUMIF(符文权重!$A:$A,$C216,符文权重!$D:$D))),"")</f>
        <v>0.0350194552529183</v>
      </c>
      <c r="M216" s="39" cm="1">
        <f t="array" ref="M216">IFERROR(IF($A216="","",IF(G216="","",_xlfn.XLOOKUP($C216&amp;"_"&amp;$AG216,符文权重!$A:$A&amp;"_"&amp;符文权重!$C:$C,符文权重!$D:$D)*$X216/SUMIFS($X:$X,G:G,G216,$C:$C,$C216,$AG:$AG,$AG216)/SUMIF(符文权重!$A:$A,$C216,符文权重!$D:$D))),"")</f>
        <v>0.0344827586206897</v>
      </c>
      <c r="N216" s="39" cm="1">
        <f t="array" ref="N216">IFERROR(IF($A216="","",IF(H216="","",_xlfn.XLOOKUP($C216&amp;"_"&amp;$AG216,符文权重!$A:$A&amp;"_"&amp;符文权重!$C:$C,符文权重!$D:$D)*$X216/SUMIFS($X:$X,H:H,H216,$C:$C,$C216,$AG:$AG,$AG216)/SUMIF(符文权重!$A:$A,$C216,符文权重!$D:$D))),"")</f>
        <v>0.0350194552529183</v>
      </c>
      <c r="O216" s="39" cm="1">
        <f t="array" ref="O216">IFERROR(IF($A216="","",IF(I216="","",_xlfn.XLOOKUP($C216&amp;"_"&amp;$AG216,符文权重!$A:$A&amp;"_"&amp;符文权重!$C:$C,符文权重!$D:$D)*$X216/SUMIFS($X:$X,I:I,I216,$C:$C,$C216,$AG:$AG,$AG216)/SUMIF(符文权重!$A:$A,$C216,符文权重!$D:$D))),"")</f>
        <v>0.0344827586206897</v>
      </c>
      <c r="P216" s="39" cm="1">
        <f t="array" ref="P216">IFERROR(IF($A216="","",IF(J216="","",_xlfn.XLOOKUP($C216&amp;"_"&amp;$AG216,符文权重!$A:$A&amp;"_"&amp;符文权重!$C:$C,符文权重!$D:$D)*$X216/SUMIFS($X:$X,J:J,J216,$C:$C,$C216,$AG:$AG,$AG216)/SUMIF(符文权重!$A:$A,$C216,符文权重!$D:$D))),"")</f>
        <v>0.0344827586206897</v>
      </c>
      <c r="Q216" s="39" cm="1">
        <f t="array" ref="Q216">IFERROR(IF($A216="","",IF(K216="","",_xlfn.XLOOKUP($C216&amp;"_"&amp;$AG216,符文权重!$A:$A&amp;"_"&amp;符文权重!$C:$C,符文权重!$D:$D)*$X216/SUMIFS($X:$X,K:K,K216,$C:$C,$C216,$AG:$AG,$AG216)/SUMIF(符文权重!$A:$A,$C216,符文权重!$D:$D))),"")</f>
        <v>0.0344827586206897</v>
      </c>
      <c r="R216" s="26" t="s">
        <v>163</v>
      </c>
      <c r="S216" s="26"/>
      <c r="T216" s="26" t="e">
        <f>IF(B216="","",SUBSTITUTE(SUBSTITUTE("[{global_atk,"&amp;#REF!*C216&amp;"}]",21,20),9,8))</f>
        <v>#REF!</v>
      </c>
      <c r="U216" s="40" t="str">
        <f t="shared" si="115"/>
        <v>[5503033]</v>
      </c>
      <c r="V216" s="26"/>
      <c r="W216" s="25"/>
      <c r="X216" s="32">
        <v>100</v>
      </c>
      <c r="Y216" s="25"/>
      <c r="Z216" s="32" t="s">
        <v>172</v>
      </c>
      <c r="AA216" s="32" t="str">
        <f t="shared" si="114"/>
        <v>进入战斗前60秒对怪物伤害+25%</v>
      </c>
      <c r="AB216" s="32"/>
      <c r="AC216" s="32" t="s">
        <v>166</v>
      </c>
      <c r="AD216" s="32">
        <f t="shared" si="105"/>
        <v>1211</v>
      </c>
      <c r="AE216" s="38" t="str">
        <f t="shared" si="110"/>
        <v>5503031</v>
      </c>
      <c r="AF216" s="32" t="str">
        <f t="shared" si="111"/>
        <v>[25]</v>
      </c>
      <c r="AG216" s="26">
        <v>3</v>
      </c>
      <c r="AH216" s="26"/>
      <c r="AI216" s="26">
        <v>0</v>
      </c>
      <c r="AJ216" s="25" t="s">
        <v>167</v>
      </c>
      <c r="AK216" s="38">
        <f t="shared" si="116"/>
        <v>5503033</v>
      </c>
      <c r="AL216" s="41" t="str">
        <f t="shared" si="117"/>
        <v>进入战斗前60秒对怪物伤害&lt;color=#54b76b&gt;+%s%&lt;/color&gt;</v>
      </c>
      <c r="AM216" s="26">
        <v>25</v>
      </c>
      <c r="AN216" s="26">
        <v>3</v>
      </c>
      <c r="AO216" s="26" t="s">
        <v>25</v>
      </c>
      <c r="AP216" s="20">
        <f t="shared" si="106"/>
        <v>211</v>
      </c>
    </row>
    <row r="217" s="20" customFormat="1" customHeight="1" spans="1:42">
      <c r="A217" s="38">
        <v>5503034</v>
      </c>
      <c r="B217" s="38" t="str">
        <f t="shared" si="107"/>
        <v>5503031</v>
      </c>
      <c r="C217" s="32">
        <f t="shared" si="108"/>
        <v>4</v>
      </c>
      <c r="D217" s="32"/>
      <c r="E217" s="26" t="s">
        <v>162</v>
      </c>
      <c r="F217" s="26">
        <f t="shared" si="102"/>
        <v>1</v>
      </c>
      <c r="G217" s="26">
        <f>IFERROR(IF(--MID($E217,2*COUNTIF($F217:F217,"&gt;"&amp;0)+2,1)=G$1,G$1,""),"")</f>
        <v>2</v>
      </c>
      <c r="H217" s="26">
        <f>IFERROR(IF(--MID($E217,2*COUNTIF($F217:G217,"&gt;"&amp;0)+2,1)=H$1,H$1,""),"")</f>
        <v>3</v>
      </c>
      <c r="I217" s="26">
        <f>IFERROR(IF(--MID($E217,2*COUNTIF($F217:H217,"&gt;"&amp;0)+2,1)=I$1,I$1,""),"")</f>
        <v>4</v>
      </c>
      <c r="J217" s="26">
        <f>IFERROR(IF(--MID($E217,2*COUNTIF($F217:I217,"&gt;"&amp;0)+2,1)=J$1,J$1,""),"")</f>
        <v>5</v>
      </c>
      <c r="K217" s="26">
        <f>IFERROR(IF(--MID($E217,2*COUNTIF($F217:J217,"&gt;"&amp;0)+2,1)=K$1,K$1,""),"")</f>
        <v>6</v>
      </c>
      <c r="L217" s="39" cm="1">
        <f t="array" ref="L217">IFERROR(IF($A217="","",IF(F217="","",_xlfn.XLOOKUP($C217&amp;"_"&amp;$AG217,符文权重!$A:$A&amp;"_"&amp;符文权重!$C:$C,符文权重!$D:$D)*$X217/SUMIFS($X:$X,F:F,F217,$C:$C,$C217,$AG:$AG,$AG217)/SUMIF(符文权重!$A:$A,$C217,符文权重!$D:$D))),"")</f>
        <v>0.118560606060606</v>
      </c>
      <c r="M217" s="39" cm="1">
        <f t="array" ref="M217">IFERROR(IF($A217="","",IF(G217="","",_xlfn.XLOOKUP($C217&amp;"_"&amp;$AG217,符文权重!$A:$A&amp;"_"&amp;符文权重!$C:$C,符文权重!$D:$D)*$X217/SUMIFS($X:$X,G:G,G217,$C:$C,$C217,$AG:$AG,$AG217)/SUMIF(符文权重!$A:$A,$C217,符文权重!$D:$D))),"")</f>
        <v>0.118560606060606</v>
      </c>
      <c r="N217" s="39" cm="1">
        <f t="array" ref="N217">IFERROR(IF($A217="","",IF(H217="","",_xlfn.XLOOKUP($C217&amp;"_"&amp;$AG217,符文权重!$A:$A&amp;"_"&amp;符文权重!$C:$C,符文权重!$D:$D)*$X217/SUMIFS($X:$X,H:H,H217,$C:$C,$C217,$AG:$AG,$AG217)/SUMIF(符文权重!$A:$A,$C217,符文权重!$D:$D))),"")</f>
        <v>0.126209677419355</v>
      </c>
      <c r="O217" s="39" cm="1">
        <f t="array" ref="O217">IFERROR(IF($A217="","",IF(I217="","",_xlfn.XLOOKUP($C217&amp;"_"&amp;$AG217,符文权重!$A:$A&amp;"_"&amp;符文权重!$C:$C,符文权重!$D:$D)*$X217/SUMIFS($X:$X,I:I,I217,$C:$C,$C217,$AG:$AG,$AG217)/SUMIF(符文权重!$A:$A,$C217,符文权重!$D:$D))),"")</f>
        <v>0.118560606060606</v>
      </c>
      <c r="P217" s="39" cm="1">
        <f t="array" ref="P217">IFERROR(IF($A217="","",IF(J217="","",_xlfn.XLOOKUP($C217&amp;"_"&amp;$AG217,符文权重!$A:$A&amp;"_"&amp;符文权重!$C:$C,符文权重!$D:$D)*$X217/SUMIFS($X:$X,J:J,J217,$C:$C,$C217,$AG:$AG,$AG217)/SUMIF(符文权重!$A:$A,$C217,符文权重!$D:$D))),"")</f>
        <v>0.126209677419355</v>
      </c>
      <c r="Q217" s="39" cm="1">
        <f t="array" ref="Q217">IFERROR(IF($A217="","",IF(K217="","",_xlfn.XLOOKUP($C217&amp;"_"&amp;$AG217,符文权重!$A:$A&amp;"_"&amp;符文权重!$C:$C,符文权重!$D:$D)*$X217/SUMIFS($X:$X,K:K,K217,$C:$C,$C217,$AG:$AG,$AG217)/SUMIF(符文权重!$A:$A,$C217,符文权重!$D:$D))),"")</f>
        <v>0.118560606060606</v>
      </c>
      <c r="R217" s="26" t="s">
        <v>163</v>
      </c>
      <c r="S217" s="26"/>
      <c r="T217" s="26" t="e">
        <f>IF(B217="","",SUBSTITUTE(SUBSTITUTE("[{global_atk,"&amp;#REF!*C217&amp;"}]",21,20),9,8))</f>
        <v>#REF!</v>
      </c>
      <c r="U217" s="40" t="str">
        <f t="shared" si="115"/>
        <v>[5503034]</v>
      </c>
      <c r="V217" s="26"/>
      <c r="W217" s="25"/>
      <c r="X217" s="32">
        <v>100</v>
      </c>
      <c r="Y217" s="25"/>
      <c r="Z217" s="32" t="s">
        <v>174</v>
      </c>
      <c r="AA217" s="32" t="str">
        <f t="shared" si="114"/>
        <v>进入战斗前60秒对怪物伤害+30%</v>
      </c>
      <c r="AB217" s="32"/>
      <c r="AC217" s="32" t="s">
        <v>166</v>
      </c>
      <c r="AD217" s="32">
        <f t="shared" si="105"/>
        <v>1212</v>
      </c>
      <c r="AE217" s="38" t="str">
        <f t="shared" si="110"/>
        <v>5503031</v>
      </c>
      <c r="AF217" s="32" t="str">
        <f t="shared" si="111"/>
        <v>[30]</v>
      </c>
      <c r="AG217" s="26">
        <v>3</v>
      </c>
      <c r="AH217" s="26"/>
      <c r="AI217" s="26">
        <v>0</v>
      </c>
      <c r="AJ217" s="25" t="s">
        <v>167</v>
      </c>
      <c r="AK217" s="38">
        <f t="shared" si="116"/>
        <v>5503034</v>
      </c>
      <c r="AL217" s="41" t="str">
        <f t="shared" si="117"/>
        <v>进入战斗前60秒对怪物伤害&lt;color=#54b76b&gt;+%s%&lt;/color&gt;</v>
      </c>
      <c r="AM217" s="26">
        <v>30</v>
      </c>
      <c r="AN217" s="26">
        <v>3</v>
      </c>
      <c r="AO217" s="26" t="s">
        <v>25</v>
      </c>
      <c r="AP217" s="20">
        <f t="shared" si="106"/>
        <v>212</v>
      </c>
    </row>
    <row r="218" s="20" customFormat="1" customHeight="1" spans="1:42">
      <c r="A218" s="38">
        <v>5503035</v>
      </c>
      <c r="B218" s="38" t="str">
        <f t="shared" si="107"/>
        <v>5503031</v>
      </c>
      <c r="C218" s="32">
        <f t="shared" si="108"/>
        <v>5</v>
      </c>
      <c r="D218" s="32"/>
      <c r="E218" s="26" t="s">
        <v>162</v>
      </c>
      <c r="F218" s="26">
        <f t="shared" si="102"/>
        <v>1</v>
      </c>
      <c r="G218" s="26">
        <f>IFERROR(IF(--MID($E218,2*COUNTIF($F218:F218,"&gt;"&amp;0)+2,1)=G$1,G$1,""),"")</f>
        <v>2</v>
      </c>
      <c r="H218" s="26">
        <f>IFERROR(IF(--MID($E218,2*COUNTIF($F218:G218,"&gt;"&amp;0)+2,1)=H$1,H$1,""),"")</f>
        <v>3</v>
      </c>
      <c r="I218" s="26">
        <f>IFERROR(IF(--MID($E218,2*COUNTIF($F218:H218,"&gt;"&amp;0)+2,1)=I$1,I$1,""),"")</f>
        <v>4</v>
      </c>
      <c r="J218" s="26">
        <f>IFERROR(IF(--MID($E218,2*COUNTIF($F218:I218,"&gt;"&amp;0)+2,1)=J$1,J$1,""),"")</f>
        <v>5</v>
      </c>
      <c r="K218" s="26">
        <f>IFERROR(IF(--MID($E218,2*COUNTIF($F218:J218,"&gt;"&amp;0)+2,1)=K$1,K$1,""),"")</f>
        <v>6</v>
      </c>
      <c r="L218" s="39" cm="1">
        <f t="array" ref="L218">IFERROR(IF($A218="","",IF(F218="","",_xlfn.XLOOKUP($C218&amp;"_"&amp;$AG218,符文权重!$A:$A&amp;"_"&amp;符文权重!$C:$C,符文权重!$D:$D)*$X218/SUMIFS($X:$X,F:F,F218,$C:$C,$C218,$AG:$AG,$AG218)/SUMIF(符文权重!$A:$A,$C218,符文权重!$D:$D))),"")</f>
        <v>0.139150943396226</v>
      </c>
      <c r="M218" s="39" cm="1">
        <f t="array" ref="M218">IFERROR(IF($A218="","",IF(G218="","",_xlfn.XLOOKUP($C218&amp;"_"&amp;$AG218,符文权重!$A:$A&amp;"_"&amp;符文权重!$C:$C,符文权重!$D:$D)*$X218/SUMIFS($X:$X,G:G,G218,$C:$C,$C218,$AG:$AG,$AG218)/SUMIF(符文权重!$A:$A,$C218,符文权重!$D:$D))),"")</f>
        <v>0.133484162895928</v>
      </c>
      <c r="N218" s="39" cm="1">
        <f t="array" ref="N218">IFERROR(IF($A218="","",IF(H218="","",_xlfn.XLOOKUP($C218&amp;"_"&amp;$AG218,符文权重!$A:$A&amp;"_"&amp;符文权重!$C:$C,符文权重!$D:$D)*$X218/SUMIFS($X:$X,H:H,H218,$C:$C,$C218,$AG:$AG,$AG218)/SUMIF(符文权重!$A:$A,$C218,符文权重!$D:$D))),"")</f>
        <v>0.139150943396226</v>
      </c>
      <c r="O218" s="39" cm="1">
        <f t="array" ref="O218">IFERROR(IF($A218="","",IF(I218="","",_xlfn.XLOOKUP($C218&amp;"_"&amp;$AG218,符文权重!$A:$A&amp;"_"&amp;符文权重!$C:$C,符文权重!$D:$D)*$X218/SUMIFS($X:$X,I:I,I218,$C:$C,$C218,$AG:$AG,$AG218)/SUMIF(符文权重!$A:$A,$C218,符文权重!$D:$D))),"")</f>
        <v>0.139150943396226</v>
      </c>
      <c r="P218" s="39" cm="1">
        <f t="array" ref="P218">IFERROR(IF($A218="","",IF(J218="","",_xlfn.XLOOKUP($C218&amp;"_"&amp;$AG218,符文权重!$A:$A&amp;"_"&amp;符文权重!$C:$C,符文权重!$D:$D)*$X218/SUMIFS($X:$X,J:J,J218,$C:$C,$C218,$AG:$AG,$AG218)/SUMIF(符文权重!$A:$A,$C218,符文权重!$D:$D))),"")</f>
        <v>0.133484162895928</v>
      </c>
      <c r="Q218" s="39" cm="1">
        <f t="array" ref="Q218">IFERROR(IF($A218="","",IF(K218="","",_xlfn.XLOOKUP($C218&amp;"_"&amp;$AG218,符文权重!$A:$A&amp;"_"&amp;符文权重!$C:$C,符文权重!$D:$D)*$X218/SUMIFS($X:$X,K:K,K218,$C:$C,$C218,$AG:$AG,$AG218)/SUMIF(符文权重!$A:$A,$C218,符文权重!$D:$D))),"")</f>
        <v>0.139150943396226</v>
      </c>
      <c r="R218" s="26" t="s">
        <v>163</v>
      </c>
      <c r="S218" s="26"/>
      <c r="T218" s="26" t="e">
        <f>IF(B218="","",SUBSTITUTE(SUBSTITUTE("[{global_atk,"&amp;#REF!*C218&amp;"}]",21,20),9,8))</f>
        <v>#REF!</v>
      </c>
      <c r="U218" s="40" t="str">
        <f t="shared" si="115"/>
        <v>[5503035]</v>
      </c>
      <c r="V218" s="26"/>
      <c r="W218" s="25"/>
      <c r="X218" s="32">
        <v>100</v>
      </c>
      <c r="Y218" s="25"/>
      <c r="Z218" s="32" t="s">
        <v>176</v>
      </c>
      <c r="AA218" s="32" t="str">
        <f t="shared" si="114"/>
        <v>进入战斗前60秒对怪物伤害+35%</v>
      </c>
      <c r="AB218" s="32"/>
      <c r="AC218" s="32" t="s">
        <v>166</v>
      </c>
      <c r="AD218" s="32">
        <f t="shared" si="105"/>
        <v>1213</v>
      </c>
      <c r="AE218" s="38" t="str">
        <f t="shared" si="110"/>
        <v>5503031</v>
      </c>
      <c r="AF218" s="32" t="str">
        <f t="shared" si="111"/>
        <v>[35]</v>
      </c>
      <c r="AG218" s="26">
        <v>3</v>
      </c>
      <c r="AH218" s="26"/>
      <c r="AI218" s="26">
        <v>0</v>
      </c>
      <c r="AJ218" s="25" t="s">
        <v>167</v>
      </c>
      <c r="AK218" s="38">
        <f t="shared" si="116"/>
        <v>5503035</v>
      </c>
      <c r="AL218" s="41" t="str">
        <f t="shared" si="117"/>
        <v>进入战斗前60秒对怪物伤害&lt;color=#54b76b&gt;+%s%&lt;/color&gt;</v>
      </c>
      <c r="AM218" s="26">
        <v>35</v>
      </c>
      <c r="AN218" s="26">
        <v>3</v>
      </c>
      <c r="AO218" s="26" t="s">
        <v>25</v>
      </c>
      <c r="AP218" s="20">
        <f t="shared" si="106"/>
        <v>213</v>
      </c>
    </row>
    <row r="219" s="20" customFormat="1" customHeight="1" spans="1:42">
      <c r="A219" s="38">
        <v>5503036</v>
      </c>
      <c r="B219" s="38" t="str">
        <f t="shared" si="107"/>
        <v>5503031</v>
      </c>
      <c r="C219" s="32">
        <f t="shared" si="108"/>
        <v>6</v>
      </c>
      <c r="D219" s="32"/>
      <c r="E219" s="26" t="s">
        <v>162</v>
      </c>
      <c r="F219" s="26">
        <f t="shared" si="102"/>
        <v>1</v>
      </c>
      <c r="G219" s="26">
        <f>IFERROR(IF(--MID($E219,2*COUNTIF($F219:F219,"&gt;"&amp;0)+2,1)=G$1,G$1,""),"")</f>
        <v>2</v>
      </c>
      <c r="H219" s="26">
        <f>IFERROR(IF(--MID($E219,2*COUNTIF($F219:G219,"&gt;"&amp;0)+2,1)=H$1,H$1,""),"")</f>
        <v>3</v>
      </c>
      <c r="I219" s="26">
        <f>IFERROR(IF(--MID($E219,2*COUNTIF($F219:H219,"&gt;"&amp;0)+2,1)=I$1,I$1,""),"")</f>
        <v>4</v>
      </c>
      <c r="J219" s="26">
        <f>IFERROR(IF(--MID($E219,2*COUNTIF($F219:I219,"&gt;"&amp;0)+2,1)=J$1,J$1,""),"")</f>
        <v>5</v>
      </c>
      <c r="K219" s="26">
        <f>IFERROR(IF(--MID($E219,2*COUNTIF($F219:J219,"&gt;"&amp;0)+2,1)=K$1,K$1,""),"")</f>
        <v>6</v>
      </c>
      <c r="L219" s="39" cm="1">
        <f t="array" ref="L219">IFERROR(IF($A219="","",IF(F219="","",_xlfn.XLOOKUP($C219&amp;"_"&amp;$AG219,符文权重!$A:$A&amp;"_"&amp;符文权重!$C:$C,符文权重!$D:$D)*$X219/SUMIFS($X:$X,F:F,F219,$C:$C,$C219,$AG:$AG,$AG219)/SUMIF(符文权重!$A:$A,$C219,符文权重!$D:$D))),"")</f>
        <v>0.139150943396226</v>
      </c>
      <c r="M219" s="39" cm="1">
        <f t="array" ref="M219">IFERROR(IF($A219="","",IF(G219="","",_xlfn.XLOOKUP($C219&amp;"_"&amp;$AG219,符文权重!$A:$A&amp;"_"&amp;符文权重!$C:$C,符文权重!$D:$D)*$X219/SUMIFS($X:$X,G:G,G219,$C:$C,$C219,$AG:$AG,$AG219)/SUMIF(符文权重!$A:$A,$C219,符文权重!$D:$D))),"")</f>
        <v>0.133484162895928</v>
      </c>
      <c r="N219" s="39" cm="1">
        <f t="array" ref="N219">IFERROR(IF($A219="","",IF(H219="","",_xlfn.XLOOKUP($C219&amp;"_"&amp;$AG219,符文权重!$A:$A&amp;"_"&amp;符文权重!$C:$C,符文权重!$D:$D)*$X219/SUMIFS($X:$X,H:H,H219,$C:$C,$C219,$AG:$AG,$AG219)/SUMIF(符文权重!$A:$A,$C219,符文权重!$D:$D))),"")</f>
        <v>0.139150943396226</v>
      </c>
      <c r="O219" s="39" cm="1">
        <f t="array" ref="O219">IFERROR(IF($A219="","",IF(I219="","",_xlfn.XLOOKUP($C219&amp;"_"&amp;$AG219,符文权重!$A:$A&amp;"_"&amp;符文权重!$C:$C,符文权重!$D:$D)*$X219/SUMIFS($X:$X,I:I,I219,$C:$C,$C219,$AG:$AG,$AG219)/SUMIF(符文权重!$A:$A,$C219,符文权重!$D:$D))),"")</f>
        <v>0.139150943396226</v>
      </c>
      <c r="P219" s="39" cm="1">
        <f t="array" ref="P219">IFERROR(IF($A219="","",IF(J219="","",_xlfn.XLOOKUP($C219&amp;"_"&amp;$AG219,符文权重!$A:$A&amp;"_"&amp;符文权重!$C:$C,符文权重!$D:$D)*$X219/SUMIFS($X:$X,J:J,J219,$C:$C,$C219,$AG:$AG,$AG219)/SUMIF(符文权重!$A:$A,$C219,符文权重!$D:$D))),"")</f>
        <v>0.133484162895928</v>
      </c>
      <c r="Q219" s="39" cm="1">
        <f t="array" ref="Q219">IFERROR(IF($A219="","",IF(K219="","",_xlfn.XLOOKUP($C219&amp;"_"&amp;$AG219,符文权重!$A:$A&amp;"_"&amp;符文权重!$C:$C,符文权重!$D:$D)*$X219/SUMIFS($X:$X,K:K,K219,$C:$C,$C219,$AG:$AG,$AG219)/SUMIF(符文权重!$A:$A,$C219,符文权重!$D:$D))),"")</f>
        <v>0.139150943396226</v>
      </c>
      <c r="R219" s="26" t="s">
        <v>163</v>
      </c>
      <c r="S219" s="26"/>
      <c r="T219" s="26" t="e">
        <f>IF(B219="","",SUBSTITUTE(SUBSTITUTE("[{global_atk,"&amp;#REF!*C219&amp;"}]",21,20),9,8))</f>
        <v>#REF!</v>
      </c>
      <c r="U219" s="40" t="str">
        <f t="shared" si="115"/>
        <v>[5503036]</v>
      </c>
      <c r="V219" s="26"/>
      <c r="W219" s="25"/>
      <c r="X219" s="32">
        <v>100</v>
      </c>
      <c r="Y219" s="25"/>
      <c r="Z219" s="32" t="s">
        <v>178</v>
      </c>
      <c r="AA219" s="32" t="str">
        <f t="shared" si="114"/>
        <v>进入战斗前60秒对怪物伤害+40%</v>
      </c>
      <c r="AB219" s="32"/>
      <c r="AC219" s="32" t="s">
        <v>166</v>
      </c>
      <c r="AD219" s="32">
        <f t="shared" si="105"/>
        <v>1214</v>
      </c>
      <c r="AE219" s="38" t="str">
        <f t="shared" si="110"/>
        <v>5503031</v>
      </c>
      <c r="AF219" s="32" t="str">
        <f t="shared" si="111"/>
        <v>[40]</v>
      </c>
      <c r="AG219" s="26">
        <v>3</v>
      </c>
      <c r="AH219" s="26"/>
      <c r="AI219" s="26">
        <v>0</v>
      </c>
      <c r="AJ219" s="25" t="s">
        <v>167</v>
      </c>
      <c r="AK219" s="38">
        <f t="shared" si="116"/>
        <v>5503036</v>
      </c>
      <c r="AL219" s="41" t="str">
        <f t="shared" si="117"/>
        <v>进入战斗前60秒对怪物伤害&lt;color=#54b76b&gt;+%s%&lt;/color&gt;</v>
      </c>
      <c r="AM219" s="26">
        <v>40</v>
      </c>
      <c r="AN219" s="26">
        <v>3</v>
      </c>
      <c r="AO219" s="26" t="s">
        <v>25</v>
      </c>
      <c r="AP219" s="20">
        <f t="shared" si="106"/>
        <v>214</v>
      </c>
    </row>
    <row r="220" s="20" customFormat="1" customHeight="1" spans="1:42">
      <c r="A220" s="38">
        <v>5503037</v>
      </c>
      <c r="B220" s="38" t="str">
        <f t="shared" si="107"/>
        <v>5503031</v>
      </c>
      <c r="C220" s="32">
        <f t="shared" si="108"/>
        <v>7</v>
      </c>
      <c r="D220" s="32"/>
      <c r="E220" s="26" t="s">
        <v>162</v>
      </c>
      <c r="F220" s="26">
        <f t="shared" si="102"/>
        <v>1</v>
      </c>
      <c r="G220" s="26">
        <f>IFERROR(IF(--MID($E220,2*COUNTIF($F220:F220,"&gt;"&amp;0)+2,1)=G$1,G$1,""),"")</f>
        <v>2</v>
      </c>
      <c r="H220" s="26">
        <f>IFERROR(IF(--MID($E220,2*COUNTIF($F220:G220,"&gt;"&amp;0)+2,1)=H$1,H$1,""),"")</f>
        <v>3</v>
      </c>
      <c r="I220" s="26">
        <f>IFERROR(IF(--MID($E220,2*COUNTIF($F220:H220,"&gt;"&amp;0)+2,1)=I$1,I$1,""),"")</f>
        <v>4</v>
      </c>
      <c r="J220" s="26">
        <f>IFERROR(IF(--MID($E220,2*COUNTIF($F220:I220,"&gt;"&amp;0)+2,1)=J$1,J$1,""),"")</f>
        <v>5</v>
      </c>
      <c r="K220" s="26">
        <f>IFERROR(IF(--MID($E220,2*COUNTIF($F220:J220,"&gt;"&amp;0)+2,1)=K$1,K$1,""),"")</f>
        <v>6</v>
      </c>
      <c r="L220" s="39" cm="1">
        <f t="array" ref="L220">IFERROR(IF($A220="","",IF(F220="","",_xlfn.XLOOKUP($C220&amp;"_"&amp;$AG220,符文权重!$A:$A&amp;"_"&amp;符文权重!$C:$C,符文权重!$D:$D)*$X220/SUMIFS($X:$X,F:F,F220,$C:$C,$C220,$AG:$AG,$AG220)/SUMIF(符文权重!$A:$A,$C220,符文权重!$D:$D))),"")</f>
        <v>0.139150943396226</v>
      </c>
      <c r="M220" s="39" cm="1">
        <f t="array" ref="M220">IFERROR(IF($A220="","",IF(G220="","",_xlfn.XLOOKUP($C220&amp;"_"&amp;$AG220,符文权重!$A:$A&amp;"_"&amp;符文权重!$C:$C,符文权重!$D:$D)*$X220/SUMIFS($X:$X,G:G,G220,$C:$C,$C220,$AG:$AG,$AG220)/SUMIF(符文权重!$A:$A,$C220,符文权重!$D:$D))),"")</f>
        <v>0.133484162895928</v>
      </c>
      <c r="N220" s="39" cm="1">
        <f t="array" ref="N220">IFERROR(IF($A220="","",IF(H220="","",_xlfn.XLOOKUP($C220&amp;"_"&amp;$AG220,符文权重!$A:$A&amp;"_"&amp;符文权重!$C:$C,符文权重!$D:$D)*$X220/SUMIFS($X:$X,H:H,H220,$C:$C,$C220,$AG:$AG,$AG220)/SUMIF(符文权重!$A:$A,$C220,符文权重!$D:$D))),"")</f>
        <v>0.139150943396226</v>
      </c>
      <c r="O220" s="39" cm="1">
        <f t="array" ref="O220">IFERROR(IF($A220="","",IF(I220="","",_xlfn.XLOOKUP($C220&amp;"_"&amp;$AG220,符文权重!$A:$A&amp;"_"&amp;符文权重!$C:$C,符文权重!$D:$D)*$X220/SUMIFS($X:$X,I:I,I220,$C:$C,$C220,$AG:$AG,$AG220)/SUMIF(符文权重!$A:$A,$C220,符文权重!$D:$D))),"")</f>
        <v>0.139150943396226</v>
      </c>
      <c r="P220" s="39" cm="1">
        <f t="array" ref="P220">IFERROR(IF($A220="","",IF(J220="","",_xlfn.XLOOKUP($C220&amp;"_"&amp;$AG220,符文权重!$A:$A&amp;"_"&amp;符文权重!$C:$C,符文权重!$D:$D)*$X220/SUMIFS($X:$X,J:J,J220,$C:$C,$C220,$AG:$AG,$AG220)/SUMIF(符文权重!$A:$A,$C220,符文权重!$D:$D))),"")</f>
        <v>0.133484162895928</v>
      </c>
      <c r="Q220" s="39" cm="1">
        <f t="array" ref="Q220">IFERROR(IF($A220="","",IF(K220="","",_xlfn.XLOOKUP($C220&amp;"_"&amp;$AG220,符文权重!$A:$A&amp;"_"&amp;符文权重!$C:$C,符文权重!$D:$D)*$X220/SUMIFS($X:$X,K:K,K220,$C:$C,$C220,$AG:$AG,$AG220)/SUMIF(符文权重!$A:$A,$C220,符文权重!$D:$D))),"")</f>
        <v>0.139150943396226</v>
      </c>
      <c r="R220" s="26" t="s">
        <v>163</v>
      </c>
      <c r="S220" s="26"/>
      <c r="T220" s="26" t="e">
        <f>IF(B220="","",SUBSTITUTE(SUBSTITUTE("[{global_atk,"&amp;#REF!*C220&amp;"}]",21,20),9,8))</f>
        <v>#REF!</v>
      </c>
      <c r="U220" s="40" t="str">
        <f t="shared" si="115"/>
        <v>[5503037]</v>
      </c>
      <c r="V220" s="26"/>
      <c r="W220" s="25"/>
      <c r="X220" s="32">
        <v>100</v>
      </c>
      <c r="Y220" s="25"/>
      <c r="Z220" s="32" t="s">
        <v>180</v>
      </c>
      <c r="AA220" s="32" t="str">
        <f t="shared" si="114"/>
        <v>进入战斗前60秒对怪物伤害+45%</v>
      </c>
      <c r="AB220" s="32"/>
      <c r="AC220" s="32" t="s">
        <v>166</v>
      </c>
      <c r="AD220" s="32">
        <f t="shared" si="105"/>
        <v>1215</v>
      </c>
      <c r="AE220" s="38" t="str">
        <f t="shared" si="110"/>
        <v>5503031</v>
      </c>
      <c r="AF220" s="32" t="str">
        <f t="shared" si="111"/>
        <v>[45]</v>
      </c>
      <c r="AG220" s="26">
        <v>3</v>
      </c>
      <c r="AH220" s="26"/>
      <c r="AI220" s="26">
        <v>0</v>
      </c>
      <c r="AJ220" s="25" t="s">
        <v>167</v>
      </c>
      <c r="AK220" s="38">
        <f t="shared" si="116"/>
        <v>5503037</v>
      </c>
      <c r="AL220" s="41" t="str">
        <f t="shared" si="117"/>
        <v>进入战斗前60秒对怪物伤害&lt;color=#54b76b&gt;+%s%&lt;/color&gt;</v>
      </c>
      <c r="AM220" s="26">
        <v>45</v>
      </c>
      <c r="AN220" s="26">
        <v>3</v>
      </c>
      <c r="AO220" s="26" t="s">
        <v>25</v>
      </c>
      <c r="AP220" s="20">
        <f t="shared" si="106"/>
        <v>215</v>
      </c>
    </row>
    <row r="221" s="20" customFormat="1" customHeight="1" spans="1:42">
      <c r="A221" s="38" t="s">
        <v>167</v>
      </c>
      <c r="B221" s="38" t="str">
        <f t="shared" si="107"/>
        <v/>
      </c>
      <c r="C221" s="32" t="str">
        <f t="shared" si="108"/>
        <v/>
      </c>
      <c r="D221" s="32"/>
      <c r="E221" s="26"/>
      <c r="F221" s="26" t="str">
        <f t="shared" si="102"/>
        <v/>
      </c>
      <c r="G221" s="26" t="str">
        <f>IFERROR(IF(--MID($E221,2*COUNTIF($F221:F221,"&gt;"&amp;0)+2,1)=G$1,G$1,""),"")</f>
        <v/>
      </c>
      <c r="H221" s="26" t="str">
        <f>IFERROR(IF(--MID($E221,2*COUNTIF($F221:G221,"&gt;"&amp;0)+2,1)=H$1,H$1,""),"")</f>
        <v/>
      </c>
      <c r="I221" s="26" t="str">
        <f>IFERROR(IF(--MID($E221,2*COUNTIF($F221:H221,"&gt;"&amp;0)+2,1)=I$1,I$1,""),"")</f>
        <v/>
      </c>
      <c r="J221" s="26" t="str">
        <f>IFERROR(IF(--MID($E221,2*COUNTIF($F221:I221,"&gt;"&amp;0)+2,1)=J$1,J$1,""),"")</f>
        <v/>
      </c>
      <c r="K221" s="26" t="str">
        <f>IFERROR(IF(--MID($E221,2*COUNTIF($F221:J221,"&gt;"&amp;0)+2,1)=K$1,K$1,""),"")</f>
        <v/>
      </c>
      <c r="L221" s="39" t="str" cm="1">
        <f t="array" ref="L221">IFERROR(IF($A221="","",IF(F221="","",_xlfn.XLOOKUP($C221&amp;"_"&amp;$AG221,符文权重!$A:$A&amp;"_"&amp;符文权重!$C:$C,符文权重!$D:$D)*$X221/SUMIFS($X:$X,F:F,F221,$C:$C,$C221,$AG:$AG,$AG221)/SUMIF(符文权重!$A:$A,$C221,符文权重!$D:$D))),"")</f>
        <v/>
      </c>
      <c r="M221" s="39" t="str" cm="1">
        <f t="array" ref="M221">IFERROR(IF($A221="","",IF(G221="","",_xlfn.XLOOKUP($C221&amp;"_"&amp;$AG221,符文权重!$A:$A&amp;"_"&amp;符文权重!$C:$C,符文权重!$D:$D)*$X221/SUMIFS($X:$X,G:G,G221,$C:$C,$C221,$AG:$AG,$AG221)/SUMIF(符文权重!$A:$A,$C221,符文权重!$D:$D))),"")</f>
        <v/>
      </c>
      <c r="N221" s="39" t="str" cm="1">
        <f t="array" ref="N221">IFERROR(IF($A221="","",IF(H221="","",_xlfn.XLOOKUP($C221&amp;"_"&amp;$AG221,符文权重!$A:$A&amp;"_"&amp;符文权重!$C:$C,符文权重!$D:$D)*$X221/SUMIFS($X:$X,H:H,H221,$C:$C,$C221,$AG:$AG,$AG221)/SUMIF(符文权重!$A:$A,$C221,符文权重!$D:$D))),"")</f>
        <v/>
      </c>
      <c r="O221" s="39" t="str" cm="1">
        <f t="array" ref="O221">IFERROR(IF($A221="","",IF(I221="","",_xlfn.XLOOKUP($C221&amp;"_"&amp;$AG221,符文权重!$A:$A&amp;"_"&amp;符文权重!$C:$C,符文权重!$D:$D)*$X221/SUMIFS($X:$X,I:I,I221,$C:$C,$C221,$AG:$AG,$AG221)/SUMIF(符文权重!$A:$A,$C221,符文权重!$D:$D))),"")</f>
        <v/>
      </c>
      <c r="P221" s="39" t="str" cm="1">
        <f t="array" ref="P221">IFERROR(IF($A221="","",IF(J221="","",_xlfn.XLOOKUP($C221&amp;"_"&amp;$AG221,符文权重!$A:$A&amp;"_"&amp;符文权重!$C:$C,符文权重!$D:$D)*$X221/SUMIFS($X:$X,J:J,J221,$C:$C,$C221,$AG:$AG,$AG221)/SUMIF(符文权重!$A:$A,$C221,符文权重!$D:$D))),"")</f>
        <v/>
      </c>
      <c r="Q221" s="39" t="str" cm="1">
        <f t="array" ref="Q221">IFERROR(IF($A221="","",IF(K221="","",_xlfn.XLOOKUP($C221&amp;"_"&amp;$AG221,符文权重!$A:$A&amp;"_"&amp;符文权重!$C:$C,符文权重!$D:$D)*$X221/SUMIFS($X:$X,K:K,K221,$C:$C,$C221,$AG:$AG,$AG221)/SUMIF(符文权重!$A:$A,$C221,符文权重!$D:$D))),"")</f>
        <v/>
      </c>
      <c r="R221" s="26"/>
      <c r="S221" s="26"/>
      <c r="T221" s="26"/>
      <c r="V221" s="31"/>
      <c r="W221" s="25"/>
      <c r="X221" s="32"/>
      <c r="Y221" s="25"/>
      <c r="Z221" s="32" t="s">
        <v>167</v>
      </c>
      <c r="AA221" s="32" t="str">
        <f t="shared" si="114"/>
        <v/>
      </c>
      <c r="AB221" s="32"/>
      <c r="AC221" s="32" t="s">
        <v>166</v>
      </c>
      <c r="AD221" s="32">
        <f t="shared" si="105"/>
        <v>1216</v>
      </c>
      <c r="AE221" s="38" t="str">
        <f t="shared" si="110"/>
        <v/>
      </c>
      <c r="AF221" s="32" t="str">
        <f t="shared" si="111"/>
        <v/>
      </c>
      <c r="AG221" s="26"/>
      <c r="AH221" s="26"/>
      <c r="AI221" s="26"/>
      <c r="AJ221" s="25" t="s">
        <v>167</v>
      </c>
      <c r="AK221" s="24"/>
      <c r="AL221" s="43"/>
      <c r="AM221" s="26"/>
      <c r="AN221" s="26"/>
      <c r="AO221" s="26"/>
      <c r="AP221" s="20">
        <f t="shared" si="106"/>
        <v>216</v>
      </c>
    </row>
    <row r="222" s="22" customFormat="1" customHeight="1" spans="1:42">
      <c r="A222" s="44">
        <v>5503041</v>
      </c>
      <c r="B222" s="44" t="str">
        <f t="shared" si="107"/>
        <v>5503041</v>
      </c>
      <c r="C222" s="45">
        <f t="shared" si="108"/>
        <v>1</v>
      </c>
      <c r="D222" s="45"/>
      <c r="E222" s="46" t="s">
        <v>162</v>
      </c>
      <c r="F222" s="26">
        <f t="shared" si="102"/>
        <v>1</v>
      </c>
      <c r="G222" s="26">
        <f>IFERROR(IF(--MID($E222,2*COUNTIF($F222:F222,"&gt;"&amp;0)+2,1)=G$1,G$1,""),"")</f>
        <v>2</v>
      </c>
      <c r="H222" s="26">
        <f>IFERROR(IF(--MID($E222,2*COUNTIF($F222:G222,"&gt;"&amp;0)+2,1)=H$1,H$1,""),"")</f>
        <v>3</v>
      </c>
      <c r="I222" s="26">
        <f>IFERROR(IF(--MID($E222,2*COUNTIF($F222:H222,"&gt;"&amp;0)+2,1)=I$1,I$1,""),"")</f>
        <v>4</v>
      </c>
      <c r="J222" s="26">
        <f>IFERROR(IF(--MID($E222,2*COUNTIF($F222:I222,"&gt;"&amp;0)+2,1)=J$1,J$1,""),"")</f>
        <v>5</v>
      </c>
      <c r="K222" s="26">
        <f>IFERROR(IF(--MID($E222,2*COUNTIF($F222:J222,"&gt;"&amp;0)+2,1)=K$1,K$1,""),"")</f>
        <v>6</v>
      </c>
      <c r="L222" s="39" t="str" cm="1">
        <f t="array" ref="L222">IFERROR(IF($A222="","",IF(F222="","",_xlfn.XLOOKUP($C222&amp;"_"&amp;$AG222,符文权重!$A:$A&amp;"_"&amp;符文权重!$C:$C,符文权重!$D:$D)*$X222/SUMIFS($X:$X,F:F,F222,$C:$C,$C222,$AG:$AG,$AG222)/SUMIF(符文权重!$A:$A,$C222,符文权重!$D:$D))),"")</f>
        <v/>
      </c>
      <c r="M222" s="39" t="str" cm="1">
        <f t="array" ref="M222">IFERROR(IF($A222="","",IF(G222="","",_xlfn.XLOOKUP($C222&amp;"_"&amp;$AG222,符文权重!$A:$A&amp;"_"&amp;符文权重!$C:$C,符文权重!$D:$D)*$X222/SUMIFS($X:$X,G:G,G222,$C:$C,$C222,$AG:$AG,$AG222)/SUMIF(符文权重!$A:$A,$C222,符文权重!$D:$D))),"")</f>
        <v/>
      </c>
      <c r="N222" s="39" t="str" cm="1">
        <f t="array" ref="N222">IFERROR(IF($A222="","",IF(H222="","",_xlfn.XLOOKUP($C222&amp;"_"&amp;$AG222,符文权重!$A:$A&amp;"_"&amp;符文权重!$C:$C,符文权重!$D:$D)*$X222/SUMIFS($X:$X,H:H,H222,$C:$C,$C222,$AG:$AG,$AG222)/SUMIF(符文权重!$A:$A,$C222,符文权重!$D:$D))),"")</f>
        <v/>
      </c>
      <c r="O222" s="39" t="str" cm="1">
        <f t="array" ref="O222">IFERROR(IF($A222="","",IF(I222="","",_xlfn.XLOOKUP($C222&amp;"_"&amp;$AG222,符文权重!$A:$A&amp;"_"&amp;符文权重!$C:$C,符文权重!$D:$D)*$X222/SUMIFS($X:$X,I:I,I222,$C:$C,$C222,$AG:$AG,$AG222)/SUMIF(符文权重!$A:$A,$C222,符文权重!$D:$D))),"")</f>
        <v/>
      </c>
      <c r="P222" s="39" t="str" cm="1">
        <f t="array" ref="P222">IFERROR(IF($A222="","",IF(J222="","",_xlfn.XLOOKUP($C222&amp;"_"&amp;$AG222,符文权重!$A:$A&amp;"_"&amp;符文权重!$C:$C,符文权重!$D:$D)*$X222/SUMIFS($X:$X,J:J,J222,$C:$C,$C222,$AG:$AG,$AG222)/SUMIF(符文权重!$A:$A,$C222,符文权重!$D:$D))),"")</f>
        <v/>
      </c>
      <c r="Q222" s="39" t="str" cm="1">
        <f t="array" ref="Q222">IFERROR(IF($A222="","",IF(K222="","",_xlfn.XLOOKUP($C222&amp;"_"&amp;$AG222,符文权重!$A:$A&amp;"_"&amp;符文权重!$C:$C,符文权重!$D:$D)*$X222/SUMIFS($X:$X,K:K,K222,$C:$C,$C222,$AG:$AG,$AG222)/SUMIF(符文权重!$A:$A,$C222,符文权重!$D:$D))),"")</f>
        <v/>
      </c>
      <c r="R222" s="46" t="s">
        <v>163</v>
      </c>
      <c r="S222" s="46"/>
      <c r="T222" s="46" t="e">
        <f>IF(B222="","",SUBSTITUTE(SUBSTITUTE("[{global_atk,"&amp;#REF!*C222&amp;"}]",21,20),9,8))</f>
        <v>#REF!</v>
      </c>
      <c r="U222" s="47" t="str">
        <f t="shared" ref="U222:U228" si="118">"["&amp;A222&amp;"]"</f>
        <v>[5503041]</v>
      </c>
      <c r="V222" s="46" t="s">
        <v>348</v>
      </c>
      <c r="W222" s="23"/>
      <c r="X222" s="32">
        <v>100</v>
      </c>
      <c r="Y222" s="23"/>
      <c r="Z222" s="45" t="s">
        <v>165</v>
      </c>
      <c r="AA222" s="32" t="str">
        <f t="shared" si="114"/>
        <v>对精英和首领伤害+10%</v>
      </c>
      <c r="AB222" s="32"/>
      <c r="AC222" s="32" t="s">
        <v>166</v>
      </c>
      <c r="AD222" s="32">
        <f t="shared" si="105"/>
        <v>1217</v>
      </c>
      <c r="AE222" s="44" t="str">
        <f t="shared" si="110"/>
        <v>5503041</v>
      </c>
      <c r="AF222" s="45" t="str">
        <f t="shared" si="111"/>
        <v>[10]</v>
      </c>
      <c r="AG222" s="26">
        <v>100</v>
      </c>
      <c r="AH222" s="46"/>
      <c r="AI222" s="46">
        <v>1</v>
      </c>
      <c r="AJ222" s="25" t="s">
        <v>167</v>
      </c>
      <c r="AK222" s="48">
        <v>5503041</v>
      </c>
      <c r="AL222" s="49" t="s">
        <v>349</v>
      </c>
      <c r="AM222" s="46">
        <v>10</v>
      </c>
      <c r="AN222" s="26"/>
      <c r="AO222" s="26" t="s">
        <v>25</v>
      </c>
      <c r="AP222" s="20">
        <f t="shared" si="106"/>
        <v>217</v>
      </c>
    </row>
    <row r="223" s="20" customFormat="1" customHeight="1" spans="1:42">
      <c r="A223" s="38">
        <v>5503042</v>
      </c>
      <c r="B223" s="38" t="str">
        <f t="shared" si="107"/>
        <v>5503041</v>
      </c>
      <c r="C223" s="32">
        <f t="shared" si="108"/>
        <v>2</v>
      </c>
      <c r="D223" s="32"/>
      <c r="E223" s="26" t="s">
        <v>162</v>
      </c>
      <c r="F223" s="26">
        <f t="shared" si="102"/>
        <v>1</v>
      </c>
      <c r="G223" s="26">
        <f>IFERROR(IF(--MID($E223,2*COUNTIF($F223:F223,"&gt;"&amp;0)+2,1)=G$1,G$1,""),"")</f>
        <v>2</v>
      </c>
      <c r="H223" s="26">
        <f>IFERROR(IF(--MID($E223,2*COUNTIF($F223:G223,"&gt;"&amp;0)+2,1)=H$1,H$1,""),"")</f>
        <v>3</v>
      </c>
      <c r="I223" s="26">
        <f>IFERROR(IF(--MID($E223,2*COUNTIF($F223:H223,"&gt;"&amp;0)+2,1)=I$1,I$1,""),"")</f>
        <v>4</v>
      </c>
      <c r="J223" s="26">
        <f>IFERROR(IF(--MID($E223,2*COUNTIF($F223:I223,"&gt;"&amp;0)+2,1)=J$1,J$1,""),"")</f>
        <v>5</v>
      </c>
      <c r="K223" s="26">
        <f>IFERROR(IF(--MID($E223,2*COUNTIF($F223:J223,"&gt;"&amp;0)+2,1)=K$1,K$1,""),"")</f>
        <v>6</v>
      </c>
      <c r="L223" s="39" cm="1">
        <f t="array" ref="L223">IFERROR(IF($A223="","",IF(F223="","",_xlfn.XLOOKUP($C223&amp;"_"&amp;$AG223,符文权重!$A:$A&amp;"_"&amp;符文权重!$C:$C,符文权重!$D:$D)*$X223/SUMIFS($X:$X,F:F,F223,$C:$C,$C223,$AG:$AG,$AG223)/SUMIF(符文权重!$A:$A,$C223,符文权重!$D:$D))),"")</f>
        <v>0.1</v>
      </c>
      <c r="M223" s="39" cm="1">
        <f t="array" ref="M223">IFERROR(IF($A223="","",IF(G223="","",_xlfn.XLOOKUP($C223&amp;"_"&amp;$AG223,符文权重!$A:$A&amp;"_"&amp;符文权重!$C:$C,符文权重!$D:$D)*$X223/SUMIFS($X:$X,G:G,G223,$C:$C,$C223,$AG:$AG,$AG223)/SUMIF(符文权重!$A:$A,$C223,符文权重!$D:$D))),"")</f>
        <v>0.11</v>
      </c>
      <c r="N223" s="39" cm="1">
        <f t="array" ref="N223">IFERROR(IF($A223="","",IF(H223="","",_xlfn.XLOOKUP($C223&amp;"_"&amp;$AG223,符文权重!$A:$A&amp;"_"&amp;符文权重!$C:$C,符文权重!$D:$D)*$X223/SUMIFS($X:$X,H:H,H223,$C:$C,$C223,$AG:$AG,$AG223)/SUMIF(符文权重!$A:$A,$C223,符文权重!$D:$D))),"")</f>
        <v>0.1</v>
      </c>
      <c r="O223" s="39" cm="1">
        <f t="array" ref="O223">IFERROR(IF($A223="","",IF(I223="","",_xlfn.XLOOKUP($C223&amp;"_"&amp;$AG223,符文权重!$A:$A&amp;"_"&amp;符文权重!$C:$C,符文权重!$D:$D)*$X223/SUMIFS($X:$X,I:I,I223,$C:$C,$C223,$AG:$AG,$AG223)/SUMIF(符文权重!$A:$A,$C223,符文权重!$D:$D))),"")</f>
        <v>0.11</v>
      </c>
      <c r="P223" s="39" cm="1">
        <f t="array" ref="P223">IFERROR(IF($A223="","",IF(J223="","",_xlfn.XLOOKUP($C223&amp;"_"&amp;$AG223,符文权重!$A:$A&amp;"_"&amp;符文权重!$C:$C,符文权重!$D:$D)*$X223/SUMIFS($X:$X,J:J,J223,$C:$C,$C223,$AG:$AG,$AG223)/SUMIF(符文权重!$A:$A,$C223,符文权重!$D:$D))),"")</f>
        <v>0.1</v>
      </c>
      <c r="Q223" s="39" cm="1">
        <f t="array" ref="Q223">IFERROR(IF($A223="","",IF(K223="","",_xlfn.XLOOKUP($C223&amp;"_"&amp;$AG223,符文权重!$A:$A&amp;"_"&amp;符文权重!$C:$C,符文权重!$D:$D)*$X223/SUMIFS($X:$X,K:K,K223,$C:$C,$C223,$AG:$AG,$AG223)/SUMIF(符文权重!$A:$A,$C223,符文权重!$D:$D))),"")</f>
        <v>0.11</v>
      </c>
      <c r="R223" s="26" t="s">
        <v>163</v>
      </c>
      <c r="S223" s="26"/>
      <c r="T223" s="26" t="e">
        <f>IF(B223="","",SUBSTITUTE(SUBSTITUTE("[{global_atk,"&amp;#REF!*C223&amp;"}]",21,20),9,8))</f>
        <v>#REF!</v>
      </c>
      <c r="U223" s="40" t="str">
        <f t="shared" si="118"/>
        <v>[5503042]</v>
      </c>
      <c r="V223" s="26" t="s">
        <v>350</v>
      </c>
      <c r="W223" s="25"/>
      <c r="X223" s="32">
        <v>100</v>
      </c>
      <c r="Y223" s="25"/>
      <c r="Z223" s="32" t="s">
        <v>170</v>
      </c>
      <c r="AA223" s="32" t="str">
        <f t="shared" si="114"/>
        <v>对精英和首领伤害+15%</v>
      </c>
      <c r="AB223" s="32"/>
      <c r="AC223" s="32" t="s">
        <v>166</v>
      </c>
      <c r="AD223" s="32">
        <f t="shared" si="105"/>
        <v>1218</v>
      </c>
      <c r="AE223" s="38" t="str">
        <f t="shared" si="110"/>
        <v>5503041</v>
      </c>
      <c r="AF223" s="32" t="str">
        <f t="shared" si="111"/>
        <v>[15]</v>
      </c>
      <c r="AG223" s="26">
        <v>2</v>
      </c>
      <c r="AH223" s="26"/>
      <c r="AI223" s="26">
        <v>0</v>
      </c>
      <c r="AJ223" s="25" t="s">
        <v>167</v>
      </c>
      <c r="AK223" s="38">
        <f t="shared" ref="AK223:AK228" si="119">AK222+1</f>
        <v>5503042</v>
      </c>
      <c r="AL223" s="41" t="str">
        <f t="shared" ref="AL223:AL228" si="120">AL222</f>
        <v>对精英和首领伤害&lt;color=#54b76b&gt;+%s%&lt;/color&gt;</v>
      </c>
      <c r="AM223" s="26">
        <v>15</v>
      </c>
      <c r="AN223" s="26">
        <v>2</v>
      </c>
      <c r="AO223" s="26" t="s">
        <v>25</v>
      </c>
      <c r="AP223" s="20">
        <f t="shared" si="106"/>
        <v>218</v>
      </c>
    </row>
    <row r="224" s="20" customFormat="1" customHeight="1" spans="1:42">
      <c r="A224" s="38">
        <v>5503043</v>
      </c>
      <c r="B224" s="38" t="str">
        <f t="shared" si="107"/>
        <v>5503041</v>
      </c>
      <c r="C224" s="32">
        <f t="shared" si="108"/>
        <v>3</v>
      </c>
      <c r="D224" s="32"/>
      <c r="E224" s="26" t="s">
        <v>162</v>
      </c>
      <c r="F224" s="26">
        <f t="shared" si="102"/>
        <v>1</v>
      </c>
      <c r="G224" s="26">
        <f>IFERROR(IF(--MID($E224,2*COUNTIF($F224:F224,"&gt;"&amp;0)+2,1)=G$1,G$1,""),"")</f>
        <v>2</v>
      </c>
      <c r="H224" s="26">
        <f>IFERROR(IF(--MID($E224,2*COUNTIF($F224:G224,"&gt;"&amp;0)+2,1)=H$1,H$1,""),"")</f>
        <v>3</v>
      </c>
      <c r="I224" s="26">
        <f>IFERROR(IF(--MID($E224,2*COUNTIF($F224:H224,"&gt;"&amp;0)+2,1)=I$1,I$1,""),"")</f>
        <v>4</v>
      </c>
      <c r="J224" s="26">
        <f>IFERROR(IF(--MID($E224,2*COUNTIF($F224:I224,"&gt;"&amp;0)+2,1)=J$1,J$1,""),"")</f>
        <v>5</v>
      </c>
      <c r="K224" s="26">
        <f>IFERROR(IF(--MID($E224,2*COUNTIF($F224:J224,"&gt;"&amp;0)+2,1)=K$1,K$1,""),"")</f>
        <v>6</v>
      </c>
      <c r="L224" s="39" cm="1">
        <f t="array" ref="L224">IFERROR(IF($A224="","",IF(F224="","",_xlfn.XLOOKUP($C224&amp;"_"&amp;$AG224,符文权重!$A:$A&amp;"_"&amp;符文权重!$C:$C,符文权重!$D:$D)*$X224/SUMIFS($X:$X,F:F,F224,$C:$C,$C224,$AG:$AG,$AG224)/SUMIF(符文权重!$A:$A,$C224,符文权重!$D:$D))),"")</f>
        <v>0.0909961685823755</v>
      </c>
      <c r="M224" s="39" cm="1">
        <f t="array" ref="M224">IFERROR(IF($A224="","",IF(G224="","",_xlfn.XLOOKUP($C224&amp;"_"&amp;$AG224,符文权重!$A:$A&amp;"_"&amp;符文权重!$C:$C,符文权重!$D:$D)*$X224/SUMIFS($X:$X,G:G,G224,$C:$C,$C224,$AG:$AG,$AG224)/SUMIF(符文权重!$A:$A,$C224,符文权重!$D:$D))),"")</f>
        <v>0.112559241706161</v>
      </c>
      <c r="N224" s="39" cm="1">
        <f t="array" ref="N224">IFERROR(IF($A224="","",IF(H224="","",_xlfn.XLOOKUP($C224&amp;"_"&amp;$AG224,符文权重!$A:$A&amp;"_"&amp;符文权重!$C:$C,符文权重!$D:$D)*$X224/SUMIFS($X:$X,H:H,H224,$C:$C,$C224,$AG:$AG,$AG224)/SUMIF(符文权重!$A:$A,$C224,符文权重!$D:$D))),"")</f>
        <v>0.0929549902152642</v>
      </c>
      <c r="O224" s="39" cm="1">
        <f t="array" ref="O224">IFERROR(IF($A224="","",IF(I224="","",_xlfn.XLOOKUP($C224&amp;"_"&amp;$AG224,符文权重!$A:$A&amp;"_"&amp;符文权重!$C:$C,符文权重!$D:$D)*$X224/SUMIFS($X:$X,I:I,I224,$C:$C,$C224,$AG:$AG,$AG224)/SUMIF(符文权重!$A:$A,$C224,符文权重!$D:$D))),"")</f>
        <v>0.0909961685823755</v>
      </c>
      <c r="P224" s="39" cm="1">
        <f t="array" ref="P224">IFERROR(IF($A224="","",IF(J224="","",_xlfn.XLOOKUP($C224&amp;"_"&amp;$AG224,符文权重!$A:$A&amp;"_"&amp;符文权重!$C:$C,符文权重!$D:$D)*$X224/SUMIFS($X:$X,J:J,J224,$C:$C,$C224,$AG:$AG,$AG224)/SUMIF(符文权重!$A:$A,$C224,符文权重!$D:$D))),"")</f>
        <v>0.115571776155718</v>
      </c>
      <c r="Q224" s="39" cm="1">
        <f t="array" ref="Q224">IFERROR(IF($A224="","",IF(K224="","",_xlfn.XLOOKUP($C224&amp;"_"&amp;$AG224,符文权重!$A:$A&amp;"_"&amp;符文权重!$C:$C,符文权重!$D:$D)*$X224/SUMIFS($X:$X,K:K,K224,$C:$C,$C224,$AG:$AG,$AG224)/SUMIF(符文权重!$A:$A,$C224,符文权重!$D:$D))),"")</f>
        <v>0.0909961685823755</v>
      </c>
      <c r="R224" s="26" t="s">
        <v>163</v>
      </c>
      <c r="S224" s="26"/>
      <c r="T224" s="26" t="e">
        <f>IF(B224="","",SUBSTITUTE(SUBSTITUTE("[{global_atk,"&amp;#REF!*C224&amp;"}]",21,20),9,8))</f>
        <v>#REF!</v>
      </c>
      <c r="U224" s="40" t="str">
        <f t="shared" si="118"/>
        <v>[5503043]</v>
      </c>
      <c r="V224" s="26" t="s">
        <v>351</v>
      </c>
      <c r="W224" s="25"/>
      <c r="X224" s="32">
        <v>100</v>
      </c>
      <c r="Y224" s="25"/>
      <c r="Z224" s="32" t="s">
        <v>172</v>
      </c>
      <c r="AA224" s="32" t="str">
        <f t="shared" si="114"/>
        <v>对精英和首领伤害+20%</v>
      </c>
      <c r="AB224" s="32"/>
      <c r="AC224" s="32" t="s">
        <v>166</v>
      </c>
      <c r="AD224" s="32">
        <f t="shared" si="105"/>
        <v>1219</v>
      </c>
      <c r="AE224" s="38" t="str">
        <f t="shared" si="110"/>
        <v>5503041</v>
      </c>
      <c r="AF224" s="32" t="str">
        <f t="shared" si="111"/>
        <v>[20]</v>
      </c>
      <c r="AG224" s="26">
        <v>2</v>
      </c>
      <c r="AH224" s="26"/>
      <c r="AI224" s="26">
        <v>0</v>
      </c>
      <c r="AJ224" s="25" t="s">
        <v>167</v>
      </c>
      <c r="AK224" s="38">
        <f t="shared" si="119"/>
        <v>5503043</v>
      </c>
      <c r="AL224" s="41" t="str">
        <f t="shared" si="120"/>
        <v>对精英和首领伤害&lt;color=#54b76b&gt;+%s%&lt;/color&gt;</v>
      </c>
      <c r="AM224" s="26">
        <v>20</v>
      </c>
      <c r="AN224" s="26">
        <v>2</v>
      </c>
      <c r="AO224" s="26" t="s">
        <v>25</v>
      </c>
      <c r="AP224" s="20">
        <f t="shared" si="106"/>
        <v>219</v>
      </c>
    </row>
    <row r="225" s="20" customFormat="1" customHeight="1" spans="1:42">
      <c r="A225" s="38">
        <v>5503044</v>
      </c>
      <c r="B225" s="38" t="str">
        <f t="shared" si="107"/>
        <v>5503041</v>
      </c>
      <c r="C225" s="32">
        <f t="shared" si="108"/>
        <v>4</v>
      </c>
      <c r="D225" s="32"/>
      <c r="E225" s="26" t="s">
        <v>162</v>
      </c>
      <c r="F225" s="26">
        <f t="shared" si="102"/>
        <v>1</v>
      </c>
      <c r="G225" s="26">
        <f>IFERROR(IF(--MID($E225,2*COUNTIF($F225:F225,"&gt;"&amp;0)+2,1)=G$1,G$1,""),"")</f>
        <v>2</v>
      </c>
      <c r="H225" s="26">
        <f>IFERROR(IF(--MID($E225,2*COUNTIF($F225:G225,"&gt;"&amp;0)+2,1)=H$1,H$1,""),"")</f>
        <v>3</v>
      </c>
      <c r="I225" s="26">
        <f>IFERROR(IF(--MID($E225,2*COUNTIF($F225:H225,"&gt;"&amp;0)+2,1)=I$1,I$1,""),"")</f>
        <v>4</v>
      </c>
      <c r="J225" s="26">
        <f>IFERROR(IF(--MID($E225,2*COUNTIF($F225:I225,"&gt;"&amp;0)+2,1)=J$1,J$1,""),"")</f>
        <v>5</v>
      </c>
      <c r="K225" s="26">
        <f>IFERROR(IF(--MID($E225,2*COUNTIF($F225:J225,"&gt;"&amp;0)+2,1)=K$1,K$1,""),"")</f>
        <v>6</v>
      </c>
      <c r="L225" s="39" cm="1">
        <f t="array" ref="L225">IFERROR(IF($A225="","",IF(F225="","",_xlfn.XLOOKUP($C225&amp;"_"&amp;$AG225,符文权重!$A:$A&amp;"_"&amp;符文权重!$C:$C,符文权重!$D:$D)*$X225/SUMIFS($X:$X,F:F,F225,$C:$C,$C225,$AG:$AG,$AG225)/SUMIF(符文权重!$A:$A,$C225,符文权重!$D:$D))),"")</f>
        <v>0.0626</v>
      </c>
      <c r="M225" s="39" cm="1">
        <f t="array" ref="M225">IFERROR(IF($A225="","",IF(G225="","",_xlfn.XLOOKUP($C225&amp;"_"&amp;$AG225,符文权重!$A:$A&amp;"_"&amp;符文权重!$C:$C,符文权重!$D:$D)*$X225/SUMIFS($X:$X,G:G,G225,$C:$C,$C225,$AG:$AG,$AG225)/SUMIF(符文权重!$A:$A,$C225,符文权重!$D:$D))),"")</f>
        <v>0.07825</v>
      </c>
      <c r="N225" s="39" cm="1">
        <f t="array" ref="N225">IFERROR(IF($A225="","",IF(H225="","",_xlfn.XLOOKUP($C225&amp;"_"&amp;$AG225,符文权重!$A:$A&amp;"_"&amp;符文权重!$C:$C,符文权重!$D:$D)*$X225/SUMIFS($X:$X,H:H,H225,$C:$C,$C225,$AG:$AG,$AG225)/SUMIF(符文权重!$A:$A,$C225,符文权重!$D:$D))),"")</f>
        <v>0.0626</v>
      </c>
      <c r="O225" s="39" cm="1">
        <f t="array" ref="O225">IFERROR(IF($A225="","",IF(I225="","",_xlfn.XLOOKUP($C225&amp;"_"&amp;$AG225,符文权重!$A:$A&amp;"_"&amp;符文权重!$C:$C,符文权重!$D:$D)*$X225/SUMIFS($X:$X,I:I,I225,$C:$C,$C225,$AG:$AG,$AG225)/SUMIF(符文权重!$A:$A,$C225,符文权重!$D:$D))),"")</f>
        <v>0.0626</v>
      </c>
      <c r="P225" s="39" cm="1">
        <f t="array" ref="P225">IFERROR(IF($A225="","",IF(J225="","",_xlfn.XLOOKUP($C225&amp;"_"&amp;$AG225,符文权重!$A:$A&amp;"_"&amp;符文权重!$C:$C,符文权重!$D:$D)*$X225/SUMIFS($X:$X,J:J,J225,$C:$C,$C225,$AG:$AG,$AG225)/SUMIF(符文权重!$A:$A,$C225,符文权重!$D:$D))),"")</f>
        <v>0.07825</v>
      </c>
      <c r="Q225" s="39" cm="1">
        <f t="array" ref="Q225">IFERROR(IF($A225="","",IF(K225="","",_xlfn.XLOOKUP($C225&amp;"_"&amp;$AG225,符文权重!$A:$A&amp;"_"&amp;符文权重!$C:$C,符文权重!$D:$D)*$X225/SUMIFS($X:$X,K:K,K225,$C:$C,$C225,$AG:$AG,$AG225)/SUMIF(符文权重!$A:$A,$C225,符文权重!$D:$D))),"")</f>
        <v>0.0626</v>
      </c>
      <c r="R225" s="26" t="s">
        <v>163</v>
      </c>
      <c r="S225" s="26"/>
      <c r="T225" s="26" t="e">
        <f>IF(B225="","",SUBSTITUTE(SUBSTITUTE("[{global_atk,"&amp;#REF!*C225&amp;"}]",21,20),9,8))</f>
        <v>#REF!</v>
      </c>
      <c r="U225" s="40" t="str">
        <f t="shared" si="118"/>
        <v>[5503044]</v>
      </c>
      <c r="V225" s="26" t="s">
        <v>352</v>
      </c>
      <c r="W225" s="25"/>
      <c r="X225" s="32">
        <v>100</v>
      </c>
      <c r="Y225" s="25"/>
      <c r="Z225" s="32" t="s">
        <v>174</v>
      </c>
      <c r="AA225" s="32" t="str">
        <f t="shared" si="114"/>
        <v>对精英和首领伤害+25%</v>
      </c>
      <c r="AB225" s="32"/>
      <c r="AC225" s="32" t="s">
        <v>166</v>
      </c>
      <c r="AD225" s="32">
        <f t="shared" si="105"/>
        <v>1220</v>
      </c>
      <c r="AE225" s="38" t="str">
        <f t="shared" si="110"/>
        <v>5503041</v>
      </c>
      <c r="AF225" s="32" t="str">
        <f t="shared" si="111"/>
        <v>[25]</v>
      </c>
      <c r="AG225" s="26">
        <v>2</v>
      </c>
      <c r="AH225" s="26"/>
      <c r="AI225" s="26">
        <v>0</v>
      </c>
      <c r="AJ225" s="25" t="s">
        <v>167</v>
      </c>
      <c r="AK225" s="38">
        <f t="shared" si="119"/>
        <v>5503044</v>
      </c>
      <c r="AL225" s="41" t="str">
        <f t="shared" si="120"/>
        <v>对精英和首领伤害&lt;color=#54b76b&gt;+%s%&lt;/color&gt;</v>
      </c>
      <c r="AM225" s="26">
        <v>25</v>
      </c>
      <c r="AN225" s="26">
        <v>2</v>
      </c>
      <c r="AO225" s="26" t="s">
        <v>25</v>
      </c>
      <c r="AP225" s="20">
        <f t="shared" si="106"/>
        <v>220</v>
      </c>
    </row>
    <row r="226" s="20" customFormat="1" customHeight="1" spans="1:42">
      <c r="A226" s="38">
        <v>5503045</v>
      </c>
      <c r="B226" s="38" t="str">
        <f t="shared" si="107"/>
        <v>5503041</v>
      </c>
      <c r="C226" s="32">
        <f t="shared" si="108"/>
        <v>5</v>
      </c>
      <c r="D226" s="32"/>
      <c r="E226" s="26" t="s">
        <v>162</v>
      </c>
      <c r="F226" s="26">
        <f t="shared" si="102"/>
        <v>1</v>
      </c>
      <c r="G226" s="26">
        <f>IFERROR(IF(--MID($E226,2*COUNTIF($F226:F226,"&gt;"&amp;0)+2,1)=G$1,G$1,""),"")</f>
        <v>2</v>
      </c>
      <c r="H226" s="26">
        <f>IFERROR(IF(--MID($E226,2*COUNTIF($F226:G226,"&gt;"&amp;0)+2,1)=H$1,H$1,""),"")</f>
        <v>3</v>
      </c>
      <c r="I226" s="26">
        <f>IFERROR(IF(--MID($E226,2*COUNTIF($F226:H226,"&gt;"&amp;0)+2,1)=I$1,I$1,""),"")</f>
        <v>4</v>
      </c>
      <c r="J226" s="26">
        <f>IFERROR(IF(--MID($E226,2*COUNTIF($F226:I226,"&gt;"&amp;0)+2,1)=J$1,J$1,""),"")</f>
        <v>5</v>
      </c>
      <c r="K226" s="26">
        <f>IFERROR(IF(--MID($E226,2*COUNTIF($F226:J226,"&gt;"&amp;0)+2,1)=K$1,K$1,""),"")</f>
        <v>6</v>
      </c>
      <c r="L226" s="39" cm="1">
        <f t="array" ref="L226">IFERROR(IF($A226="","",IF(F226="","",_xlfn.XLOOKUP($C226&amp;"_"&amp;$AG226,符文权重!$A:$A&amp;"_"&amp;符文权重!$C:$C,符文权重!$D:$D)*$X226/SUMIFS($X:$X,F:F,F226,$C:$C,$C226,$AG:$AG,$AG226)/SUMIF(符文权重!$A:$A,$C226,符文权重!$D:$D))),"")</f>
        <v>0.059</v>
      </c>
      <c r="M226" s="39" cm="1">
        <f t="array" ref="M226">IFERROR(IF($A226="","",IF(G226="","",_xlfn.XLOOKUP($C226&amp;"_"&amp;$AG226,符文权重!$A:$A&amp;"_"&amp;符文权重!$C:$C,符文权重!$D:$D)*$X226/SUMIFS($X:$X,G:G,G226,$C:$C,$C226,$AG:$AG,$AG226)/SUMIF(符文权重!$A:$A,$C226,符文权重!$D:$D))),"")</f>
        <v>0.07375</v>
      </c>
      <c r="N226" s="39" cm="1">
        <f t="array" ref="N226">IFERROR(IF($A226="","",IF(H226="","",_xlfn.XLOOKUP($C226&amp;"_"&amp;$AG226,符文权重!$A:$A&amp;"_"&amp;符文权重!$C:$C,符文权重!$D:$D)*$X226/SUMIFS($X:$X,H:H,H226,$C:$C,$C226,$AG:$AG,$AG226)/SUMIF(符文权重!$A:$A,$C226,符文权重!$D:$D))),"")</f>
        <v>0.059</v>
      </c>
      <c r="O226" s="39" cm="1">
        <f t="array" ref="O226">IFERROR(IF($A226="","",IF(I226="","",_xlfn.XLOOKUP($C226&amp;"_"&amp;$AG226,符文权重!$A:$A&amp;"_"&amp;符文权重!$C:$C,符文权重!$D:$D)*$X226/SUMIFS($X:$X,I:I,I226,$C:$C,$C226,$AG:$AG,$AG226)/SUMIF(符文权重!$A:$A,$C226,符文权重!$D:$D))),"")</f>
        <v>0.059</v>
      </c>
      <c r="P226" s="39" cm="1">
        <f t="array" ref="P226">IFERROR(IF($A226="","",IF(J226="","",_xlfn.XLOOKUP($C226&amp;"_"&amp;$AG226,符文权重!$A:$A&amp;"_"&amp;符文权重!$C:$C,符文权重!$D:$D)*$X226/SUMIFS($X:$X,J:J,J226,$C:$C,$C226,$AG:$AG,$AG226)/SUMIF(符文权重!$A:$A,$C226,符文权重!$D:$D))),"")</f>
        <v>0.07375</v>
      </c>
      <c r="Q226" s="39" cm="1">
        <f t="array" ref="Q226">IFERROR(IF($A226="","",IF(K226="","",_xlfn.XLOOKUP($C226&amp;"_"&amp;$AG226,符文权重!$A:$A&amp;"_"&amp;符文权重!$C:$C,符文权重!$D:$D)*$X226/SUMIFS($X:$X,K:K,K226,$C:$C,$C226,$AG:$AG,$AG226)/SUMIF(符文权重!$A:$A,$C226,符文权重!$D:$D))),"")</f>
        <v>0.059</v>
      </c>
      <c r="R226" s="26" t="s">
        <v>163</v>
      </c>
      <c r="S226" s="26"/>
      <c r="T226" s="26" t="e">
        <f>IF(B226="","",SUBSTITUTE(SUBSTITUTE("[{global_atk,"&amp;#REF!*C226&amp;"}]",21,20),9,8))</f>
        <v>#REF!</v>
      </c>
      <c r="U226" s="40" t="str">
        <f t="shared" si="118"/>
        <v>[5503045]</v>
      </c>
      <c r="V226" s="26" t="s">
        <v>353</v>
      </c>
      <c r="W226" s="25"/>
      <c r="X226" s="32">
        <v>100</v>
      </c>
      <c r="Y226" s="25"/>
      <c r="Z226" s="32" t="s">
        <v>176</v>
      </c>
      <c r="AA226" s="32" t="str">
        <f t="shared" si="114"/>
        <v>对精英和首领伤害+32%</v>
      </c>
      <c r="AB226" s="32"/>
      <c r="AC226" s="32" t="s">
        <v>166</v>
      </c>
      <c r="AD226" s="32">
        <f t="shared" si="105"/>
        <v>1221</v>
      </c>
      <c r="AE226" s="38" t="str">
        <f t="shared" si="110"/>
        <v>5503041</v>
      </c>
      <c r="AF226" s="32" t="str">
        <f t="shared" si="111"/>
        <v>[32]</v>
      </c>
      <c r="AG226" s="26">
        <v>2</v>
      </c>
      <c r="AH226" s="26"/>
      <c r="AI226" s="26">
        <v>0</v>
      </c>
      <c r="AJ226" s="25" t="s">
        <v>167</v>
      </c>
      <c r="AK226" s="38">
        <f t="shared" si="119"/>
        <v>5503045</v>
      </c>
      <c r="AL226" s="41" t="str">
        <f t="shared" si="120"/>
        <v>对精英和首领伤害&lt;color=#54b76b&gt;+%s%&lt;/color&gt;</v>
      </c>
      <c r="AM226" s="26">
        <v>32</v>
      </c>
      <c r="AN226" s="26">
        <v>2</v>
      </c>
      <c r="AO226" s="26" t="s">
        <v>25</v>
      </c>
      <c r="AP226" s="20">
        <f t="shared" si="106"/>
        <v>221</v>
      </c>
    </row>
    <row r="227" s="20" customFormat="1" customHeight="1" spans="1:42">
      <c r="A227" s="38">
        <v>5503046</v>
      </c>
      <c r="B227" s="38" t="str">
        <f t="shared" si="107"/>
        <v>5503041</v>
      </c>
      <c r="C227" s="32">
        <f t="shared" si="108"/>
        <v>6</v>
      </c>
      <c r="D227" s="32"/>
      <c r="E227" s="26" t="s">
        <v>162</v>
      </c>
      <c r="F227" s="26">
        <f t="shared" si="102"/>
        <v>1</v>
      </c>
      <c r="G227" s="26">
        <f>IFERROR(IF(--MID($E227,2*COUNTIF($F227:F227,"&gt;"&amp;0)+2,1)=G$1,G$1,""),"")</f>
        <v>2</v>
      </c>
      <c r="H227" s="26">
        <f>IFERROR(IF(--MID($E227,2*COUNTIF($F227:G227,"&gt;"&amp;0)+2,1)=H$1,H$1,""),"")</f>
        <v>3</v>
      </c>
      <c r="I227" s="26">
        <f>IFERROR(IF(--MID($E227,2*COUNTIF($F227:H227,"&gt;"&amp;0)+2,1)=I$1,I$1,""),"")</f>
        <v>4</v>
      </c>
      <c r="J227" s="26">
        <f>IFERROR(IF(--MID($E227,2*COUNTIF($F227:I227,"&gt;"&amp;0)+2,1)=J$1,J$1,""),"")</f>
        <v>5</v>
      </c>
      <c r="K227" s="26">
        <f>IFERROR(IF(--MID($E227,2*COUNTIF($F227:J227,"&gt;"&amp;0)+2,1)=K$1,K$1,""),"")</f>
        <v>6</v>
      </c>
      <c r="L227" s="39" cm="1">
        <f t="array" ref="L227">IFERROR(IF($A227="","",IF(F227="","",_xlfn.XLOOKUP($C227&amp;"_"&amp;$AG227,符文权重!$A:$A&amp;"_"&amp;符文权重!$C:$C,符文权重!$D:$D)*$X227/SUMIFS($X:$X,F:F,F227,$C:$C,$C227,$AG:$AG,$AG227)/SUMIF(符文权重!$A:$A,$C227,符文权重!$D:$D))),"")</f>
        <v>0.059</v>
      </c>
      <c r="M227" s="39" cm="1">
        <f t="array" ref="M227">IFERROR(IF($A227="","",IF(G227="","",_xlfn.XLOOKUP($C227&amp;"_"&amp;$AG227,符文权重!$A:$A&amp;"_"&amp;符文权重!$C:$C,符文权重!$D:$D)*$X227/SUMIFS($X:$X,G:G,G227,$C:$C,$C227,$AG:$AG,$AG227)/SUMIF(符文权重!$A:$A,$C227,符文权重!$D:$D))),"")</f>
        <v>0.07375</v>
      </c>
      <c r="N227" s="39" cm="1">
        <f t="array" ref="N227">IFERROR(IF($A227="","",IF(H227="","",_xlfn.XLOOKUP($C227&amp;"_"&amp;$AG227,符文权重!$A:$A&amp;"_"&amp;符文权重!$C:$C,符文权重!$D:$D)*$X227/SUMIFS($X:$X,H:H,H227,$C:$C,$C227,$AG:$AG,$AG227)/SUMIF(符文权重!$A:$A,$C227,符文权重!$D:$D))),"")</f>
        <v>0.059</v>
      </c>
      <c r="O227" s="39" cm="1">
        <f t="array" ref="O227">IFERROR(IF($A227="","",IF(I227="","",_xlfn.XLOOKUP($C227&amp;"_"&amp;$AG227,符文权重!$A:$A&amp;"_"&amp;符文权重!$C:$C,符文权重!$D:$D)*$X227/SUMIFS($X:$X,I:I,I227,$C:$C,$C227,$AG:$AG,$AG227)/SUMIF(符文权重!$A:$A,$C227,符文权重!$D:$D))),"")</f>
        <v>0.059</v>
      </c>
      <c r="P227" s="39" cm="1">
        <f t="array" ref="P227">IFERROR(IF($A227="","",IF(J227="","",_xlfn.XLOOKUP($C227&amp;"_"&amp;$AG227,符文权重!$A:$A&amp;"_"&amp;符文权重!$C:$C,符文权重!$D:$D)*$X227/SUMIFS($X:$X,J:J,J227,$C:$C,$C227,$AG:$AG,$AG227)/SUMIF(符文权重!$A:$A,$C227,符文权重!$D:$D))),"")</f>
        <v>0.07375</v>
      </c>
      <c r="Q227" s="39" cm="1">
        <f t="array" ref="Q227">IFERROR(IF($A227="","",IF(K227="","",_xlfn.XLOOKUP($C227&amp;"_"&amp;$AG227,符文权重!$A:$A&amp;"_"&amp;符文权重!$C:$C,符文权重!$D:$D)*$X227/SUMIFS($X:$X,K:K,K227,$C:$C,$C227,$AG:$AG,$AG227)/SUMIF(符文权重!$A:$A,$C227,符文权重!$D:$D))),"")</f>
        <v>0.059</v>
      </c>
      <c r="R227" s="26" t="s">
        <v>163</v>
      </c>
      <c r="S227" s="26"/>
      <c r="T227" s="26" t="e">
        <f>IF(B227="","",SUBSTITUTE(SUBSTITUTE("[{global_atk,"&amp;#REF!*C227&amp;"}]",21,20),9,8))</f>
        <v>#REF!</v>
      </c>
      <c r="U227" s="40" t="str">
        <f t="shared" si="118"/>
        <v>[5503046]</v>
      </c>
      <c r="V227" s="26" t="s">
        <v>354</v>
      </c>
      <c r="W227" s="25"/>
      <c r="X227" s="32">
        <v>100</v>
      </c>
      <c r="Y227" s="25"/>
      <c r="Z227" s="32" t="s">
        <v>178</v>
      </c>
      <c r="AA227" s="32" t="str">
        <f t="shared" si="114"/>
        <v>对精英和首领伤害+40%</v>
      </c>
      <c r="AB227" s="32"/>
      <c r="AC227" s="32" t="s">
        <v>166</v>
      </c>
      <c r="AD227" s="32">
        <f t="shared" si="105"/>
        <v>1222</v>
      </c>
      <c r="AE227" s="38" t="str">
        <f t="shared" si="110"/>
        <v>5503041</v>
      </c>
      <c r="AF227" s="32" t="str">
        <f t="shared" si="111"/>
        <v>[40]</v>
      </c>
      <c r="AG227" s="26">
        <v>2</v>
      </c>
      <c r="AH227" s="26"/>
      <c r="AI227" s="26">
        <v>0</v>
      </c>
      <c r="AJ227" s="25" t="s">
        <v>167</v>
      </c>
      <c r="AK227" s="38">
        <f t="shared" si="119"/>
        <v>5503046</v>
      </c>
      <c r="AL227" s="41" t="str">
        <f t="shared" si="120"/>
        <v>对精英和首领伤害&lt;color=#54b76b&gt;+%s%&lt;/color&gt;</v>
      </c>
      <c r="AM227" s="26">
        <v>40</v>
      </c>
      <c r="AN227" s="26">
        <v>2</v>
      </c>
      <c r="AO227" s="26" t="s">
        <v>25</v>
      </c>
      <c r="AP227" s="20">
        <f t="shared" si="106"/>
        <v>222</v>
      </c>
    </row>
    <row r="228" s="20" customFormat="1" customHeight="1" spans="1:42">
      <c r="A228" s="38">
        <v>5503047</v>
      </c>
      <c r="B228" s="38" t="str">
        <f t="shared" si="107"/>
        <v>5503041</v>
      </c>
      <c r="C228" s="32">
        <f t="shared" si="108"/>
        <v>7</v>
      </c>
      <c r="D228" s="32"/>
      <c r="E228" s="26" t="s">
        <v>162</v>
      </c>
      <c r="F228" s="26">
        <f t="shared" si="102"/>
        <v>1</v>
      </c>
      <c r="G228" s="26">
        <f>IFERROR(IF(--MID($E228,2*COUNTIF($F228:F228,"&gt;"&amp;0)+2,1)=G$1,G$1,""),"")</f>
        <v>2</v>
      </c>
      <c r="H228" s="26">
        <f>IFERROR(IF(--MID($E228,2*COUNTIF($F228:G228,"&gt;"&amp;0)+2,1)=H$1,H$1,""),"")</f>
        <v>3</v>
      </c>
      <c r="I228" s="26">
        <f>IFERROR(IF(--MID($E228,2*COUNTIF($F228:H228,"&gt;"&amp;0)+2,1)=I$1,I$1,""),"")</f>
        <v>4</v>
      </c>
      <c r="J228" s="26">
        <f>IFERROR(IF(--MID($E228,2*COUNTIF($F228:I228,"&gt;"&amp;0)+2,1)=J$1,J$1,""),"")</f>
        <v>5</v>
      </c>
      <c r="K228" s="26">
        <f>IFERROR(IF(--MID($E228,2*COUNTIF($F228:J228,"&gt;"&amp;0)+2,1)=K$1,K$1,""),"")</f>
        <v>6</v>
      </c>
      <c r="L228" s="39" cm="1">
        <f t="array" ref="L228">IFERROR(IF($A228="","",IF(F228="","",_xlfn.XLOOKUP($C228&amp;"_"&amp;$AG228,符文权重!$A:$A&amp;"_"&amp;符文权重!$C:$C,符文权重!$D:$D)*$X228/SUMIFS($X:$X,F:F,F228,$C:$C,$C228,$AG:$AG,$AG228)/SUMIF(符文权重!$A:$A,$C228,符文权重!$D:$D))),"")</f>
        <v>0.059</v>
      </c>
      <c r="M228" s="39" cm="1">
        <f t="array" ref="M228">IFERROR(IF($A228="","",IF(G228="","",_xlfn.XLOOKUP($C228&amp;"_"&amp;$AG228,符文权重!$A:$A&amp;"_"&amp;符文权重!$C:$C,符文权重!$D:$D)*$X228/SUMIFS($X:$X,G:G,G228,$C:$C,$C228,$AG:$AG,$AG228)/SUMIF(符文权重!$A:$A,$C228,符文权重!$D:$D))),"")</f>
        <v>0.07375</v>
      </c>
      <c r="N228" s="39" cm="1">
        <f t="array" ref="N228">IFERROR(IF($A228="","",IF(H228="","",_xlfn.XLOOKUP($C228&amp;"_"&amp;$AG228,符文权重!$A:$A&amp;"_"&amp;符文权重!$C:$C,符文权重!$D:$D)*$X228/SUMIFS($X:$X,H:H,H228,$C:$C,$C228,$AG:$AG,$AG228)/SUMIF(符文权重!$A:$A,$C228,符文权重!$D:$D))),"")</f>
        <v>0.059</v>
      </c>
      <c r="O228" s="39" cm="1">
        <f t="array" ref="O228">IFERROR(IF($A228="","",IF(I228="","",_xlfn.XLOOKUP($C228&amp;"_"&amp;$AG228,符文权重!$A:$A&amp;"_"&amp;符文权重!$C:$C,符文权重!$D:$D)*$X228/SUMIFS($X:$X,I:I,I228,$C:$C,$C228,$AG:$AG,$AG228)/SUMIF(符文权重!$A:$A,$C228,符文权重!$D:$D))),"")</f>
        <v>0.059</v>
      </c>
      <c r="P228" s="39" cm="1">
        <f t="array" ref="P228">IFERROR(IF($A228="","",IF(J228="","",_xlfn.XLOOKUP($C228&amp;"_"&amp;$AG228,符文权重!$A:$A&amp;"_"&amp;符文权重!$C:$C,符文权重!$D:$D)*$X228/SUMIFS($X:$X,J:J,J228,$C:$C,$C228,$AG:$AG,$AG228)/SUMIF(符文权重!$A:$A,$C228,符文权重!$D:$D))),"")</f>
        <v>0.07375</v>
      </c>
      <c r="Q228" s="39" cm="1">
        <f t="array" ref="Q228">IFERROR(IF($A228="","",IF(K228="","",_xlfn.XLOOKUP($C228&amp;"_"&amp;$AG228,符文权重!$A:$A&amp;"_"&amp;符文权重!$C:$C,符文权重!$D:$D)*$X228/SUMIFS($X:$X,K:K,K228,$C:$C,$C228,$AG:$AG,$AG228)/SUMIF(符文权重!$A:$A,$C228,符文权重!$D:$D))),"")</f>
        <v>0.059</v>
      </c>
      <c r="R228" s="26" t="s">
        <v>163</v>
      </c>
      <c r="S228" s="26"/>
      <c r="T228" s="26" t="e">
        <f>IF(B228="","",SUBSTITUTE(SUBSTITUTE("[{global_atk,"&amp;#REF!*C228&amp;"}]",21,20),9,8))</f>
        <v>#REF!</v>
      </c>
      <c r="U228" s="40" t="str">
        <f t="shared" si="118"/>
        <v>[5503047]</v>
      </c>
      <c r="V228" s="26" t="s">
        <v>355</v>
      </c>
      <c r="W228" s="25"/>
      <c r="X228" s="32">
        <v>100</v>
      </c>
      <c r="Y228" s="25"/>
      <c r="Z228" s="32" t="s">
        <v>180</v>
      </c>
      <c r="AA228" s="32" t="str">
        <f t="shared" si="114"/>
        <v>对精英和首领伤害+50%</v>
      </c>
      <c r="AB228" s="32"/>
      <c r="AC228" s="32" t="s">
        <v>166</v>
      </c>
      <c r="AD228" s="32">
        <f t="shared" si="105"/>
        <v>1223</v>
      </c>
      <c r="AE228" s="38" t="str">
        <f t="shared" si="110"/>
        <v>5503041</v>
      </c>
      <c r="AF228" s="32" t="str">
        <f t="shared" si="111"/>
        <v>[50]</v>
      </c>
      <c r="AG228" s="26">
        <v>2</v>
      </c>
      <c r="AH228" s="26"/>
      <c r="AI228" s="26">
        <v>0</v>
      </c>
      <c r="AJ228" s="25" t="s">
        <v>167</v>
      </c>
      <c r="AK228" s="38">
        <f t="shared" si="119"/>
        <v>5503047</v>
      </c>
      <c r="AL228" s="41" t="str">
        <f t="shared" si="120"/>
        <v>对精英和首领伤害&lt;color=#54b76b&gt;+%s%&lt;/color&gt;</v>
      </c>
      <c r="AM228" s="26">
        <v>50</v>
      </c>
      <c r="AN228" s="26">
        <v>2</v>
      </c>
      <c r="AO228" s="26" t="s">
        <v>25</v>
      </c>
      <c r="AP228" s="20">
        <f t="shared" si="106"/>
        <v>223</v>
      </c>
    </row>
    <row r="229" s="20" customFormat="1" customHeight="1" spans="1:42">
      <c r="A229" s="38" t="s">
        <v>167</v>
      </c>
      <c r="B229" s="38" t="str">
        <f t="shared" si="107"/>
        <v/>
      </c>
      <c r="C229" s="32" t="str">
        <f t="shared" si="108"/>
        <v/>
      </c>
      <c r="D229" s="32"/>
      <c r="E229" s="26"/>
      <c r="F229" s="26" t="str">
        <f t="shared" si="102"/>
        <v/>
      </c>
      <c r="G229" s="26" t="str">
        <f>IFERROR(IF(--MID($E229,2*COUNTIF($F229:F229,"&gt;"&amp;0)+2,1)=G$1,G$1,""),"")</f>
        <v/>
      </c>
      <c r="H229" s="26" t="str">
        <f>IFERROR(IF(--MID($E229,2*COUNTIF($F229:G229,"&gt;"&amp;0)+2,1)=H$1,H$1,""),"")</f>
        <v/>
      </c>
      <c r="I229" s="26" t="str">
        <f>IFERROR(IF(--MID($E229,2*COUNTIF($F229:H229,"&gt;"&amp;0)+2,1)=I$1,I$1,""),"")</f>
        <v/>
      </c>
      <c r="J229" s="26" t="str">
        <f>IFERROR(IF(--MID($E229,2*COUNTIF($F229:I229,"&gt;"&amp;0)+2,1)=J$1,J$1,""),"")</f>
        <v/>
      </c>
      <c r="K229" s="26" t="str">
        <f>IFERROR(IF(--MID($E229,2*COUNTIF($F229:J229,"&gt;"&amp;0)+2,1)=K$1,K$1,""),"")</f>
        <v/>
      </c>
      <c r="L229" s="39" t="str" cm="1">
        <f t="array" ref="L229">IFERROR(IF($A229="","",IF(F229="","",_xlfn.XLOOKUP($C229&amp;"_"&amp;$AG229,符文权重!$A:$A&amp;"_"&amp;符文权重!$C:$C,符文权重!$D:$D)*$X229/SUMIFS($X:$X,F:F,F229,$C:$C,$C229,$AG:$AG,$AG229)/SUMIF(符文权重!$A:$A,$C229,符文权重!$D:$D))),"")</f>
        <v/>
      </c>
      <c r="M229" s="39" t="str" cm="1">
        <f t="array" ref="M229">IFERROR(IF($A229="","",IF(G229="","",_xlfn.XLOOKUP($C229&amp;"_"&amp;$AG229,符文权重!$A:$A&amp;"_"&amp;符文权重!$C:$C,符文权重!$D:$D)*$X229/SUMIFS($X:$X,G:G,G229,$C:$C,$C229,$AG:$AG,$AG229)/SUMIF(符文权重!$A:$A,$C229,符文权重!$D:$D))),"")</f>
        <v/>
      </c>
      <c r="N229" s="39" t="str" cm="1">
        <f t="array" ref="N229">IFERROR(IF($A229="","",IF(H229="","",_xlfn.XLOOKUP($C229&amp;"_"&amp;$AG229,符文权重!$A:$A&amp;"_"&amp;符文权重!$C:$C,符文权重!$D:$D)*$X229/SUMIFS($X:$X,H:H,H229,$C:$C,$C229,$AG:$AG,$AG229)/SUMIF(符文权重!$A:$A,$C229,符文权重!$D:$D))),"")</f>
        <v/>
      </c>
      <c r="O229" s="39" t="str" cm="1">
        <f t="array" ref="O229">IFERROR(IF($A229="","",IF(I229="","",_xlfn.XLOOKUP($C229&amp;"_"&amp;$AG229,符文权重!$A:$A&amp;"_"&amp;符文权重!$C:$C,符文权重!$D:$D)*$X229/SUMIFS($X:$X,I:I,I229,$C:$C,$C229,$AG:$AG,$AG229)/SUMIF(符文权重!$A:$A,$C229,符文权重!$D:$D))),"")</f>
        <v/>
      </c>
      <c r="P229" s="39" t="str" cm="1">
        <f t="array" ref="P229">IFERROR(IF($A229="","",IF(J229="","",_xlfn.XLOOKUP($C229&amp;"_"&amp;$AG229,符文权重!$A:$A&amp;"_"&amp;符文权重!$C:$C,符文权重!$D:$D)*$X229/SUMIFS($X:$X,J:J,J229,$C:$C,$C229,$AG:$AG,$AG229)/SUMIF(符文权重!$A:$A,$C229,符文权重!$D:$D))),"")</f>
        <v/>
      </c>
      <c r="Q229" s="39" t="str" cm="1">
        <f t="array" ref="Q229">IFERROR(IF($A229="","",IF(K229="","",_xlfn.XLOOKUP($C229&amp;"_"&amp;$AG229,符文权重!$A:$A&amp;"_"&amp;符文权重!$C:$C,符文权重!$D:$D)*$X229/SUMIFS($X:$X,K:K,K229,$C:$C,$C229,$AG:$AG,$AG229)/SUMIF(符文权重!$A:$A,$C229,符文权重!$D:$D))),"")</f>
        <v/>
      </c>
      <c r="R229" s="26"/>
      <c r="S229" s="26"/>
      <c r="T229" s="26"/>
      <c r="V229" s="31"/>
      <c r="W229" s="25"/>
      <c r="X229" s="32"/>
      <c r="Y229" s="25"/>
      <c r="Z229" s="32" t="s">
        <v>167</v>
      </c>
      <c r="AA229" s="32" t="str">
        <f t="shared" si="114"/>
        <v/>
      </c>
      <c r="AB229" s="32"/>
      <c r="AC229" s="32" t="s">
        <v>166</v>
      </c>
      <c r="AD229" s="32">
        <f t="shared" si="105"/>
        <v>1224</v>
      </c>
      <c r="AE229" s="38" t="str">
        <f t="shared" si="110"/>
        <v/>
      </c>
      <c r="AF229" s="32" t="str">
        <f t="shared" si="111"/>
        <v/>
      </c>
      <c r="AG229" s="26"/>
      <c r="AH229" s="26"/>
      <c r="AI229" s="26"/>
      <c r="AJ229" s="25" t="s">
        <v>167</v>
      </c>
      <c r="AK229" s="24"/>
      <c r="AL229" s="43"/>
      <c r="AM229" s="26"/>
      <c r="AN229" s="26"/>
      <c r="AO229" s="26"/>
      <c r="AP229" s="20">
        <f t="shared" si="106"/>
        <v>224</v>
      </c>
    </row>
    <row r="230" s="22" customFormat="1" customHeight="1" spans="1:42">
      <c r="A230" s="44">
        <v>5503051</v>
      </c>
      <c r="B230" s="44" t="str">
        <f t="shared" si="107"/>
        <v>5503051</v>
      </c>
      <c r="C230" s="45">
        <f t="shared" si="108"/>
        <v>1</v>
      </c>
      <c r="D230" s="45"/>
      <c r="E230" s="46" t="s">
        <v>356</v>
      </c>
      <c r="F230" s="26" t="str">
        <f t="shared" si="102"/>
        <v/>
      </c>
      <c r="G230" s="26" t="str">
        <f>IFERROR(IF(--MID($E230,2*COUNTIF($F230:F230,"&gt;"&amp;0)+2,1)=G$1,G$1,""),"")</f>
        <v/>
      </c>
      <c r="H230" s="26">
        <f>IFERROR(IF(--MID($E230,2*COUNTIF($F230:G230,"&gt;"&amp;0)+2,1)=H$1,H$1,""),"")</f>
        <v>3</v>
      </c>
      <c r="I230" s="26">
        <f>IFERROR(IF(--MID($E230,2*COUNTIF($F230:H230,"&gt;"&amp;0)+2,1)=I$1,I$1,""),"")</f>
        <v>4</v>
      </c>
      <c r="J230" s="26" t="str">
        <f>IFERROR(IF(--MID($E230,2*COUNTIF($F230:I230,"&gt;"&amp;0)+2,1)=J$1,J$1,""),"")</f>
        <v/>
      </c>
      <c r="K230" s="26" t="str">
        <f>IFERROR(IF(--MID($E230,2*COUNTIF($F230:J230,"&gt;"&amp;0)+2,1)=K$1,K$1,""),"")</f>
        <v/>
      </c>
      <c r="L230" s="39" t="str" cm="1">
        <f t="array" ref="L230">IFERROR(IF($A230="","",IF(F230="","",_xlfn.XLOOKUP($C230&amp;"_"&amp;$AG230,符文权重!$A:$A&amp;"_"&amp;符文权重!$C:$C,符文权重!$D:$D)*$X230/SUMIFS($X:$X,F:F,F230,$C:$C,$C230,$AG:$AG,$AG230)/SUMIF(符文权重!$A:$A,$C230,符文权重!$D:$D))),"")</f>
        <v/>
      </c>
      <c r="M230" s="39" t="str" cm="1">
        <f t="array" ref="M230">IFERROR(IF($A230="","",IF(G230="","",_xlfn.XLOOKUP($C230&amp;"_"&amp;$AG230,符文权重!$A:$A&amp;"_"&amp;符文权重!$C:$C,符文权重!$D:$D)*$X230/SUMIFS($X:$X,G:G,G230,$C:$C,$C230,$AG:$AG,$AG230)/SUMIF(符文权重!$A:$A,$C230,符文权重!$D:$D))),"")</f>
        <v/>
      </c>
      <c r="N230" s="39" t="str" cm="1">
        <f t="array" ref="N230">IFERROR(IF($A230="","",IF(H230="","",_xlfn.XLOOKUP($C230&amp;"_"&amp;$AG230,符文权重!$A:$A&amp;"_"&amp;符文权重!$C:$C,符文权重!$D:$D)*$X230/SUMIFS($X:$X,H:H,H230,$C:$C,$C230,$AG:$AG,$AG230)/SUMIF(符文权重!$A:$A,$C230,符文权重!$D:$D))),"")</f>
        <v/>
      </c>
      <c r="O230" s="39" t="str" cm="1">
        <f t="array" ref="O230">IFERROR(IF($A230="","",IF(I230="","",_xlfn.XLOOKUP($C230&amp;"_"&amp;$AG230,符文权重!$A:$A&amp;"_"&amp;符文权重!$C:$C,符文权重!$D:$D)*$X230/SUMIFS($X:$X,I:I,I230,$C:$C,$C230,$AG:$AG,$AG230)/SUMIF(符文权重!$A:$A,$C230,符文权重!$D:$D))),"")</f>
        <v/>
      </c>
      <c r="P230" s="39" t="str" cm="1">
        <f t="array" ref="P230">IFERROR(IF($A230="","",IF(J230="","",_xlfn.XLOOKUP($C230&amp;"_"&amp;$AG230,符文权重!$A:$A&amp;"_"&amp;符文权重!$C:$C,符文权重!$D:$D)*$X230/SUMIFS($X:$X,J:J,J230,$C:$C,$C230,$AG:$AG,$AG230)/SUMIF(符文权重!$A:$A,$C230,符文权重!$D:$D))),"")</f>
        <v/>
      </c>
      <c r="Q230" s="39" t="str" cm="1">
        <f t="array" ref="Q230">IFERROR(IF($A230="","",IF(K230="","",_xlfn.XLOOKUP($C230&amp;"_"&amp;$AG230,符文权重!$A:$A&amp;"_"&amp;符文权重!$C:$C,符文权重!$D:$D)*$X230/SUMIFS($X:$X,K:K,K230,$C:$C,$C230,$AG:$AG,$AG230)/SUMIF(符文权重!$A:$A,$C230,符文权重!$D:$D))),"")</f>
        <v/>
      </c>
      <c r="R230" s="46" t="s">
        <v>244</v>
      </c>
      <c r="S230" s="46"/>
      <c r="T230" s="46" t="e">
        <f>IF(B230="","",SUBSTITUTE(SUBSTITUTE("[{global_atk,"&amp;#REF!*C230&amp;"}]",21,20),9,8))</f>
        <v>#REF!</v>
      </c>
      <c r="U230" s="47" t="str">
        <f t="shared" ref="U230:U236" si="121">"["&amp;A230&amp;"]"</f>
        <v>[5503051]</v>
      </c>
      <c r="V230" s="52"/>
      <c r="W230" s="23"/>
      <c r="X230" s="32">
        <v>33</v>
      </c>
      <c r="Y230" s="23"/>
      <c r="Z230" s="45" t="s">
        <v>165</v>
      </c>
      <c r="AA230" s="32" t="str">
        <f t="shared" si="114"/>
        <v>击杀精英或首领后全队回复5%血量</v>
      </c>
      <c r="AB230" s="32"/>
      <c r="AC230" s="32" t="s">
        <v>166</v>
      </c>
      <c r="AD230" s="32">
        <f t="shared" si="105"/>
        <v>1225</v>
      </c>
      <c r="AE230" s="44" t="str">
        <f t="shared" si="110"/>
        <v>5503051</v>
      </c>
      <c r="AF230" s="45" t="str">
        <f t="shared" si="111"/>
        <v>[5]</v>
      </c>
      <c r="AG230" s="26">
        <v>100</v>
      </c>
      <c r="AH230" s="46"/>
      <c r="AI230" s="46">
        <v>1</v>
      </c>
      <c r="AJ230" s="25">
        <v>1</v>
      </c>
      <c r="AK230" s="48">
        <v>5503051</v>
      </c>
      <c r="AL230" s="49" t="s">
        <v>357</v>
      </c>
      <c r="AM230" s="46">
        <v>5</v>
      </c>
      <c r="AN230" s="26"/>
      <c r="AO230" s="26" t="s">
        <v>28</v>
      </c>
      <c r="AP230" s="20">
        <f t="shared" si="106"/>
        <v>225</v>
      </c>
    </row>
    <row r="231" s="22" customFormat="1" customHeight="1" spans="1:42">
      <c r="A231" s="44">
        <v>5503052</v>
      </c>
      <c r="B231" s="44" t="str">
        <f t="shared" si="107"/>
        <v>5503051</v>
      </c>
      <c r="C231" s="45">
        <f t="shared" si="108"/>
        <v>2</v>
      </c>
      <c r="D231" s="45"/>
      <c r="E231" s="46" t="s">
        <v>356</v>
      </c>
      <c r="F231" s="26" t="str">
        <f t="shared" si="102"/>
        <v/>
      </c>
      <c r="G231" s="26" t="str">
        <f>IFERROR(IF(--MID($E231,2*COUNTIF($F231:F231,"&gt;"&amp;0)+2,1)=G$1,G$1,""),"")</f>
        <v/>
      </c>
      <c r="H231" s="26">
        <f>IFERROR(IF(--MID($E231,2*COUNTIF($F231:G231,"&gt;"&amp;0)+2,1)=H$1,H$1,""),"")</f>
        <v>3</v>
      </c>
      <c r="I231" s="26">
        <f>IFERROR(IF(--MID($E231,2*COUNTIF($F231:H231,"&gt;"&amp;0)+2,1)=I$1,I$1,""),"")</f>
        <v>4</v>
      </c>
      <c r="J231" s="26" t="str">
        <f>IFERROR(IF(--MID($E231,2*COUNTIF($F231:I231,"&gt;"&amp;0)+2,1)=J$1,J$1,""),"")</f>
        <v/>
      </c>
      <c r="K231" s="26" t="str">
        <f>IFERROR(IF(--MID($E231,2*COUNTIF($F231:J231,"&gt;"&amp;0)+2,1)=K$1,K$1,""),"")</f>
        <v/>
      </c>
      <c r="L231" s="39" t="str" cm="1">
        <f t="array" ref="L231">IFERROR(IF($A231="","",IF(F231="","",_xlfn.XLOOKUP($C231&amp;"_"&amp;$AG231,符文权重!$A:$A&amp;"_"&amp;符文权重!$C:$C,符文权重!$D:$D)*$X231/SUMIFS($X:$X,F:F,F231,$C:$C,$C231,$AG:$AG,$AG231)/SUMIF(符文权重!$A:$A,$C231,符文权重!$D:$D))),"")</f>
        <v/>
      </c>
      <c r="M231" s="39" t="str" cm="1">
        <f t="array" ref="M231">IFERROR(IF($A231="","",IF(G231="","",_xlfn.XLOOKUP($C231&amp;"_"&amp;$AG231,符文权重!$A:$A&amp;"_"&amp;符文权重!$C:$C,符文权重!$D:$D)*$X231/SUMIFS($X:$X,G:G,G231,$C:$C,$C231,$AG:$AG,$AG231)/SUMIF(符文权重!$A:$A,$C231,符文权重!$D:$D))),"")</f>
        <v/>
      </c>
      <c r="N231" s="39" t="str" cm="1">
        <f t="array" ref="N231">IFERROR(IF($A231="","",IF(H231="","",_xlfn.XLOOKUP($C231&amp;"_"&amp;$AG231,符文权重!$A:$A&amp;"_"&amp;符文权重!$C:$C,符文权重!$D:$D)*$X231/SUMIFS($X:$X,H:H,H231,$C:$C,$C231,$AG:$AG,$AG231)/SUMIF(符文权重!$A:$A,$C231,符文权重!$D:$D))),"")</f>
        <v/>
      </c>
      <c r="O231" s="39" t="str" cm="1">
        <f t="array" ref="O231">IFERROR(IF($A231="","",IF(I231="","",_xlfn.XLOOKUP($C231&amp;"_"&amp;$AG231,符文权重!$A:$A&amp;"_"&amp;符文权重!$C:$C,符文权重!$D:$D)*$X231/SUMIFS($X:$X,I:I,I231,$C:$C,$C231,$AG:$AG,$AG231)/SUMIF(符文权重!$A:$A,$C231,符文权重!$D:$D))),"")</f>
        <v/>
      </c>
      <c r="P231" s="39" t="str" cm="1">
        <f t="array" ref="P231">IFERROR(IF($A231="","",IF(J231="","",_xlfn.XLOOKUP($C231&amp;"_"&amp;$AG231,符文权重!$A:$A&amp;"_"&amp;符文权重!$C:$C,符文权重!$D:$D)*$X231/SUMIFS($X:$X,J:J,J231,$C:$C,$C231,$AG:$AG,$AG231)/SUMIF(符文权重!$A:$A,$C231,符文权重!$D:$D))),"")</f>
        <v/>
      </c>
      <c r="Q231" s="39" t="str" cm="1">
        <f t="array" ref="Q231">IFERROR(IF($A231="","",IF(K231="","",_xlfn.XLOOKUP($C231&amp;"_"&amp;$AG231,符文权重!$A:$A&amp;"_"&amp;符文权重!$C:$C,符文权重!$D:$D)*$X231/SUMIFS($X:$X,K:K,K231,$C:$C,$C231,$AG:$AG,$AG231)/SUMIF(符文权重!$A:$A,$C231,符文权重!$D:$D))),"")</f>
        <v/>
      </c>
      <c r="R231" s="46" t="s">
        <v>244</v>
      </c>
      <c r="S231" s="46"/>
      <c r="T231" s="46" t="e">
        <f>IF(B231="","",SUBSTITUTE(SUBSTITUTE("[{global_atk,"&amp;#REF!*C231&amp;"}]",21,20),9,8))</f>
        <v>#REF!</v>
      </c>
      <c r="U231" s="47" t="str">
        <f t="shared" si="121"/>
        <v>[5503052]</v>
      </c>
      <c r="V231" s="52"/>
      <c r="W231" s="23"/>
      <c r="X231" s="32">
        <v>33</v>
      </c>
      <c r="Y231" s="23"/>
      <c r="Z231" s="45" t="s">
        <v>170</v>
      </c>
      <c r="AA231" s="32" t="str">
        <f t="shared" si="114"/>
        <v>击杀精英或首领后全队回复8%血量</v>
      </c>
      <c r="AB231" s="32"/>
      <c r="AC231" s="32" t="s">
        <v>166</v>
      </c>
      <c r="AD231" s="32">
        <f t="shared" si="105"/>
        <v>1226</v>
      </c>
      <c r="AE231" s="44" t="str">
        <f t="shared" si="110"/>
        <v>5503051</v>
      </c>
      <c r="AF231" s="45" t="str">
        <f t="shared" si="111"/>
        <v>[8]</v>
      </c>
      <c r="AG231" s="26">
        <v>100</v>
      </c>
      <c r="AH231" s="46"/>
      <c r="AI231" s="46">
        <v>1</v>
      </c>
      <c r="AJ231" s="25">
        <v>1</v>
      </c>
      <c r="AK231" s="44">
        <f t="shared" ref="AK231:AK236" si="122">AK230+1</f>
        <v>5503052</v>
      </c>
      <c r="AL231" s="50" t="str">
        <f t="shared" ref="AL231:AL236" si="123">AL230</f>
        <v>击杀精英或首领后全队回复&lt;color=#54b76b&gt;%s%&lt;/color&gt;血量</v>
      </c>
      <c r="AM231" s="46">
        <v>8</v>
      </c>
      <c r="AN231" s="26"/>
      <c r="AO231" s="26" t="s">
        <v>28</v>
      </c>
      <c r="AP231" s="20">
        <f t="shared" si="106"/>
        <v>226</v>
      </c>
    </row>
    <row r="232" s="20" customFormat="1" customHeight="1" spans="1:42">
      <c r="A232" s="38">
        <v>5503053</v>
      </c>
      <c r="B232" s="38" t="str">
        <f t="shared" si="107"/>
        <v>5503051</v>
      </c>
      <c r="C232" s="32">
        <f t="shared" si="108"/>
        <v>3</v>
      </c>
      <c r="D232" s="32"/>
      <c r="E232" s="26" t="s">
        <v>356</v>
      </c>
      <c r="F232" s="26" t="str">
        <f t="shared" si="102"/>
        <v/>
      </c>
      <c r="G232" s="26" t="str">
        <f>IFERROR(IF(--MID($E232,2*COUNTIF($F232:F232,"&gt;"&amp;0)+2,1)=G$1,G$1,""),"")</f>
        <v/>
      </c>
      <c r="H232" s="26">
        <f>IFERROR(IF(--MID($E232,2*COUNTIF($F232:G232,"&gt;"&amp;0)+2,1)=H$1,H$1,""),"")</f>
        <v>3</v>
      </c>
      <c r="I232" s="26">
        <f>IFERROR(IF(--MID($E232,2*COUNTIF($F232:H232,"&gt;"&amp;0)+2,1)=I$1,I$1,""),"")</f>
        <v>4</v>
      </c>
      <c r="J232" s="26" t="str">
        <f>IFERROR(IF(--MID($E232,2*COUNTIF($F232:I232,"&gt;"&amp;0)+2,1)=J$1,J$1,""),"")</f>
        <v/>
      </c>
      <c r="K232" s="26" t="str">
        <f>IFERROR(IF(--MID($E232,2*COUNTIF($F232:J232,"&gt;"&amp;0)+2,1)=K$1,K$1,""),"")</f>
        <v/>
      </c>
      <c r="L232" s="39" t="str" cm="1">
        <f t="array" ref="L232">IFERROR(IF($A232="","",IF(F232="","",_xlfn.XLOOKUP($C232&amp;"_"&amp;$AG232,符文权重!$A:$A&amp;"_"&amp;符文权重!$C:$C,符文权重!$D:$D)*$X232/SUMIFS($X:$X,F:F,F232,$C:$C,$C232,$AG:$AG,$AG232)/SUMIF(符文权重!$A:$A,$C232,符文权重!$D:$D))),"")</f>
        <v/>
      </c>
      <c r="M232" s="39" t="str" cm="1">
        <f t="array" ref="M232">IFERROR(IF($A232="","",IF(G232="","",_xlfn.XLOOKUP($C232&amp;"_"&amp;$AG232,符文权重!$A:$A&amp;"_"&amp;符文权重!$C:$C,符文权重!$D:$D)*$X232/SUMIFS($X:$X,G:G,G232,$C:$C,$C232,$AG:$AG,$AG232)/SUMIF(符文权重!$A:$A,$C232,符文权重!$D:$D))),"")</f>
        <v/>
      </c>
      <c r="N232" s="39" cm="1">
        <f t="array" ref="N232">IFERROR(IF($A232="","",IF(H232="","",_xlfn.XLOOKUP($C232&amp;"_"&amp;$AG232,符文权重!$A:$A&amp;"_"&amp;符文权重!$C:$C,符文权重!$D:$D)*$X232/SUMIFS($X:$X,H:H,H232,$C:$C,$C232,$AG:$AG,$AG232)/SUMIF(符文权重!$A:$A,$C232,符文权重!$D:$D))),"")</f>
        <v>0.011556420233463</v>
      </c>
      <c r="O232" s="39" cm="1">
        <f t="array" ref="O232">IFERROR(IF($A232="","",IF(I232="","",_xlfn.XLOOKUP($C232&amp;"_"&amp;$AG232,符文权重!$A:$A&amp;"_"&amp;符文权重!$C:$C,符文权重!$D:$D)*$X232/SUMIFS($X:$X,I:I,I232,$C:$C,$C232,$AG:$AG,$AG232)/SUMIF(符文权重!$A:$A,$C232,符文权重!$D:$D))),"")</f>
        <v>0.0113793103448276</v>
      </c>
      <c r="P232" s="39" t="str" cm="1">
        <f t="array" ref="P232">IFERROR(IF($A232="","",IF(J232="","",_xlfn.XLOOKUP($C232&amp;"_"&amp;$AG232,符文权重!$A:$A&amp;"_"&amp;符文权重!$C:$C,符文权重!$D:$D)*$X232/SUMIFS($X:$X,J:J,J232,$C:$C,$C232,$AG:$AG,$AG232)/SUMIF(符文权重!$A:$A,$C232,符文权重!$D:$D))),"")</f>
        <v/>
      </c>
      <c r="Q232" s="39" t="str" cm="1">
        <f t="array" ref="Q232">IFERROR(IF($A232="","",IF(K232="","",_xlfn.XLOOKUP($C232&amp;"_"&amp;$AG232,符文权重!$A:$A&amp;"_"&amp;符文权重!$C:$C,符文权重!$D:$D)*$X232/SUMIFS($X:$X,K:K,K232,$C:$C,$C232,$AG:$AG,$AG232)/SUMIF(符文权重!$A:$A,$C232,符文权重!$D:$D))),"")</f>
        <v/>
      </c>
      <c r="R232" s="26" t="s">
        <v>244</v>
      </c>
      <c r="S232" s="26"/>
      <c r="T232" s="26" t="e">
        <f>IF(B232="","",SUBSTITUTE(SUBSTITUTE("[{global_atk,"&amp;#REF!*C232&amp;"}]",21,20),9,8))</f>
        <v>#REF!</v>
      </c>
      <c r="U232" s="40" t="str">
        <f t="shared" si="121"/>
        <v>[5503053]</v>
      </c>
      <c r="V232" s="31"/>
      <c r="W232" s="25"/>
      <c r="X232" s="32">
        <v>33</v>
      </c>
      <c r="Y232" s="25"/>
      <c r="Z232" s="32" t="s">
        <v>172</v>
      </c>
      <c r="AA232" s="32" t="str">
        <f t="shared" si="114"/>
        <v>击杀精英或首领后全队回复10%血量</v>
      </c>
      <c r="AB232" s="32"/>
      <c r="AC232" s="32" t="s">
        <v>166</v>
      </c>
      <c r="AD232" s="32">
        <f t="shared" si="105"/>
        <v>1227</v>
      </c>
      <c r="AE232" s="38" t="str">
        <f t="shared" si="110"/>
        <v>5503051</v>
      </c>
      <c r="AF232" s="32" t="str">
        <f t="shared" si="111"/>
        <v>[10]</v>
      </c>
      <c r="AG232" s="26">
        <v>3</v>
      </c>
      <c r="AH232" s="26"/>
      <c r="AI232" s="26">
        <v>0</v>
      </c>
      <c r="AJ232" s="25">
        <v>1</v>
      </c>
      <c r="AK232" s="38">
        <f t="shared" si="122"/>
        <v>5503053</v>
      </c>
      <c r="AL232" s="41" t="str">
        <f t="shared" si="123"/>
        <v>击杀精英或首领后全队回复&lt;color=#54b76b&gt;%s%&lt;/color&gt;血量</v>
      </c>
      <c r="AM232" s="26">
        <v>10</v>
      </c>
      <c r="AN232" s="26">
        <v>3</v>
      </c>
      <c r="AO232" s="26" t="s">
        <v>28</v>
      </c>
      <c r="AP232" s="20">
        <f t="shared" si="106"/>
        <v>227</v>
      </c>
    </row>
    <row r="233" s="20" customFormat="1" customHeight="1" spans="1:42">
      <c r="A233" s="38">
        <v>5503054</v>
      </c>
      <c r="B233" s="38" t="str">
        <f t="shared" si="107"/>
        <v>5503051</v>
      </c>
      <c r="C233" s="32">
        <f t="shared" si="108"/>
        <v>4</v>
      </c>
      <c r="D233" s="32"/>
      <c r="E233" s="26" t="s">
        <v>356</v>
      </c>
      <c r="F233" s="26" t="str">
        <f t="shared" si="102"/>
        <v/>
      </c>
      <c r="G233" s="26" t="str">
        <f>IFERROR(IF(--MID($E233,2*COUNTIF($F233:F233,"&gt;"&amp;0)+2,1)=G$1,G$1,""),"")</f>
        <v/>
      </c>
      <c r="H233" s="26">
        <f>IFERROR(IF(--MID($E233,2*COUNTIF($F233:G233,"&gt;"&amp;0)+2,1)=H$1,H$1,""),"")</f>
        <v>3</v>
      </c>
      <c r="I233" s="26">
        <f>IFERROR(IF(--MID($E233,2*COUNTIF($F233:H233,"&gt;"&amp;0)+2,1)=I$1,I$1,""),"")</f>
        <v>4</v>
      </c>
      <c r="J233" s="26" t="str">
        <f>IFERROR(IF(--MID($E233,2*COUNTIF($F233:I233,"&gt;"&amp;0)+2,1)=J$1,J$1,""),"")</f>
        <v/>
      </c>
      <c r="K233" s="26" t="str">
        <f>IFERROR(IF(--MID($E233,2*COUNTIF($F233:J233,"&gt;"&amp;0)+2,1)=K$1,K$1,""),"")</f>
        <v/>
      </c>
      <c r="L233" s="39" t="str" cm="1">
        <f t="array" ref="L233">IFERROR(IF($A233="","",IF(F233="","",_xlfn.XLOOKUP($C233&amp;"_"&amp;$AG233,符文权重!$A:$A&amp;"_"&amp;符文权重!$C:$C,符文权重!$D:$D)*$X233/SUMIFS($X:$X,F:F,F233,$C:$C,$C233,$AG:$AG,$AG233)/SUMIF(符文权重!$A:$A,$C233,符文权重!$D:$D))),"")</f>
        <v/>
      </c>
      <c r="M233" s="39" t="str" cm="1">
        <f t="array" ref="M233">IFERROR(IF($A233="","",IF(G233="","",_xlfn.XLOOKUP($C233&amp;"_"&amp;$AG233,符文权重!$A:$A&amp;"_"&amp;符文权重!$C:$C,符文权重!$D:$D)*$X233/SUMIFS($X:$X,G:G,G233,$C:$C,$C233,$AG:$AG,$AG233)/SUMIF(符文权重!$A:$A,$C233,符文权重!$D:$D))),"")</f>
        <v/>
      </c>
      <c r="N233" s="39" cm="1">
        <f t="array" ref="N233">IFERROR(IF($A233="","",IF(H233="","",_xlfn.XLOOKUP($C233&amp;"_"&amp;$AG233,符文权重!$A:$A&amp;"_"&amp;符文权重!$C:$C,符文权重!$D:$D)*$X233/SUMIFS($X:$X,H:H,H233,$C:$C,$C233,$AG:$AG,$AG233)/SUMIF(符文权重!$A:$A,$C233,符文权重!$D:$D))),"")</f>
        <v>0.013883064516129</v>
      </c>
      <c r="O233" s="39" cm="1">
        <f t="array" ref="O233">IFERROR(IF($A233="","",IF(I233="","",_xlfn.XLOOKUP($C233&amp;"_"&amp;$AG233,符文权重!$A:$A&amp;"_"&amp;符文权重!$C:$C,符文权重!$D:$D)*$X233/SUMIFS($X:$X,I:I,I233,$C:$C,$C233,$AG:$AG,$AG233)/SUMIF(符文权重!$A:$A,$C233,符文权重!$D:$D))),"")</f>
        <v>0.0130416666666667</v>
      </c>
      <c r="P233" s="39" t="str" cm="1">
        <f t="array" ref="P233">IFERROR(IF($A233="","",IF(J233="","",_xlfn.XLOOKUP($C233&amp;"_"&amp;$AG233,符文权重!$A:$A&amp;"_"&amp;符文权重!$C:$C,符文权重!$D:$D)*$X233/SUMIFS($X:$X,J:J,J233,$C:$C,$C233,$AG:$AG,$AG233)/SUMIF(符文权重!$A:$A,$C233,符文权重!$D:$D))),"")</f>
        <v/>
      </c>
      <c r="Q233" s="39" t="str" cm="1">
        <f t="array" ref="Q233">IFERROR(IF($A233="","",IF(K233="","",_xlfn.XLOOKUP($C233&amp;"_"&amp;$AG233,符文权重!$A:$A&amp;"_"&amp;符文权重!$C:$C,符文权重!$D:$D)*$X233/SUMIFS($X:$X,K:K,K233,$C:$C,$C233,$AG:$AG,$AG233)/SUMIF(符文权重!$A:$A,$C233,符文权重!$D:$D))),"")</f>
        <v/>
      </c>
      <c r="R233" s="26" t="s">
        <v>244</v>
      </c>
      <c r="S233" s="26"/>
      <c r="T233" s="26" t="e">
        <f>IF(B233="","",SUBSTITUTE(SUBSTITUTE("[{global_atk,"&amp;#REF!*C233&amp;"}]",21,20),9,8))</f>
        <v>#REF!</v>
      </c>
      <c r="U233" s="40" t="str">
        <f t="shared" si="121"/>
        <v>[5503054]</v>
      </c>
      <c r="V233" s="31"/>
      <c r="W233" s="25"/>
      <c r="X233" s="32">
        <v>11</v>
      </c>
      <c r="Y233" s="25"/>
      <c r="Z233" s="32" t="s">
        <v>174</v>
      </c>
      <c r="AA233" s="32" t="str">
        <f t="shared" si="114"/>
        <v>击杀精英或首领后全队回复16%血量</v>
      </c>
      <c r="AB233" s="32"/>
      <c r="AC233" s="32" t="s">
        <v>166</v>
      </c>
      <c r="AD233" s="32">
        <f t="shared" si="105"/>
        <v>1228</v>
      </c>
      <c r="AE233" s="38" t="str">
        <f t="shared" si="110"/>
        <v>5503051</v>
      </c>
      <c r="AF233" s="32" t="str">
        <f t="shared" si="111"/>
        <v>[16]</v>
      </c>
      <c r="AG233" s="26">
        <v>3</v>
      </c>
      <c r="AH233" s="26"/>
      <c r="AI233" s="26">
        <v>0</v>
      </c>
      <c r="AJ233" s="25">
        <v>1</v>
      </c>
      <c r="AK233" s="38">
        <f t="shared" si="122"/>
        <v>5503054</v>
      </c>
      <c r="AL233" s="41" t="str">
        <f t="shared" si="123"/>
        <v>击杀精英或首领后全队回复&lt;color=#54b76b&gt;%s%&lt;/color&gt;血量</v>
      </c>
      <c r="AM233" s="26">
        <v>16</v>
      </c>
      <c r="AN233" s="26">
        <v>3</v>
      </c>
      <c r="AO233" s="26" t="s">
        <v>28</v>
      </c>
      <c r="AP233" s="20">
        <f t="shared" si="106"/>
        <v>228</v>
      </c>
    </row>
    <row r="234" s="20" customFormat="1" customHeight="1" spans="1:42">
      <c r="A234" s="38">
        <v>5503055</v>
      </c>
      <c r="B234" s="38" t="str">
        <f t="shared" si="107"/>
        <v>5503051</v>
      </c>
      <c r="C234" s="32">
        <f t="shared" si="108"/>
        <v>5</v>
      </c>
      <c r="D234" s="32"/>
      <c r="E234" s="26" t="s">
        <v>356</v>
      </c>
      <c r="F234" s="26" t="str">
        <f t="shared" si="102"/>
        <v/>
      </c>
      <c r="G234" s="26" t="str">
        <f>IFERROR(IF(--MID($E234,2*COUNTIF($F234:F234,"&gt;"&amp;0)+2,1)=G$1,G$1,""),"")</f>
        <v/>
      </c>
      <c r="H234" s="26">
        <f>IFERROR(IF(--MID($E234,2*COUNTIF($F234:G234,"&gt;"&amp;0)+2,1)=H$1,H$1,""),"")</f>
        <v>3</v>
      </c>
      <c r="I234" s="26">
        <f>IFERROR(IF(--MID($E234,2*COUNTIF($F234:H234,"&gt;"&amp;0)+2,1)=I$1,I$1,""),"")</f>
        <v>4</v>
      </c>
      <c r="J234" s="26" t="str">
        <f>IFERROR(IF(--MID($E234,2*COUNTIF($F234:I234,"&gt;"&amp;0)+2,1)=J$1,J$1,""),"")</f>
        <v/>
      </c>
      <c r="K234" s="26" t="str">
        <f>IFERROR(IF(--MID($E234,2*COUNTIF($F234:J234,"&gt;"&amp;0)+2,1)=K$1,K$1,""),"")</f>
        <v/>
      </c>
      <c r="L234" s="39" t="str" cm="1">
        <f t="array" ref="L234">IFERROR(IF($A234="","",IF(F234="","",_xlfn.XLOOKUP($C234&amp;"_"&amp;$AG234,符文权重!$A:$A&amp;"_"&amp;符文权重!$C:$C,符文权重!$D:$D)*$X234/SUMIFS($X:$X,F:F,F234,$C:$C,$C234,$AG:$AG,$AG234)/SUMIF(符文权重!$A:$A,$C234,符文权重!$D:$D))),"")</f>
        <v/>
      </c>
      <c r="M234" s="39" t="str" cm="1">
        <f t="array" ref="M234">IFERROR(IF($A234="","",IF(G234="","",_xlfn.XLOOKUP($C234&amp;"_"&amp;$AG234,符文权重!$A:$A&amp;"_"&amp;符文权重!$C:$C,符文权重!$D:$D)*$X234/SUMIFS($X:$X,G:G,G234,$C:$C,$C234,$AG:$AG,$AG234)/SUMIF(符文权重!$A:$A,$C234,符文权重!$D:$D))),"")</f>
        <v/>
      </c>
      <c r="N234" s="39" cm="1">
        <f t="array" ref="N234">IFERROR(IF($A234="","",IF(H234="","",_xlfn.XLOOKUP($C234&amp;"_"&amp;$AG234,符文权重!$A:$A&amp;"_"&amp;符文权重!$C:$C,符文权重!$D:$D)*$X234/SUMIFS($X:$X,H:H,H234,$C:$C,$C234,$AG:$AG,$AG234)/SUMIF(符文权重!$A:$A,$C234,符文权重!$D:$D))),"")</f>
        <v>0.0115384615384615</v>
      </c>
      <c r="O234" s="39" cm="1">
        <f t="array" ref="O234">IFERROR(IF($A234="","",IF(I234="","",_xlfn.XLOOKUP($C234&amp;"_"&amp;$AG234,符文权重!$A:$A&amp;"_"&amp;符文权重!$C:$C,符文权重!$D:$D)*$X234/SUMIFS($X:$X,I:I,I234,$C:$C,$C234,$AG:$AG,$AG234)/SUMIF(符文权重!$A:$A,$C234,符文权重!$D:$D))),"")</f>
        <v>0.009375</v>
      </c>
      <c r="P234" s="39" t="str" cm="1">
        <f t="array" ref="P234">IFERROR(IF($A234="","",IF(J234="","",_xlfn.XLOOKUP($C234&amp;"_"&amp;$AG234,符文权重!$A:$A&amp;"_"&amp;符文权重!$C:$C,符文权重!$D:$D)*$X234/SUMIFS($X:$X,J:J,J234,$C:$C,$C234,$AG:$AG,$AG234)/SUMIF(符文权重!$A:$A,$C234,符文权重!$D:$D))),"")</f>
        <v/>
      </c>
      <c r="Q234" s="39" t="str" cm="1">
        <f t="array" ref="Q234">IFERROR(IF($A234="","",IF(K234="","",_xlfn.XLOOKUP($C234&amp;"_"&amp;$AG234,符文权重!$A:$A&amp;"_"&amp;符文权重!$C:$C,符文权重!$D:$D)*$X234/SUMIFS($X:$X,K:K,K234,$C:$C,$C234,$AG:$AG,$AG234)/SUMIF(符文权重!$A:$A,$C234,符文权重!$D:$D))),"")</f>
        <v/>
      </c>
      <c r="R234" s="26" t="s">
        <v>244</v>
      </c>
      <c r="S234" s="26"/>
      <c r="T234" s="26" t="e">
        <f>IF(B234="","",SUBSTITUTE(SUBSTITUTE("[{global_atk,"&amp;#REF!*C234&amp;"}]",21,20),9,8))</f>
        <v>#REF!</v>
      </c>
      <c r="U234" s="40" t="str">
        <f t="shared" si="121"/>
        <v>[5503055]</v>
      </c>
      <c r="V234" s="31"/>
      <c r="W234" s="25"/>
      <c r="X234" s="32">
        <v>100</v>
      </c>
      <c r="Y234" s="25"/>
      <c r="Z234" s="32" t="s">
        <v>176</v>
      </c>
      <c r="AA234" s="32" t="str">
        <f t="shared" si="114"/>
        <v>击杀精英或首领后全队回复20%血量</v>
      </c>
      <c r="AB234" s="32"/>
      <c r="AC234" s="32" t="s">
        <v>166</v>
      </c>
      <c r="AD234" s="32">
        <f t="shared" si="105"/>
        <v>1229</v>
      </c>
      <c r="AE234" s="38" t="str">
        <f t="shared" si="110"/>
        <v>5503051</v>
      </c>
      <c r="AF234" s="32" t="str">
        <f t="shared" si="111"/>
        <v>[20]</v>
      </c>
      <c r="AG234" s="26">
        <v>4</v>
      </c>
      <c r="AH234" s="26"/>
      <c r="AI234" s="26">
        <v>0</v>
      </c>
      <c r="AJ234" s="25">
        <v>1</v>
      </c>
      <c r="AK234" s="38">
        <f t="shared" si="122"/>
        <v>5503055</v>
      </c>
      <c r="AL234" s="41" t="str">
        <f t="shared" si="123"/>
        <v>击杀精英或首领后全队回复&lt;color=#54b76b&gt;%s%&lt;/color&gt;血量</v>
      </c>
      <c r="AM234" s="26">
        <v>20</v>
      </c>
      <c r="AN234" s="26">
        <v>3</v>
      </c>
      <c r="AO234" s="26" t="s">
        <v>28</v>
      </c>
      <c r="AP234" s="20">
        <f t="shared" si="106"/>
        <v>229</v>
      </c>
    </row>
    <row r="235" s="20" customFormat="1" customHeight="1" spans="1:42">
      <c r="A235" s="38">
        <v>5503056</v>
      </c>
      <c r="B235" s="38" t="str">
        <f t="shared" si="107"/>
        <v>5503051</v>
      </c>
      <c r="C235" s="32">
        <f t="shared" si="108"/>
        <v>6</v>
      </c>
      <c r="D235" s="32"/>
      <c r="E235" s="26" t="s">
        <v>356</v>
      </c>
      <c r="F235" s="26" t="str">
        <f t="shared" si="102"/>
        <v/>
      </c>
      <c r="G235" s="26" t="str">
        <f>IFERROR(IF(--MID($E235,2*COUNTIF($F235:F235,"&gt;"&amp;0)+2,1)=G$1,G$1,""),"")</f>
        <v/>
      </c>
      <c r="H235" s="26">
        <f>IFERROR(IF(--MID($E235,2*COUNTIF($F235:G235,"&gt;"&amp;0)+2,1)=H$1,H$1,""),"")</f>
        <v>3</v>
      </c>
      <c r="I235" s="26">
        <f>IFERROR(IF(--MID($E235,2*COUNTIF($F235:H235,"&gt;"&amp;0)+2,1)=I$1,I$1,""),"")</f>
        <v>4</v>
      </c>
      <c r="J235" s="26" t="str">
        <f>IFERROR(IF(--MID($E235,2*COUNTIF($F235:I235,"&gt;"&amp;0)+2,1)=J$1,J$1,""),"")</f>
        <v/>
      </c>
      <c r="K235" s="26" t="str">
        <f>IFERROR(IF(--MID($E235,2*COUNTIF($F235:J235,"&gt;"&amp;0)+2,1)=K$1,K$1,""),"")</f>
        <v/>
      </c>
      <c r="L235" s="39" t="str" cm="1">
        <f t="array" ref="L235">IFERROR(IF($A235="","",IF(F235="","",_xlfn.XLOOKUP($C235&amp;"_"&amp;$AG235,符文权重!$A:$A&amp;"_"&amp;符文权重!$C:$C,符文权重!$D:$D)*$X235/SUMIFS($X:$X,F:F,F235,$C:$C,$C235,$AG:$AG,$AG235)/SUMIF(符文权重!$A:$A,$C235,符文权重!$D:$D))),"")</f>
        <v/>
      </c>
      <c r="M235" s="39" t="str" cm="1">
        <f t="array" ref="M235">IFERROR(IF($A235="","",IF(G235="","",_xlfn.XLOOKUP($C235&amp;"_"&amp;$AG235,符文权重!$A:$A&amp;"_"&amp;符文权重!$C:$C,符文权重!$D:$D)*$X235/SUMIFS($X:$X,G:G,G235,$C:$C,$C235,$AG:$AG,$AG235)/SUMIF(符文权重!$A:$A,$C235,符文权重!$D:$D))),"")</f>
        <v/>
      </c>
      <c r="N235" s="39" cm="1">
        <f t="array" ref="N235">IFERROR(IF($A235="","",IF(H235="","",_xlfn.XLOOKUP($C235&amp;"_"&amp;$AG235,符文权重!$A:$A&amp;"_"&amp;符文权重!$C:$C,符文权重!$D:$D)*$X235/SUMIFS($X:$X,H:H,H235,$C:$C,$C235,$AG:$AG,$AG235)/SUMIF(符文权重!$A:$A,$C235,符文权重!$D:$D))),"")</f>
        <v>0.0115384615384615</v>
      </c>
      <c r="O235" s="39" cm="1">
        <f t="array" ref="O235">IFERROR(IF($A235="","",IF(I235="","",_xlfn.XLOOKUP($C235&amp;"_"&amp;$AG235,符文权重!$A:$A&amp;"_"&amp;符文权重!$C:$C,符文权重!$D:$D)*$X235/SUMIFS($X:$X,I:I,I235,$C:$C,$C235,$AG:$AG,$AG235)/SUMIF(符文权重!$A:$A,$C235,符文权重!$D:$D))),"")</f>
        <v>0.009375</v>
      </c>
      <c r="P235" s="39" t="str" cm="1">
        <f t="array" ref="P235">IFERROR(IF($A235="","",IF(J235="","",_xlfn.XLOOKUP($C235&amp;"_"&amp;$AG235,符文权重!$A:$A&amp;"_"&amp;符文权重!$C:$C,符文权重!$D:$D)*$X235/SUMIFS($X:$X,J:J,J235,$C:$C,$C235,$AG:$AG,$AG235)/SUMIF(符文权重!$A:$A,$C235,符文权重!$D:$D))),"")</f>
        <v/>
      </c>
      <c r="Q235" s="39" t="str" cm="1">
        <f t="array" ref="Q235">IFERROR(IF($A235="","",IF(K235="","",_xlfn.XLOOKUP($C235&amp;"_"&amp;$AG235,符文权重!$A:$A&amp;"_"&amp;符文权重!$C:$C,符文权重!$D:$D)*$X235/SUMIFS($X:$X,K:K,K235,$C:$C,$C235,$AG:$AG,$AG235)/SUMIF(符文权重!$A:$A,$C235,符文权重!$D:$D))),"")</f>
        <v/>
      </c>
      <c r="R235" s="26" t="s">
        <v>244</v>
      </c>
      <c r="S235" s="26"/>
      <c r="T235" s="26" t="e">
        <f>IF(B235="","",SUBSTITUTE(SUBSTITUTE("[{global_atk,"&amp;#REF!*C235&amp;"}]",21,20),9,8))</f>
        <v>#REF!</v>
      </c>
      <c r="U235" s="40" t="str">
        <f t="shared" si="121"/>
        <v>[5503056]</v>
      </c>
      <c r="V235" s="31"/>
      <c r="W235" s="25"/>
      <c r="X235" s="32">
        <v>100</v>
      </c>
      <c r="Y235" s="25"/>
      <c r="Z235" s="32" t="s">
        <v>178</v>
      </c>
      <c r="AA235" s="32" t="str">
        <f t="shared" si="114"/>
        <v>击杀精英或首领后全队回复25%血量</v>
      </c>
      <c r="AB235" s="32"/>
      <c r="AC235" s="32" t="s">
        <v>166</v>
      </c>
      <c r="AD235" s="32">
        <f t="shared" si="105"/>
        <v>1230</v>
      </c>
      <c r="AE235" s="38" t="str">
        <f t="shared" si="110"/>
        <v>5503051</v>
      </c>
      <c r="AF235" s="32" t="str">
        <f t="shared" si="111"/>
        <v>[25]</v>
      </c>
      <c r="AG235" s="26">
        <v>4</v>
      </c>
      <c r="AH235" s="26"/>
      <c r="AI235" s="26">
        <v>0</v>
      </c>
      <c r="AJ235" s="25">
        <v>1</v>
      </c>
      <c r="AK235" s="38">
        <f t="shared" si="122"/>
        <v>5503056</v>
      </c>
      <c r="AL235" s="41" t="str">
        <f t="shared" si="123"/>
        <v>击杀精英或首领后全队回复&lt;color=#54b76b&gt;%s%&lt;/color&gt;血量</v>
      </c>
      <c r="AM235" s="26">
        <v>25</v>
      </c>
      <c r="AN235" s="26">
        <v>3</v>
      </c>
      <c r="AO235" s="26" t="s">
        <v>28</v>
      </c>
      <c r="AP235" s="20">
        <f t="shared" si="106"/>
        <v>230</v>
      </c>
    </row>
    <row r="236" s="20" customFormat="1" customHeight="1" spans="1:42">
      <c r="A236" s="38">
        <v>5503057</v>
      </c>
      <c r="B236" s="38" t="str">
        <f t="shared" si="107"/>
        <v>5503051</v>
      </c>
      <c r="C236" s="32">
        <f t="shared" si="108"/>
        <v>7</v>
      </c>
      <c r="D236" s="32"/>
      <c r="E236" s="26" t="s">
        <v>356</v>
      </c>
      <c r="F236" s="26" t="str">
        <f t="shared" si="102"/>
        <v/>
      </c>
      <c r="G236" s="26" t="str">
        <f>IFERROR(IF(--MID($E236,2*COUNTIF($F236:F236,"&gt;"&amp;0)+2,1)=G$1,G$1,""),"")</f>
        <v/>
      </c>
      <c r="H236" s="26">
        <f>IFERROR(IF(--MID($E236,2*COUNTIF($F236:G236,"&gt;"&amp;0)+2,1)=H$1,H$1,""),"")</f>
        <v>3</v>
      </c>
      <c r="I236" s="26">
        <f>IFERROR(IF(--MID($E236,2*COUNTIF($F236:H236,"&gt;"&amp;0)+2,1)=I$1,I$1,""),"")</f>
        <v>4</v>
      </c>
      <c r="J236" s="26" t="str">
        <f>IFERROR(IF(--MID($E236,2*COUNTIF($F236:I236,"&gt;"&amp;0)+2,1)=J$1,J$1,""),"")</f>
        <v/>
      </c>
      <c r="K236" s="26" t="str">
        <f>IFERROR(IF(--MID($E236,2*COUNTIF($F236:J236,"&gt;"&amp;0)+2,1)=K$1,K$1,""),"")</f>
        <v/>
      </c>
      <c r="L236" s="39" t="str" cm="1">
        <f t="array" ref="L236">IFERROR(IF($A236="","",IF(F236="","",_xlfn.XLOOKUP($C236&amp;"_"&amp;$AG236,符文权重!$A:$A&amp;"_"&amp;符文权重!$C:$C,符文权重!$D:$D)*$X236/SUMIFS($X:$X,F:F,F236,$C:$C,$C236,$AG:$AG,$AG236)/SUMIF(符文权重!$A:$A,$C236,符文权重!$D:$D))),"")</f>
        <v/>
      </c>
      <c r="M236" s="39" t="str" cm="1">
        <f t="array" ref="M236">IFERROR(IF($A236="","",IF(G236="","",_xlfn.XLOOKUP($C236&amp;"_"&amp;$AG236,符文权重!$A:$A&amp;"_"&amp;符文权重!$C:$C,符文权重!$D:$D)*$X236/SUMIFS($X:$X,G:G,G236,$C:$C,$C236,$AG:$AG,$AG236)/SUMIF(符文权重!$A:$A,$C236,符文权重!$D:$D))),"")</f>
        <v/>
      </c>
      <c r="N236" s="39" cm="1">
        <f t="array" ref="N236">IFERROR(IF($A236="","",IF(H236="","",_xlfn.XLOOKUP($C236&amp;"_"&amp;$AG236,符文权重!$A:$A&amp;"_"&amp;符文权重!$C:$C,符文权重!$D:$D)*$X236/SUMIFS($X:$X,H:H,H236,$C:$C,$C236,$AG:$AG,$AG236)/SUMIF(符文权重!$A:$A,$C236,符文权重!$D:$D))),"")</f>
        <v>0.0115384615384615</v>
      </c>
      <c r="O236" s="39" cm="1">
        <f t="array" ref="O236">IFERROR(IF($A236="","",IF(I236="","",_xlfn.XLOOKUP($C236&amp;"_"&amp;$AG236,符文权重!$A:$A&amp;"_"&amp;符文权重!$C:$C,符文权重!$D:$D)*$X236/SUMIFS($X:$X,I:I,I236,$C:$C,$C236,$AG:$AG,$AG236)/SUMIF(符文权重!$A:$A,$C236,符文权重!$D:$D))),"")</f>
        <v>0.009375</v>
      </c>
      <c r="P236" s="39" t="str" cm="1">
        <f t="array" ref="P236">IFERROR(IF($A236="","",IF(J236="","",_xlfn.XLOOKUP($C236&amp;"_"&amp;$AG236,符文权重!$A:$A&amp;"_"&amp;符文权重!$C:$C,符文权重!$D:$D)*$X236/SUMIFS($X:$X,J:J,J236,$C:$C,$C236,$AG:$AG,$AG236)/SUMIF(符文权重!$A:$A,$C236,符文权重!$D:$D))),"")</f>
        <v/>
      </c>
      <c r="Q236" s="39" t="str" cm="1">
        <f t="array" ref="Q236">IFERROR(IF($A236="","",IF(K236="","",_xlfn.XLOOKUP($C236&amp;"_"&amp;$AG236,符文权重!$A:$A&amp;"_"&amp;符文权重!$C:$C,符文权重!$D:$D)*$X236/SUMIFS($X:$X,K:K,K236,$C:$C,$C236,$AG:$AG,$AG236)/SUMIF(符文权重!$A:$A,$C236,符文权重!$D:$D))),"")</f>
        <v/>
      </c>
      <c r="R236" s="26" t="s">
        <v>244</v>
      </c>
      <c r="S236" s="26"/>
      <c r="T236" s="26" t="e">
        <f>IF(B236="","",SUBSTITUTE(SUBSTITUTE("[{global_atk,"&amp;#REF!*C236&amp;"}]",21,20),9,8))</f>
        <v>#REF!</v>
      </c>
      <c r="U236" s="40" t="str">
        <f t="shared" si="121"/>
        <v>[5503057]</v>
      </c>
      <c r="V236" s="31"/>
      <c r="W236" s="25"/>
      <c r="X236" s="32">
        <v>100</v>
      </c>
      <c r="Y236" s="25"/>
      <c r="Z236" s="32" t="s">
        <v>180</v>
      </c>
      <c r="AA236" s="32" t="str">
        <f t="shared" si="114"/>
        <v>击杀精英或首领后全队回复30%血量</v>
      </c>
      <c r="AB236" s="32"/>
      <c r="AC236" s="32" t="s">
        <v>166</v>
      </c>
      <c r="AD236" s="32">
        <f t="shared" si="105"/>
        <v>1231</v>
      </c>
      <c r="AE236" s="38" t="str">
        <f t="shared" si="110"/>
        <v>5503051</v>
      </c>
      <c r="AF236" s="32" t="str">
        <f t="shared" si="111"/>
        <v>[30]</v>
      </c>
      <c r="AG236" s="26">
        <v>4</v>
      </c>
      <c r="AH236" s="26"/>
      <c r="AI236" s="26">
        <v>0</v>
      </c>
      <c r="AJ236" s="25">
        <v>1</v>
      </c>
      <c r="AK236" s="38">
        <f t="shared" si="122"/>
        <v>5503057</v>
      </c>
      <c r="AL236" s="41" t="str">
        <f t="shared" si="123"/>
        <v>击杀精英或首领后全队回复&lt;color=#54b76b&gt;%s%&lt;/color&gt;血量</v>
      </c>
      <c r="AM236" s="26">
        <v>30</v>
      </c>
      <c r="AN236" s="26">
        <v>3</v>
      </c>
      <c r="AO236" s="26" t="s">
        <v>28</v>
      </c>
      <c r="AP236" s="20">
        <f t="shared" si="106"/>
        <v>231</v>
      </c>
    </row>
    <row r="237" s="20" customFormat="1" customHeight="1" spans="1:42">
      <c r="A237" s="38" t="s">
        <v>167</v>
      </c>
      <c r="B237" s="38" t="str">
        <f t="shared" si="107"/>
        <v/>
      </c>
      <c r="C237" s="32" t="str">
        <f t="shared" si="108"/>
        <v/>
      </c>
      <c r="D237" s="32"/>
      <c r="E237" s="26"/>
      <c r="F237" s="26" t="str">
        <f t="shared" si="102"/>
        <v/>
      </c>
      <c r="G237" s="26" t="str">
        <f>IFERROR(IF(--MID($E237,2*COUNTIF($F237:F237,"&gt;"&amp;0)+2,1)=G$1,G$1,""),"")</f>
        <v/>
      </c>
      <c r="H237" s="26" t="str">
        <f>IFERROR(IF(--MID($E237,2*COUNTIF($F237:G237,"&gt;"&amp;0)+2,1)=H$1,H$1,""),"")</f>
        <v/>
      </c>
      <c r="I237" s="26" t="str">
        <f>IFERROR(IF(--MID($E237,2*COUNTIF($F237:H237,"&gt;"&amp;0)+2,1)=I$1,I$1,""),"")</f>
        <v/>
      </c>
      <c r="J237" s="26" t="str">
        <f>IFERROR(IF(--MID($E237,2*COUNTIF($F237:I237,"&gt;"&amp;0)+2,1)=J$1,J$1,""),"")</f>
        <v/>
      </c>
      <c r="K237" s="26" t="str">
        <f>IFERROR(IF(--MID($E237,2*COUNTIF($F237:J237,"&gt;"&amp;0)+2,1)=K$1,K$1,""),"")</f>
        <v/>
      </c>
      <c r="L237" s="39" t="str" cm="1">
        <f t="array" ref="L237">IFERROR(IF($A237="","",IF(F237="","",_xlfn.XLOOKUP($C237&amp;"_"&amp;$AG237,符文权重!$A:$A&amp;"_"&amp;符文权重!$C:$C,符文权重!$D:$D)*$X237/SUMIFS($X:$X,F:F,F237,$C:$C,$C237,$AG:$AG,$AG237)/SUMIF(符文权重!$A:$A,$C237,符文权重!$D:$D))),"")</f>
        <v/>
      </c>
      <c r="M237" s="39" t="str" cm="1">
        <f t="array" ref="M237">IFERROR(IF($A237="","",IF(G237="","",_xlfn.XLOOKUP($C237&amp;"_"&amp;$AG237,符文权重!$A:$A&amp;"_"&amp;符文权重!$C:$C,符文权重!$D:$D)*$X237/SUMIFS($X:$X,G:G,G237,$C:$C,$C237,$AG:$AG,$AG237)/SUMIF(符文权重!$A:$A,$C237,符文权重!$D:$D))),"")</f>
        <v/>
      </c>
      <c r="N237" s="39" t="str" cm="1">
        <f t="array" ref="N237">IFERROR(IF($A237="","",IF(H237="","",_xlfn.XLOOKUP($C237&amp;"_"&amp;$AG237,符文权重!$A:$A&amp;"_"&amp;符文权重!$C:$C,符文权重!$D:$D)*$X237/SUMIFS($X:$X,H:H,H237,$C:$C,$C237,$AG:$AG,$AG237)/SUMIF(符文权重!$A:$A,$C237,符文权重!$D:$D))),"")</f>
        <v/>
      </c>
      <c r="O237" s="39" t="str" cm="1">
        <f t="array" ref="O237">IFERROR(IF($A237="","",IF(I237="","",_xlfn.XLOOKUP($C237&amp;"_"&amp;$AG237,符文权重!$A:$A&amp;"_"&amp;符文权重!$C:$C,符文权重!$D:$D)*$X237/SUMIFS($X:$X,I:I,I237,$C:$C,$C237,$AG:$AG,$AG237)/SUMIF(符文权重!$A:$A,$C237,符文权重!$D:$D))),"")</f>
        <v/>
      </c>
      <c r="P237" s="39" t="str" cm="1">
        <f t="array" ref="P237">IFERROR(IF($A237="","",IF(J237="","",_xlfn.XLOOKUP($C237&amp;"_"&amp;$AG237,符文权重!$A:$A&amp;"_"&amp;符文权重!$C:$C,符文权重!$D:$D)*$X237/SUMIFS($X:$X,J:J,J237,$C:$C,$C237,$AG:$AG,$AG237)/SUMIF(符文权重!$A:$A,$C237,符文权重!$D:$D))),"")</f>
        <v/>
      </c>
      <c r="Q237" s="39" t="str" cm="1">
        <f t="array" ref="Q237">IFERROR(IF($A237="","",IF(K237="","",_xlfn.XLOOKUP($C237&amp;"_"&amp;$AG237,符文权重!$A:$A&amp;"_"&amp;符文权重!$C:$C,符文权重!$D:$D)*$X237/SUMIFS($X:$X,K:K,K237,$C:$C,$C237,$AG:$AG,$AG237)/SUMIF(符文权重!$A:$A,$C237,符文权重!$D:$D))),"")</f>
        <v/>
      </c>
      <c r="R237" s="26"/>
      <c r="S237" s="26"/>
      <c r="T237" s="26"/>
      <c r="V237" s="31"/>
      <c r="W237" s="25"/>
      <c r="X237" s="32"/>
      <c r="Y237" s="25"/>
      <c r="Z237" s="32" t="s">
        <v>167</v>
      </c>
      <c r="AA237" s="32" t="str">
        <f t="shared" si="114"/>
        <v/>
      </c>
      <c r="AB237" s="32"/>
      <c r="AC237" s="32" t="s">
        <v>166</v>
      </c>
      <c r="AD237" s="32">
        <f t="shared" si="105"/>
        <v>1232</v>
      </c>
      <c r="AE237" s="38" t="str">
        <f t="shared" si="110"/>
        <v/>
      </c>
      <c r="AF237" s="32" t="str">
        <f t="shared" si="111"/>
        <v/>
      </c>
      <c r="AG237" s="26"/>
      <c r="AH237" s="26"/>
      <c r="AI237" s="26"/>
      <c r="AJ237" s="25" t="s">
        <v>167</v>
      </c>
      <c r="AK237" s="24"/>
      <c r="AL237" s="43"/>
      <c r="AM237" s="26"/>
      <c r="AN237" s="26"/>
      <c r="AO237" s="26"/>
      <c r="AP237" s="20">
        <f t="shared" si="106"/>
        <v>232</v>
      </c>
    </row>
    <row r="238" s="22" customFormat="1" customHeight="1" spans="1:42">
      <c r="A238" s="44">
        <v>5503061</v>
      </c>
      <c r="B238" s="44" t="str">
        <f t="shared" si="107"/>
        <v>5503061</v>
      </c>
      <c r="C238" s="45">
        <f t="shared" si="108"/>
        <v>1</v>
      </c>
      <c r="D238" s="45"/>
      <c r="E238" s="46" t="s">
        <v>358</v>
      </c>
      <c r="F238" s="26">
        <f t="shared" si="102"/>
        <v>1</v>
      </c>
      <c r="G238" s="26" t="str">
        <f>IFERROR(IF(--MID($E238,2*COUNTIF($F238:F238,"&gt;"&amp;0)+2,1)=G$1,G$1,""),"")</f>
        <v/>
      </c>
      <c r="H238" s="26">
        <f>IFERROR(IF(--MID($E238,2*COUNTIF($F238:G238,"&gt;"&amp;0)+2,1)=H$1,H$1,""),"")</f>
        <v>3</v>
      </c>
      <c r="I238" s="26" t="str">
        <f>IFERROR(IF(--MID($E238,2*COUNTIF($F238:H238,"&gt;"&amp;0)+2,1)=I$1,I$1,""),"")</f>
        <v/>
      </c>
      <c r="J238" s="26" t="str">
        <f>IFERROR(IF(--MID($E238,2*COUNTIF($F238:I238,"&gt;"&amp;0)+2,1)=J$1,J$1,""),"")</f>
        <v/>
      </c>
      <c r="K238" s="26" t="str">
        <f>IFERROR(IF(--MID($E238,2*COUNTIF($F238:J238,"&gt;"&amp;0)+2,1)=K$1,K$1,""),"")</f>
        <v/>
      </c>
      <c r="L238" s="39" t="str" cm="1">
        <f t="array" ref="L238">IFERROR(IF($A238="","",IF(F238="","",_xlfn.XLOOKUP($C238&amp;"_"&amp;$AG238,符文权重!$A:$A&amp;"_"&amp;符文权重!$C:$C,符文权重!$D:$D)*$X238/SUMIFS($X:$X,F:F,F238,$C:$C,$C238,$AG:$AG,$AG238)/SUMIF(符文权重!$A:$A,$C238,符文权重!$D:$D))),"")</f>
        <v/>
      </c>
      <c r="M238" s="39" t="str" cm="1">
        <f t="array" ref="M238">IFERROR(IF($A238="","",IF(G238="","",_xlfn.XLOOKUP($C238&amp;"_"&amp;$AG238,符文权重!$A:$A&amp;"_"&amp;符文权重!$C:$C,符文权重!$D:$D)*$X238/SUMIFS($X:$X,G:G,G238,$C:$C,$C238,$AG:$AG,$AG238)/SUMIF(符文权重!$A:$A,$C238,符文权重!$D:$D))),"")</f>
        <v/>
      </c>
      <c r="N238" s="39" t="str" cm="1">
        <f t="array" ref="N238">IFERROR(IF($A238="","",IF(H238="","",_xlfn.XLOOKUP($C238&amp;"_"&amp;$AG238,符文权重!$A:$A&amp;"_"&amp;符文权重!$C:$C,符文权重!$D:$D)*$X238/SUMIFS($X:$X,H:H,H238,$C:$C,$C238,$AG:$AG,$AG238)/SUMIF(符文权重!$A:$A,$C238,符文权重!$D:$D))),"")</f>
        <v/>
      </c>
      <c r="O238" s="39" t="str" cm="1">
        <f t="array" ref="O238">IFERROR(IF($A238="","",IF(I238="","",_xlfn.XLOOKUP($C238&amp;"_"&amp;$AG238,符文权重!$A:$A&amp;"_"&amp;符文权重!$C:$C,符文权重!$D:$D)*$X238/SUMIFS($X:$X,I:I,I238,$C:$C,$C238,$AG:$AG,$AG238)/SUMIF(符文权重!$A:$A,$C238,符文权重!$D:$D))),"")</f>
        <v/>
      </c>
      <c r="P238" s="39" t="str" cm="1">
        <f t="array" ref="P238">IFERROR(IF($A238="","",IF(J238="","",_xlfn.XLOOKUP($C238&amp;"_"&amp;$AG238,符文权重!$A:$A&amp;"_"&amp;符文权重!$C:$C,符文权重!$D:$D)*$X238/SUMIFS($X:$X,J:J,J238,$C:$C,$C238,$AG:$AG,$AG238)/SUMIF(符文权重!$A:$A,$C238,符文权重!$D:$D))),"")</f>
        <v/>
      </c>
      <c r="Q238" s="39" t="str" cm="1">
        <f t="array" ref="Q238">IFERROR(IF($A238="","",IF(K238="","",_xlfn.XLOOKUP($C238&amp;"_"&amp;$AG238,符文权重!$A:$A&amp;"_"&amp;符文权重!$C:$C,符文权重!$D:$D)*$X238/SUMIFS($X:$X,K:K,K238,$C:$C,$C238,$AG:$AG,$AG238)/SUMIF(符文权重!$A:$A,$C238,符文权重!$D:$D))),"")</f>
        <v/>
      </c>
      <c r="R238" s="46" t="s">
        <v>244</v>
      </c>
      <c r="S238" s="46"/>
      <c r="T238" s="46" t="e">
        <f>IF(B238="","",SUBSTITUTE(SUBSTITUTE("[{global_atk,"&amp;#REF!*C238&amp;"}]",21,20),9,8))</f>
        <v>#REF!</v>
      </c>
      <c r="U238" s="47" t="str">
        <f t="shared" ref="U238:U244" si="124">"["&amp;A238&amp;"]"</f>
        <v>[5503061]</v>
      </c>
      <c r="V238" s="46"/>
      <c r="W238" s="23"/>
      <c r="X238" s="32">
        <v>16</v>
      </c>
      <c r="Y238" s="23"/>
      <c r="Z238" s="45" t="s">
        <v>165</v>
      </c>
      <c r="AA238" s="32" t="str">
        <f t="shared" si="114"/>
        <v>队长每释放一次[咻咻的弹簧锤]，所有梦灵伤害+0%，最多8次</v>
      </c>
      <c r="AB238" s="32"/>
      <c r="AC238" s="32" t="s">
        <v>166</v>
      </c>
      <c r="AD238" s="32">
        <f t="shared" si="105"/>
        <v>1233</v>
      </c>
      <c r="AE238" s="44" t="str">
        <f t="shared" si="110"/>
        <v>5503061</v>
      </c>
      <c r="AF238" s="45" t="str">
        <f t="shared" si="111"/>
        <v>[0]</v>
      </c>
      <c r="AG238" s="26">
        <v>100</v>
      </c>
      <c r="AH238" s="46"/>
      <c r="AI238" s="46">
        <v>1</v>
      </c>
      <c r="AJ238" s="25">
        <v>1</v>
      </c>
      <c r="AK238" s="48">
        <v>5503061</v>
      </c>
      <c r="AL238" s="49" t="s">
        <v>359</v>
      </c>
      <c r="AM238" s="46">
        <v>0</v>
      </c>
      <c r="AN238" s="26"/>
      <c r="AO238" s="26" t="s">
        <v>25</v>
      </c>
      <c r="AP238" s="20">
        <f t="shared" si="106"/>
        <v>233</v>
      </c>
    </row>
    <row r="239" s="22" customFormat="1" customHeight="1" spans="1:42">
      <c r="A239" s="44">
        <v>5503062</v>
      </c>
      <c r="B239" s="44" t="str">
        <f t="shared" si="107"/>
        <v>5503061</v>
      </c>
      <c r="C239" s="45">
        <f t="shared" si="108"/>
        <v>2</v>
      </c>
      <c r="D239" s="45"/>
      <c r="E239" s="46" t="s">
        <v>358</v>
      </c>
      <c r="F239" s="26">
        <f t="shared" si="102"/>
        <v>1</v>
      </c>
      <c r="G239" s="26" t="str">
        <f>IFERROR(IF(--MID($E239,2*COUNTIF($F239:F239,"&gt;"&amp;0)+2,1)=G$1,G$1,""),"")</f>
        <v/>
      </c>
      <c r="H239" s="26">
        <f>IFERROR(IF(--MID($E239,2*COUNTIF($F239:G239,"&gt;"&amp;0)+2,1)=H$1,H$1,""),"")</f>
        <v>3</v>
      </c>
      <c r="I239" s="26" t="str">
        <f>IFERROR(IF(--MID($E239,2*COUNTIF($F239:H239,"&gt;"&amp;0)+2,1)=I$1,I$1,""),"")</f>
        <v/>
      </c>
      <c r="J239" s="26" t="str">
        <f>IFERROR(IF(--MID($E239,2*COUNTIF($F239:I239,"&gt;"&amp;0)+2,1)=J$1,J$1,""),"")</f>
        <v/>
      </c>
      <c r="K239" s="26" t="str">
        <f>IFERROR(IF(--MID($E239,2*COUNTIF($F239:J239,"&gt;"&amp;0)+2,1)=K$1,K$1,""),"")</f>
        <v/>
      </c>
      <c r="L239" s="39" t="str" cm="1">
        <f t="array" ref="L239">IFERROR(IF($A239="","",IF(F239="","",_xlfn.XLOOKUP($C239&amp;"_"&amp;$AG239,符文权重!$A:$A&amp;"_"&amp;符文权重!$C:$C,符文权重!$D:$D)*$X239/SUMIFS($X:$X,F:F,F239,$C:$C,$C239,$AG:$AG,$AG239)/SUMIF(符文权重!$A:$A,$C239,符文权重!$D:$D))),"")</f>
        <v/>
      </c>
      <c r="M239" s="39" t="str" cm="1">
        <f t="array" ref="M239">IFERROR(IF($A239="","",IF(G239="","",_xlfn.XLOOKUP($C239&amp;"_"&amp;$AG239,符文权重!$A:$A&amp;"_"&amp;符文权重!$C:$C,符文权重!$D:$D)*$X239/SUMIFS($X:$X,G:G,G239,$C:$C,$C239,$AG:$AG,$AG239)/SUMIF(符文权重!$A:$A,$C239,符文权重!$D:$D))),"")</f>
        <v/>
      </c>
      <c r="N239" s="39" t="str" cm="1">
        <f t="array" ref="N239">IFERROR(IF($A239="","",IF(H239="","",_xlfn.XLOOKUP($C239&amp;"_"&amp;$AG239,符文权重!$A:$A&amp;"_"&amp;符文权重!$C:$C,符文权重!$D:$D)*$X239/SUMIFS($X:$X,H:H,H239,$C:$C,$C239,$AG:$AG,$AG239)/SUMIF(符文权重!$A:$A,$C239,符文权重!$D:$D))),"")</f>
        <v/>
      </c>
      <c r="O239" s="39" t="str" cm="1">
        <f t="array" ref="O239">IFERROR(IF($A239="","",IF(I239="","",_xlfn.XLOOKUP($C239&amp;"_"&amp;$AG239,符文权重!$A:$A&amp;"_"&amp;符文权重!$C:$C,符文权重!$D:$D)*$X239/SUMIFS($X:$X,I:I,I239,$C:$C,$C239,$AG:$AG,$AG239)/SUMIF(符文权重!$A:$A,$C239,符文权重!$D:$D))),"")</f>
        <v/>
      </c>
      <c r="P239" s="39" t="str" cm="1">
        <f t="array" ref="P239">IFERROR(IF($A239="","",IF(J239="","",_xlfn.XLOOKUP($C239&amp;"_"&amp;$AG239,符文权重!$A:$A&amp;"_"&amp;符文权重!$C:$C,符文权重!$D:$D)*$X239/SUMIFS($X:$X,J:J,J239,$C:$C,$C239,$AG:$AG,$AG239)/SUMIF(符文权重!$A:$A,$C239,符文权重!$D:$D))),"")</f>
        <v/>
      </c>
      <c r="Q239" s="39" t="str" cm="1">
        <f t="array" ref="Q239">IFERROR(IF($A239="","",IF(K239="","",_xlfn.XLOOKUP($C239&amp;"_"&amp;$AG239,符文权重!$A:$A&amp;"_"&amp;符文权重!$C:$C,符文权重!$D:$D)*$X239/SUMIFS($X:$X,K:K,K239,$C:$C,$C239,$AG:$AG,$AG239)/SUMIF(符文权重!$A:$A,$C239,符文权重!$D:$D))),"")</f>
        <v/>
      </c>
      <c r="R239" s="46" t="s">
        <v>244</v>
      </c>
      <c r="S239" s="46"/>
      <c r="T239" s="46" t="e">
        <f>IF(B239="","",SUBSTITUTE(SUBSTITUTE("[{global_atk,"&amp;#REF!*C239&amp;"}]",21,20),9,8))</f>
        <v>#REF!</v>
      </c>
      <c r="U239" s="47" t="str">
        <f t="shared" si="124"/>
        <v>[5503062]</v>
      </c>
      <c r="V239" s="46"/>
      <c r="W239" s="23"/>
      <c r="X239" s="32">
        <v>16</v>
      </c>
      <c r="Y239" s="23"/>
      <c r="Z239" s="45" t="s">
        <v>170</v>
      </c>
      <c r="AA239" s="32" t="str">
        <f t="shared" si="114"/>
        <v>队长每释放一次[咻咻的弹簧锤]，所有梦灵伤害+0%，最多8次</v>
      </c>
      <c r="AB239" s="32"/>
      <c r="AC239" s="32" t="s">
        <v>166</v>
      </c>
      <c r="AD239" s="32">
        <f t="shared" si="105"/>
        <v>1234</v>
      </c>
      <c r="AE239" s="44" t="str">
        <f t="shared" si="110"/>
        <v>5503061</v>
      </c>
      <c r="AF239" s="45" t="str">
        <f t="shared" si="111"/>
        <v>[0]</v>
      </c>
      <c r="AG239" s="26">
        <v>100</v>
      </c>
      <c r="AH239" s="46"/>
      <c r="AI239" s="46">
        <v>1</v>
      </c>
      <c r="AJ239" s="25">
        <v>1</v>
      </c>
      <c r="AK239" s="44">
        <f t="shared" ref="AK239:AK244" si="125">AK238+1</f>
        <v>5503062</v>
      </c>
      <c r="AL239" s="50" t="str">
        <f t="shared" ref="AL239:AL244" si="126">AL238</f>
        <v>队长每释放一次[咻咻的弹簧锤]，所有梦灵伤害&lt;color=#54b76b&gt;+%s%&lt;/color&gt;，最多8次</v>
      </c>
      <c r="AM239" s="46">
        <v>0</v>
      </c>
      <c r="AN239" s="26"/>
      <c r="AO239" s="26" t="s">
        <v>25</v>
      </c>
      <c r="AP239" s="20">
        <f t="shared" si="106"/>
        <v>234</v>
      </c>
    </row>
    <row r="240" s="20" customFormat="1" customHeight="1" spans="1:42">
      <c r="A240" s="38">
        <v>5503063</v>
      </c>
      <c r="B240" s="38" t="str">
        <f t="shared" si="107"/>
        <v>5503061</v>
      </c>
      <c r="C240" s="32">
        <f t="shared" si="108"/>
        <v>3</v>
      </c>
      <c r="D240" s="32"/>
      <c r="E240" s="26" t="s">
        <v>358</v>
      </c>
      <c r="F240" s="26">
        <f t="shared" si="102"/>
        <v>1</v>
      </c>
      <c r="G240" s="26" t="str">
        <f>IFERROR(IF(--MID($E240,2*COUNTIF($F240:F240,"&gt;"&amp;0)+2,1)=G$1,G$1,""),"")</f>
        <v/>
      </c>
      <c r="H240" s="26">
        <f>IFERROR(IF(--MID($E240,2*COUNTIF($F240:G240,"&gt;"&amp;0)+2,1)=H$1,H$1,""),"")</f>
        <v>3</v>
      </c>
      <c r="I240" s="26" t="str">
        <f>IFERROR(IF(--MID($E240,2*COUNTIF($F240:H240,"&gt;"&amp;0)+2,1)=I$1,I$1,""),"")</f>
        <v/>
      </c>
      <c r="J240" s="26" t="str">
        <f>IFERROR(IF(--MID($E240,2*COUNTIF($F240:I240,"&gt;"&amp;0)+2,1)=J$1,J$1,""),"")</f>
        <v/>
      </c>
      <c r="K240" s="26" t="str">
        <f>IFERROR(IF(--MID($E240,2*COUNTIF($F240:J240,"&gt;"&amp;0)+2,1)=K$1,K$1,""),"")</f>
        <v/>
      </c>
      <c r="L240" s="39" cm="1">
        <f t="array" ref="L240">IFERROR(IF($A240="","",IF(F240="","",_xlfn.XLOOKUP($C240&amp;"_"&amp;$AG240,符文权重!$A:$A&amp;"_"&amp;符文权重!$C:$C,符文权重!$D:$D)*$X240/SUMIFS($X:$X,F:F,F240,$C:$C,$C240,$AG:$AG,$AG240)/SUMIF(符文权重!$A:$A,$C240,符文权重!$D:$D))),"")</f>
        <v>0.00420233463035019</v>
      </c>
      <c r="M240" s="39" t="str" cm="1">
        <f t="array" ref="M240">IFERROR(IF($A240="","",IF(G240="","",_xlfn.XLOOKUP($C240&amp;"_"&amp;$AG240,符文权重!$A:$A&amp;"_"&amp;符文权重!$C:$C,符文权重!$D:$D)*$X240/SUMIFS($X:$X,G:G,G240,$C:$C,$C240,$AG:$AG,$AG240)/SUMIF(符文权重!$A:$A,$C240,符文权重!$D:$D))),"")</f>
        <v/>
      </c>
      <c r="N240" s="39" cm="1">
        <f t="array" ref="N240">IFERROR(IF($A240="","",IF(H240="","",_xlfn.XLOOKUP($C240&amp;"_"&amp;$AG240,符文权重!$A:$A&amp;"_"&amp;符文权重!$C:$C,符文权重!$D:$D)*$X240/SUMIFS($X:$X,H:H,H240,$C:$C,$C240,$AG:$AG,$AG240)/SUMIF(符文权重!$A:$A,$C240,符文权重!$D:$D))),"")</f>
        <v>0.00420233463035019</v>
      </c>
      <c r="O240" s="39" t="str" cm="1">
        <f t="array" ref="O240">IFERROR(IF($A240="","",IF(I240="","",_xlfn.XLOOKUP($C240&amp;"_"&amp;$AG240,符文权重!$A:$A&amp;"_"&amp;符文权重!$C:$C,符文权重!$D:$D)*$X240/SUMIFS($X:$X,I:I,I240,$C:$C,$C240,$AG:$AG,$AG240)/SUMIF(符文权重!$A:$A,$C240,符文权重!$D:$D))),"")</f>
        <v/>
      </c>
      <c r="P240" s="39" t="str" cm="1">
        <f t="array" ref="P240">IFERROR(IF($A240="","",IF(J240="","",_xlfn.XLOOKUP($C240&amp;"_"&amp;$AG240,符文权重!$A:$A&amp;"_"&amp;符文权重!$C:$C,符文权重!$D:$D)*$X240/SUMIFS($X:$X,J:J,J240,$C:$C,$C240,$AG:$AG,$AG240)/SUMIF(符文权重!$A:$A,$C240,符文权重!$D:$D))),"")</f>
        <v/>
      </c>
      <c r="Q240" s="39" t="str" cm="1">
        <f t="array" ref="Q240">IFERROR(IF($A240="","",IF(K240="","",_xlfn.XLOOKUP($C240&amp;"_"&amp;$AG240,符文权重!$A:$A&amp;"_"&amp;符文权重!$C:$C,符文权重!$D:$D)*$X240/SUMIFS($X:$X,K:K,K240,$C:$C,$C240,$AG:$AG,$AG240)/SUMIF(符文权重!$A:$A,$C240,符文权重!$D:$D))),"")</f>
        <v/>
      </c>
      <c r="R240" s="26" t="s">
        <v>244</v>
      </c>
      <c r="S240" s="26"/>
      <c r="T240" s="26" t="e">
        <f>IF(B240="","",SUBSTITUTE(SUBSTITUTE("[{global_atk,"&amp;#REF!*C240&amp;"}]",21,20),9,8))</f>
        <v>#REF!</v>
      </c>
      <c r="U240" s="40" t="str">
        <f t="shared" si="124"/>
        <v>[5503063]</v>
      </c>
      <c r="V240" s="26"/>
      <c r="W240" s="25"/>
      <c r="X240" s="32">
        <v>12</v>
      </c>
      <c r="Y240" s="25"/>
      <c r="Z240" s="32" t="s">
        <v>172</v>
      </c>
      <c r="AA240" s="32" t="str">
        <f t="shared" si="114"/>
        <v>队长每释放一次[咻咻的弹簧锤]，所有梦灵伤害+1%，最多8次</v>
      </c>
      <c r="AB240" s="32"/>
      <c r="AC240" s="32" t="s">
        <v>166</v>
      </c>
      <c r="AD240" s="32">
        <f t="shared" si="105"/>
        <v>1235</v>
      </c>
      <c r="AE240" s="38" t="str">
        <f t="shared" si="110"/>
        <v>5503061</v>
      </c>
      <c r="AF240" s="32" t="str">
        <f t="shared" si="111"/>
        <v>[1]</v>
      </c>
      <c r="AG240" s="26">
        <v>3</v>
      </c>
      <c r="AH240" s="26"/>
      <c r="AI240" s="26">
        <v>0</v>
      </c>
      <c r="AJ240" s="25">
        <v>1</v>
      </c>
      <c r="AK240" s="38">
        <f t="shared" si="125"/>
        <v>5503063</v>
      </c>
      <c r="AL240" s="41" t="str">
        <f t="shared" si="126"/>
        <v>队长每释放一次[咻咻的弹簧锤]，所有梦灵伤害&lt;color=#54b76b&gt;+%s%&lt;/color&gt;，最多8次</v>
      </c>
      <c r="AM240" s="26">
        <v>1</v>
      </c>
      <c r="AN240" s="26">
        <v>3</v>
      </c>
      <c r="AO240" s="26" t="s">
        <v>25</v>
      </c>
      <c r="AP240" s="20">
        <f t="shared" si="106"/>
        <v>235</v>
      </c>
    </row>
    <row r="241" s="20" customFormat="1" customHeight="1" spans="1:42">
      <c r="A241" s="38">
        <v>5503064</v>
      </c>
      <c r="B241" s="38" t="str">
        <f t="shared" si="107"/>
        <v>5503061</v>
      </c>
      <c r="C241" s="32">
        <f t="shared" si="108"/>
        <v>4</v>
      </c>
      <c r="D241" s="32"/>
      <c r="E241" s="26" t="s">
        <v>358</v>
      </c>
      <c r="F241" s="26">
        <f t="shared" si="102"/>
        <v>1</v>
      </c>
      <c r="G241" s="26" t="str">
        <f>IFERROR(IF(--MID($E241,2*COUNTIF($F241:F241,"&gt;"&amp;0)+2,1)=G$1,G$1,""),"")</f>
        <v/>
      </c>
      <c r="H241" s="26">
        <f>IFERROR(IF(--MID($E241,2*COUNTIF($F241:G241,"&gt;"&amp;0)+2,1)=H$1,H$1,""),"")</f>
        <v>3</v>
      </c>
      <c r="I241" s="26" t="str">
        <f>IFERROR(IF(--MID($E241,2*COUNTIF($F241:H241,"&gt;"&amp;0)+2,1)=I$1,I$1,""),"")</f>
        <v/>
      </c>
      <c r="J241" s="26" t="str">
        <f>IFERROR(IF(--MID($E241,2*COUNTIF($F241:I241,"&gt;"&amp;0)+2,1)=J$1,J$1,""),"")</f>
        <v/>
      </c>
      <c r="K241" s="26" t="str">
        <f>IFERROR(IF(--MID($E241,2*COUNTIF($F241:J241,"&gt;"&amp;0)+2,1)=K$1,K$1,""),"")</f>
        <v/>
      </c>
      <c r="L241" s="39" cm="1">
        <f t="array" ref="L241">IFERROR(IF($A241="","",IF(F241="","",_xlfn.XLOOKUP($C241&amp;"_"&amp;$AG241,符文权重!$A:$A&amp;"_"&amp;符文权重!$C:$C,符文权重!$D:$D)*$X241/SUMIFS($X:$X,F:F,F241,$C:$C,$C241,$AG:$AG,$AG241)/SUMIF(符文权重!$A:$A,$C241,符文权重!$D:$D))),"")</f>
        <v>0.0059280303030303</v>
      </c>
      <c r="M241" s="39" t="str" cm="1">
        <f t="array" ref="M241">IFERROR(IF($A241="","",IF(G241="","",_xlfn.XLOOKUP($C241&amp;"_"&amp;$AG241,符文权重!$A:$A&amp;"_"&amp;符文权重!$C:$C,符文权重!$D:$D)*$X241/SUMIFS($X:$X,G:G,G241,$C:$C,$C241,$AG:$AG,$AG241)/SUMIF(符文权重!$A:$A,$C241,符文权重!$D:$D))),"")</f>
        <v/>
      </c>
      <c r="N241" s="39" cm="1">
        <f t="array" ref="N241">IFERROR(IF($A241="","",IF(H241="","",_xlfn.XLOOKUP($C241&amp;"_"&amp;$AG241,符文权重!$A:$A&amp;"_"&amp;符文权重!$C:$C,符文权重!$D:$D)*$X241/SUMIFS($X:$X,H:H,H241,$C:$C,$C241,$AG:$AG,$AG241)/SUMIF(符文权重!$A:$A,$C241,符文权重!$D:$D))),"")</f>
        <v>0.00631048387096774</v>
      </c>
      <c r="O241" s="39" t="str" cm="1">
        <f t="array" ref="O241">IFERROR(IF($A241="","",IF(I241="","",_xlfn.XLOOKUP($C241&amp;"_"&amp;$AG241,符文权重!$A:$A&amp;"_"&amp;符文权重!$C:$C,符文权重!$D:$D)*$X241/SUMIFS($X:$X,I:I,I241,$C:$C,$C241,$AG:$AG,$AG241)/SUMIF(符文权重!$A:$A,$C241,符文权重!$D:$D))),"")</f>
        <v/>
      </c>
      <c r="P241" s="39" t="str" cm="1">
        <f t="array" ref="P241">IFERROR(IF($A241="","",IF(J241="","",_xlfn.XLOOKUP($C241&amp;"_"&amp;$AG241,符文权重!$A:$A&amp;"_"&amp;符文权重!$C:$C,符文权重!$D:$D)*$X241/SUMIFS($X:$X,J:J,J241,$C:$C,$C241,$AG:$AG,$AG241)/SUMIF(符文权重!$A:$A,$C241,符文权重!$D:$D))),"")</f>
        <v/>
      </c>
      <c r="Q241" s="39" t="str" cm="1">
        <f t="array" ref="Q241">IFERROR(IF($A241="","",IF(K241="","",_xlfn.XLOOKUP($C241&amp;"_"&amp;$AG241,符文权重!$A:$A&amp;"_"&amp;符文权重!$C:$C,符文权重!$D:$D)*$X241/SUMIFS($X:$X,K:K,K241,$C:$C,$C241,$AG:$AG,$AG241)/SUMIF(符文权重!$A:$A,$C241,符文权重!$D:$D))),"")</f>
        <v/>
      </c>
      <c r="R241" s="26" t="s">
        <v>244</v>
      </c>
      <c r="S241" s="26"/>
      <c r="T241" s="26" t="e">
        <f>IF(B241="","",SUBSTITUTE(SUBSTITUTE("[{global_atk,"&amp;#REF!*C241&amp;"}]",21,20),9,8))</f>
        <v>#REF!</v>
      </c>
      <c r="U241" s="40" t="str">
        <f t="shared" si="124"/>
        <v>[5503064]</v>
      </c>
      <c r="V241" s="26"/>
      <c r="W241" s="25"/>
      <c r="X241" s="32">
        <v>5</v>
      </c>
      <c r="Y241" s="25"/>
      <c r="Z241" s="32" t="s">
        <v>174</v>
      </c>
      <c r="AA241" s="32" t="str">
        <f t="shared" si="114"/>
        <v>队长每释放一次[咻咻的弹簧锤]，所有梦灵伤害+2%，最多8次</v>
      </c>
      <c r="AB241" s="32"/>
      <c r="AC241" s="32" t="s">
        <v>166</v>
      </c>
      <c r="AD241" s="32">
        <f t="shared" si="105"/>
        <v>1236</v>
      </c>
      <c r="AE241" s="38" t="str">
        <f t="shared" si="110"/>
        <v>5503061</v>
      </c>
      <c r="AF241" s="32" t="str">
        <f t="shared" si="111"/>
        <v>[2]</v>
      </c>
      <c r="AG241" s="26">
        <v>3</v>
      </c>
      <c r="AH241" s="26"/>
      <c r="AI241" s="26">
        <v>0</v>
      </c>
      <c r="AJ241" s="25">
        <v>1</v>
      </c>
      <c r="AK241" s="38">
        <f t="shared" si="125"/>
        <v>5503064</v>
      </c>
      <c r="AL241" s="41" t="str">
        <f t="shared" si="126"/>
        <v>队长每释放一次[咻咻的弹簧锤]，所有梦灵伤害&lt;color=#54b76b&gt;+%s%&lt;/color&gt;，最多8次</v>
      </c>
      <c r="AM241" s="26">
        <v>2</v>
      </c>
      <c r="AN241" s="26">
        <v>3</v>
      </c>
      <c r="AO241" s="26" t="s">
        <v>25</v>
      </c>
      <c r="AP241" s="20">
        <f t="shared" si="106"/>
        <v>236</v>
      </c>
    </row>
    <row r="242" s="20" customFormat="1" customHeight="1" spans="1:42">
      <c r="A242" s="38">
        <v>5503065</v>
      </c>
      <c r="B242" s="38" t="str">
        <f t="shared" si="107"/>
        <v>5503061</v>
      </c>
      <c r="C242" s="32">
        <f t="shared" si="108"/>
        <v>5</v>
      </c>
      <c r="D242" s="32"/>
      <c r="E242" s="26" t="s">
        <v>358</v>
      </c>
      <c r="F242" s="26">
        <f t="shared" si="102"/>
        <v>1</v>
      </c>
      <c r="G242" s="26" t="str">
        <f>IFERROR(IF(--MID($E242,2*COUNTIF($F242:F242,"&gt;"&amp;0)+2,1)=G$1,G$1,""),"")</f>
        <v/>
      </c>
      <c r="H242" s="26">
        <f>IFERROR(IF(--MID($E242,2*COUNTIF($F242:G242,"&gt;"&amp;0)+2,1)=H$1,H$1,""),"")</f>
        <v>3</v>
      </c>
      <c r="I242" s="26" t="str">
        <f>IFERROR(IF(--MID($E242,2*COUNTIF($F242:H242,"&gt;"&amp;0)+2,1)=I$1,I$1,""),"")</f>
        <v/>
      </c>
      <c r="J242" s="26" t="str">
        <f>IFERROR(IF(--MID($E242,2*COUNTIF($F242:I242,"&gt;"&amp;0)+2,1)=J$1,J$1,""),"")</f>
        <v/>
      </c>
      <c r="K242" s="26" t="str">
        <f>IFERROR(IF(--MID($E242,2*COUNTIF($F242:J242,"&gt;"&amp;0)+2,1)=K$1,K$1,""),"")</f>
        <v/>
      </c>
      <c r="L242" s="39" cm="1">
        <f t="array" ref="L242">IFERROR(IF($A242="","",IF(F242="","",_xlfn.XLOOKUP($C242&amp;"_"&amp;$AG242,符文权重!$A:$A&amp;"_"&amp;符文权重!$C:$C,符文权重!$D:$D)*$X242/SUMIFS($X:$X,F:F,F242,$C:$C,$C242,$AG:$AG,$AG242)/SUMIF(符文权重!$A:$A,$C242,符文权重!$D:$D))),"")</f>
        <v>0.00576923076923077</v>
      </c>
      <c r="M242" s="39" t="str" cm="1">
        <f t="array" ref="M242">IFERROR(IF($A242="","",IF(G242="","",_xlfn.XLOOKUP($C242&amp;"_"&amp;$AG242,符文权重!$A:$A&amp;"_"&amp;符文权重!$C:$C,符文权重!$D:$D)*$X242/SUMIFS($X:$X,G:G,G242,$C:$C,$C242,$AG:$AG,$AG242)/SUMIF(符文权重!$A:$A,$C242,符文权重!$D:$D))),"")</f>
        <v/>
      </c>
      <c r="N242" s="39" cm="1">
        <f t="array" ref="N242">IFERROR(IF($A242="","",IF(H242="","",_xlfn.XLOOKUP($C242&amp;"_"&amp;$AG242,符文权重!$A:$A&amp;"_"&amp;符文权重!$C:$C,符文权重!$D:$D)*$X242/SUMIFS($X:$X,H:H,H242,$C:$C,$C242,$AG:$AG,$AG242)/SUMIF(符文权重!$A:$A,$C242,符文权重!$D:$D))),"")</f>
        <v>0.00576923076923077</v>
      </c>
      <c r="O242" s="39" t="str" cm="1">
        <f t="array" ref="O242">IFERROR(IF($A242="","",IF(I242="","",_xlfn.XLOOKUP($C242&amp;"_"&amp;$AG242,符文权重!$A:$A&amp;"_"&amp;符文权重!$C:$C,符文权重!$D:$D)*$X242/SUMIFS($X:$X,I:I,I242,$C:$C,$C242,$AG:$AG,$AG242)/SUMIF(符文权重!$A:$A,$C242,符文权重!$D:$D))),"")</f>
        <v/>
      </c>
      <c r="P242" s="39" t="str" cm="1">
        <f t="array" ref="P242">IFERROR(IF($A242="","",IF(J242="","",_xlfn.XLOOKUP($C242&amp;"_"&amp;$AG242,符文权重!$A:$A&amp;"_"&amp;符文权重!$C:$C,符文权重!$D:$D)*$X242/SUMIFS($X:$X,J:J,J242,$C:$C,$C242,$AG:$AG,$AG242)/SUMIF(符文权重!$A:$A,$C242,符文权重!$D:$D))),"")</f>
        <v/>
      </c>
      <c r="Q242" s="39" t="str" cm="1">
        <f t="array" ref="Q242">IFERROR(IF($A242="","",IF(K242="","",_xlfn.XLOOKUP($C242&amp;"_"&amp;$AG242,符文权重!$A:$A&amp;"_"&amp;符文权重!$C:$C,符文权重!$D:$D)*$X242/SUMIFS($X:$X,K:K,K242,$C:$C,$C242,$AG:$AG,$AG242)/SUMIF(符文权重!$A:$A,$C242,符文权重!$D:$D))),"")</f>
        <v/>
      </c>
      <c r="R242" s="26" t="s">
        <v>244</v>
      </c>
      <c r="S242" s="26"/>
      <c r="T242" s="26" t="e">
        <f>IF(B242="","",SUBSTITUTE(SUBSTITUTE("[{global_atk,"&amp;#REF!*C242&amp;"}]",21,20),9,8))</f>
        <v>#REF!</v>
      </c>
      <c r="U242" s="40" t="str">
        <f t="shared" si="124"/>
        <v>[5503065]</v>
      </c>
      <c r="V242" s="26"/>
      <c r="W242" s="25"/>
      <c r="X242" s="32">
        <v>50</v>
      </c>
      <c r="Y242" s="25"/>
      <c r="Z242" s="32" t="s">
        <v>176</v>
      </c>
      <c r="AA242" s="32" t="str">
        <f t="shared" si="114"/>
        <v>队长每释放一次[咻咻的弹簧锤]，所有梦灵伤害+3%，最多8次</v>
      </c>
      <c r="AB242" s="32"/>
      <c r="AC242" s="32" t="s">
        <v>166</v>
      </c>
      <c r="AD242" s="32">
        <f t="shared" si="105"/>
        <v>1237</v>
      </c>
      <c r="AE242" s="38" t="str">
        <f t="shared" si="110"/>
        <v>5503061</v>
      </c>
      <c r="AF242" s="32" t="str">
        <f t="shared" si="111"/>
        <v>[3]</v>
      </c>
      <c r="AG242" s="26">
        <v>4</v>
      </c>
      <c r="AH242" s="26"/>
      <c r="AI242" s="26">
        <v>0</v>
      </c>
      <c r="AJ242" s="25">
        <v>1</v>
      </c>
      <c r="AK242" s="38">
        <f t="shared" si="125"/>
        <v>5503065</v>
      </c>
      <c r="AL242" s="41" t="str">
        <f t="shared" si="126"/>
        <v>队长每释放一次[咻咻的弹簧锤]，所有梦灵伤害&lt;color=#54b76b&gt;+%s%&lt;/color&gt;，最多8次</v>
      </c>
      <c r="AM242" s="26">
        <v>3</v>
      </c>
      <c r="AN242" s="26">
        <v>3</v>
      </c>
      <c r="AO242" s="26" t="s">
        <v>25</v>
      </c>
      <c r="AP242" s="20">
        <f t="shared" si="106"/>
        <v>237</v>
      </c>
    </row>
    <row r="243" s="20" customFormat="1" customHeight="1" spans="1:42">
      <c r="A243" s="38">
        <v>5503066</v>
      </c>
      <c r="B243" s="38" t="str">
        <f t="shared" si="107"/>
        <v>5503061</v>
      </c>
      <c r="C243" s="32">
        <f t="shared" si="108"/>
        <v>6</v>
      </c>
      <c r="D243" s="32"/>
      <c r="E243" s="26" t="s">
        <v>358</v>
      </c>
      <c r="F243" s="26">
        <f t="shared" si="102"/>
        <v>1</v>
      </c>
      <c r="G243" s="26" t="str">
        <f>IFERROR(IF(--MID($E243,2*COUNTIF($F243:F243,"&gt;"&amp;0)+2,1)=G$1,G$1,""),"")</f>
        <v/>
      </c>
      <c r="H243" s="26">
        <f>IFERROR(IF(--MID($E243,2*COUNTIF($F243:G243,"&gt;"&amp;0)+2,1)=H$1,H$1,""),"")</f>
        <v>3</v>
      </c>
      <c r="I243" s="26" t="str">
        <f>IFERROR(IF(--MID($E243,2*COUNTIF($F243:H243,"&gt;"&amp;0)+2,1)=I$1,I$1,""),"")</f>
        <v/>
      </c>
      <c r="J243" s="26" t="str">
        <f>IFERROR(IF(--MID($E243,2*COUNTIF($F243:I243,"&gt;"&amp;0)+2,1)=J$1,J$1,""),"")</f>
        <v/>
      </c>
      <c r="K243" s="26" t="str">
        <f>IFERROR(IF(--MID($E243,2*COUNTIF($F243:J243,"&gt;"&amp;0)+2,1)=K$1,K$1,""),"")</f>
        <v/>
      </c>
      <c r="L243" s="39" cm="1">
        <f t="array" ref="L243">IFERROR(IF($A243="","",IF(F243="","",_xlfn.XLOOKUP($C243&amp;"_"&amp;$AG243,符文权重!$A:$A&amp;"_"&amp;符文权重!$C:$C,符文权重!$D:$D)*$X243/SUMIFS($X:$X,F:F,F243,$C:$C,$C243,$AG:$AG,$AG243)/SUMIF(符文权重!$A:$A,$C243,符文权重!$D:$D))),"")</f>
        <v>0.00576923076923077</v>
      </c>
      <c r="M243" s="39" t="str" cm="1">
        <f t="array" ref="M243">IFERROR(IF($A243="","",IF(G243="","",_xlfn.XLOOKUP($C243&amp;"_"&amp;$AG243,符文权重!$A:$A&amp;"_"&amp;符文权重!$C:$C,符文权重!$D:$D)*$X243/SUMIFS($X:$X,G:G,G243,$C:$C,$C243,$AG:$AG,$AG243)/SUMIF(符文权重!$A:$A,$C243,符文权重!$D:$D))),"")</f>
        <v/>
      </c>
      <c r="N243" s="39" cm="1">
        <f t="array" ref="N243">IFERROR(IF($A243="","",IF(H243="","",_xlfn.XLOOKUP($C243&amp;"_"&amp;$AG243,符文权重!$A:$A&amp;"_"&amp;符文权重!$C:$C,符文权重!$D:$D)*$X243/SUMIFS($X:$X,H:H,H243,$C:$C,$C243,$AG:$AG,$AG243)/SUMIF(符文权重!$A:$A,$C243,符文权重!$D:$D))),"")</f>
        <v>0.00576923076923077</v>
      </c>
      <c r="O243" s="39" t="str" cm="1">
        <f t="array" ref="O243">IFERROR(IF($A243="","",IF(I243="","",_xlfn.XLOOKUP($C243&amp;"_"&amp;$AG243,符文权重!$A:$A&amp;"_"&amp;符文权重!$C:$C,符文权重!$D:$D)*$X243/SUMIFS($X:$X,I:I,I243,$C:$C,$C243,$AG:$AG,$AG243)/SUMIF(符文权重!$A:$A,$C243,符文权重!$D:$D))),"")</f>
        <v/>
      </c>
      <c r="P243" s="39" t="str" cm="1">
        <f t="array" ref="P243">IFERROR(IF($A243="","",IF(J243="","",_xlfn.XLOOKUP($C243&amp;"_"&amp;$AG243,符文权重!$A:$A&amp;"_"&amp;符文权重!$C:$C,符文权重!$D:$D)*$X243/SUMIFS($X:$X,J:J,J243,$C:$C,$C243,$AG:$AG,$AG243)/SUMIF(符文权重!$A:$A,$C243,符文权重!$D:$D))),"")</f>
        <v/>
      </c>
      <c r="Q243" s="39" t="str" cm="1">
        <f t="array" ref="Q243">IFERROR(IF($A243="","",IF(K243="","",_xlfn.XLOOKUP($C243&amp;"_"&amp;$AG243,符文权重!$A:$A&amp;"_"&amp;符文权重!$C:$C,符文权重!$D:$D)*$X243/SUMIFS($X:$X,K:K,K243,$C:$C,$C243,$AG:$AG,$AG243)/SUMIF(符文权重!$A:$A,$C243,符文权重!$D:$D))),"")</f>
        <v/>
      </c>
      <c r="R243" s="26" t="s">
        <v>244</v>
      </c>
      <c r="S243" s="26"/>
      <c r="T243" s="26" t="e">
        <f>IF(B243="","",SUBSTITUTE(SUBSTITUTE("[{global_atk,"&amp;#REF!*C243&amp;"}]",21,20),9,8))</f>
        <v>#REF!</v>
      </c>
      <c r="U243" s="40" t="str">
        <f t="shared" si="124"/>
        <v>[5503066]</v>
      </c>
      <c r="V243" s="26"/>
      <c r="W243" s="25"/>
      <c r="X243" s="32">
        <v>50</v>
      </c>
      <c r="Y243" s="25"/>
      <c r="Z243" s="32" t="s">
        <v>178</v>
      </c>
      <c r="AA243" s="32" t="str">
        <f t="shared" si="114"/>
        <v>队长每释放一次[咻咻的弹簧锤]，所有梦灵伤害+4%，最多8次</v>
      </c>
      <c r="AB243" s="32"/>
      <c r="AC243" s="32" t="s">
        <v>166</v>
      </c>
      <c r="AD243" s="32">
        <f t="shared" si="105"/>
        <v>1238</v>
      </c>
      <c r="AE243" s="38" t="str">
        <f t="shared" si="110"/>
        <v>5503061</v>
      </c>
      <c r="AF243" s="32" t="str">
        <f t="shared" si="111"/>
        <v>[4]</v>
      </c>
      <c r="AG243" s="26">
        <v>4</v>
      </c>
      <c r="AH243" s="26"/>
      <c r="AI243" s="26">
        <v>0</v>
      </c>
      <c r="AJ243" s="25">
        <v>1</v>
      </c>
      <c r="AK243" s="38">
        <f t="shared" si="125"/>
        <v>5503066</v>
      </c>
      <c r="AL243" s="41" t="str">
        <f t="shared" si="126"/>
        <v>队长每释放一次[咻咻的弹簧锤]，所有梦灵伤害&lt;color=#54b76b&gt;+%s%&lt;/color&gt;，最多8次</v>
      </c>
      <c r="AM243" s="26">
        <v>4</v>
      </c>
      <c r="AN243" s="26">
        <v>3</v>
      </c>
      <c r="AO243" s="26" t="s">
        <v>25</v>
      </c>
      <c r="AP243" s="20">
        <f t="shared" si="106"/>
        <v>238</v>
      </c>
    </row>
    <row r="244" s="20" customFormat="1" customHeight="1" spans="1:42">
      <c r="A244" s="38">
        <v>5503067</v>
      </c>
      <c r="B244" s="38" t="str">
        <f t="shared" si="107"/>
        <v>5503061</v>
      </c>
      <c r="C244" s="32">
        <f t="shared" si="108"/>
        <v>7</v>
      </c>
      <c r="D244" s="32"/>
      <c r="E244" s="26" t="s">
        <v>358</v>
      </c>
      <c r="F244" s="26">
        <f t="shared" si="102"/>
        <v>1</v>
      </c>
      <c r="G244" s="26" t="str">
        <f>IFERROR(IF(--MID($E244,2*COUNTIF($F244:F244,"&gt;"&amp;0)+2,1)=G$1,G$1,""),"")</f>
        <v/>
      </c>
      <c r="H244" s="26">
        <f>IFERROR(IF(--MID($E244,2*COUNTIF($F244:G244,"&gt;"&amp;0)+2,1)=H$1,H$1,""),"")</f>
        <v>3</v>
      </c>
      <c r="I244" s="26" t="str">
        <f>IFERROR(IF(--MID($E244,2*COUNTIF($F244:H244,"&gt;"&amp;0)+2,1)=I$1,I$1,""),"")</f>
        <v/>
      </c>
      <c r="J244" s="26" t="str">
        <f>IFERROR(IF(--MID($E244,2*COUNTIF($F244:I244,"&gt;"&amp;0)+2,1)=J$1,J$1,""),"")</f>
        <v/>
      </c>
      <c r="K244" s="26" t="str">
        <f>IFERROR(IF(--MID($E244,2*COUNTIF($F244:J244,"&gt;"&amp;0)+2,1)=K$1,K$1,""),"")</f>
        <v/>
      </c>
      <c r="L244" s="39" cm="1">
        <f t="array" ref="L244">IFERROR(IF($A244="","",IF(F244="","",_xlfn.XLOOKUP($C244&amp;"_"&amp;$AG244,符文权重!$A:$A&amp;"_"&amp;符文权重!$C:$C,符文权重!$D:$D)*$X244/SUMIFS($X:$X,F:F,F244,$C:$C,$C244,$AG:$AG,$AG244)/SUMIF(符文权重!$A:$A,$C244,符文权重!$D:$D))),"")</f>
        <v>0.00576923076923077</v>
      </c>
      <c r="M244" s="39" t="str" cm="1">
        <f t="array" ref="M244">IFERROR(IF($A244="","",IF(G244="","",_xlfn.XLOOKUP($C244&amp;"_"&amp;$AG244,符文权重!$A:$A&amp;"_"&amp;符文权重!$C:$C,符文权重!$D:$D)*$X244/SUMIFS($X:$X,G:G,G244,$C:$C,$C244,$AG:$AG,$AG244)/SUMIF(符文权重!$A:$A,$C244,符文权重!$D:$D))),"")</f>
        <v/>
      </c>
      <c r="N244" s="39" cm="1">
        <f t="array" ref="N244">IFERROR(IF($A244="","",IF(H244="","",_xlfn.XLOOKUP($C244&amp;"_"&amp;$AG244,符文权重!$A:$A&amp;"_"&amp;符文权重!$C:$C,符文权重!$D:$D)*$X244/SUMIFS($X:$X,H:H,H244,$C:$C,$C244,$AG:$AG,$AG244)/SUMIF(符文权重!$A:$A,$C244,符文权重!$D:$D))),"")</f>
        <v>0.00576923076923077</v>
      </c>
      <c r="O244" s="39" t="str" cm="1">
        <f t="array" ref="O244">IFERROR(IF($A244="","",IF(I244="","",_xlfn.XLOOKUP($C244&amp;"_"&amp;$AG244,符文权重!$A:$A&amp;"_"&amp;符文权重!$C:$C,符文权重!$D:$D)*$X244/SUMIFS($X:$X,I:I,I244,$C:$C,$C244,$AG:$AG,$AG244)/SUMIF(符文权重!$A:$A,$C244,符文权重!$D:$D))),"")</f>
        <v/>
      </c>
      <c r="P244" s="39" t="str" cm="1">
        <f t="array" ref="P244">IFERROR(IF($A244="","",IF(J244="","",_xlfn.XLOOKUP($C244&amp;"_"&amp;$AG244,符文权重!$A:$A&amp;"_"&amp;符文权重!$C:$C,符文权重!$D:$D)*$X244/SUMIFS($X:$X,J:J,J244,$C:$C,$C244,$AG:$AG,$AG244)/SUMIF(符文权重!$A:$A,$C244,符文权重!$D:$D))),"")</f>
        <v/>
      </c>
      <c r="Q244" s="39" t="str" cm="1">
        <f t="array" ref="Q244">IFERROR(IF($A244="","",IF(K244="","",_xlfn.XLOOKUP($C244&amp;"_"&amp;$AG244,符文权重!$A:$A&amp;"_"&amp;符文权重!$C:$C,符文权重!$D:$D)*$X244/SUMIFS($X:$X,K:K,K244,$C:$C,$C244,$AG:$AG,$AG244)/SUMIF(符文权重!$A:$A,$C244,符文权重!$D:$D))),"")</f>
        <v/>
      </c>
      <c r="R244" s="26" t="s">
        <v>244</v>
      </c>
      <c r="S244" s="26"/>
      <c r="T244" s="26" t="e">
        <f>IF(B244="","",SUBSTITUTE(SUBSTITUTE("[{global_atk,"&amp;#REF!*C244&amp;"}]",21,20),9,8))</f>
        <v>#REF!</v>
      </c>
      <c r="U244" s="40" t="str">
        <f t="shared" si="124"/>
        <v>[5503067]</v>
      </c>
      <c r="V244" s="26"/>
      <c r="W244" s="25"/>
      <c r="X244" s="32">
        <v>50</v>
      </c>
      <c r="Y244" s="25"/>
      <c r="Z244" s="32" t="s">
        <v>180</v>
      </c>
      <c r="AA244" s="32" t="str">
        <f t="shared" si="114"/>
        <v>队长每释放一次[咻咻的弹簧锤]，所有梦灵伤害+5%，最多8次</v>
      </c>
      <c r="AB244" s="32"/>
      <c r="AC244" s="32" t="s">
        <v>166</v>
      </c>
      <c r="AD244" s="32">
        <f t="shared" si="105"/>
        <v>1239</v>
      </c>
      <c r="AE244" s="38" t="str">
        <f t="shared" si="110"/>
        <v>5503061</v>
      </c>
      <c r="AF244" s="32" t="str">
        <f t="shared" si="111"/>
        <v>[5]</v>
      </c>
      <c r="AG244" s="26">
        <v>4</v>
      </c>
      <c r="AH244" s="26"/>
      <c r="AI244" s="26">
        <v>0</v>
      </c>
      <c r="AJ244" s="25">
        <v>1</v>
      </c>
      <c r="AK244" s="38">
        <f t="shared" si="125"/>
        <v>5503067</v>
      </c>
      <c r="AL244" s="41" t="str">
        <f t="shared" si="126"/>
        <v>队长每释放一次[咻咻的弹簧锤]，所有梦灵伤害&lt;color=#54b76b&gt;+%s%&lt;/color&gt;，最多8次</v>
      </c>
      <c r="AM244" s="26">
        <v>5</v>
      </c>
      <c r="AN244" s="26">
        <v>3</v>
      </c>
      <c r="AO244" s="26" t="s">
        <v>25</v>
      </c>
      <c r="AP244" s="20">
        <f t="shared" si="106"/>
        <v>239</v>
      </c>
    </row>
    <row r="245" s="20" customFormat="1" customHeight="1" spans="1:42">
      <c r="A245" s="38" t="s">
        <v>167</v>
      </c>
      <c r="B245" s="38" t="str">
        <f t="shared" si="107"/>
        <v/>
      </c>
      <c r="C245" s="32" t="str">
        <f t="shared" si="108"/>
        <v/>
      </c>
      <c r="D245" s="32"/>
      <c r="E245" s="26"/>
      <c r="F245" s="26" t="str">
        <f t="shared" si="102"/>
        <v/>
      </c>
      <c r="G245" s="26" t="str">
        <f>IFERROR(IF(--MID($E245,2*COUNTIF($F245:F245,"&gt;"&amp;0)+2,1)=G$1,G$1,""),"")</f>
        <v/>
      </c>
      <c r="H245" s="26" t="str">
        <f>IFERROR(IF(--MID($E245,2*COUNTIF($F245:G245,"&gt;"&amp;0)+2,1)=H$1,H$1,""),"")</f>
        <v/>
      </c>
      <c r="I245" s="26" t="str">
        <f>IFERROR(IF(--MID($E245,2*COUNTIF($F245:H245,"&gt;"&amp;0)+2,1)=I$1,I$1,""),"")</f>
        <v/>
      </c>
      <c r="J245" s="26" t="str">
        <f>IFERROR(IF(--MID($E245,2*COUNTIF($F245:I245,"&gt;"&amp;0)+2,1)=J$1,J$1,""),"")</f>
        <v/>
      </c>
      <c r="K245" s="26" t="str">
        <f>IFERROR(IF(--MID($E245,2*COUNTIF($F245:J245,"&gt;"&amp;0)+2,1)=K$1,K$1,""),"")</f>
        <v/>
      </c>
      <c r="L245" s="39" t="str" cm="1">
        <f t="array" ref="L245">IFERROR(IF($A245="","",IF(F245="","",_xlfn.XLOOKUP($C245&amp;"_"&amp;$AG245,符文权重!$A:$A&amp;"_"&amp;符文权重!$C:$C,符文权重!$D:$D)*$X245/SUMIFS($X:$X,F:F,F245,$C:$C,$C245,$AG:$AG,$AG245)/SUMIF(符文权重!$A:$A,$C245,符文权重!$D:$D))),"")</f>
        <v/>
      </c>
      <c r="M245" s="39" t="str" cm="1">
        <f t="array" ref="M245">IFERROR(IF($A245="","",IF(G245="","",_xlfn.XLOOKUP($C245&amp;"_"&amp;$AG245,符文权重!$A:$A&amp;"_"&amp;符文权重!$C:$C,符文权重!$D:$D)*$X245/SUMIFS($X:$X,G:G,G245,$C:$C,$C245,$AG:$AG,$AG245)/SUMIF(符文权重!$A:$A,$C245,符文权重!$D:$D))),"")</f>
        <v/>
      </c>
      <c r="N245" s="39" t="str" cm="1">
        <f t="array" ref="N245">IFERROR(IF($A245="","",IF(H245="","",_xlfn.XLOOKUP($C245&amp;"_"&amp;$AG245,符文权重!$A:$A&amp;"_"&amp;符文权重!$C:$C,符文权重!$D:$D)*$X245/SUMIFS($X:$X,H:H,H245,$C:$C,$C245,$AG:$AG,$AG245)/SUMIF(符文权重!$A:$A,$C245,符文权重!$D:$D))),"")</f>
        <v/>
      </c>
      <c r="O245" s="39" t="str" cm="1">
        <f t="array" ref="O245">IFERROR(IF($A245="","",IF(I245="","",_xlfn.XLOOKUP($C245&amp;"_"&amp;$AG245,符文权重!$A:$A&amp;"_"&amp;符文权重!$C:$C,符文权重!$D:$D)*$X245/SUMIFS($X:$X,I:I,I245,$C:$C,$C245,$AG:$AG,$AG245)/SUMIF(符文权重!$A:$A,$C245,符文权重!$D:$D))),"")</f>
        <v/>
      </c>
      <c r="P245" s="39" t="str" cm="1">
        <f t="array" ref="P245">IFERROR(IF($A245="","",IF(J245="","",_xlfn.XLOOKUP($C245&amp;"_"&amp;$AG245,符文权重!$A:$A&amp;"_"&amp;符文权重!$C:$C,符文权重!$D:$D)*$X245/SUMIFS($X:$X,J:J,J245,$C:$C,$C245,$AG:$AG,$AG245)/SUMIF(符文权重!$A:$A,$C245,符文权重!$D:$D))),"")</f>
        <v/>
      </c>
      <c r="Q245" s="39" t="str" cm="1">
        <f t="array" ref="Q245">IFERROR(IF($A245="","",IF(K245="","",_xlfn.XLOOKUP($C245&amp;"_"&amp;$AG245,符文权重!$A:$A&amp;"_"&amp;符文权重!$C:$C,符文权重!$D:$D)*$X245/SUMIFS($X:$X,K:K,K245,$C:$C,$C245,$AG:$AG,$AG245)/SUMIF(符文权重!$A:$A,$C245,符文权重!$D:$D))),"")</f>
        <v/>
      </c>
      <c r="R245" s="26"/>
      <c r="S245" s="26"/>
      <c r="T245" s="26"/>
      <c r="V245" s="31"/>
      <c r="W245" s="25"/>
      <c r="X245" s="32"/>
      <c r="Y245" s="25"/>
      <c r="Z245" s="32" t="s">
        <v>167</v>
      </c>
      <c r="AA245" s="32" t="str">
        <f t="shared" si="114"/>
        <v/>
      </c>
      <c r="AB245" s="32"/>
      <c r="AC245" s="32" t="s">
        <v>166</v>
      </c>
      <c r="AD245" s="32">
        <f t="shared" si="105"/>
        <v>1240</v>
      </c>
      <c r="AE245" s="38" t="str">
        <f t="shared" si="110"/>
        <v/>
      </c>
      <c r="AF245" s="32" t="str">
        <f t="shared" si="111"/>
        <v/>
      </c>
      <c r="AG245" s="26"/>
      <c r="AH245" s="26"/>
      <c r="AI245" s="26"/>
      <c r="AJ245" s="25" t="s">
        <v>167</v>
      </c>
      <c r="AK245" s="24"/>
      <c r="AL245" s="43"/>
      <c r="AM245" s="26"/>
      <c r="AN245" s="26"/>
      <c r="AO245" s="26"/>
      <c r="AP245" s="20">
        <f t="shared" si="106"/>
        <v>240</v>
      </c>
    </row>
    <row r="246" s="22" customFormat="1" customHeight="1" spans="1:42">
      <c r="A246" s="44">
        <v>5503071</v>
      </c>
      <c r="B246" s="44" t="str">
        <f t="shared" si="107"/>
        <v>5503071</v>
      </c>
      <c r="C246" s="45">
        <f t="shared" si="108"/>
        <v>1</v>
      </c>
      <c r="D246" s="45"/>
      <c r="E246" s="46" t="s">
        <v>360</v>
      </c>
      <c r="F246" s="26" t="str">
        <f t="shared" si="102"/>
        <v/>
      </c>
      <c r="G246" s="26">
        <f>IFERROR(IF(--MID($E246,2*COUNTIF($F246:F246,"&gt;"&amp;0)+2,1)=G$1,G$1,""),"")</f>
        <v>2</v>
      </c>
      <c r="H246" s="26" t="str">
        <f>IFERROR(IF(--MID($E246,2*COUNTIF($F246:G246,"&gt;"&amp;0)+2,1)=H$1,H$1,""),"")</f>
        <v/>
      </c>
      <c r="I246" s="26">
        <f>IFERROR(IF(--MID($E246,2*COUNTIF($F246:H246,"&gt;"&amp;0)+2,1)=I$1,I$1,""),"")</f>
        <v>4</v>
      </c>
      <c r="J246" s="26" t="str">
        <f>IFERROR(IF(--MID($E246,2*COUNTIF($F246:I246,"&gt;"&amp;0)+2,1)=J$1,J$1,""),"")</f>
        <v/>
      </c>
      <c r="K246" s="26" t="str">
        <f>IFERROR(IF(--MID($E246,2*COUNTIF($F246:J246,"&gt;"&amp;0)+2,1)=K$1,K$1,""),"")</f>
        <v/>
      </c>
      <c r="L246" s="39" t="str" cm="1">
        <f t="array" ref="L246">IFERROR(IF($A246="","",IF(F246="","",_xlfn.XLOOKUP($C246&amp;"_"&amp;$AG246,符文权重!$A:$A&amp;"_"&amp;符文权重!$C:$C,符文权重!$D:$D)*$X246/SUMIFS($X:$X,F:F,F246,$C:$C,$C246,$AG:$AG,$AG246)/SUMIF(符文权重!$A:$A,$C246,符文权重!$D:$D))),"")</f>
        <v/>
      </c>
      <c r="M246" s="39" t="str" cm="1">
        <f t="array" ref="M246">IFERROR(IF($A246="","",IF(G246="","",_xlfn.XLOOKUP($C246&amp;"_"&amp;$AG246,符文权重!$A:$A&amp;"_"&amp;符文权重!$C:$C,符文权重!$D:$D)*$X246/SUMIFS($X:$X,G:G,G246,$C:$C,$C246,$AG:$AG,$AG246)/SUMIF(符文权重!$A:$A,$C246,符文权重!$D:$D))),"")</f>
        <v/>
      </c>
      <c r="N246" s="39" t="str" cm="1">
        <f t="array" ref="N246">IFERROR(IF($A246="","",IF(H246="","",_xlfn.XLOOKUP($C246&amp;"_"&amp;$AG246,符文权重!$A:$A&amp;"_"&amp;符文权重!$C:$C,符文权重!$D:$D)*$X246/SUMIFS($X:$X,H:H,H246,$C:$C,$C246,$AG:$AG,$AG246)/SUMIF(符文权重!$A:$A,$C246,符文权重!$D:$D))),"")</f>
        <v/>
      </c>
      <c r="O246" s="39" t="str" cm="1">
        <f t="array" ref="O246">IFERROR(IF($A246="","",IF(I246="","",_xlfn.XLOOKUP($C246&amp;"_"&amp;$AG246,符文权重!$A:$A&amp;"_"&amp;符文权重!$C:$C,符文权重!$D:$D)*$X246/SUMIFS($X:$X,I:I,I246,$C:$C,$C246,$AG:$AG,$AG246)/SUMIF(符文权重!$A:$A,$C246,符文权重!$D:$D))),"")</f>
        <v/>
      </c>
      <c r="P246" s="39" t="str" cm="1">
        <f t="array" ref="P246">IFERROR(IF($A246="","",IF(J246="","",_xlfn.XLOOKUP($C246&amp;"_"&amp;$AG246,符文权重!$A:$A&amp;"_"&amp;符文权重!$C:$C,符文权重!$D:$D)*$X246/SUMIFS($X:$X,J:J,J246,$C:$C,$C246,$AG:$AG,$AG246)/SUMIF(符文权重!$A:$A,$C246,符文权重!$D:$D))),"")</f>
        <v/>
      </c>
      <c r="Q246" s="39" t="str" cm="1">
        <f t="array" ref="Q246">IFERROR(IF($A246="","",IF(K246="","",_xlfn.XLOOKUP($C246&amp;"_"&amp;$AG246,符文权重!$A:$A&amp;"_"&amp;符文权重!$C:$C,符文权重!$D:$D)*$X246/SUMIFS($X:$X,K:K,K246,$C:$C,$C246,$AG:$AG,$AG246)/SUMIF(符文权重!$A:$A,$C246,符文权重!$D:$D))),"")</f>
        <v/>
      </c>
      <c r="R246" s="46" t="s">
        <v>244</v>
      </c>
      <c r="S246" s="46"/>
      <c r="T246" s="46" t="e">
        <f>IF(B246="","",SUBSTITUTE(SUBSTITUTE("[{global_atk,"&amp;#REF!*C246&amp;"}]",21,20),9,8))</f>
        <v>#REF!</v>
      </c>
      <c r="U246" s="47" t="str">
        <f t="shared" ref="U246:U252" si="127">"["&amp;A246&amp;"]"</f>
        <v>[5503071]</v>
      </c>
      <c r="V246" s="46"/>
      <c r="W246" s="23"/>
      <c r="X246" s="32">
        <v>16</v>
      </c>
      <c r="Y246" s="23"/>
      <c r="Z246" s="45" t="s">
        <v>165</v>
      </c>
      <c r="AA246" s="32" t="str">
        <f t="shared" si="114"/>
        <v>队长每触发一次暴击，所有梦灵伤害+0%，最多8次</v>
      </c>
      <c r="AB246" s="32"/>
      <c r="AC246" s="32" t="s">
        <v>166</v>
      </c>
      <c r="AD246" s="32">
        <f t="shared" si="105"/>
        <v>1241</v>
      </c>
      <c r="AE246" s="44" t="str">
        <f t="shared" si="110"/>
        <v>5503071</v>
      </c>
      <c r="AF246" s="45" t="str">
        <f t="shared" si="111"/>
        <v>[0]</v>
      </c>
      <c r="AG246" s="26">
        <v>100</v>
      </c>
      <c r="AH246" s="46"/>
      <c r="AI246" s="46">
        <v>1</v>
      </c>
      <c r="AJ246" s="25">
        <v>1</v>
      </c>
      <c r="AK246" s="48">
        <v>5503071</v>
      </c>
      <c r="AL246" s="49" t="s">
        <v>361</v>
      </c>
      <c r="AM246" s="46">
        <v>0</v>
      </c>
      <c r="AN246" s="26"/>
      <c r="AO246" s="26" t="s">
        <v>25</v>
      </c>
      <c r="AP246" s="20">
        <f t="shared" si="106"/>
        <v>241</v>
      </c>
    </row>
    <row r="247" s="22" customFormat="1" customHeight="1" spans="1:42">
      <c r="A247" s="44">
        <v>5503072</v>
      </c>
      <c r="B247" s="44" t="str">
        <f t="shared" si="107"/>
        <v>5503071</v>
      </c>
      <c r="C247" s="45">
        <f t="shared" si="108"/>
        <v>2</v>
      </c>
      <c r="D247" s="45"/>
      <c r="E247" s="46" t="s">
        <v>360</v>
      </c>
      <c r="F247" s="26" t="str">
        <f t="shared" si="102"/>
        <v/>
      </c>
      <c r="G247" s="26">
        <f>IFERROR(IF(--MID($E247,2*COUNTIF($F247:F247,"&gt;"&amp;0)+2,1)=G$1,G$1,""),"")</f>
        <v>2</v>
      </c>
      <c r="H247" s="26" t="str">
        <f>IFERROR(IF(--MID($E247,2*COUNTIF($F247:G247,"&gt;"&amp;0)+2,1)=H$1,H$1,""),"")</f>
        <v/>
      </c>
      <c r="I247" s="26">
        <f>IFERROR(IF(--MID($E247,2*COUNTIF($F247:H247,"&gt;"&amp;0)+2,1)=I$1,I$1,""),"")</f>
        <v>4</v>
      </c>
      <c r="J247" s="26" t="str">
        <f>IFERROR(IF(--MID($E247,2*COUNTIF($F247:I247,"&gt;"&amp;0)+2,1)=J$1,J$1,""),"")</f>
        <v/>
      </c>
      <c r="K247" s="26" t="str">
        <f>IFERROR(IF(--MID($E247,2*COUNTIF($F247:J247,"&gt;"&amp;0)+2,1)=K$1,K$1,""),"")</f>
        <v/>
      </c>
      <c r="L247" s="39" t="str" cm="1">
        <f t="array" ref="L247">IFERROR(IF($A247="","",IF(F247="","",_xlfn.XLOOKUP($C247&amp;"_"&amp;$AG247,符文权重!$A:$A&amp;"_"&amp;符文权重!$C:$C,符文权重!$D:$D)*$X247/SUMIFS($X:$X,F:F,F247,$C:$C,$C247,$AG:$AG,$AG247)/SUMIF(符文权重!$A:$A,$C247,符文权重!$D:$D))),"")</f>
        <v/>
      </c>
      <c r="M247" s="39" t="str" cm="1">
        <f t="array" ref="M247">IFERROR(IF($A247="","",IF(G247="","",_xlfn.XLOOKUP($C247&amp;"_"&amp;$AG247,符文权重!$A:$A&amp;"_"&amp;符文权重!$C:$C,符文权重!$D:$D)*$X247/SUMIFS($X:$X,G:G,G247,$C:$C,$C247,$AG:$AG,$AG247)/SUMIF(符文权重!$A:$A,$C247,符文权重!$D:$D))),"")</f>
        <v/>
      </c>
      <c r="N247" s="39" t="str" cm="1">
        <f t="array" ref="N247">IFERROR(IF($A247="","",IF(H247="","",_xlfn.XLOOKUP($C247&amp;"_"&amp;$AG247,符文权重!$A:$A&amp;"_"&amp;符文权重!$C:$C,符文权重!$D:$D)*$X247/SUMIFS($X:$X,H:H,H247,$C:$C,$C247,$AG:$AG,$AG247)/SUMIF(符文权重!$A:$A,$C247,符文权重!$D:$D))),"")</f>
        <v/>
      </c>
      <c r="O247" s="39" t="str" cm="1">
        <f t="array" ref="O247">IFERROR(IF($A247="","",IF(I247="","",_xlfn.XLOOKUP($C247&amp;"_"&amp;$AG247,符文权重!$A:$A&amp;"_"&amp;符文权重!$C:$C,符文权重!$D:$D)*$X247/SUMIFS($X:$X,I:I,I247,$C:$C,$C247,$AG:$AG,$AG247)/SUMIF(符文权重!$A:$A,$C247,符文权重!$D:$D))),"")</f>
        <v/>
      </c>
      <c r="P247" s="39" t="str" cm="1">
        <f t="array" ref="P247">IFERROR(IF($A247="","",IF(J247="","",_xlfn.XLOOKUP($C247&amp;"_"&amp;$AG247,符文权重!$A:$A&amp;"_"&amp;符文权重!$C:$C,符文权重!$D:$D)*$X247/SUMIFS($X:$X,J:J,J247,$C:$C,$C247,$AG:$AG,$AG247)/SUMIF(符文权重!$A:$A,$C247,符文权重!$D:$D))),"")</f>
        <v/>
      </c>
      <c r="Q247" s="39" t="str" cm="1">
        <f t="array" ref="Q247">IFERROR(IF($A247="","",IF(K247="","",_xlfn.XLOOKUP($C247&amp;"_"&amp;$AG247,符文权重!$A:$A&amp;"_"&amp;符文权重!$C:$C,符文权重!$D:$D)*$X247/SUMIFS($X:$X,K:K,K247,$C:$C,$C247,$AG:$AG,$AG247)/SUMIF(符文权重!$A:$A,$C247,符文权重!$D:$D))),"")</f>
        <v/>
      </c>
      <c r="R247" s="46" t="s">
        <v>244</v>
      </c>
      <c r="S247" s="46"/>
      <c r="T247" s="46" t="e">
        <f>IF(B247="","",SUBSTITUTE(SUBSTITUTE("[{global_atk,"&amp;#REF!*C247&amp;"}]",21,20),9,8))</f>
        <v>#REF!</v>
      </c>
      <c r="U247" s="47" t="str">
        <f t="shared" si="127"/>
        <v>[5503072]</v>
      </c>
      <c r="V247" s="46"/>
      <c r="W247" s="23"/>
      <c r="X247" s="32">
        <v>16</v>
      </c>
      <c r="Y247" s="23"/>
      <c r="Z247" s="45" t="s">
        <v>170</v>
      </c>
      <c r="AA247" s="32" t="str">
        <f t="shared" si="114"/>
        <v>队长每触发一次暴击，所有梦灵伤害+0%，最多8次</v>
      </c>
      <c r="AB247" s="32"/>
      <c r="AC247" s="32" t="s">
        <v>166</v>
      </c>
      <c r="AD247" s="32">
        <f t="shared" si="105"/>
        <v>1242</v>
      </c>
      <c r="AE247" s="44" t="str">
        <f t="shared" si="110"/>
        <v>5503071</v>
      </c>
      <c r="AF247" s="45" t="str">
        <f t="shared" si="111"/>
        <v>[0]</v>
      </c>
      <c r="AG247" s="26">
        <v>100</v>
      </c>
      <c r="AH247" s="46"/>
      <c r="AI247" s="46">
        <v>1</v>
      </c>
      <c r="AJ247" s="25">
        <v>1</v>
      </c>
      <c r="AK247" s="44">
        <f t="shared" ref="AK247:AK252" si="128">AK246+1</f>
        <v>5503072</v>
      </c>
      <c r="AL247" s="50" t="str">
        <f t="shared" ref="AL247:AL252" si="129">AL246</f>
        <v>队长每触发一次暴击，所有梦灵伤害&lt;color=#54b76b&gt;+%s%&lt;/color&gt;，最多8次</v>
      </c>
      <c r="AM247" s="46">
        <v>0</v>
      </c>
      <c r="AN247" s="26"/>
      <c r="AO247" s="26" t="s">
        <v>25</v>
      </c>
      <c r="AP247" s="20">
        <f t="shared" si="106"/>
        <v>242</v>
      </c>
    </row>
    <row r="248" s="20" customFormat="1" customHeight="1" spans="1:42">
      <c r="A248" s="38">
        <v>5503073</v>
      </c>
      <c r="B248" s="38" t="str">
        <f t="shared" si="107"/>
        <v>5503071</v>
      </c>
      <c r="C248" s="32">
        <f t="shared" si="108"/>
        <v>3</v>
      </c>
      <c r="D248" s="32"/>
      <c r="E248" s="26" t="s">
        <v>360</v>
      </c>
      <c r="F248" s="26" t="str">
        <f t="shared" si="102"/>
        <v/>
      </c>
      <c r="G248" s="26">
        <f>IFERROR(IF(--MID($E248,2*COUNTIF($F248:F248,"&gt;"&amp;0)+2,1)=G$1,G$1,""),"")</f>
        <v>2</v>
      </c>
      <c r="H248" s="26" t="str">
        <f>IFERROR(IF(--MID($E248,2*COUNTIF($F248:G248,"&gt;"&amp;0)+2,1)=H$1,H$1,""),"")</f>
        <v/>
      </c>
      <c r="I248" s="26">
        <f>IFERROR(IF(--MID($E248,2*COUNTIF($F248:H248,"&gt;"&amp;0)+2,1)=I$1,I$1,""),"")</f>
        <v>4</v>
      </c>
      <c r="J248" s="26" t="str">
        <f>IFERROR(IF(--MID($E248,2*COUNTIF($F248:I248,"&gt;"&amp;0)+2,1)=J$1,J$1,""),"")</f>
        <v/>
      </c>
      <c r="K248" s="26" t="str">
        <f>IFERROR(IF(--MID($E248,2*COUNTIF($F248:J248,"&gt;"&amp;0)+2,1)=K$1,K$1,""),"")</f>
        <v/>
      </c>
      <c r="L248" s="39" t="str" cm="1">
        <f t="array" ref="L248">IFERROR(IF($A248="","",IF(F248="","",_xlfn.XLOOKUP($C248&amp;"_"&amp;$AG248,符文权重!$A:$A&amp;"_"&amp;符文权重!$C:$C,符文权重!$D:$D)*$X248/SUMIFS($X:$X,F:F,F248,$C:$C,$C248,$AG:$AG,$AG248)/SUMIF(符文权重!$A:$A,$C248,符文权重!$D:$D))),"")</f>
        <v/>
      </c>
      <c r="M248" s="39" cm="1">
        <f t="array" ref="M248">IFERROR(IF($A248="","",IF(G248="","",_xlfn.XLOOKUP($C248&amp;"_"&amp;$AG248,符文权重!$A:$A&amp;"_"&amp;符文权重!$C:$C,符文权重!$D:$D)*$X248/SUMIFS($X:$X,G:G,G248,$C:$C,$C248,$AG:$AG,$AG248)/SUMIF(符文权重!$A:$A,$C248,符文权重!$D:$D))),"")</f>
        <v>0.00551724137931034</v>
      </c>
      <c r="N248" s="39" t="str" cm="1">
        <f t="array" ref="N248">IFERROR(IF($A248="","",IF(H248="","",_xlfn.XLOOKUP($C248&amp;"_"&amp;$AG248,符文权重!$A:$A&amp;"_"&amp;符文权重!$C:$C,符文权重!$D:$D)*$X248/SUMIFS($X:$X,H:H,H248,$C:$C,$C248,$AG:$AG,$AG248)/SUMIF(符文权重!$A:$A,$C248,符文权重!$D:$D))),"")</f>
        <v/>
      </c>
      <c r="O248" s="39" cm="1">
        <f t="array" ref="O248">IFERROR(IF($A248="","",IF(I248="","",_xlfn.XLOOKUP($C248&amp;"_"&amp;$AG248,符文权重!$A:$A&amp;"_"&amp;符文权重!$C:$C,符文权重!$D:$D)*$X248/SUMIFS($X:$X,I:I,I248,$C:$C,$C248,$AG:$AG,$AG248)/SUMIF(符文权重!$A:$A,$C248,符文权重!$D:$D))),"")</f>
        <v>0.00551724137931034</v>
      </c>
      <c r="P248" s="39" t="str" cm="1">
        <f t="array" ref="P248">IFERROR(IF($A248="","",IF(J248="","",_xlfn.XLOOKUP($C248&amp;"_"&amp;$AG248,符文权重!$A:$A&amp;"_"&amp;符文权重!$C:$C,符文权重!$D:$D)*$X248/SUMIFS($X:$X,J:J,J248,$C:$C,$C248,$AG:$AG,$AG248)/SUMIF(符文权重!$A:$A,$C248,符文权重!$D:$D))),"")</f>
        <v/>
      </c>
      <c r="Q248" s="39" t="str" cm="1">
        <f t="array" ref="Q248">IFERROR(IF($A248="","",IF(K248="","",_xlfn.XLOOKUP($C248&amp;"_"&amp;$AG248,符文权重!$A:$A&amp;"_"&amp;符文权重!$C:$C,符文权重!$D:$D)*$X248/SUMIFS($X:$X,K:K,K248,$C:$C,$C248,$AG:$AG,$AG248)/SUMIF(符文权重!$A:$A,$C248,符文权重!$D:$D))),"")</f>
        <v/>
      </c>
      <c r="R248" s="26" t="s">
        <v>244</v>
      </c>
      <c r="S248" s="26"/>
      <c r="T248" s="26" t="e">
        <f>IF(B248="","",SUBSTITUTE(SUBSTITUTE("[{global_atk,"&amp;#REF!*C248&amp;"}]",21,20),9,8))</f>
        <v>#REF!</v>
      </c>
      <c r="U248" s="40" t="str">
        <f t="shared" si="127"/>
        <v>[5503073]</v>
      </c>
      <c r="V248" s="26"/>
      <c r="W248" s="25"/>
      <c r="X248" s="32">
        <v>16</v>
      </c>
      <c r="Y248" s="25"/>
      <c r="Z248" s="32" t="s">
        <v>172</v>
      </c>
      <c r="AA248" s="32" t="str">
        <f t="shared" si="114"/>
        <v>队长每触发一次暴击，所有梦灵伤害+1.5%，最多8次</v>
      </c>
      <c r="AB248" s="32"/>
      <c r="AC248" s="32" t="s">
        <v>166</v>
      </c>
      <c r="AD248" s="32">
        <f t="shared" si="105"/>
        <v>1243</v>
      </c>
      <c r="AE248" s="38" t="str">
        <f t="shared" si="110"/>
        <v>5503071</v>
      </c>
      <c r="AF248" s="32" t="str">
        <f t="shared" si="111"/>
        <v>[1.5]</v>
      </c>
      <c r="AG248" s="26">
        <v>3</v>
      </c>
      <c r="AH248" s="26"/>
      <c r="AI248" s="26">
        <v>0</v>
      </c>
      <c r="AJ248" s="25">
        <v>1</v>
      </c>
      <c r="AK248" s="38">
        <f t="shared" si="128"/>
        <v>5503073</v>
      </c>
      <c r="AL248" s="41" t="str">
        <f t="shared" si="129"/>
        <v>队长每触发一次暴击，所有梦灵伤害&lt;color=#54b76b&gt;+%s%&lt;/color&gt;，最多8次</v>
      </c>
      <c r="AM248" s="26">
        <v>1.5</v>
      </c>
      <c r="AN248" s="26">
        <v>3</v>
      </c>
      <c r="AO248" s="26" t="s">
        <v>25</v>
      </c>
      <c r="AP248" s="20">
        <f t="shared" si="106"/>
        <v>243</v>
      </c>
    </row>
    <row r="249" s="20" customFormat="1" customHeight="1" spans="1:42">
      <c r="A249" s="38">
        <v>5503074</v>
      </c>
      <c r="B249" s="38" t="str">
        <f t="shared" si="107"/>
        <v>5503071</v>
      </c>
      <c r="C249" s="32">
        <f t="shared" si="108"/>
        <v>4</v>
      </c>
      <c r="D249" s="32"/>
      <c r="E249" s="26" t="s">
        <v>360</v>
      </c>
      <c r="F249" s="26" t="str">
        <f t="shared" si="102"/>
        <v/>
      </c>
      <c r="G249" s="26">
        <f>IFERROR(IF(--MID($E249,2*COUNTIF($F249:F249,"&gt;"&amp;0)+2,1)=G$1,G$1,""),"")</f>
        <v>2</v>
      </c>
      <c r="H249" s="26" t="str">
        <f>IFERROR(IF(--MID($E249,2*COUNTIF($F249:G249,"&gt;"&amp;0)+2,1)=H$1,H$1,""),"")</f>
        <v/>
      </c>
      <c r="I249" s="26">
        <f>IFERROR(IF(--MID($E249,2*COUNTIF($F249:H249,"&gt;"&amp;0)+2,1)=I$1,I$1,""),"")</f>
        <v>4</v>
      </c>
      <c r="J249" s="26" t="str">
        <f>IFERROR(IF(--MID($E249,2*COUNTIF($F249:I249,"&gt;"&amp;0)+2,1)=J$1,J$1,""),"")</f>
        <v/>
      </c>
      <c r="K249" s="26" t="str">
        <f>IFERROR(IF(--MID($E249,2*COUNTIF($F249:J249,"&gt;"&amp;0)+2,1)=K$1,K$1,""),"")</f>
        <v/>
      </c>
      <c r="L249" s="39" t="str" cm="1">
        <f t="array" ref="L249">IFERROR(IF($A249="","",IF(F249="","",_xlfn.XLOOKUP($C249&amp;"_"&amp;$AG249,符文权重!$A:$A&amp;"_"&amp;符文权重!$C:$C,符文权重!$D:$D)*$X249/SUMIFS($X:$X,F:F,F249,$C:$C,$C249,$AG:$AG,$AG249)/SUMIF(符文权重!$A:$A,$C249,符文权重!$D:$D))),"")</f>
        <v/>
      </c>
      <c r="M249" s="39" cm="1">
        <f t="array" ref="M249">IFERROR(IF($A249="","",IF(G249="","",_xlfn.XLOOKUP($C249&amp;"_"&amp;$AG249,符文权重!$A:$A&amp;"_"&amp;符文权重!$C:$C,符文权重!$D:$D)*$X249/SUMIFS($X:$X,G:G,G249,$C:$C,$C249,$AG:$AG,$AG249)/SUMIF(符文权重!$A:$A,$C249,符文权重!$D:$D))),"")</f>
        <v>0.0059280303030303</v>
      </c>
      <c r="N249" s="39" t="str" cm="1">
        <f t="array" ref="N249">IFERROR(IF($A249="","",IF(H249="","",_xlfn.XLOOKUP($C249&amp;"_"&amp;$AG249,符文权重!$A:$A&amp;"_"&amp;符文权重!$C:$C,符文权重!$D:$D)*$X249/SUMIFS($X:$X,H:H,H249,$C:$C,$C249,$AG:$AG,$AG249)/SUMIF(符文权重!$A:$A,$C249,符文权重!$D:$D))),"")</f>
        <v/>
      </c>
      <c r="O249" s="39" cm="1">
        <f t="array" ref="O249">IFERROR(IF($A249="","",IF(I249="","",_xlfn.XLOOKUP($C249&amp;"_"&amp;$AG249,符文权重!$A:$A&amp;"_"&amp;符文权重!$C:$C,符文权重!$D:$D)*$X249/SUMIFS($X:$X,I:I,I249,$C:$C,$C249,$AG:$AG,$AG249)/SUMIF(符文权重!$A:$A,$C249,符文权重!$D:$D))),"")</f>
        <v>0.0059280303030303</v>
      </c>
      <c r="P249" s="39" t="str" cm="1">
        <f t="array" ref="P249">IFERROR(IF($A249="","",IF(J249="","",_xlfn.XLOOKUP($C249&amp;"_"&amp;$AG249,符文权重!$A:$A&amp;"_"&amp;符文权重!$C:$C,符文权重!$D:$D)*$X249/SUMIFS($X:$X,J:J,J249,$C:$C,$C249,$AG:$AG,$AG249)/SUMIF(符文权重!$A:$A,$C249,符文权重!$D:$D))),"")</f>
        <v/>
      </c>
      <c r="Q249" s="39" t="str" cm="1">
        <f t="array" ref="Q249">IFERROR(IF($A249="","",IF(K249="","",_xlfn.XLOOKUP($C249&amp;"_"&amp;$AG249,符文权重!$A:$A&amp;"_"&amp;符文权重!$C:$C,符文权重!$D:$D)*$X249/SUMIFS($X:$X,K:K,K249,$C:$C,$C249,$AG:$AG,$AG249)/SUMIF(符文权重!$A:$A,$C249,符文权重!$D:$D))),"")</f>
        <v/>
      </c>
      <c r="R249" s="26" t="s">
        <v>244</v>
      </c>
      <c r="S249" s="26"/>
      <c r="T249" s="26" t="e">
        <f>IF(B249="","",SUBSTITUTE(SUBSTITUTE("[{global_atk,"&amp;#REF!*C249&amp;"}]",21,20),9,8))</f>
        <v>#REF!</v>
      </c>
      <c r="U249" s="40" t="str">
        <f t="shared" si="127"/>
        <v>[5503074]</v>
      </c>
      <c r="V249" s="26"/>
      <c r="W249" s="25"/>
      <c r="X249" s="32">
        <v>5</v>
      </c>
      <c r="Y249" s="25"/>
      <c r="Z249" s="32" t="s">
        <v>174</v>
      </c>
      <c r="AA249" s="32" t="str">
        <f t="shared" si="114"/>
        <v>队长每触发一次暴击，所有梦灵伤害+2.5%，最多8次</v>
      </c>
      <c r="AB249" s="32"/>
      <c r="AC249" s="32" t="s">
        <v>166</v>
      </c>
      <c r="AD249" s="32">
        <f t="shared" si="105"/>
        <v>1244</v>
      </c>
      <c r="AE249" s="38" t="str">
        <f t="shared" si="110"/>
        <v>5503071</v>
      </c>
      <c r="AF249" s="32" t="str">
        <f t="shared" si="111"/>
        <v>[2.5]</v>
      </c>
      <c r="AG249" s="26">
        <v>3</v>
      </c>
      <c r="AH249" s="26"/>
      <c r="AI249" s="26">
        <v>0</v>
      </c>
      <c r="AJ249" s="25">
        <v>1</v>
      </c>
      <c r="AK249" s="38">
        <f t="shared" si="128"/>
        <v>5503074</v>
      </c>
      <c r="AL249" s="41" t="str">
        <f t="shared" si="129"/>
        <v>队长每触发一次暴击，所有梦灵伤害&lt;color=#54b76b&gt;+%s%&lt;/color&gt;，最多8次</v>
      </c>
      <c r="AM249" s="26">
        <v>2.5</v>
      </c>
      <c r="AN249" s="26">
        <v>3</v>
      </c>
      <c r="AO249" s="26" t="s">
        <v>25</v>
      </c>
      <c r="AP249" s="20">
        <f t="shared" si="106"/>
        <v>244</v>
      </c>
    </row>
    <row r="250" s="20" customFormat="1" customHeight="1" spans="1:42">
      <c r="A250" s="38">
        <v>5503075</v>
      </c>
      <c r="B250" s="38" t="str">
        <f t="shared" si="107"/>
        <v>5503071</v>
      </c>
      <c r="C250" s="32">
        <f t="shared" si="108"/>
        <v>5</v>
      </c>
      <c r="D250" s="32"/>
      <c r="E250" s="26" t="s">
        <v>360</v>
      </c>
      <c r="F250" s="26" t="str">
        <f t="shared" si="102"/>
        <v/>
      </c>
      <c r="G250" s="26">
        <f>IFERROR(IF(--MID($E250,2*COUNTIF($F250:F250,"&gt;"&amp;0)+2,1)=G$1,G$1,""),"")</f>
        <v>2</v>
      </c>
      <c r="H250" s="26" t="str">
        <f>IFERROR(IF(--MID($E250,2*COUNTIF($F250:G250,"&gt;"&amp;0)+2,1)=H$1,H$1,""),"")</f>
        <v/>
      </c>
      <c r="I250" s="26">
        <f>IFERROR(IF(--MID($E250,2*COUNTIF($F250:H250,"&gt;"&amp;0)+2,1)=I$1,I$1,""),"")</f>
        <v>4</v>
      </c>
      <c r="J250" s="26" t="str">
        <f>IFERROR(IF(--MID($E250,2*COUNTIF($F250:I250,"&gt;"&amp;0)+2,1)=J$1,J$1,""),"")</f>
        <v/>
      </c>
      <c r="K250" s="26" t="str">
        <f>IFERROR(IF(--MID($E250,2*COUNTIF($F250:J250,"&gt;"&amp;0)+2,1)=K$1,K$1,""),"")</f>
        <v/>
      </c>
      <c r="L250" s="39" t="str" cm="1">
        <f t="array" ref="L250">IFERROR(IF($A250="","",IF(F250="","",_xlfn.XLOOKUP($C250&amp;"_"&amp;$AG250,符文权重!$A:$A&amp;"_"&amp;符文权重!$C:$C,符文权重!$D:$D)*$X250/SUMIFS($X:$X,F:F,F250,$C:$C,$C250,$AG:$AG,$AG250)/SUMIF(符文权重!$A:$A,$C250,符文权重!$D:$D))),"")</f>
        <v/>
      </c>
      <c r="M250" s="39" cm="1">
        <f t="array" ref="M250">IFERROR(IF($A250="","",IF(G250="","",_xlfn.XLOOKUP($C250&amp;"_"&amp;$AG250,符文权重!$A:$A&amp;"_"&amp;符文权重!$C:$C,符文权重!$D:$D)*$X250/SUMIFS($X:$X,G:G,G250,$C:$C,$C250,$AG:$AG,$AG250)/SUMIF(符文权重!$A:$A,$C250,符文权重!$D:$D))),"")</f>
        <v>0.0125</v>
      </c>
      <c r="N250" s="39" t="str" cm="1">
        <f t="array" ref="N250">IFERROR(IF($A250="","",IF(H250="","",_xlfn.XLOOKUP($C250&amp;"_"&amp;$AG250,符文权重!$A:$A&amp;"_"&amp;符文权重!$C:$C,符文权重!$D:$D)*$X250/SUMIFS($X:$X,H:H,H250,$C:$C,$C250,$AG:$AG,$AG250)/SUMIF(符文权重!$A:$A,$C250,符文权重!$D:$D))),"")</f>
        <v/>
      </c>
      <c r="O250" s="39" cm="1">
        <f t="array" ref="O250">IFERROR(IF($A250="","",IF(I250="","",_xlfn.XLOOKUP($C250&amp;"_"&amp;$AG250,符文权重!$A:$A&amp;"_"&amp;符文权重!$C:$C,符文权重!$D:$D)*$X250/SUMIFS($X:$X,I:I,I250,$C:$C,$C250,$AG:$AG,$AG250)/SUMIF(符文权重!$A:$A,$C250,符文权重!$D:$D))),"")</f>
        <v>0.009375</v>
      </c>
      <c r="P250" s="39" t="str" cm="1">
        <f t="array" ref="P250">IFERROR(IF($A250="","",IF(J250="","",_xlfn.XLOOKUP($C250&amp;"_"&amp;$AG250,符文权重!$A:$A&amp;"_"&amp;符文权重!$C:$C,符文权重!$D:$D)*$X250/SUMIFS($X:$X,J:J,J250,$C:$C,$C250,$AG:$AG,$AG250)/SUMIF(符文权重!$A:$A,$C250,符文权重!$D:$D))),"")</f>
        <v/>
      </c>
      <c r="Q250" s="39" t="str" cm="1">
        <f t="array" ref="Q250">IFERROR(IF($A250="","",IF(K250="","",_xlfn.XLOOKUP($C250&amp;"_"&amp;$AG250,符文权重!$A:$A&amp;"_"&amp;符文权重!$C:$C,符文权重!$D:$D)*$X250/SUMIFS($X:$X,K:K,K250,$C:$C,$C250,$AG:$AG,$AG250)/SUMIF(符文权重!$A:$A,$C250,符文权重!$D:$D))),"")</f>
        <v/>
      </c>
      <c r="R250" s="26" t="s">
        <v>244</v>
      </c>
      <c r="S250" s="26"/>
      <c r="T250" s="26" t="e">
        <f>IF(B250="","",SUBSTITUTE(SUBSTITUTE("[{global_atk,"&amp;#REF!*C250&amp;"}]",21,20),9,8))</f>
        <v>#REF!</v>
      </c>
      <c r="U250" s="40" t="str">
        <f t="shared" si="127"/>
        <v>[5503075]</v>
      </c>
      <c r="V250" s="26"/>
      <c r="W250" s="25"/>
      <c r="X250" s="32">
        <v>100</v>
      </c>
      <c r="Y250" s="25"/>
      <c r="Z250" s="32" t="s">
        <v>176</v>
      </c>
      <c r="AA250" s="32" t="str">
        <f t="shared" si="114"/>
        <v>队长每触发一次暴击，所有梦灵伤害+3.5%，最多8次</v>
      </c>
      <c r="AB250" s="32"/>
      <c r="AC250" s="32" t="s">
        <v>166</v>
      </c>
      <c r="AD250" s="32">
        <f t="shared" si="105"/>
        <v>1245</v>
      </c>
      <c r="AE250" s="38" t="str">
        <f t="shared" si="110"/>
        <v>5503071</v>
      </c>
      <c r="AF250" s="32" t="str">
        <f t="shared" si="111"/>
        <v>[3.5]</v>
      </c>
      <c r="AG250" s="26">
        <v>4</v>
      </c>
      <c r="AH250" s="26"/>
      <c r="AI250" s="26">
        <v>0</v>
      </c>
      <c r="AJ250" s="25">
        <v>1</v>
      </c>
      <c r="AK250" s="38">
        <f t="shared" si="128"/>
        <v>5503075</v>
      </c>
      <c r="AL250" s="41" t="str">
        <f t="shared" si="129"/>
        <v>队长每触发一次暴击，所有梦灵伤害&lt;color=#54b76b&gt;+%s%&lt;/color&gt;，最多8次</v>
      </c>
      <c r="AM250" s="26">
        <v>3.5</v>
      </c>
      <c r="AN250" s="26">
        <v>3</v>
      </c>
      <c r="AO250" s="26" t="s">
        <v>25</v>
      </c>
      <c r="AP250" s="20">
        <f t="shared" si="106"/>
        <v>245</v>
      </c>
    </row>
    <row r="251" s="20" customFormat="1" customHeight="1" spans="1:42">
      <c r="A251" s="38">
        <v>5503076</v>
      </c>
      <c r="B251" s="38" t="str">
        <f t="shared" si="107"/>
        <v>5503071</v>
      </c>
      <c r="C251" s="32">
        <f t="shared" si="108"/>
        <v>6</v>
      </c>
      <c r="D251" s="32"/>
      <c r="E251" s="26" t="s">
        <v>360</v>
      </c>
      <c r="F251" s="26" t="str">
        <f t="shared" si="102"/>
        <v/>
      </c>
      <c r="G251" s="26">
        <f>IFERROR(IF(--MID($E251,2*COUNTIF($F251:F251,"&gt;"&amp;0)+2,1)=G$1,G$1,""),"")</f>
        <v>2</v>
      </c>
      <c r="H251" s="26" t="str">
        <f>IFERROR(IF(--MID($E251,2*COUNTIF($F251:G251,"&gt;"&amp;0)+2,1)=H$1,H$1,""),"")</f>
        <v/>
      </c>
      <c r="I251" s="26">
        <f>IFERROR(IF(--MID($E251,2*COUNTIF($F251:H251,"&gt;"&amp;0)+2,1)=I$1,I$1,""),"")</f>
        <v>4</v>
      </c>
      <c r="J251" s="26" t="str">
        <f>IFERROR(IF(--MID($E251,2*COUNTIF($F251:I251,"&gt;"&amp;0)+2,1)=J$1,J$1,""),"")</f>
        <v/>
      </c>
      <c r="K251" s="26" t="str">
        <f>IFERROR(IF(--MID($E251,2*COUNTIF($F251:J251,"&gt;"&amp;0)+2,1)=K$1,K$1,""),"")</f>
        <v/>
      </c>
      <c r="L251" s="39" t="str" cm="1">
        <f t="array" ref="L251">IFERROR(IF($A251="","",IF(F251="","",_xlfn.XLOOKUP($C251&amp;"_"&amp;$AG251,符文权重!$A:$A&amp;"_"&amp;符文权重!$C:$C,符文权重!$D:$D)*$X251/SUMIFS($X:$X,F:F,F251,$C:$C,$C251,$AG:$AG,$AG251)/SUMIF(符文权重!$A:$A,$C251,符文权重!$D:$D))),"")</f>
        <v/>
      </c>
      <c r="M251" s="39" cm="1">
        <f t="array" ref="M251">IFERROR(IF($A251="","",IF(G251="","",_xlfn.XLOOKUP($C251&amp;"_"&amp;$AG251,符文权重!$A:$A&amp;"_"&amp;符文权重!$C:$C,符文权重!$D:$D)*$X251/SUMIFS($X:$X,G:G,G251,$C:$C,$C251,$AG:$AG,$AG251)/SUMIF(符文权重!$A:$A,$C251,符文权重!$D:$D))),"")</f>
        <v>0.0125</v>
      </c>
      <c r="N251" s="39" t="str" cm="1">
        <f t="array" ref="N251">IFERROR(IF($A251="","",IF(H251="","",_xlfn.XLOOKUP($C251&amp;"_"&amp;$AG251,符文权重!$A:$A&amp;"_"&amp;符文权重!$C:$C,符文权重!$D:$D)*$X251/SUMIFS($X:$X,H:H,H251,$C:$C,$C251,$AG:$AG,$AG251)/SUMIF(符文权重!$A:$A,$C251,符文权重!$D:$D))),"")</f>
        <v/>
      </c>
      <c r="O251" s="39" cm="1">
        <f t="array" ref="O251">IFERROR(IF($A251="","",IF(I251="","",_xlfn.XLOOKUP($C251&amp;"_"&amp;$AG251,符文权重!$A:$A&amp;"_"&amp;符文权重!$C:$C,符文权重!$D:$D)*$X251/SUMIFS($X:$X,I:I,I251,$C:$C,$C251,$AG:$AG,$AG251)/SUMIF(符文权重!$A:$A,$C251,符文权重!$D:$D))),"")</f>
        <v>0.009375</v>
      </c>
      <c r="P251" s="39" t="str" cm="1">
        <f t="array" ref="P251">IFERROR(IF($A251="","",IF(J251="","",_xlfn.XLOOKUP($C251&amp;"_"&amp;$AG251,符文权重!$A:$A&amp;"_"&amp;符文权重!$C:$C,符文权重!$D:$D)*$X251/SUMIFS($X:$X,J:J,J251,$C:$C,$C251,$AG:$AG,$AG251)/SUMIF(符文权重!$A:$A,$C251,符文权重!$D:$D))),"")</f>
        <v/>
      </c>
      <c r="Q251" s="39" t="str" cm="1">
        <f t="array" ref="Q251">IFERROR(IF($A251="","",IF(K251="","",_xlfn.XLOOKUP($C251&amp;"_"&amp;$AG251,符文权重!$A:$A&amp;"_"&amp;符文权重!$C:$C,符文权重!$D:$D)*$X251/SUMIFS($X:$X,K:K,K251,$C:$C,$C251,$AG:$AG,$AG251)/SUMIF(符文权重!$A:$A,$C251,符文权重!$D:$D))),"")</f>
        <v/>
      </c>
      <c r="R251" s="26" t="s">
        <v>244</v>
      </c>
      <c r="S251" s="26"/>
      <c r="T251" s="26" t="e">
        <f>IF(B251="","",SUBSTITUTE(SUBSTITUTE("[{global_atk,"&amp;#REF!*C251&amp;"}]",21,20),9,8))</f>
        <v>#REF!</v>
      </c>
      <c r="U251" s="40" t="str">
        <f t="shared" si="127"/>
        <v>[5503076]</v>
      </c>
      <c r="V251" s="26"/>
      <c r="W251" s="25"/>
      <c r="X251" s="32">
        <v>100</v>
      </c>
      <c r="Y251" s="25"/>
      <c r="Z251" s="32" t="s">
        <v>178</v>
      </c>
      <c r="AA251" s="32" t="str">
        <f t="shared" si="114"/>
        <v>队长每触发一次暴击，所有梦灵伤害+4.5%，最多8次</v>
      </c>
      <c r="AB251" s="32"/>
      <c r="AC251" s="32" t="s">
        <v>166</v>
      </c>
      <c r="AD251" s="32">
        <f t="shared" si="105"/>
        <v>1246</v>
      </c>
      <c r="AE251" s="38" t="str">
        <f t="shared" si="110"/>
        <v>5503071</v>
      </c>
      <c r="AF251" s="32" t="str">
        <f t="shared" si="111"/>
        <v>[4.5]</v>
      </c>
      <c r="AG251" s="26">
        <v>4</v>
      </c>
      <c r="AH251" s="26"/>
      <c r="AI251" s="26">
        <v>0</v>
      </c>
      <c r="AJ251" s="25">
        <v>1</v>
      </c>
      <c r="AK251" s="38">
        <f t="shared" si="128"/>
        <v>5503076</v>
      </c>
      <c r="AL251" s="41" t="str">
        <f t="shared" si="129"/>
        <v>队长每触发一次暴击，所有梦灵伤害&lt;color=#54b76b&gt;+%s%&lt;/color&gt;，最多8次</v>
      </c>
      <c r="AM251" s="26">
        <v>4.5</v>
      </c>
      <c r="AN251" s="26">
        <v>3</v>
      </c>
      <c r="AO251" s="26" t="s">
        <v>25</v>
      </c>
      <c r="AP251" s="20">
        <f t="shared" si="106"/>
        <v>246</v>
      </c>
    </row>
    <row r="252" s="20" customFormat="1" customHeight="1" spans="1:42">
      <c r="A252" s="38">
        <v>5503077</v>
      </c>
      <c r="B252" s="38" t="str">
        <f t="shared" si="107"/>
        <v>5503071</v>
      </c>
      <c r="C252" s="32">
        <f t="shared" si="108"/>
        <v>7</v>
      </c>
      <c r="D252" s="32"/>
      <c r="E252" s="26" t="s">
        <v>360</v>
      </c>
      <c r="F252" s="26" t="str">
        <f t="shared" si="102"/>
        <v/>
      </c>
      <c r="G252" s="26">
        <f>IFERROR(IF(--MID($E252,2*COUNTIF($F252:F252,"&gt;"&amp;0)+2,1)=G$1,G$1,""),"")</f>
        <v>2</v>
      </c>
      <c r="H252" s="26" t="str">
        <f>IFERROR(IF(--MID($E252,2*COUNTIF($F252:G252,"&gt;"&amp;0)+2,1)=H$1,H$1,""),"")</f>
        <v/>
      </c>
      <c r="I252" s="26">
        <f>IFERROR(IF(--MID($E252,2*COUNTIF($F252:H252,"&gt;"&amp;0)+2,1)=I$1,I$1,""),"")</f>
        <v>4</v>
      </c>
      <c r="J252" s="26" t="str">
        <f>IFERROR(IF(--MID($E252,2*COUNTIF($F252:I252,"&gt;"&amp;0)+2,1)=J$1,J$1,""),"")</f>
        <v/>
      </c>
      <c r="K252" s="26" t="str">
        <f>IFERROR(IF(--MID($E252,2*COUNTIF($F252:J252,"&gt;"&amp;0)+2,1)=K$1,K$1,""),"")</f>
        <v/>
      </c>
      <c r="L252" s="39" t="str" cm="1">
        <f t="array" ref="L252">IFERROR(IF($A252="","",IF(F252="","",_xlfn.XLOOKUP($C252&amp;"_"&amp;$AG252,符文权重!$A:$A&amp;"_"&amp;符文权重!$C:$C,符文权重!$D:$D)*$X252/SUMIFS($X:$X,F:F,F252,$C:$C,$C252,$AG:$AG,$AG252)/SUMIF(符文权重!$A:$A,$C252,符文权重!$D:$D))),"")</f>
        <v/>
      </c>
      <c r="M252" s="39" cm="1">
        <f t="array" ref="M252">IFERROR(IF($A252="","",IF(G252="","",_xlfn.XLOOKUP($C252&amp;"_"&amp;$AG252,符文权重!$A:$A&amp;"_"&amp;符文权重!$C:$C,符文权重!$D:$D)*$X252/SUMIFS($X:$X,G:G,G252,$C:$C,$C252,$AG:$AG,$AG252)/SUMIF(符文权重!$A:$A,$C252,符文权重!$D:$D))),"")</f>
        <v>0.0125</v>
      </c>
      <c r="N252" s="39" t="str" cm="1">
        <f t="array" ref="N252">IFERROR(IF($A252="","",IF(H252="","",_xlfn.XLOOKUP($C252&amp;"_"&amp;$AG252,符文权重!$A:$A&amp;"_"&amp;符文权重!$C:$C,符文权重!$D:$D)*$X252/SUMIFS($X:$X,H:H,H252,$C:$C,$C252,$AG:$AG,$AG252)/SUMIF(符文权重!$A:$A,$C252,符文权重!$D:$D))),"")</f>
        <v/>
      </c>
      <c r="O252" s="39" cm="1">
        <f t="array" ref="O252">IFERROR(IF($A252="","",IF(I252="","",_xlfn.XLOOKUP($C252&amp;"_"&amp;$AG252,符文权重!$A:$A&amp;"_"&amp;符文权重!$C:$C,符文权重!$D:$D)*$X252/SUMIFS($X:$X,I:I,I252,$C:$C,$C252,$AG:$AG,$AG252)/SUMIF(符文权重!$A:$A,$C252,符文权重!$D:$D))),"")</f>
        <v>0.009375</v>
      </c>
      <c r="P252" s="39" t="str" cm="1">
        <f t="array" ref="P252">IFERROR(IF($A252="","",IF(J252="","",_xlfn.XLOOKUP($C252&amp;"_"&amp;$AG252,符文权重!$A:$A&amp;"_"&amp;符文权重!$C:$C,符文权重!$D:$D)*$X252/SUMIFS($X:$X,J:J,J252,$C:$C,$C252,$AG:$AG,$AG252)/SUMIF(符文权重!$A:$A,$C252,符文权重!$D:$D))),"")</f>
        <v/>
      </c>
      <c r="Q252" s="39" t="str" cm="1">
        <f t="array" ref="Q252">IFERROR(IF($A252="","",IF(K252="","",_xlfn.XLOOKUP($C252&amp;"_"&amp;$AG252,符文权重!$A:$A&amp;"_"&amp;符文权重!$C:$C,符文权重!$D:$D)*$X252/SUMIFS($X:$X,K:K,K252,$C:$C,$C252,$AG:$AG,$AG252)/SUMIF(符文权重!$A:$A,$C252,符文权重!$D:$D))),"")</f>
        <v/>
      </c>
      <c r="R252" s="26" t="s">
        <v>244</v>
      </c>
      <c r="S252" s="26"/>
      <c r="T252" s="26" t="e">
        <f>IF(B252="","",SUBSTITUTE(SUBSTITUTE("[{global_atk,"&amp;#REF!*C252&amp;"}]",21,20),9,8))</f>
        <v>#REF!</v>
      </c>
      <c r="U252" s="40" t="str">
        <f t="shared" si="127"/>
        <v>[5503077]</v>
      </c>
      <c r="V252" s="26"/>
      <c r="W252" s="25"/>
      <c r="X252" s="32">
        <v>100</v>
      </c>
      <c r="Y252" s="25"/>
      <c r="Z252" s="32" t="s">
        <v>180</v>
      </c>
      <c r="AA252" s="32" t="str">
        <f t="shared" si="114"/>
        <v>队长每触发一次暴击，所有梦灵伤害+5.5%，最多8次</v>
      </c>
      <c r="AB252" s="32"/>
      <c r="AC252" s="32" t="s">
        <v>166</v>
      </c>
      <c r="AD252" s="32">
        <f t="shared" si="105"/>
        <v>1247</v>
      </c>
      <c r="AE252" s="38" t="str">
        <f t="shared" si="110"/>
        <v>5503071</v>
      </c>
      <c r="AF252" s="32" t="str">
        <f t="shared" si="111"/>
        <v>[5.5]</v>
      </c>
      <c r="AG252" s="26">
        <v>4</v>
      </c>
      <c r="AH252" s="26"/>
      <c r="AI252" s="26">
        <v>0</v>
      </c>
      <c r="AJ252" s="25">
        <v>1</v>
      </c>
      <c r="AK252" s="38">
        <f t="shared" si="128"/>
        <v>5503077</v>
      </c>
      <c r="AL252" s="41" t="str">
        <f t="shared" si="129"/>
        <v>队长每触发一次暴击，所有梦灵伤害&lt;color=#54b76b&gt;+%s%&lt;/color&gt;，最多8次</v>
      </c>
      <c r="AM252" s="26">
        <v>5.5</v>
      </c>
      <c r="AN252" s="26">
        <v>3</v>
      </c>
      <c r="AO252" s="26" t="s">
        <v>25</v>
      </c>
      <c r="AP252" s="20">
        <f t="shared" si="106"/>
        <v>247</v>
      </c>
    </row>
    <row r="253" s="20" customFormat="1" customHeight="1" spans="1:42">
      <c r="A253" s="38" t="s">
        <v>167</v>
      </c>
      <c r="B253" s="38" t="str">
        <f t="shared" si="107"/>
        <v/>
      </c>
      <c r="C253" s="32" t="str">
        <f t="shared" si="108"/>
        <v/>
      </c>
      <c r="D253" s="32"/>
      <c r="E253" s="26"/>
      <c r="F253" s="26" t="str">
        <f t="shared" si="102"/>
        <v/>
      </c>
      <c r="G253" s="26" t="str">
        <f>IFERROR(IF(--MID($E253,2*COUNTIF($F253:F253,"&gt;"&amp;0)+2,1)=G$1,G$1,""),"")</f>
        <v/>
      </c>
      <c r="H253" s="26" t="str">
        <f>IFERROR(IF(--MID($E253,2*COUNTIF($F253:G253,"&gt;"&amp;0)+2,1)=H$1,H$1,""),"")</f>
        <v/>
      </c>
      <c r="I253" s="26" t="str">
        <f>IFERROR(IF(--MID($E253,2*COUNTIF($F253:H253,"&gt;"&amp;0)+2,1)=I$1,I$1,""),"")</f>
        <v/>
      </c>
      <c r="J253" s="26" t="str">
        <f>IFERROR(IF(--MID($E253,2*COUNTIF($F253:I253,"&gt;"&amp;0)+2,1)=J$1,J$1,""),"")</f>
        <v/>
      </c>
      <c r="K253" s="26" t="str">
        <f>IFERROR(IF(--MID($E253,2*COUNTIF($F253:J253,"&gt;"&amp;0)+2,1)=K$1,K$1,""),"")</f>
        <v/>
      </c>
      <c r="L253" s="39" t="str" cm="1">
        <f t="array" ref="L253">IFERROR(IF($A253="","",IF(F253="","",_xlfn.XLOOKUP($C253&amp;"_"&amp;$AG253,符文权重!$A:$A&amp;"_"&amp;符文权重!$C:$C,符文权重!$D:$D)*$X253/SUMIFS($X:$X,F:F,F253,$C:$C,$C253,$AG:$AG,$AG253)/SUMIF(符文权重!$A:$A,$C253,符文权重!$D:$D))),"")</f>
        <v/>
      </c>
      <c r="M253" s="39" t="str" cm="1">
        <f t="array" ref="M253">IFERROR(IF($A253="","",IF(G253="","",_xlfn.XLOOKUP($C253&amp;"_"&amp;$AG253,符文权重!$A:$A&amp;"_"&amp;符文权重!$C:$C,符文权重!$D:$D)*$X253/SUMIFS($X:$X,G:G,G253,$C:$C,$C253,$AG:$AG,$AG253)/SUMIF(符文权重!$A:$A,$C253,符文权重!$D:$D))),"")</f>
        <v/>
      </c>
      <c r="N253" s="39" t="str" cm="1">
        <f t="array" ref="N253">IFERROR(IF($A253="","",IF(H253="","",_xlfn.XLOOKUP($C253&amp;"_"&amp;$AG253,符文权重!$A:$A&amp;"_"&amp;符文权重!$C:$C,符文权重!$D:$D)*$X253/SUMIFS($X:$X,H:H,H253,$C:$C,$C253,$AG:$AG,$AG253)/SUMIF(符文权重!$A:$A,$C253,符文权重!$D:$D))),"")</f>
        <v/>
      </c>
      <c r="O253" s="39" t="str" cm="1">
        <f t="array" ref="O253">IFERROR(IF($A253="","",IF(I253="","",_xlfn.XLOOKUP($C253&amp;"_"&amp;$AG253,符文权重!$A:$A&amp;"_"&amp;符文权重!$C:$C,符文权重!$D:$D)*$X253/SUMIFS($X:$X,I:I,I253,$C:$C,$C253,$AG:$AG,$AG253)/SUMIF(符文权重!$A:$A,$C253,符文权重!$D:$D))),"")</f>
        <v/>
      </c>
      <c r="P253" s="39" t="str" cm="1">
        <f t="array" ref="P253">IFERROR(IF($A253="","",IF(J253="","",_xlfn.XLOOKUP($C253&amp;"_"&amp;$AG253,符文权重!$A:$A&amp;"_"&amp;符文权重!$C:$C,符文权重!$D:$D)*$X253/SUMIFS($X:$X,J:J,J253,$C:$C,$C253,$AG:$AG,$AG253)/SUMIF(符文权重!$A:$A,$C253,符文权重!$D:$D))),"")</f>
        <v/>
      </c>
      <c r="Q253" s="39" t="str" cm="1">
        <f t="array" ref="Q253">IFERROR(IF($A253="","",IF(K253="","",_xlfn.XLOOKUP($C253&amp;"_"&amp;$AG253,符文权重!$A:$A&amp;"_"&amp;符文权重!$C:$C,符文权重!$D:$D)*$X253/SUMIFS($X:$X,K:K,K253,$C:$C,$C253,$AG:$AG,$AG253)/SUMIF(符文权重!$A:$A,$C253,符文权重!$D:$D))),"")</f>
        <v/>
      </c>
      <c r="R253" s="26"/>
      <c r="S253" s="26"/>
      <c r="T253" s="26"/>
      <c r="V253" s="31"/>
      <c r="W253" s="25"/>
      <c r="X253" s="32"/>
      <c r="Y253" s="25"/>
      <c r="Z253" s="32" t="s">
        <v>167</v>
      </c>
      <c r="AA253" s="32" t="str">
        <f t="shared" si="114"/>
        <v/>
      </c>
      <c r="AB253" s="32"/>
      <c r="AC253" s="32" t="s">
        <v>166</v>
      </c>
      <c r="AD253" s="32">
        <f t="shared" si="105"/>
        <v>1248</v>
      </c>
      <c r="AE253" s="38" t="str">
        <f t="shared" si="110"/>
        <v/>
      </c>
      <c r="AF253" s="32" t="str">
        <f t="shared" si="111"/>
        <v/>
      </c>
      <c r="AG253" s="26"/>
      <c r="AH253" s="26"/>
      <c r="AI253" s="26"/>
      <c r="AJ253" s="25" t="s">
        <v>167</v>
      </c>
      <c r="AK253" s="24"/>
      <c r="AL253" s="43"/>
      <c r="AM253" s="26"/>
      <c r="AN253" s="26"/>
      <c r="AO253" s="26"/>
      <c r="AP253" s="20">
        <f t="shared" si="106"/>
        <v>248</v>
      </c>
    </row>
    <row r="254" s="23" customFormat="1" customHeight="1" spans="1:42">
      <c r="A254" s="44">
        <v>5503081</v>
      </c>
      <c r="B254" s="44" t="str">
        <f t="shared" si="107"/>
        <v>5503081</v>
      </c>
      <c r="C254" s="45">
        <f t="shared" si="108"/>
        <v>1</v>
      </c>
      <c r="D254" s="45"/>
      <c r="E254" s="46" t="s">
        <v>200</v>
      </c>
      <c r="F254" s="26" t="str">
        <f t="shared" si="102"/>
        <v/>
      </c>
      <c r="G254" s="26">
        <f>IFERROR(IF(--MID($E254,2*COUNTIF($F254:F254,"&gt;"&amp;0)+2,1)=G$1,G$1,""),"")</f>
        <v>2</v>
      </c>
      <c r="H254" s="26" t="str">
        <f>IFERROR(IF(--MID($E254,2*COUNTIF($F254:G254,"&gt;"&amp;0)+2,1)=H$1,H$1,""),"")</f>
        <v/>
      </c>
      <c r="I254" s="26" t="str">
        <f>IFERROR(IF(--MID($E254,2*COUNTIF($F254:H254,"&gt;"&amp;0)+2,1)=I$1,I$1,""),"")</f>
        <v/>
      </c>
      <c r="J254" s="26" t="str">
        <f>IFERROR(IF(--MID($E254,2*COUNTIF($F254:I254,"&gt;"&amp;0)+2,1)=J$1,J$1,""),"")</f>
        <v/>
      </c>
      <c r="K254" s="26" t="str">
        <f>IFERROR(IF(--MID($E254,2*COUNTIF($F254:J254,"&gt;"&amp;0)+2,1)=K$1,K$1,""),"")</f>
        <v/>
      </c>
      <c r="L254" s="39" t="str" cm="1">
        <f t="array" ref="L254">IFERROR(IF($A254="","",IF(F254="","",_xlfn.XLOOKUP($C254&amp;"_"&amp;$AG254,符文权重!$A:$A&amp;"_"&amp;符文权重!$C:$C,符文权重!$D:$D)*$X254/SUMIFS($X:$X,F:F,F254,$C:$C,$C254,$AG:$AG,$AG254)/SUMIF(符文权重!$A:$A,$C254,符文权重!$D:$D))),"")</f>
        <v/>
      </c>
      <c r="M254" s="39" t="str" cm="1">
        <f t="array" ref="M254">IFERROR(IF($A254="","",IF(G254="","",_xlfn.XLOOKUP($C254&amp;"_"&amp;$AG254,符文权重!$A:$A&amp;"_"&amp;符文权重!$C:$C,符文权重!$D:$D)*$X254/SUMIFS($X:$X,G:G,G254,$C:$C,$C254,$AG:$AG,$AG254)/SUMIF(符文权重!$A:$A,$C254,符文权重!$D:$D))),"")</f>
        <v/>
      </c>
      <c r="N254" s="39" t="str" cm="1">
        <f t="array" ref="N254">IFERROR(IF($A254="","",IF(H254="","",_xlfn.XLOOKUP($C254&amp;"_"&amp;$AG254,符文权重!$A:$A&amp;"_"&amp;符文权重!$C:$C,符文权重!$D:$D)*$X254/SUMIFS($X:$X,H:H,H254,$C:$C,$C254,$AG:$AG,$AG254)/SUMIF(符文权重!$A:$A,$C254,符文权重!$D:$D))),"")</f>
        <v/>
      </c>
      <c r="O254" s="39" t="str" cm="1">
        <f t="array" ref="O254">IFERROR(IF($A254="","",IF(I254="","",_xlfn.XLOOKUP($C254&amp;"_"&amp;$AG254,符文权重!$A:$A&amp;"_"&amp;符文权重!$C:$C,符文权重!$D:$D)*$X254/SUMIFS($X:$X,I:I,I254,$C:$C,$C254,$AG:$AG,$AG254)/SUMIF(符文权重!$A:$A,$C254,符文权重!$D:$D))),"")</f>
        <v/>
      </c>
      <c r="P254" s="39" t="str" cm="1">
        <f t="array" ref="P254">IFERROR(IF($A254="","",IF(J254="","",_xlfn.XLOOKUP($C254&amp;"_"&amp;$AG254,符文权重!$A:$A&amp;"_"&amp;符文权重!$C:$C,符文权重!$D:$D)*$X254/SUMIFS($X:$X,J:J,J254,$C:$C,$C254,$AG:$AG,$AG254)/SUMIF(符文权重!$A:$A,$C254,符文权重!$D:$D))),"")</f>
        <v/>
      </c>
      <c r="Q254" s="39" t="str" cm="1">
        <f t="array" ref="Q254">IFERROR(IF($A254="","",IF(K254="","",_xlfn.XLOOKUP($C254&amp;"_"&amp;$AG254,符文权重!$A:$A&amp;"_"&amp;符文权重!$C:$C,符文权重!$D:$D)*$X254/SUMIFS($X:$X,K:K,K254,$C:$C,$C254,$AG:$AG,$AG254)/SUMIF(符文权重!$A:$A,$C254,符文权重!$D:$D))),"")</f>
        <v/>
      </c>
      <c r="R254" s="46" t="s">
        <v>330</v>
      </c>
      <c r="S254" s="46"/>
      <c r="T254" s="46" t="e">
        <f>IF(B254="","",SUBSTITUTE(SUBSTITUTE("[{global_atk,"&amp;#REF!*C254&amp;"}]",21,20),9,8))</f>
        <v>#REF!</v>
      </c>
      <c r="U254" s="47" t="str">
        <f t="shared" ref="U254:U260" si="130">"["&amp;A254&amp;"]"</f>
        <v>[5503081]</v>
      </c>
      <c r="V254" s="46"/>
      <c r="X254" s="32">
        <v>100</v>
      </c>
      <c r="Z254" s="45" t="s">
        <v>165</v>
      </c>
      <c r="AA254" s="32" t="str">
        <f t="shared" si="114"/>
        <v>梦灵血量首次低于30%，获得最大生命5%的护盾</v>
      </c>
      <c r="AB254" s="32"/>
      <c r="AC254" s="32" t="s">
        <v>166</v>
      </c>
      <c r="AD254" s="32">
        <f t="shared" si="105"/>
        <v>1249</v>
      </c>
      <c r="AE254" s="44" t="str">
        <f t="shared" si="110"/>
        <v>5503081</v>
      </c>
      <c r="AF254" s="45" t="str">
        <f t="shared" si="111"/>
        <v>[5]</v>
      </c>
      <c r="AG254" s="26">
        <v>100</v>
      </c>
      <c r="AH254" s="46"/>
      <c r="AI254" s="46">
        <v>1</v>
      </c>
      <c r="AJ254" s="25" t="s">
        <v>167</v>
      </c>
      <c r="AK254" s="48">
        <v>5503081</v>
      </c>
      <c r="AL254" s="49" t="s">
        <v>362</v>
      </c>
      <c r="AM254" s="46">
        <v>5</v>
      </c>
      <c r="AN254" s="26"/>
      <c r="AO254" s="26" t="s">
        <v>28</v>
      </c>
      <c r="AP254" s="20">
        <f t="shared" si="106"/>
        <v>249</v>
      </c>
    </row>
    <row r="255" s="23" customFormat="1" customHeight="1" spans="1:42">
      <c r="A255" s="44">
        <v>5503082</v>
      </c>
      <c r="B255" s="44" t="str">
        <f t="shared" si="107"/>
        <v>5503081</v>
      </c>
      <c r="C255" s="45">
        <f t="shared" si="108"/>
        <v>2</v>
      </c>
      <c r="D255" s="45"/>
      <c r="E255" s="46" t="s">
        <v>200</v>
      </c>
      <c r="F255" s="26" t="str">
        <f t="shared" si="102"/>
        <v/>
      </c>
      <c r="G255" s="26">
        <f>IFERROR(IF(--MID($E255,2*COUNTIF($F255:F255,"&gt;"&amp;0)+2,1)=G$1,G$1,""),"")</f>
        <v>2</v>
      </c>
      <c r="H255" s="26" t="str">
        <f>IFERROR(IF(--MID($E255,2*COUNTIF($F255:G255,"&gt;"&amp;0)+2,1)=H$1,H$1,""),"")</f>
        <v/>
      </c>
      <c r="I255" s="26" t="str">
        <f>IFERROR(IF(--MID($E255,2*COUNTIF($F255:H255,"&gt;"&amp;0)+2,1)=I$1,I$1,""),"")</f>
        <v/>
      </c>
      <c r="J255" s="26" t="str">
        <f>IFERROR(IF(--MID($E255,2*COUNTIF($F255:I255,"&gt;"&amp;0)+2,1)=J$1,J$1,""),"")</f>
        <v/>
      </c>
      <c r="K255" s="26" t="str">
        <f>IFERROR(IF(--MID($E255,2*COUNTIF($F255:J255,"&gt;"&amp;0)+2,1)=K$1,K$1,""),"")</f>
        <v/>
      </c>
      <c r="L255" s="39" t="str" cm="1">
        <f t="array" ref="L255">IFERROR(IF($A255="","",IF(F255="","",_xlfn.XLOOKUP($C255&amp;"_"&amp;$AG255,符文权重!$A:$A&amp;"_"&amp;符文权重!$C:$C,符文权重!$D:$D)*$X255/SUMIFS($X:$X,F:F,F255,$C:$C,$C255,$AG:$AG,$AG255)/SUMIF(符文权重!$A:$A,$C255,符文权重!$D:$D))),"")</f>
        <v/>
      </c>
      <c r="M255" s="39" t="str" cm="1">
        <f t="array" ref="M255">IFERROR(IF($A255="","",IF(G255="","",_xlfn.XLOOKUP($C255&amp;"_"&amp;$AG255,符文权重!$A:$A&amp;"_"&amp;符文权重!$C:$C,符文权重!$D:$D)*$X255/SUMIFS($X:$X,G:G,G255,$C:$C,$C255,$AG:$AG,$AG255)/SUMIF(符文权重!$A:$A,$C255,符文权重!$D:$D))),"")</f>
        <v/>
      </c>
      <c r="N255" s="39" t="str" cm="1">
        <f t="array" ref="N255">IFERROR(IF($A255="","",IF(H255="","",_xlfn.XLOOKUP($C255&amp;"_"&amp;$AG255,符文权重!$A:$A&amp;"_"&amp;符文权重!$C:$C,符文权重!$D:$D)*$X255/SUMIFS($X:$X,H:H,H255,$C:$C,$C255,$AG:$AG,$AG255)/SUMIF(符文权重!$A:$A,$C255,符文权重!$D:$D))),"")</f>
        <v/>
      </c>
      <c r="O255" s="39" t="str" cm="1">
        <f t="array" ref="O255">IFERROR(IF($A255="","",IF(I255="","",_xlfn.XLOOKUP($C255&amp;"_"&amp;$AG255,符文权重!$A:$A&amp;"_"&amp;符文权重!$C:$C,符文权重!$D:$D)*$X255/SUMIFS($X:$X,I:I,I255,$C:$C,$C255,$AG:$AG,$AG255)/SUMIF(符文权重!$A:$A,$C255,符文权重!$D:$D))),"")</f>
        <v/>
      </c>
      <c r="P255" s="39" t="str" cm="1">
        <f t="array" ref="P255">IFERROR(IF($A255="","",IF(J255="","",_xlfn.XLOOKUP($C255&amp;"_"&amp;$AG255,符文权重!$A:$A&amp;"_"&amp;符文权重!$C:$C,符文权重!$D:$D)*$X255/SUMIFS($X:$X,J:J,J255,$C:$C,$C255,$AG:$AG,$AG255)/SUMIF(符文权重!$A:$A,$C255,符文权重!$D:$D))),"")</f>
        <v/>
      </c>
      <c r="Q255" s="39" t="str" cm="1">
        <f t="array" ref="Q255">IFERROR(IF($A255="","",IF(K255="","",_xlfn.XLOOKUP($C255&amp;"_"&amp;$AG255,符文权重!$A:$A&amp;"_"&amp;符文权重!$C:$C,符文权重!$D:$D)*$X255/SUMIFS($X:$X,K:K,K255,$C:$C,$C255,$AG:$AG,$AG255)/SUMIF(符文权重!$A:$A,$C255,符文权重!$D:$D))),"")</f>
        <v/>
      </c>
      <c r="R255" s="46" t="s">
        <v>330</v>
      </c>
      <c r="S255" s="46"/>
      <c r="T255" s="46" t="e">
        <f>IF(B255="","",SUBSTITUTE(SUBSTITUTE("[{global_atk,"&amp;#REF!*C255&amp;"}]",21,20),9,8))</f>
        <v>#REF!</v>
      </c>
      <c r="U255" s="47" t="str">
        <f t="shared" si="130"/>
        <v>[5503082]</v>
      </c>
      <c r="V255" s="46"/>
      <c r="X255" s="32">
        <v>100</v>
      </c>
      <c r="Z255" s="45" t="s">
        <v>170</v>
      </c>
      <c r="AA255" s="32" t="str">
        <f t="shared" si="114"/>
        <v>梦灵血量首次低于30%，获得最大生命8%的护盾</v>
      </c>
      <c r="AB255" s="32"/>
      <c r="AC255" s="32" t="s">
        <v>166</v>
      </c>
      <c r="AD255" s="32">
        <f t="shared" si="105"/>
        <v>1250</v>
      </c>
      <c r="AE255" s="44" t="str">
        <f t="shared" si="110"/>
        <v>5503081</v>
      </c>
      <c r="AF255" s="45" t="str">
        <f t="shared" si="111"/>
        <v>[8]</v>
      </c>
      <c r="AG255" s="26">
        <v>100</v>
      </c>
      <c r="AH255" s="46"/>
      <c r="AI255" s="46">
        <v>1</v>
      </c>
      <c r="AJ255" s="25" t="s">
        <v>167</v>
      </c>
      <c r="AK255" s="44">
        <f t="shared" ref="AK255:AK260" si="131">AK254+1</f>
        <v>5503082</v>
      </c>
      <c r="AL255" s="50" t="str">
        <f t="shared" ref="AL255:AL260" si="132">AL254</f>
        <v>梦灵血量首次低于30%，获得最大生命&lt;color=#54b76b&gt;%s%&lt;/color&gt;的护盾</v>
      </c>
      <c r="AM255" s="46">
        <v>8</v>
      </c>
      <c r="AN255" s="26"/>
      <c r="AO255" s="26" t="s">
        <v>28</v>
      </c>
      <c r="AP255" s="20">
        <f t="shared" si="106"/>
        <v>250</v>
      </c>
    </row>
    <row r="256" customHeight="1" spans="1:42">
      <c r="A256" s="38">
        <v>5503083</v>
      </c>
      <c r="B256" s="38" t="str">
        <f t="shared" si="107"/>
        <v>5503081</v>
      </c>
      <c r="C256" s="32">
        <f t="shared" si="108"/>
        <v>3</v>
      </c>
      <c r="D256" s="32"/>
      <c r="E256" s="26" t="s">
        <v>200</v>
      </c>
      <c r="F256" s="26" t="str">
        <f t="shared" si="102"/>
        <v/>
      </c>
      <c r="G256" s="26">
        <f>IFERROR(IF(--MID($E256,2*COUNTIF($F256:F256,"&gt;"&amp;0)+2,1)=G$1,G$1,""),"")</f>
        <v>2</v>
      </c>
      <c r="H256" s="26" t="str">
        <f>IFERROR(IF(--MID($E256,2*COUNTIF($F256:G256,"&gt;"&amp;0)+2,1)=H$1,H$1,""),"")</f>
        <v/>
      </c>
      <c r="I256" s="26" t="str">
        <f>IFERROR(IF(--MID($E256,2*COUNTIF($F256:H256,"&gt;"&amp;0)+2,1)=I$1,I$1,""),"")</f>
        <v/>
      </c>
      <c r="J256" s="26" t="str">
        <f>IFERROR(IF(--MID($E256,2*COUNTIF($F256:I256,"&gt;"&amp;0)+2,1)=J$1,J$1,""),"")</f>
        <v/>
      </c>
      <c r="K256" s="26" t="str">
        <f>IFERROR(IF(--MID($E256,2*COUNTIF($F256:J256,"&gt;"&amp;0)+2,1)=K$1,K$1,""),"")</f>
        <v/>
      </c>
      <c r="L256" s="39" t="str" cm="1">
        <f t="array" ref="L256">IFERROR(IF($A256="","",IF(F256="","",_xlfn.XLOOKUP($C256&amp;"_"&amp;$AG256,符文权重!$A:$A&amp;"_"&amp;符文权重!$C:$C,符文权重!$D:$D)*$X256/SUMIFS($X:$X,F:F,F256,$C:$C,$C256,$AG:$AG,$AG256)/SUMIF(符文权重!$A:$A,$C256,符文权重!$D:$D))),"")</f>
        <v/>
      </c>
      <c r="M256" s="39" t="str" cm="1">
        <f t="array" ref="M256">IFERROR(IF($A256="","",IF(G256="","",_xlfn.XLOOKUP($C256&amp;"_"&amp;$AG256,符文权重!$A:$A&amp;"_"&amp;符文权重!$C:$C,符文权重!$D:$D)*$X256/SUMIFS($X:$X,G:G,G256,$C:$C,$C256,$AG:$AG,$AG256)/SUMIF(符文权重!$A:$A,$C256,符文权重!$D:$D))),"")</f>
        <v/>
      </c>
      <c r="N256" s="39" t="str" cm="1">
        <f t="array" ref="N256">IFERROR(IF($A256="","",IF(H256="","",_xlfn.XLOOKUP($C256&amp;"_"&amp;$AG256,符文权重!$A:$A&amp;"_"&amp;符文权重!$C:$C,符文权重!$D:$D)*$X256/SUMIFS($X:$X,H:H,H256,$C:$C,$C256,$AG:$AG,$AG256)/SUMIF(符文权重!$A:$A,$C256,符文权重!$D:$D))),"")</f>
        <v/>
      </c>
      <c r="O256" s="39" t="str" cm="1">
        <f t="array" ref="O256">IFERROR(IF($A256="","",IF(I256="","",_xlfn.XLOOKUP($C256&amp;"_"&amp;$AG256,符文权重!$A:$A&amp;"_"&amp;符文权重!$C:$C,符文权重!$D:$D)*$X256/SUMIFS($X:$X,I:I,I256,$C:$C,$C256,$AG:$AG,$AG256)/SUMIF(符文权重!$A:$A,$C256,符文权重!$D:$D))),"")</f>
        <v/>
      </c>
      <c r="P256" s="39" t="str" cm="1">
        <f t="array" ref="P256">IFERROR(IF($A256="","",IF(J256="","",_xlfn.XLOOKUP($C256&amp;"_"&amp;$AG256,符文权重!$A:$A&amp;"_"&amp;符文权重!$C:$C,符文权重!$D:$D)*$X256/SUMIFS($X:$X,J:J,J256,$C:$C,$C256,$AG:$AG,$AG256)/SUMIF(符文权重!$A:$A,$C256,符文权重!$D:$D))),"")</f>
        <v/>
      </c>
      <c r="Q256" s="39" t="str" cm="1">
        <f t="array" ref="Q256">IFERROR(IF($A256="","",IF(K256="","",_xlfn.XLOOKUP($C256&amp;"_"&amp;$AG256,符文权重!$A:$A&amp;"_"&amp;符文权重!$C:$C,符文权重!$D:$D)*$X256/SUMIFS($X:$X,K:K,K256,$C:$C,$C256,$AG:$AG,$AG256)/SUMIF(符文权重!$A:$A,$C256,符文权重!$D:$D))),"")</f>
        <v/>
      </c>
      <c r="R256" s="26" t="s">
        <v>330</v>
      </c>
      <c r="S256" s="26"/>
      <c r="T256" s="26" t="e">
        <f>IF(B256="","",SUBSTITUTE(SUBSTITUTE("[{global_atk,"&amp;#REF!*C256&amp;"}]",21,20),9,8))</f>
        <v>#REF!</v>
      </c>
      <c r="U256" s="40" t="str">
        <f t="shared" si="130"/>
        <v>[5503083]</v>
      </c>
      <c r="X256" s="32">
        <v>100</v>
      </c>
      <c r="Z256" s="32" t="s">
        <v>172</v>
      </c>
      <c r="AA256" s="32" t="str">
        <f t="shared" si="114"/>
        <v>梦灵血量首次低于30%，获得最大生命10%的护盾</v>
      </c>
      <c r="AB256" s="32"/>
      <c r="AC256" s="32" t="s">
        <v>166</v>
      </c>
      <c r="AD256" s="32">
        <f t="shared" si="105"/>
        <v>1251</v>
      </c>
      <c r="AE256" s="38" t="str">
        <f t="shared" si="110"/>
        <v>5503081</v>
      </c>
      <c r="AF256" s="32" t="str">
        <f t="shared" si="111"/>
        <v>[10]</v>
      </c>
      <c r="AG256" s="26">
        <v>100</v>
      </c>
      <c r="AH256" s="26"/>
      <c r="AI256" s="26">
        <v>1</v>
      </c>
      <c r="AJ256" s="25" t="s">
        <v>167</v>
      </c>
      <c r="AK256" s="38">
        <f t="shared" si="131"/>
        <v>5503083</v>
      </c>
      <c r="AL256" s="41" t="str">
        <f t="shared" si="132"/>
        <v>梦灵血量首次低于30%，获得最大生命&lt;color=#54b76b&gt;%s%&lt;/color&gt;的护盾</v>
      </c>
      <c r="AM256" s="26">
        <v>10</v>
      </c>
      <c r="AN256" s="26"/>
      <c r="AO256" s="26" t="s">
        <v>28</v>
      </c>
      <c r="AP256" s="20">
        <f t="shared" si="106"/>
        <v>251</v>
      </c>
    </row>
    <row r="257" customHeight="1" spans="1:42">
      <c r="A257" s="38">
        <v>5503084</v>
      </c>
      <c r="B257" s="38" t="str">
        <f t="shared" si="107"/>
        <v>5503081</v>
      </c>
      <c r="C257" s="32">
        <f t="shared" si="108"/>
        <v>4</v>
      </c>
      <c r="D257" s="32"/>
      <c r="E257" s="26" t="s">
        <v>200</v>
      </c>
      <c r="F257" s="26" t="str">
        <f t="shared" si="102"/>
        <v/>
      </c>
      <c r="G257" s="26">
        <f>IFERROR(IF(--MID($E257,2*COUNTIF($F257:F257,"&gt;"&amp;0)+2,1)=G$1,G$1,""),"")</f>
        <v>2</v>
      </c>
      <c r="H257" s="26" t="str">
        <f>IFERROR(IF(--MID($E257,2*COUNTIF($F257:G257,"&gt;"&amp;0)+2,1)=H$1,H$1,""),"")</f>
        <v/>
      </c>
      <c r="I257" s="26" t="str">
        <f>IFERROR(IF(--MID($E257,2*COUNTIF($F257:H257,"&gt;"&amp;0)+2,1)=I$1,I$1,""),"")</f>
        <v/>
      </c>
      <c r="J257" s="26" t="str">
        <f>IFERROR(IF(--MID($E257,2*COUNTIF($F257:I257,"&gt;"&amp;0)+2,1)=J$1,J$1,""),"")</f>
        <v/>
      </c>
      <c r="K257" s="26" t="str">
        <f>IFERROR(IF(--MID($E257,2*COUNTIF($F257:J257,"&gt;"&amp;0)+2,1)=K$1,K$1,""),"")</f>
        <v/>
      </c>
      <c r="L257" s="39" t="str" cm="1">
        <f t="array" ref="L257">IFERROR(IF($A257="","",IF(F257="","",_xlfn.XLOOKUP($C257&amp;"_"&amp;$AG257,符文权重!$A:$A&amp;"_"&amp;符文权重!$C:$C,符文权重!$D:$D)*$X257/SUMIFS($X:$X,F:F,F257,$C:$C,$C257,$AG:$AG,$AG257)/SUMIF(符文权重!$A:$A,$C257,符文权重!$D:$D))),"")</f>
        <v/>
      </c>
      <c r="M257" s="39" t="str" cm="1">
        <f t="array" ref="M257">IFERROR(IF($A257="","",IF(G257="","",_xlfn.XLOOKUP($C257&amp;"_"&amp;$AG257,符文权重!$A:$A&amp;"_"&amp;符文权重!$C:$C,符文权重!$D:$D)*$X257/SUMIFS($X:$X,G:G,G257,$C:$C,$C257,$AG:$AG,$AG257)/SUMIF(符文权重!$A:$A,$C257,符文权重!$D:$D))),"")</f>
        <v/>
      </c>
      <c r="N257" s="39" t="str" cm="1">
        <f t="array" ref="N257">IFERROR(IF($A257="","",IF(H257="","",_xlfn.XLOOKUP($C257&amp;"_"&amp;$AG257,符文权重!$A:$A&amp;"_"&amp;符文权重!$C:$C,符文权重!$D:$D)*$X257/SUMIFS($X:$X,H:H,H257,$C:$C,$C257,$AG:$AG,$AG257)/SUMIF(符文权重!$A:$A,$C257,符文权重!$D:$D))),"")</f>
        <v/>
      </c>
      <c r="O257" s="39" t="str" cm="1">
        <f t="array" ref="O257">IFERROR(IF($A257="","",IF(I257="","",_xlfn.XLOOKUP($C257&amp;"_"&amp;$AG257,符文权重!$A:$A&amp;"_"&amp;符文权重!$C:$C,符文权重!$D:$D)*$X257/SUMIFS($X:$X,I:I,I257,$C:$C,$C257,$AG:$AG,$AG257)/SUMIF(符文权重!$A:$A,$C257,符文权重!$D:$D))),"")</f>
        <v/>
      </c>
      <c r="P257" s="39" t="str" cm="1">
        <f t="array" ref="P257">IFERROR(IF($A257="","",IF(J257="","",_xlfn.XLOOKUP($C257&amp;"_"&amp;$AG257,符文权重!$A:$A&amp;"_"&amp;符文权重!$C:$C,符文权重!$D:$D)*$X257/SUMIFS($X:$X,J:J,J257,$C:$C,$C257,$AG:$AG,$AG257)/SUMIF(符文权重!$A:$A,$C257,符文权重!$D:$D))),"")</f>
        <v/>
      </c>
      <c r="Q257" s="39" t="str" cm="1">
        <f t="array" ref="Q257">IFERROR(IF($A257="","",IF(K257="","",_xlfn.XLOOKUP($C257&amp;"_"&amp;$AG257,符文权重!$A:$A&amp;"_"&amp;符文权重!$C:$C,符文权重!$D:$D)*$X257/SUMIFS($X:$X,K:K,K257,$C:$C,$C257,$AG:$AG,$AG257)/SUMIF(符文权重!$A:$A,$C257,符文权重!$D:$D))),"")</f>
        <v/>
      </c>
      <c r="R257" s="26" t="s">
        <v>330</v>
      </c>
      <c r="S257" s="26"/>
      <c r="T257" s="26" t="e">
        <f>IF(B257="","",SUBSTITUTE(SUBSTITUTE("[{global_atk,"&amp;#REF!*C257&amp;"}]",21,20),9,8))</f>
        <v>#REF!</v>
      </c>
      <c r="U257" s="40" t="str">
        <f t="shared" si="130"/>
        <v>[5503084]</v>
      </c>
      <c r="X257" s="32">
        <v>100</v>
      </c>
      <c r="Z257" s="32" t="s">
        <v>174</v>
      </c>
      <c r="AA257" s="32" t="str">
        <f t="shared" si="114"/>
        <v>梦灵血量首次低于30%，获得最大生命15%的护盾</v>
      </c>
      <c r="AB257" s="32"/>
      <c r="AC257" s="32" t="s">
        <v>166</v>
      </c>
      <c r="AD257" s="32">
        <f t="shared" si="105"/>
        <v>1252</v>
      </c>
      <c r="AE257" s="38" t="str">
        <f t="shared" si="110"/>
        <v>5503081</v>
      </c>
      <c r="AF257" s="32" t="str">
        <f t="shared" si="111"/>
        <v>[15]</v>
      </c>
      <c r="AG257" s="26">
        <v>100</v>
      </c>
      <c r="AH257" s="26"/>
      <c r="AI257" s="26">
        <v>1</v>
      </c>
      <c r="AJ257" s="25" t="s">
        <v>167</v>
      </c>
      <c r="AK257" s="38">
        <f t="shared" si="131"/>
        <v>5503084</v>
      </c>
      <c r="AL257" s="41" t="str">
        <f t="shared" si="132"/>
        <v>梦灵血量首次低于30%，获得最大生命&lt;color=#54b76b&gt;%s%&lt;/color&gt;的护盾</v>
      </c>
      <c r="AM257" s="26">
        <v>15</v>
      </c>
      <c r="AN257" s="26"/>
      <c r="AO257" s="26" t="s">
        <v>28</v>
      </c>
      <c r="AP257" s="20">
        <f t="shared" si="106"/>
        <v>252</v>
      </c>
    </row>
    <row r="258" customHeight="1" spans="1:42">
      <c r="A258" s="38">
        <v>5503085</v>
      </c>
      <c r="B258" s="38" t="str">
        <f t="shared" si="107"/>
        <v>5503081</v>
      </c>
      <c r="C258" s="32">
        <f t="shared" si="108"/>
        <v>5</v>
      </c>
      <c r="D258" s="32"/>
      <c r="E258" s="26" t="s">
        <v>200</v>
      </c>
      <c r="F258" s="26" t="str">
        <f t="shared" si="102"/>
        <v/>
      </c>
      <c r="G258" s="26">
        <f>IFERROR(IF(--MID($E258,2*COUNTIF($F258:F258,"&gt;"&amp;0)+2,1)=G$1,G$1,""),"")</f>
        <v>2</v>
      </c>
      <c r="H258" s="26" t="str">
        <f>IFERROR(IF(--MID($E258,2*COUNTIF($F258:G258,"&gt;"&amp;0)+2,1)=H$1,H$1,""),"")</f>
        <v/>
      </c>
      <c r="I258" s="26" t="str">
        <f>IFERROR(IF(--MID($E258,2*COUNTIF($F258:H258,"&gt;"&amp;0)+2,1)=I$1,I$1,""),"")</f>
        <v/>
      </c>
      <c r="J258" s="26" t="str">
        <f>IFERROR(IF(--MID($E258,2*COUNTIF($F258:I258,"&gt;"&amp;0)+2,1)=J$1,J$1,""),"")</f>
        <v/>
      </c>
      <c r="K258" s="26" t="str">
        <f>IFERROR(IF(--MID($E258,2*COUNTIF($F258:J258,"&gt;"&amp;0)+2,1)=K$1,K$1,""),"")</f>
        <v/>
      </c>
      <c r="L258" s="39" t="str" cm="1">
        <f t="array" ref="L258">IFERROR(IF($A258="","",IF(F258="","",_xlfn.XLOOKUP($C258&amp;"_"&amp;$AG258,符文权重!$A:$A&amp;"_"&amp;符文权重!$C:$C,符文权重!$D:$D)*$X258/SUMIFS($X:$X,F:F,F258,$C:$C,$C258,$AG:$AG,$AG258)/SUMIF(符文权重!$A:$A,$C258,符文权重!$D:$D))),"")</f>
        <v/>
      </c>
      <c r="M258" s="39" t="str" cm="1">
        <f t="array" ref="M258">IFERROR(IF($A258="","",IF(G258="","",_xlfn.XLOOKUP($C258&amp;"_"&amp;$AG258,符文权重!$A:$A&amp;"_"&amp;符文权重!$C:$C,符文权重!$D:$D)*$X258/SUMIFS($X:$X,G:G,G258,$C:$C,$C258,$AG:$AG,$AG258)/SUMIF(符文权重!$A:$A,$C258,符文权重!$D:$D))),"")</f>
        <v/>
      </c>
      <c r="N258" s="39" t="str" cm="1">
        <f t="array" ref="N258">IFERROR(IF($A258="","",IF(H258="","",_xlfn.XLOOKUP($C258&amp;"_"&amp;$AG258,符文权重!$A:$A&amp;"_"&amp;符文权重!$C:$C,符文权重!$D:$D)*$X258/SUMIFS($X:$X,H:H,H258,$C:$C,$C258,$AG:$AG,$AG258)/SUMIF(符文权重!$A:$A,$C258,符文权重!$D:$D))),"")</f>
        <v/>
      </c>
      <c r="O258" s="39" t="str" cm="1">
        <f t="array" ref="O258">IFERROR(IF($A258="","",IF(I258="","",_xlfn.XLOOKUP($C258&amp;"_"&amp;$AG258,符文权重!$A:$A&amp;"_"&amp;符文权重!$C:$C,符文权重!$D:$D)*$X258/SUMIFS($X:$X,I:I,I258,$C:$C,$C258,$AG:$AG,$AG258)/SUMIF(符文权重!$A:$A,$C258,符文权重!$D:$D))),"")</f>
        <v/>
      </c>
      <c r="P258" s="39" t="str" cm="1">
        <f t="array" ref="P258">IFERROR(IF($A258="","",IF(J258="","",_xlfn.XLOOKUP($C258&amp;"_"&amp;$AG258,符文权重!$A:$A&amp;"_"&amp;符文权重!$C:$C,符文权重!$D:$D)*$X258/SUMIFS($X:$X,J:J,J258,$C:$C,$C258,$AG:$AG,$AG258)/SUMIF(符文权重!$A:$A,$C258,符文权重!$D:$D))),"")</f>
        <v/>
      </c>
      <c r="Q258" s="39" t="str" cm="1">
        <f t="array" ref="Q258">IFERROR(IF($A258="","",IF(K258="","",_xlfn.XLOOKUP($C258&amp;"_"&amp;$AG258,符文权重!$A:$A&amp;"_"&amp;符文权重!$C:$C,符文权重!$D:$D)*$X258/SUMIFS($X:$X,K:K,K258,$C:$C,$C258,$AG:$AG,$AG258)/SUMIF(符文权重!$A:$A,$C258,符文权重!$D:$D))),"")</f>
        <v/>
      </c>
      <c r="R258" s="26" t="s">
        <v>330</v>
      </c>
      <c r="S258" s="26"/>
      <c r="T258" s="26" t="e">
        <f>IF(B258="","",SUBSTITUTE(SUBSTITUTE("[{global_atk,"&amp;#REF!*C258&amp;"}]",21,20),9,8))</f>
        <v>#REF!</v>
      </c>
      <c r="U258" s="40" t="str">
        <f t="shared" si="130"/>
        <v>[5503085]</v>
      </c>
      <c r="X258" s="32">
        <v>100</v>
      </c>
      <c r="Z258" s="32" t="s">
        <v>176</v>
      </c>
      <c r="AA258" s="32" t="str">
        <f t="shared" si="114"/>
        <v>梦灵血量首次低于30%，获得最大生命20%的护盾</v>
      </c>
      <c r="AB258" s="32"/>
      <c r="AC258" s="32" t="s">
        <v>166</v>
      </c>
      <c r="AD258" s="32">
        <f t="shared" si="105"/>
        <v>1253</v>
      </c>
      <c r="AE258" s="38" t="str">
        <f t="shared" si="110"/>
        <v>5503081</v>
      </c>
      <c r="AF258" s="32" t="str">
        <f t="shared" si="111"/>
        <v>[20]</v>
      </c>
      <c r="AG258" s="26">
        <v>100</v>
      </c>
      <c r="AH258" s="26"/>
      <c r="AI258" s="26">
        <v>1</v>
      </c>
      <c r="AJ258" s="25" t="s">
        <v>167</v>
      </c>
      <c r="AK258" s="38">
        <f t="shared" si="131"/>
        <v>5503085</v>
      </c>
      <c r="AL258" s="41" t="str">
        <f t="shared" si="132"/>
        <v>梦灵血量首次低于30%，获得最大生命&lt;color=#54b76b&gt;%s%&lt;/color&gt;的护盾</v>
      </c>
      <c r="AM258" s="26">
        <v>20</v>
      </c>
      <c r="AN258" s="26"/>
      <c r="AO258" s="26" t="s">
        <v>28</v>
      </c>
      <c r="AP258" s="20">
        <f t="shared" si="106"/>
        <v>253</v>
      </c>
    </row>
    <row r="259" customHeight="1" spans="1:42">
      <c r="A259" s="38">
        <v>5503086</v>
      </c>
      <c r="B259" s="38" t="str">
        <f t="shared" si="107"/>
        <v>5503081</v>
      </c>
      <c r="C259" s="32">
        <f t="shared" si="108"/>
        <v>6</v>
      </c>
      <c r="D259" s="32"/>
      <c r="E259" s="26" t="s">
        <v>200</v>
      </c>
      <c r="F259" s="26" t="str">
        <f t="shared" si="102"/>
        <v/>
      </c>
      <c r="G259" s="26">
        <f>IFERROR(IF(--MID($E259,2*COUNTIF($F259:F259,"&gt;"&amp;0)+2,1)=G$1,G$1,""),"")</f>
        <v>2</v>
      </c>
      <c r="H259" s="26" t="str">
        <f>IFERROR(IF(--MID($E259,2*COUNTIF($F259:G259,"&gt;"&amp;0)+2,1)=H$1,H$1,""),"")</f>
        <v/>
      </c>
      <c r="I259" s="26" t="str">
        <f>IFERROR(IF(--MID($E259,2*COUNTIF($F259:H259,"&gt;"&amp;0)+2,1)=I$1,I$1,""),"")</f>
        <v/>
      </c>
      <c r="J259" s="26" t="str">
        <f>IFERROR(IF(--MID($E259,2*COUNTIF($F259:I259,"&gt;"&amp;0)+2,1)=J$1,J$1,""),"")</f>
        <v/>
      </c>
      <c r="K259" s="26" t="str">
        <f>IFERROR(IF(--MID($E259,2*COUNTIF($F259:J259,"&gt;"&amp;0)+2,1)=K$1,K$1,""),"")</f>
        <v/>
      </c>
      <c r="L259" s="39" t="str" cm="1">
        <f t="array" ref="L259">IFERROR(IF($A259="","",IF(F259="","",_xlfn.XLOOKUP($C259&amp;"_"&amp;$AG259,符文权重!$A:$A&amp;"_"&amp;符文权重!$C:$C,符文权重!$D:$D)*$X259/SUMIFS($X:$X,F:F,F259,$C:$C,$C259,$AG:$AG,$AG259)/SUMIF(符文权重!$A:$A,$C259,符文权重!$D:$D))),"")</f>
        <v/>
      </c>
      <c r="M259" s="39" t="str" cm="1">
        <f t="array" ref="M259">IFERROR(IF($A259="","",IF(G259="","",_xlfn.XLOOKUP($C259&amp;"_"&amp;$AG259,符文权重!$A:$A&amp;"_"&amp;符文权重!$C:$C,符文权重!$D:$D)*$X259/SUMIFS($X:$X,G:G,G259,$C:$C,$C259,$AG:$AG,$AG259)/SUMIF(符文权重!$A:$A,$C259,符文权重!$D:$D))),"")</f>
        <v/>
      </c>
      <c r="N259" s="39" t="str" cm="1">
        <f t="array" ref="N259">IFERROR(IF($A259="","",IF(H259="","",_xlfn.XLOOKUP($C259&amp;"_"&amp;$AG259,符文权重!$A:$A&amp;"_"&amp;符文权重!$C:$C,符文权重!$D:$D)*$X259/SUMIFS($X:$X,H:H,H259,$C:$C,$C259,$AG:$AG,$AG259)/SUMIF(符文权重!$A:$A,$C259,符文权重!$D:$D))),"")</f>
        <v/>
      </c>
      <c r="O259" s="39" t="str" cm="1">
        <f t="array" ref="O259">IFERROR(IF($A259="","",IF(I259="","",_xlfn.XLOOKUP($C259&amp;"_"&amp;$AG259,符文权重!$A:$A&amp;"_"&amp;符文权重!$C:$C,符文权重!$D:$D)*$X259/SUMIFS($X:$X,I:I,I259,$C:$C,$C259,$AG:$AG,$AG259)/SUMIF(符文权重!$A:$A,$C259,符文权重!$D:$D))),"")</f>
        <v/>
      </c>
      <c r="P259" s="39" t="str" cm="1">
        <f t="array" ref="P259">IFERROR(IF($A259="","",IF(J259="","",_xlfn.XLOOKUP($C259&amp;"_"&amp;$AG259,符文权重!$A:$A&amp;"_"&amp;符文权重!$C:$C,符文权重!$D:$D)*$X259/SUMIFS($X:$X,J:J,J259,$C:$C,$C259,$AG:$AG,$AG259)/SUMIF(符文权重!$A:$A,$C259,符文权重!$D:$D))),"")</f>
        <v/>
      </c>
      <c r="Q259" s="39" t="str" cm="1">
        <f t="array" ref="Q259">IFERROR(IF($A259="","",IF(K259="","",_xlfn.XLOOKUP($C259&amp;"_"&amp;$AG259,符文权重!$A:$A&amp;"_"&amp;符文权重!$C:$C,符文权重!$D:$D)*$X259/SUMIFS($X:$X,K:K,K259,$C:$C,$C259,$AG:$AG,$AG259)/SUMIF(符文权重!$A:$A,$C259,符文权重!$D:$D))),"")</f>
        <v/>
      </c>
      <c r="R259" s="26" t="s">
        <v>330</v>
      </c>
      <c r="S259" s="26"/>
      <c r="T259" s="26" t="e">
        <f>IF(B259="","",SUBSTITUTE(SUBSTITUTE("[{global_atk,"&amp;#REF!*C259&amp;"}]",21,20),9,8))</f>
        <v>#REF!</v>
      </c>
      <c r="U259" s="40" t="str">
        <f t="shared" si="130"/>
        <v>[5503086]</v>
      </c>
      <c r="X259" s="32">
        <v>100</v>
      </c>
      <c r="Z259" s="32" t="s">
        <v>178</v>
      </c>
      <c r="AA259" s="32" t="str">
        <f t="shared" si="114"/>
        <v>梦灵血量首次低于30%，获得最大生命30%的护盾</v>
      </c>
      <c r="AB259" s="32"/>
      <c r="AC259" s="32" t="s">
        <v>166</v>
      </c>
      <c r="AD259" s="32">
        <f t="shared" si="105"/>
        <v>1254</v>
      </c>
      <c r="AE259" s="38" t="str">
        <f t="shared" si="110"/>
        <v>5503081</v>
      </c>
      <c r="AF259" s="32" t="str">
        <f t="shared" si="111"/>
        <v>[30]</v>
      </c>
      <c r="AG259" s="26">
        <v>100</v>
      </c>
      <c r="AH259" s="26"/>
      <c r="AI259" s="26">
        <v>1</v>
      </c>
      <c r="AJ259" s="25" t="s">
        <v>167</v>
      </c>
      <c r="AK259" s="38">
        <f t="shared" si="131"/>
        <v>5503086</v>
      </c>
      <c r="AL259" s="41" t="str">
        <f t="shared" si="132"/>
        <v>梦灵血量首次低于30%，获得最大生命&lt;color=#54b76b&gt;%s%&lt;/color&gt;的护盾</v>
      </c>
      <c r="AM259" s="26">
        <v>30</v>
      </c>
      <c r="AN259" s="26"/>
      <c r="AO259" s="26" t="s">
        <v>28</v>
      </c>
      <c r="AP259" s="20">
        <f t="shared" si="106"/>
        <v>254</v>
      </c>
    </row>
    <row r="260" customHeight="1" spans="1:42">
      <c r="A260" s="38">
        <v>5503087</v>
      </c>
      <c r="B260" s="38" t="str">
        <f t="shared" si="107"/>
        <v>5503081</v>
      </c>
      <c r="C260" s="32">
        <f t="shared" si="108"/>
        <v>7</v>
      </c>
      <c r="D260" s="32"/>
      <c r="E260" s="26" t="s">
        <v>200</v>
      </c>
      <c r="F260" s="26" t="str">
        <f t="shared" si="102"/>
        <v/>
      </c>
      <c r="G260" s="26">
        <f>IFERROR(IF(--MID($E260,2*COUNTIF($F260:F260,"&gt;"&amp;0)+2,1)=G$1,G$1,""),"")</f>
        <v>2</v>
      </c>
      <c r="H260" s="26" t="str">
        <f>IFERROR(IF(--MID($E260,2*COUNTIF($F260:G260,"&gt;"&amp;0)+2,1)=H$1,H$1,""),"")</f>
        <v/>
      </c>
      <c r="I260" s="26" t="str">
        <f>IFERROR(IF(--MID($E260,2*COUNTIF($F260:H260,"&gt;"&amp;0)+2,1)=I$1,I$1,""),"")</f>
        <v/>
      </c>
      <c r="J260" s="26" t="str">
        <f>IFERROR(IF(--MID($E260,2*COUNTIF($F260:I260,"&gt;"&amp;0)+2,1)=J$1,J$1,""),"")</f>
        <v/>
      </c>
      <c r="K260" s="26" t="str">
        <f>IFERROR(IF(--MID($E260,2*COUNTIF($F260:J260,"&gt;"&amp;0)+2,1)=K$1,K$1,""),"")</f>
        <v/>
      </c>
      <c r="L260" s="39" t="str" cm="1">
        <f t="array" ref="L260">IFERROR(IF($A260="","",IF(F260="","",_xlfn.XLOOKUP($C260&amp;"_"&amp;$AG260,符文权重!$A:$A&amp;"_"&amp;符文权重!$C:$C,符文权重!$D:$D)*$X260/SUMIFS($X:$X,F:F,F260,$C:$C,$C260,$AG:$AG,$AG260)/SUMIF(符文权重!$A:$A,$C260,符文权重!$D:$D))),"")</f>
        <v/>
      </c>
      <c r="M260" s="39" t="str" cm="1">
        <f t="array" ref="M260">IFERROR(IF($A260="","",IF(G260="","",_xlfn.XLOOKUP($C260&amp;"_"&amp;$AG260,符文权重!$A:$A&amp;"_"&amp;符文权重!$C:$C,符文权重!$D:$D)*$X260/SUMIFS($X:$X,G:G,G260,$C:$C,$C260,$AG:$AG,$AG260)/SUMIF(符文权重!$A:$A,$C260,符文权重!$D:$D))),"")</f>
        <v/>
      </c>
      <c r="N260" s="39" t="str" cm="1">
        <f t="array" ref="N260">IFERROR(IF($A260="","",IF(H260="","",_xlfn.XLOOKUP($C260&amp;"_"&amp;$AG260,符文权重!$A:$A&amp;"_"&amp;符文权重!$C:$C,符文权重!$D:$D)*$X260/SUMIFS($X:$X,H:H,H260,$C:$C,$C260,$AG:$AG,$AG260)/SUMIF(符文权重!$A:$A,$C260,符文权重!$D:$D))),"")</f>
        <v/>
      </c>
      <c r="O260" s="39" t="str" cm="1">
        <f t="array" ref="O260">IFERROR(IF($A260="","",IF(I260="","",_xlfn.XLOOKUP($C260&amp;"_"&amp;$AG260,符文权重!$A:$A&amp;"_"&amp;符文权重!$C:$C,符文权重!$D:$D)*$X260/SUMIFS($X:$X,I:I,I260,$C:$C,$C260,$AG:$AG,$AG260)/SUMIF(符文权重!$A:$A,$C260,符文权重!$D:$D))),"")</f>
        <v/>
      </c>
      <c r="P260" s="39" t="str" cm="1">
        <f t="array" ref="P260">IFERROR(IF($A260="","",IF(J260="","",_xlfn.XLOOKUP($C260&amp;"_"&amp;$AG260,符文权重!$A:$A&amp;"_"&amp;符文权重!$C:$C,符文权重!$D:$D)*$X260/SUMIFS($X:$X,J:J,J260,$C:$C,$C260,$AG:$AG,$AG260)/SUMIF(符文权重!$A:$A,$C260,符文权重!$D:$D))),"")</f>
        <v/>
      </c>
      <c r="Q260" s="39" t="str" cm="1">
        <f t="array" ref="Q260">IFERROR(IF($A260="","",IF(K260="","",_xlfn.XLOOKUP($C260&amp;"_"&amp;$AG260,符文权重!$A:$A&amp;"_"&amp;符文权重!$C:$C,符文权重!$D:$D)*$X260/SUMIFS($X:$X,K:K,K260,$C:$C,$C260,$AG:$AG,$AG260)/SUMIF(符文权重!$A:$A,$C260,符文权重!$D:$D))),"")</f>
        <v/>
      </c>
      <c r="R260" s="26" t="s">
        <v>330</v>
      </c>
      <c r="S260" s="26"/>
      <c r="T260" s="26" t="e">
        <f>IF(B260="","",SUBSTITUTE(SUBSTITUTE("[{global_atk,"&amp;#REF!*C260&amp;"}]",21,20),9,8))</f>
        <v>#REF!</v>
      </c>
      <c r="U260" s="40" t="str">
        <f t="shared" si="130"/>
        <v>[5503087]</v>
      </c>
      <c r="X260" s="32">
        <v>100</v>
      </c>
      <c r="Z260" s="32" t="s">
        <v>180</v>
      </c>
      <c r="AA260" s="32" t="str">
        <f t="shared" si="114"/>
        <v>梦灵血量首次低于30%，获得最大生命40%的护盾</v>
      </c>
      <c r="AB260" s="32"/>
      <c r="AC260" s="32" t="s">
        <v>166</v>
      </c>
      <c r="AD260" s="32">
        <f t="shared" si="105"/>
        <v>1255</v>
      </c>
      <c r="AE260" s="38" t="str">
        <f t="shared" si="110"/>
        <v>5503081</v>
      </c>
      <c r="AF260" s="32" t="str">
        <f t="shared" si="111"/>
        <v>[40]</v>
      </c>
      <c r="AG260" s="26">
        <v>100</v>
      </c>
      <c r="AH260" s="26"/>
      <c r="AI260" s="26">
        <v>1</v>
      </c>
      <c r="AJ260" s="25" t="s">
        <v>167</v>
      </c>
      <c r="AK260" s="38">
        <f t="shared" si="131"/>
        <v>5503087</v>
      </c>
      <c r="AL260" s="41" t="str">
        <f t="shared" si="132"/>
        <v>梦灵血量首次低于30%，获得最大生命&lt;color=#54b76b&gt;%s%&lt;/color&gt;的护盾</v>
      </c>
      <c r="AM260" s="26">
        <v>40</v>
      </c>
      <c r="AN260" s="26"/>
      <c r="AO260" s="26" t="s">
        <v>28</v>
      </c>
      <c r="AP260" s="20">
        <f t="shared" si="106"/>
        <v>255</v>
      </c>
    </row>
    <row r="261" s="20" customFormat="1" customHeight="1" spans="1:42">
      <c r="A261" s="38" t="s">
        <v>167</v>
      </c>
      <c r="B261" s="38" t="str">
        <f t="shared" si="107"/>
        <v/>
      </c>
      <c r="C261" s="32" t="str">
        <f t="shared" si="108"/>
        <v/>
      </c>
      <c r="D261" s="32"/>
      <c r="E261" s="26"/>
      <c r="F261" s="26" t="str">
        <f t="shared" si="102"/>
        <v/>
      </c>
      <c r="G261" s="26" t="str">
        <f>IFERROR(IF(--MID($E261,2*COUNTIF($F261:F261,"&gt;"&amp;0)+2,1)=G$1,G$1,""),"")</f>
        <v/>
      </c>
      <c r="H261" s="26" t="str">
        <f>IFERROR(IF(--MID($E261,2*COUNTIF($F261:G261,"&gt;"&amp;0)+2,1)=H$1,H$1,""),"")</f>
        <v/>
      </c>
      <c r="I261" s="26" t="str">
        <f>IFERROR(IF(--MID($E261,2*COUNTIF($F261:H261,"&gt;"&amp;0)+2,1)=I$1,I$1,""),"")</f>
        <v/>
      </c>
      <c r="J261" s="26" t="str">
        <f>IFERROR(IF(--MID($E261,2*COUNTIF($F261:I261,"&gt;"&amp;0)+2,1)=J$1,J$1,""),"")</f>
        <v/>
      </c>
      <c r="K261" s="26" t="str">
        <f>IFERROR(IF(--MID($E261,2*COUNTIF($F261:J261,"&gt;"&amp;0)+2,1)=K$1,K$1,""),"")</f>
        <v/>
      </c>
      <c r="L261" s="39" t="str" cm="1">
        <f t="array" ref="L261">IFERROR(IF($A261="","",IF(F261="","",_xlfn.XLOOKUP($C261&amp;"_"&amp;$AG261,符文权重!$A:$A&amp;"_"&amp;符文权重!$C:$C,符文权重!$D:$D)*$X261/SUMIFS($X:$X,F:F,F261,$C:$C,$C261,$AG:$AG,$AG261)/SUMIF(符文权重!$A:$A,$C261,符文权重!$D:$D))),"")</f>
        <v/>
      </c>
      <c r="M261" s="39" t="str" cm="1">
        <f t="array" ref="M261">IFERROR(IF($A261="","",IF(G261="","",_xlfn.XLOOKUP($C261&amp;"_"&amp;$AG261,符文权重!$A:$A&amp;"_"&amp;符文权重!$C:$C,符文权重!$D:$D)*$X261/SUMIFS($X:$X,G:G,G261,$C:$C,$C261,$AG:$AG,$AG261)/SUMIF(符文权重!$A:$A,$C261,符文权重!$D:$D))),"")</f>
        <v/>
      </c>
      <c r="N261" s="39" t="str" cm="1">
        <f t="array" ref="N261">IFERROR(IF($A261="","",IF(H261="","",_xlfn.XLOOKUP($C261&amp;"_"&amp;$AG261,符文权重!$A:$A&amp;"_"&amp;符文权重!$C:$C,符文权重!$D:$D)*$X261/SUMIFS($X:$X,H:H,H261,$C:$C,$C261,$AG:$AG,$AG261)/SUMIF(符文权重!$A:$A,$C261,符文权重!$D:$D))),"")</f>
        <v/>
      </c>
      <c r="O261" s="39" t="str" cm="1">
        <f t="array" ref="O261">IFERROR(IF($A261="","",IF(I261="","",_xlfn.XLOOKUP($C261&amp;"_"&amp;$AG261,符文权重!$A:$A&amp;"_"&amp;符文权重!$C:$C,符文权重!$D:$D)*$X261/SUMIFS($X:$X,I:I,I261,$C:$C,$C261,$AG:$AG,$AG261)/SUMIF(符文权重!$A:$A,$C261,符文权重!$D:$D))),"")</f>
        <v/>
      </c>
      <c r="P261" s="39" t="str" cm="1">
        <f t="array" ref="P261">IFERROR(IF($A261="","",IF(J261="","",_xlfn.XLOOKUP($C261&amp;"_"&amp;$AG261,符文权重!$A:$A&amp;"_"&amp;符文权重!$C:$C,符文权重!$D:$D)*$X261/SUMIFS($X:$X,J:J,J261,$C:$C,$C261,$AG:$AG,$AG261)/SUMIF(符文权重!$A:$A,$C261,符文权重!$D:$D))),"")</f>
        <v/>
      </c>
      <c r="Q261" s="39" t="str" cm="1">
        <f t="array" ref="Q261">IFERROR(IF($A261="","",IF(K261="","",_xlfn.XLOOKUP($C261&amp;"_"&amp;$AG261,符文权重!$A:$A&amp;"_"&amp;符文权重!$C:$C,符文权重!$D:$D)*$X261/SUMIFS($X:$X,K:K,K261,$C:$C,$C261,$AG:$AG,$AG261)/SUMIF(符文权重!$A:$A,$C261,符文权重!$D:$D))),"")</f>
        <v/>
      </c>
      <c r="R261" s="26"/>
      <c r="S261" s="26"/>
      <c r="T261" s="26"/>
      <c r="V261" s="31"/>
      <c r="W261" s="25"/>
      <c r="X261" s="32"/>
      <c r="Y261" s="25"/>
      <c r="Z261" s="32" t="s">
        <v>167</v>
      </c>
      <c r="AA261" s="32" t="str">
        <f t="shared" si="114"/>
        <v/>
      </c>
      <c r="AB261" s="32"/>
      <c r="AC261" s="32" t="s">
        <v>166</v>
      </c>
      <c r="AD261" s="32">
        <f t="shared" si="105"/>
        <v>1256</v>
      </c>
      <c r="AE261" s="38" t="str">
        <f t="shared" si="110"/>
        <v/>
      </c>
      <c r="AF261" s="32" t="str">
        <f t="shared" si="111"/>
        <v/>
      </c>
      <c r="AG261" s="26"/>
      <c r="AH261" s="26"/>
      <c r="AI261" s="26"/>
      <c r="AJ261" s="25" t="s">
        <v>167</v>
      </c>
      <c r="AK261" s="24"/>
      <c r="AL261" s="43"/>
      <c r="AM261" s="26"/>
      <c r="AN261" s="26"/>
      <c r="AO261" s="26"/>
      <c r="AP261" s="20">
        <f t="shared" si="106"/>
        <v>256</v>
      </c>
    </row>
    <row r="262" s="23" customFormat="1" customHeight="1" spans="1:42">
      <c r="A262" s="44">
        <v>5503091</v>
      </c>
      <c r="B262" s="44" t="str">
        <f t="shared" si="107"/>
        <v>5503091</v>
      </c>
      <c r="C262" s="45">
        <f t="shared" si="108"/>
        <v>1</v>
      </c>
      <c r="D262" s="45"/>
      <c r="E262" s="46" t="s">
        <v>363</v>
      </c>
      <c r="F262" s="26" t="str">
        <f t="shared" si="102"/>
        <v/>
      </c>
      <c r="G262" s="26" t="str">
        <f>IFERROR(IF(--MID($E262,2*COUNTIF($F262:F262,"&gt;"&amp;0)+2,1)=G$1,G$1,""),"")</f>
        <v/>
      </c>
      <c r="H262" s="26" t="str">
        <f>IFERROR(IF(--MID($E262,2*COUNTIF($F262:G262,"&gt;"&amp;0)+2,1)=H$1,H$1,""),"")</f>
        <v/>
      </c>
      <c r="I262" s="26" t="str">
        <f>IFERROR(IF(--MID($E262,2*COUNTIF($F262:H262,"&gt;"&amp;0)+2,1)=I$1,I$1,""),"")</f>
        <v/>
      </c>
      <c r="J262" s="26">
        <f>IFERROR(IF(--MID($E262,2*COUNTIF($F262:I262,"&gt;"&amp;0)+2,1)=J$1,J$1,""),"")</f>
        <v>5</v>
      </c>
      <c r="K262" s="26">
        <f>IFERROR(IF(--MID($E262,2*COUNTIF($F262:J262,"&gt;"&amp;0)+2,1)=K$1,K$1,""),"")</f>
        <v>6</v>
      </c>
      <c r="L262" s="39" t="str" cm="1">
        <f t="array" ref="L262">IFERROR(IF($A262="","",IF(F262="","",_xlfn.XLOOKUP($C262&amp;"_"&amp;$AG262,符文权重!$A:$A&amp;"_"&amp;符文权重!$C:$C,符文权重!$D:$D)*$X262/SUMIFS($X:$X,F:F,F262,$C:$C,$C262,$AG:$AG,$AG262)/SUMIF(符文权重!$A:$A,$C262,符文权重!$D:$D))),"")</f>
        <v/>
      </c>
      <c r="M262" s="39" t="str" cm="1">
        <f t="array" ref="M262">IFERROR(IF($A262="","",IF(G262="","",_xlfn.XLOOKUP($C262&amp;"_"&amp;$AG262,符文权重!$A:$A&amp;"_"&amp;符文权重!$C:$C,符文权重!$D:$D)*$X262/SUMIFS($X:$X,G:G,G262,$C:$C,$C262,$AG:$AG,$AG262)/SUMIF(符文权重!$A:$A,$C262,符文权重!$D:$D))),"")</f>
        <v/>
      </c>
      <c r="N262" s="39" t="str" cm="1">
        <f t="array" ref="N262">IFERROR(IF($A262="","",IF(H262="","",_xlfn.XLOOKUP($C262&amp;"_"&amp;$AG262,符文权重!$A:$A&amp;"_"&amp;符文权重!$C:$C,符文权重!$D:$D)*$X262/SUMIFS($X:$X,H:H,H262,$C:$C,$C262,$AG:$AG,$AG262)/SUMIF(符文权重!$A:$A,$C262,符文权重!$D:$D))),"")</f>
        <v/>
      </c>
      <c r="O262" s="39" t="str" cm="1">
        <f t="array" ref="O262">IFERROR(IF($A262="","",IF(I262="","",_xlfn.XLOOKUP($C262&amp;"_"&amp;$AG262,符文权重!$A:$A&amp;"_"&amp;符文权重!$C:$C,符文权重!$D:$D)*$X262/SUMIFS($X:$X,I:I,I262,$C:$C,$C262,$AG:$AG,$AG262)/SUMIF(符文权重!$A:$A,$C262,符文权重!$D:$D))),"")</f>
        <v/>
      </c>
      <c r="P262" s="39" t="str" cm="1">
        <f t="array" ref="P262">IFERROR(IF($A262="","",IF(J262="","",_xlfn.XLOOKUP($C262&amp;"_"&amp;$AG262,符文权重!$A:$A&amp;"_"&amp;符文权重!$C:$C,符文权重!$D:$D)*$X262/SUMIFS($X:$X,J:J,J262,$C:$C,$C262,$AG:$AG,$AG262)/SUMIF(符文权重!$A:$A,$C262,符文权重!$D:$D))),"")</f>
        <v/>
      </c>
      <c r="Q262" s="39" t="str" cm="1">
        <f t="array" ref="Q262">IFERROR(IF($A262="","",IF(K262="","",_xlfn.XLOOKUP($C262&amp;"_"&amp;$AG262,符文权重!$A:$A&amp;"_"&amp;符文权重!$C:$C,符文权重!$D:$D)*$X262/SUMIFS($X:$X,K:K,K262,$C:$C,$C262,$AG:$AG,$AG262)/SUMIF(符文权重!$A:$A,$C262,符文权重!$D:$D))),"")</f>
        <v/>
      </c>
      <c r="R262" s="46" t="s">
        <v>330</v>
      </c>
      <c r="S262" s="46"/>
      <c r="T262" s="46" t="e">
        <f>IF(B262="","",SUBSTITUTE(SUBSTITUTE("[{global_atk,"&amp;#REF!*C262&amp;"}]",21,20),9,8))</f>
        <v>#REF!</v>
      </c>
      <c r="U262" s="47" t="str">
        <f t="shared" ref="U262:U268" si="133">"["&amp;A262&amp;"]"</f>
        <v>[5503091]</v>
      </c>
      <c r="V262" s="46"/>
      <c r="X262" s="32">
        <v>16</v>
      </c>
      <c r="Z262" s="45" t="s">
        <v>165</v>
      </c>
      <c r="AA262" s="32" t="str">
        <f t="shared" si="114"/>
        <v>梦灵获得祝福时，全体梦灵恢复1%生命值</v>
      </c>
      <c r="AB262" s="32"/>
      <c r="AC262" s="32" t="s">
        <v>166</v>
      </c>
      <c r="AD262" s="32">
        <f t="shared" si="105"/>
        <v>1257</v>
      </c>
      <c r="AE262" s="44" t="str">
        <f t="shared" si="110"/>
        <v>5503091</v>
      </c>
      <c r="AF262" s="45" t="str">
        <f t="shared" si="111"/>
        <v>[1]</v>
      </c>
      <c r="AG262" s="26">
        <v>100</v>
      </c>
      <c r="AH262" s="46"/>
      <c r="AI262" s="46">
        <v>1</v>
      </c>
      <c r="AJ262" s="25">
        <v>1</v>
      </c>
      <c r="AK262" s="48">
        <v>5503091</v>
      </c>
      <c r="AL262" s="49" t="s">
        <v>364</v>
      </c>
      <c r="AM262" s="46">
        <v>1</v>
      </c>
      <c r="AN262" s="26"/>
      <c r="AO262" s="26" t="s">
        <v>28</v>
      </c>
      <c r="AP262" s="20">
        <f t="shared" si="106"/>
        <v>257</v>
      </c>
    </row>
    <row r="263" s="23" customFormat="1" customHeight="1" spans="1:42">
      <c r="A263" s="44">
        <v>5503092</v>
      </c>
      <c r="B263" s="44" t="str">
        <f t="shared" si="107"/>
        <v>5503091</v>
      </c>
      <c r="C263" s="45">
        <f t="shared" si="108"/>
        <v>2</v>
      </c>
      <c r="D263" s="45"/>
      <c r="E263" s="46" t="s">
        <v>363</v>
      </c>
      <c r="F263" s="26" t="str">
        <f t="shared" ref="F263:F326" si="134">IF(LEFT(E263,2)="[1",1,"")</f>
        <v/>
      </c>
      <c r="G263" s="26" t="str">
        <f>IFERROR(IF(--MID($E263,2*COUNTIF($F263:F263,"&gt;"&amp;0)+2,1)=G$1,G$1,""),"")</f>
        <v/>
      </c>
      <c r="H263" s="26" t="str">
        <f>IFERROR(IF(--MID($E263,2*COUNTIF($F263:G263,"&gt;"&amp;0)+2,1)=H$1,H$1,""),"")</f>
        <v/>
      </c>
      <c r="I263" s="26" t="str">
        <f>IFERROR(IF(--MID($E263,2*COUNTIF($F263:H263,"&gt;"&amp;0)+2,1)=I$1,I$1,""),"")</f>
        <v/>
      </c>
      <c r="J263" s="26">
        <f>IFERROR(IF(--MID($E263,2*COUNTIF($F263:I263,"&gt;"&amp;0)+2,1)=J$1,J$1,""),"")</f>
        <v>5</v>
      </c>
      <c r="K263" s="26">
        <f>IFERROR(IF(--MID($E263,2*COUNTIF($F263:J263,"&gt;"&amp;0)+2,1)=K$1,K$1,""),"")</f>
        <v>6</v>
      </c>
      <c r="L263" s="39" t="str" cm="1">
        <f t="array" ref="L263">IFERROR(IF($A263="","",IF(F263="","",_xlfn.XLOOKUP($C263&amp;"_"&amp;$AG263,符文权重!$A:$A&amp;"_"&amp;符文权重!$C:$C,符文权重!$D:$D)*$X263/SUMIFS($X:$X,F:F,F263,$C:$C,$C263,$AG:$AG,$AG263)/SUMIF(符文权重!$A:$A,$C263,符文权重!$D:$D))),"")</f>
        <v/>
      </c>
      <c r="M263" s="39" t="str" cm="1">
        <f t="array" ref="M263">IFERROR(IF($A263="","",IF(G263="","",_xlfn.XLOOKUP($C263&amp;"_"&amp;$AG263,符文权重!$A:$A&amp;"_"&amp;符文权重!$C:$C,符文权重!$D:$D)*$X263/SUMIFS($X:$X,G:G,G263,$C:$C,$C263,$AG:$AG,$AG263)/SUMIF(符文权重!$A:$A,$C263,符文权重!$D:$D))),"")</f>
        <v/>
      </c>
      <c r="N263" s="39" t="str" cm="1">
        <f t="array" ref="N263">IFERROR(IF($A263="","",IF(H263="","",_xlfn.XLOOKUP($C263&amp;"_"&amp;$AG263,符文权重!$A:$A&amp;"_"&amp;符文权重!$C:$C,符文权重!$D:$D)*$X263/SUMIFS($X:$X,H:H,H263,$C:$C,$C263,$AG:$AG,$AG263)/SUMIF(符文权重!$A:$A,$C263,符文权重!$D:$D))),"")</f>
        <v/>
      </c>
      <c r="O263" s="39" t="str" cm="1">
        <f t="array" ref="O263">IFERROR(IF($A263="","",IF(I263="","",_xlfn.XLOOKUP($C263&amp;"_"&amp;$AG263,符文权重!$A:$A&amp;"_"&amp;符文权重!$C:$C,符文权重!$D:$D)*$X263/SUMIFS($X:$X,I:I,I263,$C:$C,$C263,$AG:$AG,$AG263)/SUMIF(符文权重!$A:$A,$C263,符文权重!$D:$D))),"")</f>
        <v/>
      </c>
      <c r="P263" s="39" t="str" cm="1">
        <f t="array" ref="P263">IFERROR(IF($A263="","",IF(J263="","",_xlfn.XLOOKUP($C263&amp;"_"&amp;$AG263,符文权重!$A:$A&amp;"_"&amp;符文权重!$C:$C,符文权重!$D:$D)*$X263/SUMIFS($X:$X,J:J,J263,$C:$C,$C263,$AG:$AG,$AG263)/SUMIF(符文权重!$A:$A,$C263,符文权重!$D:$D))),"")</f>
        <v/>
      </c>
      <c r="Q263" s="39" t="str" cm="1">
        <f t="array" ref="Q263">IFERROR(IF($A263="","",IF(K263="","",_xlfn.XLOOKUP($C263&amp;"_"&amp;$AG263,符文权重!$A:$A&amp;"_"&amp;符文权重!$C:$C,符文权重!$D:$D)*$X263/SUMIFS($X:$X,K:K,K263,$C:$C,$C263,$AG:$AG,$AG263)/SUMIF(符文权重!$A:$A,$C263,符文权重!$D:$D))),"")</f>
        <v/>
      </c>
      <c r="R263" s="46" t="s">
        <v>330</v>
      </c>
      <c r="S263" s="46"/>
      <c r="T263" s="46" t="e">
        <f>IF(B263="","",SUBSTITUTE(SUBSTITUTE("[{global_atk,"&amp;#REF!*C263&amp;"}]",21,20),9,8))</f>
        <v>#REF!</v>
      </c>
      <c r="U263" s="47" t="str">
        <f t="shared" si="133"/>
        <v>[5503092]</v>
      </c>
      <c r="V263" s="46"/>
      <c r="X263" s="32">
        <v>16</v>
      </c>
      <c r="Z263" s="45" t="s">
        <v>170</v>
      </c>
      <c r="AA263" s="32" t="str">
        <f t="shared" si="114"/>
        <v>梦灵获得祝福时，全体梦灵恢复2%生命值</v>
      </c>
      <c r="AB263" s="32"/>
      <c r="AC263" s="32" t="s">
        <v>166</v>
      </c>
      <c r="AD263" s="32">
        <f t="shared" si="105"/>
        <v>1258</v>
      </c>
      <c r="AE263" s="44" t="str">
        <f t="shared" si="110"/>
        <v>5503091</v>
      </c>
      <c r="AF263" s="45" t="str">
        <f t="shared" si="111"/>
        <v>[2]</v>
      </c>
      <c r="AG263" s="26">
        <v>100</v>
      </c>
      <c r="AH263" s="46"/>
      <c r="AI263" s="46">
        <v>1</v>
      </c>
      <c r="AJ263" s="25">
        <v>1</v>
      </c>
      <c r="AK263" s="44">
        <f t="shared" ref="AK263:AK268" si="135">AK262+1</f>
        <v>5503092</v>
      </c>
      <c r="AL263" s="50" t="str">
        <f t="shared" ref="AL263:AL268" si="136">AL262</f>
        <v>梦灵获得祝福时，全体梦灵恢复&lt;color=#54b76b&gt;%s%&lt;/color&gt;生命值</v>
      </c>
      <c r="AM263" s="46">
        <v>2</v>
      </c>
      <c r="AN263" s="26"/>
      <c r="AO263" s="26" t="s">
        <v>28</v>
      </c>
      <c r="AP263" s="20">
        <f t="shared" si="106"/>
        <v>258</v>
      </c>
    </row>
    <row r="264" customHeight="1" spans="1:42">
      <c r="A264" s="38">
        <v>5503093</v>
      </c>
      <c r="B264" s="38" t="str">
        <f t="shared" si="107"/>
        <v>5503091</v>
      </c>
      <c r="C264" s="32">
        <f t="shared" si="108"/>
        <v>3</v>
      </c>
      <c r="D264" s="32"/>
      <c r="E264" s="26" t="s">
        <v>363</v>
      </c>
      <c r="F264" s="26" t="str">
        <f t="shared" si="134"/>
        <v/>
      </c>
      <c r="G264" s="26" t="str">
        <f>IFERROR(IF(--MID($E264,2*COUNTIF($F264:F264,"&gt;"&amp;0)+2,1)=G$1,G$1,""),"")</f>
        <v/>
      </c>
      <c r="H264" s="26" t="str">
        <f>IFERROR(IF(--MID($E264,2*COUNTIF($F264:G264,"&gt;"&amp;0)+2,1)=H$1,H$1,""),"")</f>
        <v/>
      </c>
      <c r="I264" s="26" t="str">
        <f>IFERROR(IF(--MID($E264,2*COUNTIF($F264:H264,"&gt;"&amp;0)+2,1)=I$1,I$1,""),"")</f>
        <v/>
      </c>
      <c r="J264" s="26">
        <f>IFERROR(IF(--MID($E264,2*COUNTIF($F264:I264,"&gt;"&amp;0)+2,1)=J$1,J$1,""),"")</f>
        <v>5</v>
      </c>
      <c r="K264" s="26">
        <f>IFERROR(IF(--MID($E264,2*COUNTIF($F264:J264,"&gt;"&amp;0)+2,1)=K$1,K$1,""),"")</f>
        <v>6</v>
      </c>
      <c r="L264" s="39" t="str" cm="1">
        <f t="array" ref="L264">IFERROR(IF($A264="","",IF(F264="","",_xlfn.XLOOKUP($C264&amp;"_"&amp;$AG264,符文权重!$A:$A&amp;"_"&amp;符文权重!$C:$C,符文权重!$D:$D)*$X264/SUMIFS($X:$X,F:F,F264,$C:$C,$C264,$AG:$AG,$AG264)/SUMIF(符文权重!$A:$A,$C264,符文权重!$D:$D))),"")</f>
        <v/>
      </c>
      <c r="M264" s="39" t="str" cm="1">
        <f t="array" ref="M264">IFERROR(IF($A264="","",IF(G264="","",_xlfn.XLOOKUP($C264&amp;"_"&amp;$AG264,符文权重!$A:$A&amp;"_"&amp;符文权重!$C:$C,符文权重!$D:$D)*$X264/SUMIFS($X:$X,G:G,G264,$C:$C,$C264,$AG:$AG,$AG264)/SUMIF(符文权重!$A:$A,$C264,符文权重!$D:$D))),"")</f>
        <v/>
      </c>
      <c r="N264" s="39" t="str" cm="1">
        <f t="array" ref="N264">IFERROR(IF($A264="","",IF(H264="","",_xlfn.XLOOKUP($C264&amp;"_"&amp;$AG264,符文权重!$A:$A&amp;"_"&amp;符文权重!$C:$C,符文权重!$D:$D)*$X264/SUMIFS($X:$X,H:H,H264,$C:$C,$C264,$AG:$AG,$AG264)/SUMIF(符文权重!$A:$A,$C264,符文权重!$D:$D))),"")</f>
        <v/>
      </c>
      <c r="O264" s="39" t="str" cm="1">
        <f t="array" ref="O264">IFERROR(IF($A264="","",IF(I264="","",_xlfn.XLOOKUP($C264&amp;"_"&amp;$AG264,符文权重!$A:$A&amp;"_"&amp;符文权重!$C:$C,符文权重!$D:$D)*$X264/SUMIFS($X:$X,I:I,I264,$C:$C,$C264,$AG:$AG,$AG264)/SUMIF(符文权重!$A:$A,$C264,符文权重!$D:$D))),"")</f>
        <v/>
      </c>
      <c r="P264" s="39" cm="1">
        <f t="array" ref="P264">IFERROR(IF($A264="","",IF(J264="","",_xlfn.XLOOKUP($C264&amp;"_"&amp;$AG264,符文权重!$A:$A&amp;"_"&amp;符文权重!$C:$C,符文权重!$D:$D)*$X264/SUMIFS($X:$X,J:J,J264,$C:$C,$C264,$AG:$AG,$AG264)/SUMIF(符文权重!$A:$A,$C264,符文权重!$D:$D))),"")</f>
        <v>0.00551724137931034</v>
      </c>
      <c r="Q264" s="39" cm="1">
        <f t="array" ref="Q264">IFERROR(IF($A264="","",IF(K264="","",_xlfn.XLOOKUP($C264&amp;"_"&amp;$AG264,符文权重!$A:$A&amp;"_"&amp;符文权重!$C:$C,符文权重!$D:$D)*$X264/SUMIFS($X:$X,K:K,K264,$C:$C,$C264,$AG:$AG,$AG264)/SUMIF(符文权重!$A:$A,$C264,符文权重!$D:$D))),"")</f>
        <v>0.00551724137931034</v>
      </c>
      <c r="R264" s="26" t="s">
        <v>244</v>
      </c>
      <c r="S264" s="26"/>
      <c r="T264" s="26" t="e">
        <f>IF(B264="","",SUBSTITUTE(SUBSTITUTE("[{global_atk,"&amp;#REF!*C264&amp;"}]",21,20),9,8))</f>
        <v>#REF!</v>
      </c>
      <c r="U264" s="40" t="str">
        <f t="shared" si="133"/>
        <v>[5503093]</v>
      </c>
      <c r="X264" s="32">
        <v>16</v>
      </c>
      <c r="Z264" s="32" t="s">
        <v>172</v>
      </c>
      <c r="AA264" s="32" t="str">
        <f t="shared" si="114"/>
        <v>梦灵获得祝福时，全体梦灵恢复3%生命值</v>
      </c>
      <c r="AB264" s="32"/>
      <c r="AC264" s="32" t="s">
        <v>166</v>
      </c>
      <c r="AD264" s="32">
        <f t="shared" ref="AD264:AD327" si="137">AD263+1</f>
        <v>1259</v>
      </c>
      <c r="AE264" s="38" t="str">
        <f t="shared" si="110"/>
        <v>5503091</v>
      </c>
      <c r="AF264" s="32" t="str">
        <f t="shared" si="111"/>
        <v>[3]</v>
      </c>
      <c r="AG264" s="26">
        <v>3</v>
      </c>
      <c r="AH264" s="26"/>
      <c r="AI264" s="26">
        <v>0</v>
      </c>
      <c r="AJ264" s="25">
        <v>1</v>
      </c>
      <c r="AK264" s="38">
        <f t="shared" si="135"/>
        <v>5503093</v>
      </c>
      <c r="AL264" s="41" t="str">
        <f t="shared" si="136"/>
        <v>梦灵获得祝福时，全体梦灵恢复&lt;color=#54b76b&gt;%s%&lt;/color&gt;生命值</v>
      </c>
      <c r="AM264" s="26">
        <v>3</v>
      </c>
      <c r="AN264" s="26">
        <v>3</v>
      </c>
      <c r="AO264" s="26" t="s">
        <v>28</v>
      </c>
      <c r="AP264" s="20">
        <f t="shared" ref="AP264:AP327" si="138">AP263+1</f>
        <v>259</v>
      </c>
    </row>
    <row r="265" customHeight="1" spans="1:42">
      <c r="A265" s="38">
        <v>5503094</v>
      </c>
      <c r="B265" s="38" t="str">
        <f t="shared" si="107"/>
        <v>5503091</v>
      </c>
      <c r="C265" s="32">
        <f t="shared" si="108"/>
        <v>4</v>
      </c>
      <c r="D265" s="32"/>
      <c r="E265" s="26" t="s">
        <v>363</v>
      </c>
      <c r="F265" s="26" t="str">
        <f t="shared" si="134"/>
        <v/>
      </c>
      <c r="G265" s="26" t="str">
        <f>IFERROR(IF(--MID($E265,2*COUNTIF($F265:F265,"&gt;"&amp;0)+2,1)=G$1,G$1,""),"")</f>
        <v/>
      </c>
      <c r="H265" s="26" t="str">
        <f>IFERROR(IF(--MID($E265,2*COUNTIF($F265:G265,"&gt;"&amp;0)+2,1)=H$1,H$1,""),"")</f>
        <v/>
      </c>
      <c r="I265" s="26" t="str">
        <f>IFERROR(IF(--MID($E265,2*COUNTIF($F265:H265,"&gt;"&amp;0)+2,1)=I$1,I$1,""),"")</f>
        <v/>
      </c>
      <c r="J265" s="26">
        <f>IFERROR(IF(--MID($E265,2*COUNTIF($F265:I265,"&gt;"&amp;0)+2,1)=J$1,J$1,""),"")</f>
        <v>5</v>
      </c>
      <c r="K265" s="26">
        <f>IFERROR(IF(--MID($E265,2*COUNTIF($F265:J265,"&gt;"&amp;0)+2,1)=K$1,K$1,""),"")</f>
        <v>6</v>
      </c>
      <c r="L265" s="39" t="str" cm="1">
        <f t="array" ref="L265">IFERROR(IF($A265="","",IF(F265="","",_xlfn.XLOOKUP($C265&amp;"_"&amp;$AG265,符文权重!$A:$A&amp;"_"&amp;符文权重!$C:$C,符文权重!$D:$D)*$X265/SUMIFS($X:$X,F:F,F265,$C:$C,$C265,$AG:$AG,$AG265)/SUMIF(符文权重!$A:$A,$C265,符文权重!$D:$D))),"")</f>
        <v/>
      </c>
      <c r="M265" s="39" t="str" cm="1">
        <f t="array" ref="M265">IFERROR(IF($A265="","",IF(G265="","",_xlfn.XLOOKUP($C265&amp;"_"&amp;$AG265,符文权重!$A:$A&amp;"_"&amp;符文权重!$C:$C,符文权重!$D:$D)*$X265/SUMIFS($X:$X,G:G,G265,$C:$C,$C265,$AG:$AG,$AG265)/SUMIF(符文权重!$A:$A,$C265,符文权重!$D:$D))),"")</f>
        <v/>
      </c>
      <c r="N265" s="39" t="str" cm="1">
        <f t="array" ref="N265">IFERROR(IF($A265="","",IF(H265="","",_xlfn.XLOOKUP($C265&amp;"_"&amp;$AG265,符文权重!$A:$A&amp;"_"&amp;符文权重!$C:$C,符文权重!$D:$D)*$X265/SUMIFS($X:$X,H:H,H265,$C:$C,$C265,$AG:$AG,$AG265)/SUMIF(符文权重!$A:$A,$C265,符文权重!$D:$D))),"")</f>
        <v/>
      </c>
      <c r="O265" s="39" t="str" cm="1">
        <f t="array" ref="O265">IFERROR(IF($A265="","",IF(I265="","",_xlfn.XLOOKUP($C265&amp;"_"&amp;$AG265,符文权重!$A:$A&amp;"_"&amp;符文权重!$C:$C,符文权重!$D:$D)*$X265/SUMIFS($X:$X,I:I,I265,$C:$C,$C265,$AG:$AG,$AG265)/SUMIF(符文权重!$A:$A,$C265,符文权重!$D:$D))),"")</f>
        <v/>
      </c>
      <c r="P265" s="39" cm="1">
        <f t="array" ref="P265">IFERROR(IF($A265="","",IF(J265="","",_xlfn.XLOOKUP($C265&amp;"_"&amp;$AG265,符文权重!$A:$A&amp;"_"&amp;符文权重!$C:$C,符文权重!$D:$D)*$X265/SUMIFS($X:$X,J:J,J265,$C:$C,$C265,$AG:$AG,$AG265)/SUMIF(符文权重!$A:$A,$C265,符文权重!$D:$D))),"")</f>
        <v>0.00631048387096774</v>
      </c>
      <c r="Q265" s="39" cm="1">
        <f t="array" ref="Q265">IFERROR(IF($A265="","",IF(K265="","",_xlfn.XLOOKUP($C265&amp;"_"&amp;$AG265,符文权重!$A:$A&amp;"_"&amp;符文权重!$C:$C,符文权重!$D:$D)*$X265/SUMIFS($X:$X,K:K,K265,$C:$C,$C265,$AG:$AG,$AG265)/SUMIF(符文权重!$A:$A,$C265,符文权重!$D:$D))),"")</f>
        <v>0.0059280303030303</v>
      </c>
      <c r="R265" s="26" t="s">
        <v>244</v>
      </c>
      <c r="S265" s="26"/>
      <c r="T265" s="26" t="e">
        <f>IF(B265="","",SUBSTITUTE(SUBSTITUTE("[{global_atk,"&amp;#REF!*C265&amp;"}]",21,20),9,8))</f>
        <v>#REF!</v>
      </c>
      <c r="U265" s="40" t="str">
        <f t="shared" si="133"/>
        <v>[5503094]</v>
      </c>
      <c r="X265" s="32">
        <v>5</v>
      </c>
      <c r="Z265" s="32" t="s">
        <v>174</v>
      </c>
      <c r="AA265" s="32" t="str">
        <f t="shared" si="114"/>
        <v>梦灵获得祝福时，全体梦灵恢复3.5%生命值</v>
      </c>
      <c r="AB265" s="32"/>
      <c r="AC265" s="32" t="s">
        <v>166</v>
      </c>
      <c r="AD265" s="32">
        <f t="shared" si="137"/>
        <v>1260</v>
      </c>
      <c r="AE265" s="38" t="str">
        <f t="shared" si="110"/>
        <v>5503091</v>
      </c>
      <c r="AF265" s="32" t="str">
        <f t="shared" si="111"/>
        <v>[3.5]</v>
      </c>
      <c r="AG265" s="26">
        <v>3</v>
      </c>
      <c r="AH265" s="26"/>
      <c r="AI265" s="26">
        <v>0</v>
      </c>
      <c r="AJ265" s="25">
        <v>1</v>
      </c>
      <c r="AK265" s="38">
        <f t="shared" si="135"/>
        <v>5503094</v>
      </c>
      <c r="AL265" s="41" t="str">
        <f t="shared" si="136"/>
        <v>梦灵获得祝福时，全体梦灵恢复&lt;color=#54b76b&gt;%s%&lt;/color&gt;生命值</v>
      </c>
      <c r="AM265" s="26">
        <v>3.5</v>
      </c>
      <c r="AN265" s="26">
        <v>3</v>
      </c>
      <c r="AO265" s="26" t="s">
        <v>28</v>
      </c>
      <c r="AP265" s="20">
        <f t="shared" si="138"/>
        <v>260</v>
      </c>
    </row>
    <row r="266" customHeight="1" spans="1:42">
      <c r="A266" s="38">
        <v>5503095</v>
      </c>
      <c r="B266" s="38" t="str">
        <f t="shared" si="107"/>
        <v>5503091</v>
      </c>
      <c r="C266" s="32">
        <f t="shared" si="108"/>
        <v>5</v>
      </c>
      <c r="D266" s="32"/>
      <c r="E266" s="26" t="s">
        <v>363</v>
      </c>
      <c r="F266" s="26" t="str">
        <f t="shared" si="134"/>
        <v/>
      </c>
      <c r="G266" s="26" t="str">
        <f>IFERROR(IF(--MID($E266,2*COUNTIF($F266:F266,"&gt;"&amp;0)+2,1)=G$1,G$1,""),"")</f>
        <v/>
      </c>
      <c r="H266" s="26" t="str">
        <f>IFERROR(IF(--MID($E266,2*COUNTIF($F266:G266,"&gt;"&amp;0)+2,1)=H$1,H$1,""),"")</f>
        <v/>
      </c>
      <c r="I266" s="26" t="str">
        <f>IFERROR(IF(--MID($E266,2*COUNTIF($F266:H266,"&gt;"&amp;0)+2,1)=I$1,I$1,""),"")</f>
        <v/>
      </c>
      <c r="J266" s="26">
        <f>IFERROR(IF(--MID($E266,2*COUNTIF($F266:I266,"&gt;"&amp;0)+2,1)=J$1,J$1,""),"")</f>
        <v>5</v>
      </c>
      <c r="K266" s="26">
        <f>IFERROR(IF(--MID($E266,2*COUNTIF($F266:J266,"&gt;"&amp;0)+2,1)=K$1,K$1,""),"")</f>
        <v>6</v>
      </c>
      <c r="L266" s="39" t="str" cm="1">
        <f t="array" ref="L266">IFERROR(IF($A266="","",IF(F266="","",_xlfn.XLOOKUP($C266&amp;"_"&amp;$AG266,符文权重!$A:$A&amp;"_"&amp;符文权重!$C:$C,符文权重!$D:$D)*$X266/SUMIFS($X:$X,F:F,F266,$C:$C,$C266,$AG:$AG,$AG266)/SUMIF(符文权重!$A:$A,$C266,符文权重!$D:$D))),"")</f>
        <v/>
      </c>
      <c r="M266" s="39" t="str" cm="1">
        <f t="array" ref="M266">IFERROR(IF($A266="","",IF(G266="","",_xlfn.XLOOKUP($C266&amp;"_"&amp;$AG266,符文权重!$A:$A&amp;"_"&amp;符文权重!$C:$C,符文权重!$D:$D)*$X266/SUMIFS($X:$X,G:G,G266,$C:$C,$C266,$AG:$AG,$AG266)/SUMIF(符文权重!$A:$A,$C266,符文权重!$D:$D))),"")</f>
        <v/>
      </c>
      <c r="N266" s="39" t="str" cm="1">
        <f t="array" ref="N266">IFERROR(IF($A266="","",IF(H266="","",_xlfn.XLOOKUP($C266&amp;"_"&amp;$AG266,符文权重!$A:$A&amp;"_"&amp;符文权重!$C:$C,符文权重!$D:$D)*$X266/SUMIFS($X:$X,H:H,H266,$C:$C,$C266,$AG:$AG,$AG266)/SUMIF(符文权重!$A:$A,$C266,符文权重!$D:$D))),"")</f>
        <v/>
      </c>
      <c r="O266" s="39" t="str" cm="1">
        <f t="array" ref="O266">IFERROR(IF($A266="","",IF(I266="","",_xlfn.XLOOKUP($C266&amp;"_"&amp;$AG266,符文权重!$A:$A&amp;"_"&amp;符文权重!$C:$C,符文权重!$D:$D)*$X266/SUMIFS($X:$X,I:I,I266,$C:$C,$C266,$AG:$AG,$AG266)/SUMIF(符文权重!$A:$A,$C266,符文权重!$D:$D))),"")</f>
        <v/>
      </c>
      <c r="P266" s="39" cm="1">
        <f t="array" ref="P266">IFERROR(IF($A266="","",IF(J266="","",_xlfn.XLOOKUP($C266&amp;"_"&amp;$AG266,符文权重!$A:$A&amp;"_"&amp;符文权重!$C:$C,符文权重!$D:$D)*$X266/SUMIFS($X:$X,J:J,J266,$C:$C,$C266,$AG:$AG,$AG266)/SUMIF(符文权重!$A:$A,$C266,符文权重!$D:$D))),"")</f>
        <v>0.0107142857142857</v>
      </c>
      <c r="Q266" s="39" cm="1">
        <f t="array" ref="Q266">IFERROR(IF($A266="","",IF(K266="","",_xlfn.XLOOKUP($C266&amp;"_"&amp;$AG266,符文权重!$A:$A&amp;"_"&amp;符文权重!$C:$C,符文权重!$D:$D)*$X266/SUMIFS($X:$X,K:K,K266,$C:$C,$C266,$AG:$AG,$AG266)/SUMIF(符文权重!$A:$A,$C266,符文权重!$D:$D))),"")</f>
        <v>0.009375</v>
      </c>
      <c r="R266" s="26" t="s">
        <v>244</v>
      </c>
      <c r="S266" s="26"/>
      <c r="T266" s="26" t="e">
        <f>IF(B266="","",SUBSTITUTE(SUBSTITUTE("[{global_atk,"&amp;#REF!*C266&amp;"}]",21,20),9,8))</f>
        <v>#REF!</v>
      </c>
      <c r="U266" s="40" t="str">
        <f t="shared" si="133"/>
        <v>[5503095]</v>
      </c>
      <c r="X266" s="32">
        <v>100</v>
      </c>
      <c r="Z266" s="32" t="s">
        <v>176</v>
      </c>
      <c r="AA266" s="32" t="str">
        <f t="shared" si="114"/>
        <v>梦灵获得祝福时，全体梦灵恢复4%生命值</v>
      </c>
      <c r="AB266" s="32"/>
      <c r="AC266" s="32" t="s">
        <v>166</v>
      </c>
      <c r="AD266" s="32">
        <f t="shared" si="137"/>
        <v>1261</v>
      </c>
      <c r="AE266" s="38" t="str">
        <f t="shared" si="110"/>
        <v>5503091</v>
      </c>
      <c r="AF266" s="32" t="str">
        <f t="shared" si="111"/>
        <v>[4]</v>
      </c>
      <c r="AG266" s="26">
        <v>4</v>
      </c>
      <c r="AH266" s="26"/>
      <c r="AI266" s="26">
        <v>0</v>
      </c>
      <c r="AJ266" s="25">
        <v>1</v>
      </c>
      <c r="AK266" s="38">
        <f t="shared" si="135"/>
        <v>5503095</v>
      </c>
      <c r="AL266" s="41" t="str">
        <f t="shared" si="136"/>
        <v>梦灵获得祝福时，全体梦灵恢复&lt;color=#54b76b&gt;%s%&lt;/color&gt;生命值</v>
      </c>
      <c r="AM266" s="26">
        <v>4</v>
      </c>
      <c r="AN266" s="26">
        <v>3</v>
      </c>
      <c r="AO266" s="26" t="s">
        <v>28</v>
      </c>
      <c r="AP266" s="20">
        <f t="shared" si="138"/>
        <v>261</v>
      </c>
    </row>
    <row r="267" customHeight="1" spans="1:42">
      <c r="A267" s="38">
        <v>5503096</v>
      </c>
      <c r="B267" s="38" t="str">
        <f t="shared" si="107"/>
        <v>5503091</v>
      </c>
      <c r="C267" s="32">
        <f t="shared" si="108"/>
        <v>6</v>
      </c>
      <c r="D267" s="32"/>
      <c r="E267" s="26" t="s">
        <v>363</v>
      </c>
      <c r="F267" s="26" t="str">
        <f t="shared" si="134"/>
        <v/>
      </c>
      <c r="G267" s="26" t="str">
        <f>IFERROR(IF(--MID($E267,2*COUNTIF($F267:F267,"&gt;"&amp;0)+2,1)=G$1,G$1,""),"")</f>
        <v/>
      </c>
      <c r="H267" s="26" t="str">
        <f>IFERROR(IF(--MID($E267,2*COUNTIF($F267:G267,"&gt;"&amp;0)+2,1)=H$1,H$1,""),"")</f>
        <v/>
      </c>
      <c r="I267" s="26" t="str">
        <f>IFERROR(IF(--MID($E267,2*COUNTIF($F267:H267,"&gt;"&amp;0)+2,1)=I$1,I$1,""),"")</f>
        <v/>
      </c>
      <c r="J267" s="26">
        <f>IFERROR(IF(--MID($E267,2*COUNTIF($F267:I267,"&gt;"&amp;0)+2,1)=J$1,J$1,""),"")</f>
        <v>5</v>
      </c>
      <c r="K267" s="26">
        <f>IFERROR(IF(--MID($E267,2*COUNTIF($F267:J267,"&gt;"&amp;0)+2,1)=K$1,K$1,""),"")</f>
        <v>6</v>
      </c>
      <c r="L267" s="39" t="str" cm="1">
        <f t="array" ref="L267">IFERROR(IF($A267="","",IF(F267="","",_xlfn.XLOOKUP($C267&amp;"_"&amp;$AG267,符文权重!$A:$A&amp;"_"&amp;符文权重!$C:$C,符文权重!$D:$D)*$X267/SUMIFS($X:$X,F:F,F267,$C:$C,$C267,$AG:$AG,$AG267)/SUMIF(符文权重!$A:$A,$C267,符文权重!$D:$D))),"")</f>
        <v/>
      </c>
      <c r="M267" s="39" t="str" cm="1">
        <f t="array" ref="M267">IFERROR(IF($A267="","",IF(G267="","",_xlfn.XLOOKUP($C267&amp;"_"&amp;$AG267,符文权重!$A:$A&amp;"_"&amp;符文权重!$C:$C,符文权重!$D:$D)*$X267/SUMIFS($X:$X,G:G,G267,$C:$C,$C267,$AG:$AG,$AG267)/SUMIF(符文权重!$A:$A,$C267,符文权重!$D:$D))),"")</f>
        <v/>
      </c>
      <c r="N267" s="39" t="str" cm="1">
        <f t="array" ref="N267">IFERROR(IF($A267="","",IF(H267="","",_xlfn.XLOOKUP($C267&amp;"_"&amp;$AG267,符文权重!$A:$A&amp;"_"&amp;符文权重!$C:$C,符文权重!$D:$D)*$X267/SUMIFS($X:$X,H:H,H267,$C:$C,$C267,$AG:$AG,$AG267)/SUMIF(符文权重!$A:$A,$C267,符文权重!$D:$D))),"")</f>
        <v/>
      </c>
      <c r="O267" s="39" t="str" cm="1">
        <f t="array" ref="O267">IFERROR(IF($A267="","",IF(I267="","",_xlfn.XLOOKUP($C267&amp;"_"&amp;$AG267,符文权重!$A:$A&amp;"_"&amp;符文权重!$C:$C,符文权重!$D:$D)*$X267/SUMIFS($X:$X,I:I,I267,$C:$C,$C267,$AG:$AG,$AG267)/SUMIF(符文权重!$A:$A,$C267,符文权重!$D:$D))),"")</f>
        <v/>
      </c>
      <c r="P267" s="39" cm="1">
        <f t="array" ref="P267">IFERROR(IF($A267="","",IF(J267="","",_xlfn.XLOOKUP($C267&amp;"_"&amp;$AG267,符文权重!$A:$A&amp;"_"&amp;符文权重!$C:$C,符文权重!$D:$D)*$X267/SUMIFS($X:$X,J:J,J267,$C:$C,$C267,$AG:$AG,$AG267)/SUMIF(符文权重!$A:$A,$C267,符文权重!$D:$D))),"")</f>
        <v>0.0107142857142857</v>
      </c>
      <c r="Q267" s="39" cm="1">
        <f t="array" ref="Q267">IFERROR(IF($A267="","",IF(K267="","",_xlfn.XLOOKUP($C267&amp;"_"&amp;$AG267,符文权重!$A:$A&amp;"_"&amp;符文权重!$C:$C,符文权重!$D:$D)*$X267/SUMIFS($X:$X,K:K,K267,$C:$C,$C267,$AG:$AG,$AG267)/SUMIF(符文权重!$A:$A,$C267,符文权重!$D:$D))),"")</f>
        <v>0.009375</v>
      </c>
      <c r="R267" s="26" t="s">
        <v>244</v>
      </c>
      <c r="S267" s="26"/>
      <c r="T267" s="26" t="e">
        <f>IF(B267="","",SUBSTITUTE(SUBSTITUTE("[{global_atk,"&amp;#REF!*C267&amp;"}]",21,20),9,8))</f>
        <v>#REF!</v>
      </c>
      <c r="U267" s="40" t="str">
        <f t="shared" si="133"/>
        <v>[5503096]</v>
      </c>
      <c r="X267" s="32">
        <v>100</v>
      </c>
      <c r="Z267" s="32" t="s">
        <v>178</v>
      </c>
      <c r="AA267" s="32" t="str">
        <f t="shared" si="114"/>
        <v>梦灵获得祝福时，全体梦灵恢复4.5%生命值</v>
      </c>
      <c r="AB267" s="32"/>
      <c r="AC267" s="32" t="s">
        <v>166</v>
      </c>
      <c r="AD267" s="32">
        <f t="shared" si="137"/>
        <v>1262</v>
      </c>
      <c r="AE267" s="38" t="str">
        <f t="shared" si="110"/>
        <v>5503091</v>
      </c>
      <c r="AF267" s="32" t="str">
        <f t="shared" si="111"/>
        <v>[4.5]</v>
      </c>
      <c r="AG267" s="26">
        <v>4</v>
      </c>
      <c r="AH267" s="26"/>
      <c r="AI267" s="26">
        <v>0</v>
      </c>
      <c r="AJ267" s="25">
        <v>1</v>
      </c>
      <c r="AK267" s="38">
        <f t="shared" si="135"/>
        <v>5503096</v>
      </c>
      <c r="AL267" s="41" t="str">
        <f t="shared" si="136"/>
        <v>梦灵获得祝福时，全体梦灵恢复&lt;color=#54b76b&gt;%s%&lt;/color&gt;生命值</v>
      </c>
      <c r="AM267" s="26">
        <v>4.5</v>
      </c>
      <c r="AN267" s="26">
        <v>3</v>
      </c>
      <c r="AO267" s="26" t="s">
        <v>28</v>
      </c>
      <c r="AP267" s="20">
        <f t="shared" si="138"/>
        <v>262</v>
      </c>
    </row>
    <row r="268" customHeight="1" spans="1:42">
      <c r="A268" s="38">
        <v>5503097</v>
      </c>
      <c r="B268" s="38" t="str">
        <f t="shared" si="107"/>
        <v>5503091</v>
      </c>
      <c r="C268" s="32">
        <f t="shared" si="108"/>
        <v>7</v>
      </c>
      <c r="D268" s="32"/>
      <c r="E268" s="26" t="s">
        <v>363</v>
      </c>
      <c r="F268" s="26" t="str">
        <f t="shared" si="134"/>
        <v/>
      </c>
      <c r="G268" s="26" t="str">
        <f>IFERROR(IF(--MID($E268,2*COUNTIF($F268:F268,"&gt;"&amp;0)+2,1)=G$1,G$1,""),"")</f>
        <v/>
      </c>
      <c r="H268" s="26" t="str">
        <f>IFERROR(IF(--MID($E268,2*COUNTIF($F268:G268,"&gt;"&amp;0)+2,1)=H$1,H$1,""),"")</f>
        <v/>
      </c>
      <c r="I268" s="26" t="str">
        <f>IFERROR(IF(--MID($E268,2*COUNTIF($F268:H268,"&gt;"&amp;0)+2,1)=I$1,I$1,""),"")</f>
        <v/>
      </c>
      <c r="J268" s="26">
        <f>IFERROR(IF(--MID($E268,2*COUNTIF($F268:I268,"&gt;"&amp;0)+2,1)=J$1,J$1,""),"")</f>
        <v>5</v>
      </c>
      <c r="K268" s="26">
        <f>IFERROR(IF(--MID($E268,2*COUNTIF($F268:J268,"&gt;"&amp;0)+2,1)=K$1,K$1,""),"")</f>
        <v>6</v>
      </c>
      <c r="L268" s="39" t="str" cm="1">
        <f t="array" ref="L268">IFERROR(IF($A268="","",IF(F268="","",_xlfn.XLOOKUP($C268&amp;"_"&amp;$AG268,符文权重!$A:$A&amp;"_"&amp;符文权重!$C:$C,符文权重!$D:$D)*$X268/SUMIFS($X:$X,F:F,F268,$C:$C,$C268,$AG:$AG,$AG268)/SUMIF(符文权重!$A:$A,$C268,符文权重!$D:$D))),"")</f>
        <v/>
      </c>
      <c r="M268" s="39" t="str" cm="1">
        <f t="array" ref="M268">IFERROR(IF($A268="","",IF(G268="","",_xlfn.XLOOKUP($C268&amp;"_"&amp;$AG268,符文权重!$A:$A&amp;"_"&amp;符文权重!$C:$C,符文权重!$D:$D)*$X268/SUMIFS($X:$X,G:G,G268,$C:$C,$C268,$AG:$AG,$AG268)/SUMIF(符文权重!$A:$A,$C268,符文权重!$D:$D))),"")</f>
        <v/>
      </c>
      <c r="N268" s="39" t="str" cm="1">
        <f t="array" ref="N268">IFERROR(IF($A268="","",IF(H268="","",_xlfn.XLOOKUP($C268&amp;"_"&amp;$AG268,符文权重!$A:$A&amp;"_"&amp;符文权重!$C:$C,符文权重!$D:$D)*$X268/SUMIFS($X:$X,H:H,H268,$C:$C,$C268,$AG:$AG,$AG268)/SUMIF(符文权重!$A:$A,$C268,符文权重!$D:$D))),"")</f>
        <v/>
      </c>
      <c r="O268" s="39" t="str" cm="1">
        <f t="array" ref="O268">IFERROR(IF($A268="","",IF(I268="","",_xlfn.XLOOKUP($C268&amp;"_"&amp;$AG268,符文权重!$A:$A&amp;"_"&amp;符文权重!$C:$C,符文权重!$D:$D)*$X268/SUMIFS($X:$X,I:I,I268,$C:$C,$C268,$AG:$AG,$AG268)/SUMIF(符文权重!$A:$A,$C268,符文权重!$D:$D))),"")</f>
        <v/>
      </c>
      <c r="P268" s="39" cm="1">
        <f t="array" ref="P268">IFERROR(IF($A268="","",IF(J268="","",_xlfn.XLOOKUP($C268&amp;"_"&amp;$AG268,符文权重!$A:$A&amp;"_"&amp;符文权重!$C:$C,符文权重!$D:$D)*$X268/SUMIFS($X:$X,J:J,J268,$C:$C,$C268,$AG:$AG,$AG268)/SUMIF(符文权重!$A:$A,$C268,符文权重!$D:$D))),"")</f>
        <v>0.0107142857142857</v>
      </c>
      <c r="Q268" s="39" cm="1">
        <f t="array" ref="Q268">IFERROR(IF($A268="","",IF(K268="","",_xlfn.XLOOKUP($C268&amp;"_"&amp;$AG268,符文权重!$A:$A&amp;"_"&amp;符文权重!$C:$C,符文权重!$D:$D)*$X268/SUMIFS($X:$X,K:K,K268,$C:$C,$C268,$AG:$AG,$AG268)/SUMIF(符文权重!$A:$A,$C268,符文权重!$D:$D))),"")</f>
        <v>0.009375</v>
      </c>
      <c r="R268" s="26" t="s">
        <v>244</v>
      </c>
      <c r="S268" s="26"/>
      <c r="T268" s="26" t="e">
        <f>IF(B268="","",SUBSTITUTE(SUBSTITUTE("[{global_atk,"&amp;#REF!*C268&amp;"}]",21,20),9,8))</f>
        <v>#REF!</v>
      </c>
      <c r="U268" s="40" t="str">
        <f t="shared" si="133"/>
        <v>[5503097]</v>
      </c>
      <c r="X268" s="32">
        <v>100</v>
      </c>
      <c r="Z268" s="32" t="s">
        <v>180</v>
      </c>
      <c r="AA268" s="32" t="str">
        <f t="shared" si="114"/>
        <v>梦灵获得祝福时，全体梦灵恢复5%生命值</v>
      </c>
      <c r="AB268" s="32"/>
      <c r="AC268" s="32" t="s">
        <v>166</v>
      </c>
      <c r="AD268" s="32">
        <f t="shared" si="137"/>
        <v>1263</v>
      </c>
      <c r="AE268" s="38" t="str">
        <f t="shared" si="110"/>
        <v>5503091</v>
      </c>
      <c r="AF268" s="32" t="str">
        <f t="shared" si="111"/>
        <v>[5]</v>
      </c>
      <c r="AG268" s="26">
        <v>4</v>
      </c>
      <c r="AH268" s="26"/>
      <c r="AI268" s="26">
        <v>0</v>
      </c>
      <c r="AJ268" s="25">
        <v>1</v>
      </c>
      <c r="AK268" s="38">
        <f t="shared" si="135"/>
        <v>5503097</v>
      </c>
      <c r="AL268" s="41" t="str">
        <f t="shared" si="136"/>
        <v>梦灵获得祝福时，全体梦灵恢复&lt;color=#54b76b&gt;%s%&lt;/color&gt;生命值</v>
      </c>
      <c r="AM268" s="26">
        <v>5</v>
      </c>
      <c r="AN268" s="26">
        <v>3</v>
      </c>
      <c r="AO268" s="26" t="s">
        <v>28</v>
      </c>
      <c r="AP268" s="20">
        <f t="shared" si="138"/>
        <v>263</v>
      </c>
    </row>
    <row r="269" s="20" customFormat="1" customHeight="1" spans="1:42">
      <c r="A269" s="38"/>
      <c r="B269" s="38"/>
      <c r="C269" s="32"/>
      <c r="D269" s="32"/>
      <c r="E269" s="26"/>
      <c r="F269" s="26" t="str">
        <f t="shared" si="134"/>
        <v/>
      </c>
      <c r="G269" s="26" t="str">
        <f>IFERROR(IF(--MID($E269,2*COUNTIF($F269:F269,"&gt;"&amp;0)+2,1)=G$1,G$1,""),"")</f>
        <v/>
      </c>
      <c r="H269" s="26" t="str">
        <f>IFERROR(IF(--MID($E269,2*COUNTIF($F269:G269,"&gt;"&amp;0)+2,1)=H$1,H$1,""),"")</f>
        <v/>
      </c>
      <c r="I269" s="26" t="str">
        <f>IFERROR(IF(--MID($E269,2*COUNTIF($F269:H269,"&gt;"&amp;0)+2,1)=I$1,I$1,""),"")</f>
        <v/>
      </c>
      <c r="J269" s="26" t="str">
        <f>IFERROR(IF(--MID($E269,2*COUNTIF($F269:I269,"&gt;"&amp;0)+2,1)=J$1,J$1,""),"")</f>
        <v/>
      </c>
      <c r="K269" s="26" t="str">
        <f>IFERROR(IF(--MID($E269,2*COUNTIF($F269:J269,"&gt;"&amp;0)+2,1)=K$1,K$1,""),"")</f>
        <v/>
      </c>
      <c r="L269" s="39" t="str" cm="1">
        <f t="array" ref="L269">IFERROR(IF($A269="","",IF(F269="","",_xlfn.XLOOKUP($C269&amp;"_"&amp;$AG269,符文权重!$A:$A&amp;"_"&amp;符文权重!$C:$C,符文权重!$D:$D)*$X269/SUMIFS($X:$X,F:F,F269,$C:$C,$C269,$AG:$AG,$AG269)/SUMIF(符文权重!$A:$A,$C269,符文权重!$D:$D))),"")</f>
        <v/>
      </c>
      <c r="M269" s="39" t="str" cm="1">
        <f t="array" ref="M269">IFERROR(IF($A269="","",IF(G269="","",_xlfn.XLOOKUP($C269&amp;"_"&amp;$AG269,符文权重!$A:$A&amp;"_"&amp;符文权重!$C:$C,符文权重!$D:$D)*$X269/SUMIFS($X:$X,G:G,G269,$C:$C,$C269,$AG:$AG,$AG269)/SUMIF(符文权重!$A:$A,$C269,符文权重!$D:$D))),"")</f>
        <v/>
      </c>
      <c r="N269" s="39" t="str" cm="1">
        <f t="array" ref="N269">IFERROR(IF($A269="","",IF(H269="","",_xlfn.XLOOKUP($C269&amp;"_"&amp;$AG269,符文权重!$A:$A&amp;"_"&amp;符文权重!$C:$C,符文权重!$D:$D)*$X269/SUMIFS($X:$X,H:H,H269,$C:$C,$C269,$AG:$AG,$AG269)/SUMIF(符文权重!$A:$A,$C269,符文权重!$D:$D))),"")</f>
        <v/>
      </c>
      <c r="O269" s="39" t="str" cm="1">
        <f t="array" ref="O269">IFERROR(IF($A269="","",IF(I269="","",_xlfn.XLOOKUP($C269&amp;"_"&amp;$AG269,符文权重!$A:$A&amp;"_"&amp;符文权重!$C:$C,符文权重!$D:$D)*$X269/SUMIFS($X:$X,I:I,I269,$C:$C,$C269,$AG:$AG,$AG269)/SUMIF(符文权重!$A:$A,$C269,符文权重!$D:$D))),"")</f>
        <v/>
      </c>
      <c r="P269" s="39" t="str" cm="1">
        <f t="array" ref="P269">IFERROR(IF($A269="","",IF(J269="","",_xlfn.XLOOKUP($C269&amp;"_"&amp;$AG269,符文权重!$A:$A&amp;"_"&amp;符文权重!$C:$C,符文权重!$D:$D)*$X269/SUMIFS($X:$X,J:J,J269,$C:$C,$C269,$AG:$AG,$AG269)/SUMIF(符文权重!$A:$A,$C269,符文权重!$D:$D))),"")</f>
        <v/>
      </c>
      <c r="Q269" s="39" t="str" cm="1">
        <f t="array" ref="Q269">IFERROR(IF($A269="","",IF(K269="","",_xlfn.XLOOKUP($C269&amp;"_"&amp;$AG269,符文权重!$A:$A&amp;"_"&amp;符文权重!$C:$C,符文权重!$D:$D)*$X269/SUMIFS($X:$X,K:K,K269,$C:$C,$C269,$AG:$AG,$AG269)/SUMIF(符文权重!$A:$A,$C269,符文权重!$D:$D))),"")</f>
        <v/>
      </c>
      <c r="R269" s="26"/>
      <c r="S269" s="26"/>
      <c r="T269" s="26"/>
      <c r="V269" s="31"/>
      <c r="W269" s="25"/>
      <c r="X269" s="32"/>
      <c r="Y269" s="25"/>
      <c r="Z269" s="32"/>
      <c r="AA269" s="32" t="str">
        <f t="shared" si="114"/>
        <v/>
      </c>
      <c r="AB269" s="32"/>
      <c r="AC269" s="32" t="s">
        <v>166</v>
      </c>
      <c r="AD269" s="32">
        <f t="shared" si="137"/>
        <v>1264</v>
      </c>
      <c r="AE269" s="38"/>
      <c r="AF269" s="32"/>
      <c r="AG269" s="26"/>
      <c r="AH269" s="26"/>
      <c r="AI269" s="26"/>
      <c r="AJ269" s="25" t="s">
        <v>167</v>
      </c>
      <c r="AK269" s="24"/>
      <c r="AL269" s="43"/>
      <c r="AM269" s="26"/>
      <c r="AN269" s="26"/>
      <c r="AO269" s="26"/>
      <c r="AP269" s="20">
        <f t="shared" si="138"/>
        <v>264</v>
      </c>
    </row>
    <row r="270" s="20" customFormat="1" customHeight="1" spans="1:42">
      <c r="A270" s="44">
        <v>5503101</v>
      </c>
      <c r="B270" s="44" t="str">
        <f t="shared" ref="B270:B284" si="139">IF(ISBLANK(AK270),"",LEFT(AK270,6)&amp;1)</f>
        <v>5503101</v>
      </c>
      <c r="C270" s="45">
        <f t="shared" ref="C270:C284" si="140">IF(ISBLANK(AK270),"",VALUE(RIGHT(A270,1)))</f>
        <v>1</v>
      </c>
      <c r="D270" s="45"/>
      <c r="E270" s="46" t="s">
        <v>162</v>
      </c>
      <c r="F270" s="26">
        <f t="shared" si="134"/>
        <v>1</v>
      </c>
      <c r="G270" s="26">
        <f>IFERROR(IF(--MID($E270,2*COUNTIF($F270:F270,"&gt;"&amp;0)+2,1)=G$1,G$1,""),"")</f>
        <v>2</v>
      </c>
      <c r="H270" s="26">
        <f>IFERROR(IF(--MID($E270,2*COUNTIF($F270:G270,"&gt;"&amp;0)+2,1)=H$1,H$1,""),"")</f>
        <v>3</v>
      </c>
      <c r="I270" s="26">
        <f>IFERROR(IF(--MID($E270,2*COUNTIF($F270:H270,"&gt;"&amp;0)+2,1)=I$1,I$1,""),"")</f>
        <v>4</v>
      </c>
      <c r="J270" s="26">
        <f>IFERROR(IF(--MID($E270,2*COUNTIF($F270:I270,"&gt;"&amp;0)+2,1)=J$1,J$1,""),"")</f>
        <v>5</v>
      </c>
      <c r="K270" s="26">
        <f>IFERROR(IF(--MID($E270,2*COUNTIF($F270:J270,"&gt;"&amp;0)+2,1)=K$1,K$1,""),"")</f>
        <v>6</v>
      </c>
      <c r="L270" s="39" t="str" cm="1">
        <f t="array" ref="L270">IFERROR(IF($A270="","",IF(F270="","",_xlfn.XLOOKUP($C270&amp;"_"&amp;$AG270,符文权重!$A:$A&amp;"_"&amp;符文权重!$C:$C,符文权重!$D:$D)*$X270/SUMIFS($X:$X,F:F,F270,$C:$C,$C270,$AG:$AG,$AG270)/SUMIF(符文权重!$A:$A,$C270,符文权重!$D:$D))),"")</f>
        <v/>
      </c>
      <c r="M270" s="39" t="str" cm="1">
        <f t="array" ref="M270">IFERROR(IF($A270="","",IF(G270="","",_xlfn.XLOOKUP($C270&amp;"_"&amp;$AG270,符文权重!$A:$A&amp;"_"&amp;符文权重!$C:$C,符文权重!$D:$D)*$X270/SUMIFS($X:$X,G:G,G270,$C:$C,$C270,$AG:$AG,$AG270)/SUMIF(符文权重!$A:$A,$C270,符文权重!$D:$D))),"")</f>
        <v/>
      </c>
      <c r="N270" s="39" t="str" cm="1">
        <f t="array" ref="N270">IFERROR(IF($A270="","",IF(H270="","",_xlfn.XLOOKUP($C270&amp;"_"&amp;$AG270,符文权重!$A:$A&amp;"_"&amp;符文权重!$C:$C,符文权重!$D:$D)*$X270/SUMIFS($X:$X,H:H,H270,$C:$C,$C270,$AG:$AG,$AG270)/SUMIF(符文权重!$A:$A,$C270,符文权重!$D:$D))),"")</f>
        <v/>
      </c>
      <c r="O270" s="39" t="str" cm="1">
        <f t="array" ref="O270">IFERROR(IF($A270="","",IF(I270="","",_xlfn.XLOOKUP($C270&amp;"_"&amp;$AG270,符文权重!$A:$A&amp;"_"&amp;符文权重!$C:$C,符文权重!$D:$D)*$X270/SUMIFS($X:$X,I:I,I270,$C:$C,$C270,$AG:$AG,$AG270)/SUMIF(符文权重!$A:$A,$C270,符文权重!$D:$D))),"")</f>
        <v/>
      </c>
      <c r="P270" s="39" t="str" cm="1">
        <f t="array" ref="P270">IFERROR(IF($A270="","",IF(J270="","",_xlfn.XLOOKUP($C270&amp;"_"&amp;$AG270,符文权重!$A:$A&amp;"_"&amp;符文权重!$C:$C,符文权重!$D:$D)*$X270/SUMIFS($X:$X,J:J,J270,$C:$C,$C270,$AG:$AG,$AG270)/SUMIF(符文权重!$A:$A,$C270,符文权重!$D:$D))),"")</f>
        <v/>
      </c>
      <c r="Q270" s="39" t="str" cm="1">
        <f t="array" ref="Q270">IFERROR(IF($A270="","",IF(K270="","",_xlfn.XLOOKUP($C270&amp;"_"&amp;$AG270,符文权重!$A:$A&amp;"_"&amp;符文权重!$C:$C,符文权重!$D:$D)*$X270/SUMIFS($X:$X,K:K,K270,$C:$C,$C270,$AG:$AG,$AG270)/SUMIF(符文权重!$A:$A,$C270,符文权重!$D:$D))),"")</f>
        <v/>
      </c>
      <c r="R270" s="46" t="s">
        <v>330</v>
      </c>
      <c r="S270" s="46"/>
      <c r="T270" s="46" t="e">
        <f>IF(B270="","",SUBSTITUTE(SUBSTITUTE("[{global_atk,"&amp;#REF!*C270&amp;"}]",21,20),9,8))</f>
        <v>#REF!</v>
      </c>
      <c r="U270" s="47" t="str">
        <f t="shared" ref="U270:U276" si="141">"["&amp;A270&amp;"]"</f>
        <v>[5503101]</v>
      </c>
      <c r="V270" s="46"/>
      <c r="W270" s="23"/>
      <c r="X270" s="32">
        <v>100</v>
      </c>
      <c r="Y270" s="23"/>
      <c r="Z270" s="45" t="s">
        <v>165</v>
      </c>
      <c r="AA270" s="32" t="str">
        <f t="shared" si="114"/>
        <v>梦灵血量低于65%，伤害+10%</v>
      </c>
      <c r="AB270" s="32"/>
      <c r="AC270" s="32" t="s">
        <v>166</v>
      </c>
      <c r="AD270" s="32">
        <f t="shared" si="137"/>
        <v>1265</v>
      </c>
      <c r="AE270" s="44" t="str">
        <f t="shared" ref="AE270:AE284" si="142">IF(ISBLANK(AK270),"",B270)</f>
        <v>5503101</v>
      </c>
      <c r="AF270" s="45" t="str">
        <f t="shared" ref="AF270:AF284" si="143">IF(ISBLANK(AM270),"","["&amp;AM270&amp;"]")</f>
        <v>[10]</v>
      </c>
      <c r="AG270" s="26">
        <v>100</v>
      </c>
      <c r="AH270" s="46"/>
      <c r="AI270" s="46">
        <v>1</v>
      </c>
      <c r="AJ270" s="25" t="s">
        <v>167</v>
      </c>
      <c r="AK270" s="48">
        <v>5503101</v>
      </c>
      <c r="AL270" s="49" t="s">
        <v>365</v>
      </c>
      <c r="AM270" s="25">
        <v>10</v>
      </c>
      <c r="AN270" s="26">
        <v>3</v>
      </c>
      <c r="AO270" s="26" t="s">
        <v>32</v>
      </c>
      <c r="AP270" s="20">
        <f t="shared" si="138"/>
        <v>265</v>
      </c>
    </row>
    <row r="271" s="20" customFormat="1" customHeight="1" spans="1:42">
      <c r="A271" s="44">
        <v>5503102</v>
      </c>
      <c r="B271" s="44" t="str">
        <f t="shared" si="139"/>
        <v>5503101</v>
      </c>
      <c r="C271" s="45">
        <f t="shared" si="140"/>
        <v>2</v>
      </c>
      <c r="D271" s="45"/>
      <c r="E271" s="46" t="s">
        <v>162</v>
      </c>
      <c r="F271" s="26">
        <f t="shared" si="134"/>
        <v>1</v>
      </c>
      <c r="G271" s="26">
        <f>IFERROR(IF(--MID($E271,2*COUNTIF($F271:F271,"&gt;"&amp;0)+2,1)=G$1,G$1,""),"")</f>
        <v>2</v>
      </c>
      <c r="H271" s="26">
        <f>IFERROR(IF(--MID($E271,2*COUNTIF($F271:G271,"&gt;"&amp;0)+2,1)=H$1,H$1,""),"")</f>
        <v>3</v>
      </c>
      <c r="I271" s="26">
        <f>IFERROR(IF(--MID($E271,2*COUNTIF($F271:H271,"&gt;"&amp;0)+2,1)=I$1,I$1,""),"")</f>
        <v>4</v>
      </c>
      <c r="J271" s="26">
        <f>IFERROR(IF(--MID($E271,2*COUNTIF($F271:I271,"&gt;"&amp;0)+2,1)=J$1,J$1,""),"")</f>
        <v>5</v>
      </c>
      <c r="K271" s="26">
        <f>IFERROR(IF(--MID($E271,2*COUNTIF($F271:J271,"&gt;"&amp;0)+2,1)=K$1,K$1,""),"")</f>
        <v>6</v>
      </c>
      <c r="L271" s="39" t="str" cm="1">
        <f t="array" ref="L271">IFERROR(IF($A271="","",IF(F271="","",_xlfn.XLOOKUP($C271&amp;"_"&amp;$AG271,符文权重!$A:$A&amp;"_"&amp;符文权重!$C:$C,符文权重!$D:$D)*$X271/SUMIFS($X:$X,F:F,F271,$C:$C,$C271,$AG:$AG,$AG271)/SUMIF(符文权重!$A:$A,$C271,符文权重!$D:$D))),"")</f>
        <v/>
      </c>
      <c r="M271" s="39" t="str" cm="1">
        <f t="array" ref="M271">IFERROR(IF($A271="","",IF(G271="","",_xlfn.XLOOKUP($C271&amp;"_"&amp;$AG271,符文权重!$A:$A&amp;"_"&amp;符文权重!$C:$C,符文权重!$D:$D)*$X271/SUMIFS($X:$X,G:G,G271,$C:$C,$C271,$AG:$AG,$AG271)/SUMIF(符文权重!$A:$A,$C271,符文权重!$D:$D))),"")</f>
        <v/>
      </c>
      <c r="N271" s="39" t="str" cm="1">
        <f t="array" ref="N271">IFERROR(IF($A271="","",IF(H271="","",_xlfn.XLOOKUP($C271&amp;"_"&amp;$AG271,符文权重!$A:$A&amp;"_"&amp;符文权重!$C:$C,符文权重!$D:$D)*$X271/SUMIFS($X:$X,H:H,H271,$C:$C,$C271,$AG:$AG,$AG271)/SUMIF(符文权重!$A:$A,$C271,符文权重!$D:$D))),"")</f>
        <v/>
      </c>
      <c r="O271" s="39" t="str" cm="1">
        <f t="array" ref="O271">IFERROR(IF($A271="","",IF(I271="","",_xlfn.XLOOKUP($C271&amp;"_"&amp;$AG271,符文权重!$A:$A&amp;"_"&amp;符文权重!$C:$C,符文权重!$D:$D)*$X271/SUMIFS($X:$X,I:I,I271,$C:$C,$C271,$AG:$AG,$AG271)/SUMIF(符文权重!$A:$A,$C271,符文权重!$D:$D))),"")</f>
        <v/>
      </c>
      <c r="P271" s="39" t="str" cm="1">
        <f t="array" ref="P271">IFERROR(IF($A271="","",IF(J271="","",_xlfn.XLOOKUP($C271&amp;"_"&amp;$AG271,符文权重!$A:$A&amp;"_"&amp;符文权重!$C:$C,符文权重!$D:$D)*$X271/SUMIFS($X:$X,J:J,J271,$C:$C,$C271,$AG:$AG,$AG271)/SUMIF(符文权重!$A:$A,$C271,符文权重!$D:$D))),"")</f>
        <v/>
      </c>
      <c r="Q271" s="39" t="str" cm="1">
        <f t="array" ref="Q271">IFERROR(IF($A271="","",IF(K271="","",_xlfn.XLOOKUP($C271&amp;"_"&amp;$AG271,符文权重!$A:$A&amp;"_"&amp;符文权重!$C:$C,符文权重!$D:$D)*$X271/SUMIFS($X:$X,K:K,K271,$C:$C,$C271,$AG:$AG,$AG271)/SUMIF(符文权重!$A:$A,$C271,符文权重!$D:$D))),"")</f>
        <v/>
      </c>
      <c r="R271" s="46" t="s">
        <v>330</v>
      </c>
      <c r="S271" s="46"/>
      <c r="T271" s="46" t="e">
        <f>IF(B271="","",SUBSTITUTE(SUBSTITUTE("[{global_atk,"&amp;#REF!*C271&amp;"}]",21,20),9,8))</f>
        <v>#REF!</v>
      </c>
      <c r="U271" s="47" t="str">
        <f t="shared" si="141"/>
        <v>[5503102]</v>
      </c>
      <c r="V271" s="46"/>
      <c r="W271" s="23"/>
      <c r="X271" s="32">
        <v>100</v>
      </c>
      <c r="Y271" s="23"/>
      <c r="Z271" s="45" t="s">
        <v>170</v>
      </c>
      <c r="AA271" s="32" t="str">
        <f t="shared" si="114"/>
        <v>梦灵血量低于65%，伤害+15%</v>
      </c>
      <c r="AB271" s="32"/>
      <c r="AC271" s="32" t="s">
        <v>166</v>
      </c>
      <c r="AD271" s="32">
        <f t="shared" si="137"/>
        <v>1266</v>
      </c>
      <c r="AE271" s="44" t="str">
        <f t="shared" si="142"/>
        <v>5503101</v>
      </c>
      <c r="AF271" s="45" t="str">
        <f t="shared" si="143"/>
        <v>[15]</v>
      </c>
      <c r="AG271" s="26">
        <v>100</v>
      </c>
      <c r="AH271" s="46"/>
      <c r="AI271" s="46">
        <v>1</v>
      </c>
      <c r="AJ271" s="25" t="s">
        <v>167</v>
      </c>
      <c r="AK271" s="44">
        <f t="shared" ref="AK271:AK276" si="144">AK270+1</f>
        <v>5503102</v>
      </c>
      <c r="AL271" s="50" t="str">
        <f t="shared" ref="AL271:AL276" si="145">AL270</f>
        <v>梦灵血量低于&lt;color=#54b76b&gt;65%&lt;/color&gt;，伤害&lt;color=#54b76b&gt;+%s%&lt;/color&gt;</v>
      </c>
      <c r="AM271" s="25">
        <v>15</v>
      </c>
      <c r="AN271" s="26">
        <v>3</v>
      </c>
      <c r="AO271" s="26" t="s">
        <v>32</v>
      </c>
      <c r="AP271" s="20">
        <f t="shared" si="138"/>
        <v>266</v>
      </c>
    </row>
    <row r="272" s="20" customFormat="1" customHeight="1" spans="1:42">
      <c r="A272" s="38">
        <v>5503103</v>
      </c>
      <c r="B272" s="38" t="str">
        <f t="shared" si="139"/>
        <v>5503101</v>
      </c>
      <c r="C272" s="32">
        <f t="shared" si="140"/>
        <v>3</v>
      </c>
      <c r="D272" s="32"/>
      <c r="E272" s="26" t="s">
        <v>162</v>
      </c>
      <c r="F272" s="26">
        <f t="shared" si="134"/>
        <v>1</v>
      </c>
      <c r="G272" s="26">
        <f>IFERROR(IF(--MID($E272,2*COUNTIF($F272:F272,"&gt;"&amp;0)+2,1)=G$1,G$1,""),"")</f>
        <v>2</v>
      </c>
      <c r="H272" s="26">
        <f>IFERROR(IF(--MID($E272,2*COUNTIF($F272:G272,"&gt;"&amp;0)+2,1)=H$1,H$1,""),"")</f>
        <v>3</v>
      </c>
      <c r="I272" s="26">
        <f>IFERROR(IF(--MID($E272,2*COUNTIF($F272:H272,"&gt;"&amp;0)+2,1)=I$1,I$1,""),"")</f>
        <v>4</v>
      </c>
      <c r="J272" s="26">
        <f>IFERROR(IF(--MID($E272,2*COUNTIF($F272:I272,"&gt;"&amp;0)+2,1)=J$1,J$1,""),"")</f>
        <v>5</v>
      </c>
      <c r="K272" s="26">
        <f>IFERROR(IF(--MID($E272,2*COUNTIF($F272:J272,"&gt;"&amp;0)+2,1)=K$1,K$1,""),"")</f>
        <v>6</v>
      </c>
      <c r="L272" s="39" cm="1">
        <f t="array" ref="L272">IFERROR(IF($A272="","",IF(F272="","",_xlfn.XLOOKUP($C272&amp;"_"&amp;$AG272,符文权重!$A:$A&amp;"_"&amp;符文权重!$C:$C,符文权重!$D:$D)*$X272/SUMIFS($X:$X,F:F,F272,$C:$C,$C272,$AG:$AG,$AG272)/SUMIF(符文权重!$A:$A,$C272,符文权重!$D:$D))),"")</f>
        <v>0.00420233463035019</v>
      </c>
      <c r="M272" s="39" cm="1">
        <f t="array" ref="M272">IFERROR(IF($A272="","",IF(G272="","",_xlfn.XLOOKUP($C272&amp;"_"&amp;$AG272,符文权重!$A:$A&amp;"_"&amp;符文权重!$C:$C,符文权重!$D:$D)*$X272/SUMIFS($X:$X,G:G,G272,$C:$C,$C272,$AG:$AG,$AG272)/SUMIF(符文权重!$A:$A,$C272,符文权重!$D:$D))),"")</f>
        <v>0.00413793103448276</v>
      </c>
      <c r="N272" s="39" cm="1">
        <f t="array" ref="N272">IFERROR(IF($A272="","",IF(H272="","",_xlfn.XLOOKUP($C272&amp;"_"&amp;$AG272,符文权重!$A:$A&amp;"_"&amp;符文权重!$C:$C,符文权重!$D:$D)*$X272/SUMIFS($X:$X,H:H,H272,$C:$C,$C272,$AG:$AG,$AG272)/SUMIF(符文权重!$A:$A,$C272,符文权重!$D:$D))),"")</f>
        <v>0.00420233463035019</v>
      </c>
      <c r="O272" s="39" cm="1">
        <f t="array" ref="O272">IFERROR(IF($A272="","",IF(I272="","",_xlfn.XLOOKUP($C272&amp;"_"&amp;$AG272,符文权重!$A:$A&amp;"_"&amp;符文权重!$C:$C,符文权重!$D:$D)*$X272/SUMIFS($X:$X,I:I,I272,$C:$C,$C272,$AG:$AG,$AG272)/SUMIF(符文权重!$A:$A,$C272,符文权重!$D:$D))),"")</f>
        <v>0.00413793103448276</v>
      </c>
      <c r="P272" s="39" cm="1">
        <f t="array" ref="P272">IFERROR(IF($A272="","",IF(J272="","",_xlfn.XLOOKUP($C272&amp;"_"&amp;$AG272,符文权重!$A:$A&amp;"_"&amp;符文权重!$C:$C,符文权重!$D:$D)*$X272/SUMIFS($X:$X,J:J,J272,$C:$C,$C272,$AG:$AG,$AG272)/SUMIF(符文权重!$A:$A,$C272,符文权重!$D:$D))),"")</f>
        <v>0.00413793103448276</v>
      </c>
      <c r="Q272" s="39" cm="1">
        <f t="array" ref="Q272">IFERROR(IF($A272="","",IF(K272="","",_xlfn.XLOOKUP($C272&amp;"_"&amp;$AG272,符文权重!$A:$A&amp;"_"&amp;符文权重!$C:$C,符文权重!$D:$D)*$X272/SUMIFS($X:$X,K:K,K272,$C:$C,$C272,$AG:$AG,$AG272)/SUMIF(符文权重!$A:$A,$C272,符文权重!$D:$D))),"")</f>
        <v>0.00413793103448276</v>
      </c>
      <c r="R272" s="26" t="s">
        <v>330</v>
      </c>
      <c r="S272" s="26"/>
      <c r="T272" s="26" t="e">
        <f>IF(B272="","",SUBSTITUTE(SUBSTITUTE("[{global_atk,"&amp;#REF!*C272&amp;"}]",21,20),9,8))</f>
        <v>#REF!</v>
      </c>
      <c r="U272" s="40" t="str">
        <f t="shared" si="141"/>
        <v>[5503103]</v>
      </c>
      <c r="V272" s="26"/>
      <c r="W272" s="25"/>
      <c r="X272" s="32">
        <v>12</v>
      </c>
      <c r="Y272" s="25"/>
      <c r="Z272" s="32" t="s">
        <v>172</v>
      </c>
      <c r="AA272" s="32" t="str">
        <f t="shared" si="114"/>
        <v>梦灵血量低于65%，伤害+20%</v>
      </c>
      <c r="AB272" s="32"/>
      <c r="AC272" s="32" t="s">
        <v>166</v>
      </c>
      <c r="AD272" s="32">
        <f t="shared" si="137"/>
        <v>1267</v>
      </c>
      <c r="AE272" s="38" t="str">
        <f t="shared" si="142"/>
        <v>5503101</v>
      </c>
      <c r="AF272" s="32" t="str">
        <f t="shared" si="143"/>
        <v>[20]</v>
      </c>
      <c r="AG272" s="26">
        <v>3</v>
      </c>
      <c r="AH272" s="26"/>
      <c r="AI272" s="26">
        <v>0</v>
      </c>
      <c r="AJ272" s="25" t="s">
        <v>167</v>
      </c>
      <c r="AK272" s="38">
        <f t="shared" si="144"/>
        <v>5503103</v>
      </c>
      <c r="AL272" s="41" t="str">
        <f t="shared" si="145"/>
        <v>梦灵血量低于&lt;color=#54b76b&gt;65%&lt;/color&gt;，伤害&lt;color=#54b76b&gt;+%s%&lt;/color&gt;</v>
      </c>
      <c r="AM272" s="25">
        <v>20</v>
      </c>
      <c r="AN272" s="26">
        <v>3</v>
      </c>
      <c r="AO272" s="26" t="s">
        <v>32</v>
      </c>
      <c r="AP272" s="20">
        <f t="shared" si="138"/>
        <v>267</v>
      </c>
    </row>
    <row r="273" s="20" customFormat="1" customHeight="1" spans="1:42">
      <c r="A273" s="38">
        <v>5503104</v>
      </c>
      <c r="B273" s="38" t="str">
        <f t="shared" si="139"/>
        <v>5503101</v>
      </c>
      <c r="C273" s="32">
        <f t="shared" si="140"/>
        <v>4</v>
      </c>
      <c r="D273" s="32"/>
      <c r="E273" s="26" t="s">
        <v>162</v>
      </c>
      <c r="F273" s="26">
        <f t="shared" si="134"/>
        <v>1</v>
      </c>
      <c r="G273" s="26">
        <f>IFERROR(IF(--MID($E273,2*COUNTIF($F273:F273,"&gt;"&amp;0)+2,1)=G$1,G$1,""),"")</f>
        <v>2</v>
      </c>
      <c r="H273" s="26">
        <f>IFERROR(IF(--MID($E273,2*COUNTIF($F273:G273,"&gt;"&amp;0)+2,1)=H$1,H$1,""),"")</f>
        <v>3</v>
      </c>
      <c r="I273" s="26">
        <f>IFERROR(IF(--MID($E273,2*COUNTIF($F273:H273,"&gt;"&amp;0)+2,1)=I$1,I$1,""),"")</f>
        <v>4</v>
      </c>
      <c r="J273" s="26">
        <f>IFERROR(IF(--MID($E273,2*COUNTIF($F273:I273,"&gt;"&amp;0)+2,1)=J$1,J$1,""),"")</f>
        <v>5</v>
      </c>
      <c r="K273" s="26">
        <f>IFERROR(IF(--MID($E273,2*COUNTIF($F273:J273,"&gt;"&amp;0)+2,1)=K$1,K$1,""),"")</f>
        <v>6</v>
      </c>
      <c r="L273" s="39" cm="1">
        <f t="array" ref="L273">IFERROR(IF($A273="","",IF(F273="","",_xlfn.XLOOKUP($C273&amp;"_"&amp;$AG273,符文权重!$A:$A&amp;"_"&amp;符文权重!$C:$C,符文权重!$D:$D)*$X273/SUMIFS($X:$X,F:F,F273,$C:$C,$C273,$AG:$AG,$AG273)/SUMIF(符文权重!$A:$A,$C273,符文权重!$D:$D))),"")</f>
        <v>0.0142272727272727</v>
      </c>
      <c r="M273" s="39" cm="1">
        <f t="array" ref="M273">IFERROR(IF($A273="","",IF(G273="","",_xlfn.XLOOKUP($C273&amp;"_"&amp;$AG273,符文权重!$A:$A&amp;"_"&amp;符文权重!$C:$C,符文权重!$D:$D)*$X273/SUMIFS($X:$X,G:G,G273,$C:$C,$C273,$AG:$AG,$AG273)/SUMIF(符文权重!$A:$A,$C273,符文权重!$D:$D))),"")</f>
        <v>0.0142272727272727</v>
      </c>
      <c r="N273" s="39" cm="1">
        <f t="array" ref="N273">IFERROR(IF($A273="","",IF(H273="","",_xlfn.XLOOKUP($C273&amp;"_"&amp;$AG273,符文权重!$A:$A&amp;"_"&amp;符文权重!$C:$C,符文权重!$D:$D)*$X273/SUMIFS($X:$X,H:H,H273,$C:$C,$C273,$AG:$AG,$AG273)/SUMIF(符文权重!$A:$A,$C273,符文权重!$D:$D))),"")</f>
        <v>0.0151451612903226</v>
      </c>
      <c r="O273" s="39" cm="1">
        <f t="array" ref="O273">IFERROR(IF($A273="","",IF(I273="","",_xlfn.XLOOKUP($C273&amp;"_"&amp;$AG273,符文权重!$A:$A&amp;"_"&amp;符文权重!$C:$C,符文权重!$D:$D)*$X273/SUMIFS($X:$X,I:I,I273,$C:$C,$C273,$AG:$AG,$AG273)/SUMIF(符文权重!$A:$A,$C273,符文权重!$D:$D))),"")</f>
        <v>0.0142272727272727</v>
      </c>
      <c r="P273" s="39" cm="1">
        <f t="array" ref="P273">IFERROR(IF($A273="","",IF(J273="","",_xlfn.XLOOKUP($C273&amp;"_"&amp;$AG273,符文权重!$A:$A&amp;"_"&amp;符文权重!$C:$C,符文权重!$D:$D)*$X273/SUMIFS($X:$X,J:J,J273,$C:$C,$C273,$AG:$AG,$AG273)/SUMIF(符文权重!$A:$A,$C273,符文权重!$D:$D))),"")</f>
        <v>0.0151451612903226</v>
      </c>
      <c r="Q273" s="39" cm="1">
        <f t="array" ref="Q273">IFERROR(IF($A273="","",IF(K273="","",_xlfn.XLOOKUP($C273&amp;"_"&amp;$AG273,符文权重!$A:$A&amp;"_"&amp;符文权重!$C:$C,符文权重!$D:$D)*$X273/SUMIFS($X:$X,K:K,K273,$C:$C,$C273,$AG:$AG,$AG273)/SUMIF(符文权重!$A:$A,$C273,符文权重!$D:$D))),"")</f>
        <v>0.0142272727272727</v>
      </c>
      <c r="R273" s="26" t="s">
        <v>330</v>
      </c>
      <c r="S273" s="26"/>
      <c r="T273" s="26" t="e">
        <f>IF(B273="","",SUBSTITUTE(SUBSTITUTE("[{global_atk,"&amp;#REF!*C273&amp;"}]",21,20),9,8))</f>
        <v>#REF!</v>
      </c>
      <c r="U273" s="40" t="str">
        <f t="shared" si="141"/>
        <v>[5503104]</v>
      </c>
      <c r="V273" s="26"/>
      <c r="W273" s="25"/>
      <c r="X273" s="32">
        <v>12</v>
      </c>
      <c r="Y273" s="25"/>
      <c r="Z273" s="32" t="s">
        <v>174</v>
      </c>
      <c r="AA273" s="32" t="str">
        <f t="shared" si="114"/>
        <v>梦灵血量低于65%，伤害+30%</v>
      </c>
      <c r="AB273" s="32"/>
      <c r="AC273" s="32" t="s">
        <v>166</v>
      </c>
      <c r="AD273" s="32">
        <f t="shared" si="137"/>
        <v>1268</v>
      </c>
      <c r="AE273" s="38" t="str">
        <f t="shared" si="142"/>
        <v>5503101</v>
      </c>
      <c r="AF273" s="32" t="str">
        <f t="shared" si="143"/>
        <v>[30]</v>
      </c>
      <c r="AG273" s="26">
        <v>3</v>
      </c>
      <c r="AH273" s="26"/>
      <c r="AI273" s="26">
        <v>0</v>
      </c>
      <c r="AJ273" s="25" t="s">
        <v>167</v>
      </c>
      <c r="AK273" s="38">
        <f t="shared" si="144"/>
        <v>5503104</v>
      </c>
      <c r="AL273" s="41" t="str">
        <f t="shared" si="145"/>
        <v>梦灵血量低于&lt;color=#54b76b&gt;65%&lt;/color&gt;，伤害&lt;color=#54b76b&gt;+%s%&lt;/color&gt;</v>
      </c>
      <c r="AM273" s="25">
        <v>30</v>
      </c>
      <c r="AN273" s="26">
        <v>3</v>
      </c>
      <c r="AO273" s="26" t="s">
        <v>32</v>
      </c>
      <c r="AP273" s="20">
        <f t="shared" si="138"/>
        <v>268</v>
      </c>
    </row>
    <row r="274" s="20" customFormat="1" customHeight="1" spans="1:42">
      <c r="A274" s="38">
        <v>5503105</v>
      </c>
      <c r="B274" s="38" t="str">
        <f t="shared" si="139"/>
        <v>5503101</v>
      </c>
      <c r="C274" s="32">
        <f t="shared" si="140"/>
        <v>5</v>
      </c>
      <c r="D274" s="32"/>
      <c r="E274" s="26" t="s">
        <v>162</v>
      </c>
      <c r="F274" s="26">
        <f t="shared" si="134"/>
        <v>1</v>
      </c>
      <c r="G274" s="26">
        <f>IFERROR(IF(--MID($E274,2*COUNTIF($F274:F274,"&gt;"&amp;0)+2,1)=G$1,G$1,""),"")</f>
        <v>2</v>
      </c>
      <c r="H274" s="26">
        <f>IFERROR(IF(--MID($E274,2*COUNTIF($F274:G274,"&gt;"&amp;0)+2,1)=H$1,H$1,""),"")</f>
        <v>3</v>
      </c>
      <c r="I274" s="26">
        <f>IFERROR(IF(--MID($E274,2*COUNTIF($F274:H274,"&gt;"&amp;0)+2,1)=I$1,I$1,""),"")</f>
        <v>4</v>
      </c>
      <c r="J274" s="26">
        <f>IFERROR(IF(--MID($E274,2*COUNTIF($F274:I274,"&gt;"&amp;0)+2,1)=J$1,J$1,""),"")</f>
        <v>5</v>
      </c>
      <c r="K274" s="26">
        <f>IFERROR(IF(--MID($E274,2*COUNTIF($F274:J274,"&gt;"&amp;0)+2,1)=K$1,K$1,""),"")</f>
        <v>6</v>
      </c>
      <c r="L274" s="39" cm="1">
        <f t="array" ref="L274">IFERROR(IF($A274="","",IF(F274="","",_xlfn.XLOOKUP($C274&amp;"_"&amp;$AG274,符文权重!$A:$A&amp;"_"&amp;符文权重!$C:$C,符文权重!$D:$D)*$X274/SUMIFS($X:$X,F:F,F274,$C:$C,$C274,$AG:$AG,$AG274)/SUMIF(符文权重!$A:$A,$C274,符文权重!$D:$D))),"")</f>
        <v>0.0166981132075472</v>
      </c>
      <c r="M274" s="39" cm="1">
        <f t="array" ref="M274">IFERROR(IF($A274="","",IF(G274="","",_xlfn.XLOOKUP($C274&amp;"_"&amp;$AG274,符文权重!$A:$A&amp;"_"&amp;符文权重!$C:$C,符文权重!$D:$D)*$X274/SUMIFS($X:$X,G:G,G274,$C:$C,$C274,$AG:$AG,$AG274)/SUMIF(符文权重!$A:$A,$C274,符文权重!$D:$D))),"")</f>
        <v>0.0160180995475113</v>
      </c>
      <c r="N274" s="39" cm="1">
        <f t="array" ref="N274">IFERROR(IF($A274="","",IF(H274="","",_xlfn.XLOOKUP($C274&amp;"_"&amp;$AG274,符文权重!$A:$A&amp;"_"&amp;符文权重!$C:$C,符文权重!$D:$D)*$X274/SUMIFS($X:$X,H:H,H274,$C:$C,$C274,$AG:$AG,$AG274)/SUMIF(符文权重!$A:$A,$C274,符文权重!$D:$D))),"")</f>
        <v>0.0166981132075472</v>
      </c>
      <c r="O274" s="39" cm="1">
        <f t="array" ref="O274">IFERROR(IF($A274="","",IF(I274="","",_xlfn.XLOOKUP($C274&amp;"_"&amp;$AG274,符文权重!$A:$A&amp;"_"&amp;符文权重!$C:$C,符文权重!$D:$D)*$X274/SUMIFS($X:$X,I:I,I274,$C:$C,$C274,$AG:$AG,$AG274)/SUMIF(符文权重!$A:$A,$C274,符文权重!$D:$D))),"")</f>
        <v>0.0166981132075472</v>
      </c>
      <c r="P274" s="39" cm="1">
        <f t="array" ref="P274">IFERROR(IF($A274="","",IF(J274="","",_xlfn.XLOOKUP($C274&amp;"_"&amp;$AG274,符文权重!$A:$A&amp;"_"&amp;符文权重!$C:$C,符文权重!$D:$D)*$X274/SUMIFS($X:$X,J:J,J274,$C:$C,$C274,$AG:$AG,$AG274)/SUMIF(符文权重!$A:$A,$C274,符文权重!$D:$D))),"")</f>
        <v>0.0160180995475113</v>
      </c>
      <c r="Q274" s="39" cm="1">
        <f t="array" ref="Q274">IFERROR(IF($A274="","",IF(K274="","",_xlfn.XLOOKUP($C274&amp;"_"&amp;$AG274,符文权重!$A:$A&amp;"_"&amp;符文权重!$C:$C,符文权重!$D:$D)*$X274/SUMIFS($X:$X,K:K,K274,$C:$C,$C274,$AG:$AG,$AG274)/SUMIF(符文权重!$A:$A,$C274,符文权重!$D:$D))),"")</f>
        <v>0.0166981132075472</v>
      </c>
      <c r="R274" s="26" t="s">
        <v>330</v>
      </c>
      <c r="S274" s="26"/>
      <c r="T274" s="26" t="e">
        <f>IF(B274="","",SUBSTITUTE(SUBSTITUTE("[{global_atk,"&amp;#REF!*C274&amp;"}]",21,20),9,8))</f>
        <v>#REF!</v>
      </c>
      <c r="U274" s="40" t="str">
        <f t="shared" si="141"/>
        <v>[5503105]</v>
      </c>
      <c r="V274" s="26"/>
      <c r="W274" s="25"/>
      <c r="X274" s="32">
        <v>12</v>
      </c>
      <c r="Y274" s="25"/>
      <c r="Z274" s="32" t="s">
        <v>176</v>
      </c>
      <c r="AA274" s="32" t="str">
        <f t="shared" ref="AA274:AA337" si="146">SUBSTITUTE(SUBSTITUTE(SUBSTITUTE(SUBSTITUTE(AL274,"%s",AM274),"&lt;color=#54b76b&gt;",""),"&lt;/color&gt; ",""),"&lt;/color&gt;","")</f>
        <v>梦灵血量低于65%，伤害+40%</v>
      </c>
      <c r="AB274" s="32"/>
      <c r="AC274" s="32" t="s">
        <v>166</v>
      </c>
      <c r="AD274" s="32">
        <f t="shared" si="137"/>
        <v>1269</v>
      </c>
      <c r="AE274" s="38" t="str">
        <f t="shared" si="142"/>
        <v>5503101</v>
      </c>
      <c r="AF274" s="32" t="str">
        <f t="shared" si="143"/>
        <v>[40]</v>
      </c>
      <c r="AG274" s="26">
        <v>3</v>
      </c>
      <c r="AH274" s="26"/>
      <c r="AI274" s="26">
        <v>0</v>
      </c>
      <c r="AJ274" s="25" t="s">
        <v>167</v>
      </c>
      <c r="AK274" s="38">
        <f t="shared" si="144"/>
        <v>5503105</v>
      </c>
      <c r="AL274" s="41" t="str">
        <f t="shared" si="145"/>
        <v>梦灵血量低于&lt;color=#54b76b&gt;65%&lt;/color&gt;，伤害&lt;color=#54b76b&gt;+%s%&lt;/color&gt;</v>
      </c>
      <c r="AM274" s="25">
        <v>40</v>
      </c>
      <c r="AN274" s="26">
        <v>3</v>
      </c>
      <c r="AO274" s="26" t="s">
        <v>32</v>
      </c>
      <c r="AP274" s="20">
        <f t="shared" si="138"/>
        <v>269</v>
      </c>
    </row>
    <row r="275" s="20" customFormat="1" customHeight="1" spans="1:42">
      <c r="A275" s="38">
        <v>5503106</v>
      </c>
      <c r="B275" s="38" t="str">
        <f t="shared" si="139"/>
        <v>5503101</v>
      </c>
      <c r="C275" s="32">
        <f t="shared" si="140"/>
        <v>6</v>
      </c>
      <c r="D275" s="32"/>
      <c r="E275" s="26" t="s">
        <v>162</v>
      </c>
      <c r="F275" s="26">
        <f t="shared" si="134"/>
        <v>1</v>
      </c>
      <c r="G275" s="26">
        <f>IFERROR(IF(--MID($E275,2*COUNTIF($F275:F275,"&gt;"&amp;0)+2,1)=G$1,G$1,""),"")</f>
        <v>2</v>
      </c>
      <c r="H275" s="26">
        <f>IFERROR(IF(--MID($E275,2*COUNTIF($F275:G275,"&gt;"&amp;0)+2,1)=H$1,H$1,""),"")</f>
        <v>3</v>
      </c>
      <c r="I275" s="26">
        <f>IFERROR(IF(--MID($E275,2*COUNTIF($F275:H275,"&gt;"&amp;0)+2,1)=I$1,I$1,""),"")</f>
        <v>4</v>
      </c>
      <c r="J275" s="26">
        <f>IFERROR(IF(--MID($E275,2*COUNTIF($F275:I275,"&gt;"&amp;0)+2,1)=J$1,J$1,""),"")</f>
        <v>5</v>
      </c>
      <c r="K275" s="26">
        <f>IFERROR(IF(--MID($E275,2*COUNTIF($F275:J275,"&gt;"&amp;0)+2,1)=K$1,K$1,""),"")</f>
        <v>6</v>
      </c>
      <c r="L275" s="39" cm="1">
        <f t="array" ref="L275">IFERROR(IF($A275="","",IF(F275="","",_xlfn.XLOOKUP($C275&amp;"_"&amp;$AG275,符文权重!$A:$A&amp;"_"&amp;符文权重!$C:$C,符文权重!$D:$D)*$X275/SUMIFS($X:$X,F:F,F275,$C:$C,$C275,$AG:$AG,$AG275)/SUMIF(符文权重!$A:$A,$C275,符文权重!$D:$D))),"")</f>
        <v>0.0166981132075472</v>
      </c>
      <c r="M275" s="39" cm="1">
        <f t="array" ref="M275">IFERROR(IF($A275="","",IF(G275="","",_xlfn.XLOOKUP($C275&amp;"_"&amp;$AG275,符文权重!$A:$A&amp;"_"&amp;符文权重!$C:$C,符文权重!$D:$D)*$X275/SUMIFS($X:$X,G:G,G275,$C:$C,$C275,$AG:$AG,$AG275)/SUMIF(符文权重!$A:$A,$C275,符文权重!$D:$D))),"")</f>
        <v>0.0160180995475113</v>
      </c>
      <c r="N275" s="39" cm="1">
        <f t="array" ref="N275">IFERROR(IF($A275="","",IF(H275="","",_xlfn.XLOOKUP($C275&amp;"_"&amp;$AG275,符文权重!$A:$A&amp;"_"&amp;符文权重!$C:$C,符文权重!$D:$D)*$X275/SUMIFS($X:$X,H:H,H275,$C:$C,$C275,$AG:$AG,$AG275)/SUMIF(符文权重!$A:$A,$C275,符文权重!$D:$D))),"")</f>
        <v>0.0166981132075472</v>
      </c>
      <c r="O275" s="39" cm="1">
        <f t="array" ref="O275">IFERROR(IF($A275="","",IF(I275="","",_xlfn.XLOOKUP($C275&amp;"_"&amp;$AG275,符文权重!$A:$A&amp;"_"&amp;符文权重!$C:$C,符文权重!$D:$D)*$X275/SUMIFS($X:$X,I:I,I275,$C:$C,$C275,$AG:$AG,$AG275)/SUMIF(符文权重!$A:$A,$C275,符文权重!$D:$D))),"")</f>
        <v>0.0166981132075472</v>
      </c>
      <c r="P275" s="39" cm="1">
        <f t="array" ref="P275">IFERROR(IF($A275="","",IF(J275="","",_xlfn.XLOOKUP($C275&amp;"_"&amp;$AG275,符文权重!$A:$A&amp;"_"&amp;符文权重!$C:$C,符文权重!$D:$D)*$X275/SUMIFS($X:$X,J:J,J275,$C:$C,$C275,$AG:$AG,$AG275)/SUMIF(符文权重!$A:$A,$C275,符文权重!$D:$D))),"")</f>
        <v>0.0160180995475113</v>
      </c>
      <c r="Q275" s="39" cm="1">
        <f t="array" ref="Q275">IFERROR(IF($A275="","",IF(K275="","",_xlfn.XLOOKUP($C275&amp;"_"&amp;$AG275,符文权重!$A:$A&amp;"_"&amp;符文权重!$C:$C,符文权重!$D:$D)*$X275/SUMIFS($X:$X,K:K,K275,$C:$C,$C275,$AG:$AG,$AG275)/SUMIF(符文权重!$A:$A,$C275,符文权重!$D:$D))),"")</f>
        <v>0.0166981132075472</v>
      </c>
      <c r="R275" s="26" t="s">
        <v>330</v>
      </c>
      <c r="S275" s="26"/>
      <c r="T275" s="26" t="e">
        <f>IF(B275="","",SUBSTITUTE(SUBSTITUTE("[{global_atk,"&amp;#REF!*C275&amp;"}]",21,20),9,8))</f>
        <v>#REF!</v>
      </c>
      <c r="U275" s="40" t="str">
        <f t="shared" si="141"/>
        <v>[5503106]</v>
      </c>
      <c r="V275" s="26"/>
      <c r="W275" s="25"/>
      <c r="X275" s="32">
        <v>12</v>
      </c>
      <c r="Y275" s="25"/>
      <c r="Z275" s="32" t="s">
        <v>178</v>
      </c>
      <c r="AA275" s="32" t="str">
        <f t="shared" si="146"/>
        <v>梦灵血量低于65%，伤害+50%</v>
      </c>
      <c r="AB275" s="32"/>
      <c r="AC275" s="32" t="s">
        <v>166</v>
      </c>
      <c r="AD275" s="32">
        <f t="shared" si="137"/>
        <v>1270</v>
      </c>
      <c r="AE275" s="38" t="str">
        <f t="shared" si="142"/>
        <v>5503101</v>
      </c>
      <c r="AF275" s="32" t="str">
        <f t="shared" si="143"/>
        <v>[50]</v>
      </c>
      <c r="AG275" s="26">
        <v>3</v>
      </c>
      <c r="AH275" s="26"/>
      <c r="AI275" s="26">
        <v>0</v>
      </c>
      <c r="AJ275" s="25" t="s">
        <v>167</v>
      </c>
      <c r="AK275" s="38">
        <f t="shared" si="144"/>
        <v>5503106</v>
      </c>
      <c r="AL275" s="41" t="str">
        <f t="shared" si="145"/>
        <v>梦灵血量低于&lt;color=#54b76b&gt;65%&lt;/color&gt;，伤害&lt;color=#54b76b&gt;+%s%&lt;/color&gt;</v>
      </c>
      <c r="AM275" s="25">
        <v>50</v>
      </c>
      <c r="AN275" s="26">
        <v>3</v>
      </c>
      <c r="AO275" s="26" t="s">
        <v>32</v>
      </c>
      <c r="AP275" s="20">
        <f t="shared" si="138"/>
        <v>270</v>
      </c>
    </row>
    <row r="276" s="20" customFormat="1" customHeight="1" spans="1:42">
      <c r="A276" s="38">
        <v>5503107</v>
      </c>
      <c r="B276" s="38" t="str">
        <f t="shared" si="139"/>
        <v>5503101</v>
      </c>
      <c r="C276" s="32">
        <f t="shared" si="140"/>
        <v>7</v>
      </c>
      <c r="D276" s="32"/>
      <c r="E276" s="26" t="s">
        <v>162</v>
      </c>
      <c r="F276" s="26">
        <f t="shared" si="134"/>
        <v>1</v>
      </c>
      <c r="G276" s="26">
        <f>IFERROR(IF(--MID($E276,2*COUNTIF($F276:F276,"&gt;"&amp;0)+2,1)=G$1,G$1,""),"")</f>
        <v>2</v>
      </c>
      <c r="H276" s="26">
        <f>IFERROR(IF(--MID($E276,2*COUNTIF($F276:G276,"&gt;"&amp;0)+2,1)=H$1,H$1,""),"")</f>
        <v>3</v>
      </c>
      <c r="I276" s="26">
        <f>IFERROR(IF(--MID($E276,2*COUNTIF($F276:H276,"&gt;"&amp;0)+2,1)=I$1,I$1,""),"")</f>
        <v>4</v>
      </c>
      <c r="J276" s="26">
        <f>IFERROR(IF(--MID($E276,2*COUNTIF($F276:I276,"&gt;"&amp;0)+2,1)=J$1,J$1,""),"")</f>
        <v>5</v>
      </c>
      <c r="K276" s="26">
        <f>IFERROR(IF(--MID($E276,2*COUNTIF($F276:J276,"&gt;"&amp;0)+2,1)=K$1,K$1,""),"")</f>
        <v>6</v>
      </c>
      <c r="L276" s="39" cm="1">
        <f t="array" ref="L276">IFERROR(IF($A276="","",IF(F276="","",_xlfn.XLOOKUP($C276&amp;"_"&amp;$AG276,符文权重!$A:$A&amp;"_"&amp;符文权重!$C:$C,符文权重!$D:$D)*$X276/SUMIFS($X:$X,F:F,F276,$C:$C,$C276,$AG:$AG,$AG276)/SUMIF(符文权重!$A:$A,$C276,符文权重!$D:$D))),"")</f>
        <v>0.0166981132075472</v>
      </c>
      <c r="M276" s="39" cm="1">
        <f t="array" ref="M276">IFERROR(IF($A276="","",IF(G276="","",_xlfn.XLOOKUP($C276&amp;"_"&amp;$AG276,符文权重!$A:$A&amp;"_"&amp;符文权重!$C:$C,符文权重!$D:$D)*$X276/SUMIFS($X:$X,G:G,G276,$C:$C,$C276,$AG:$AG,$AG276)/SUMIF(符文权重!$A:$A,$C276,符文权重!$D:$D))),"")</f>
        <v>0.0160180995475113</v>
      </c>
      <c r="N276" s="39" cm="1">
        <f t="array" ref="N276">IFERROR(IF($A276="","",IF(H276="","",_xlfn.XLOOKUP($C276&amp;"_"&amp;$AG276,符文权重!$A:$A&amp;"_"&amp;符文权重!$C:$C,符文权重!$D:$D)*$X276/SUMIFS($X:$X,H:H,H276,$C:$C,$C276,$AG:$AG,$AG276)/SUMIF(符文权重!$A:$A,$C276,符文权重!$D:$D))),"")</f>
        <v>0.0166981132075472</v>
      </c>
      <c r="O276" s="39" cm="1">
        <f t="array" ref="O276">IFERROR(IF($A276="","",IF(I276="","",_xlfn.XLOOKUP($C276&amp;"_"&amp;$AG276,符文权重!$A:$A&amp;"_"&amp;符文权重!$C:$C,符文权重!$D:$D)*$X276/SUMIFS($X:$X,I:I,I276,$C:$C,$C276,$AG:$AG,$AG276)/SUMIF(符文权重!$A:$A,$C276,符文权重!$D:$D))),"")</f>
        <v>0.0166981132075472</v>
      </c>
      <c r="P276" s="39" cm="1">
        <f t="array" ref="P276">IFERROR(IF($A276="","",IF(J276="","",_xlfn.XLOOKUP($C276&amp;"_"&amp;$AG276,符文权重!$A:$A&amp;"_"&amp;符文权重!$C:$C,符文权重!$D:$D)*$X276/SUMIFS($X:$X,J:J,J276,$C:$C,$C276,$AG:$AG,$AG276)/SUMIF(符文权重!$A:$A,$C276,符文权重!$D:$D))),"")</f>
        <v>0.0160180995475113</v>
      </c>
      <c r="Q276" s="39" cm="1">
        <f t="array" ref="Q276">IFERROR(IF($A276="","",IF(K276="","",_xlfn.XLOOKUP($C276&amp;"_"&amp;$AG276,符文权重!$A:$A&amp;"_"&amp;符文权重!$C:$C,符文权重!$D:$D)*$X276/SUMIFS($X:$X,K:K,K276,$C:$C,$C276,$AG:$AG,$AG276)/SUMIF(符文权重!$A:$A,$C276,符文权重!$D:$D))),"")</f>
        <v>0.0166981132075472</v>
      </c>
      <c r="R276" s="26" t="s">
        <v>330</v>
      </c>
      <c r="S276" s="26"/>
      <c r="T276" s="26" t="e">
        <f>IF(B276="","",SUBSTITUTE(SUBSTITUTE("[{global_atk,"&amp;#REF!*C276&amp;"}]",21,20),9,8))</f>
        <v>#REF!</v>
      </c>
      <c r="U276" s="40" t="str">
        <f t="shared" si="141"/>
        <v>[5503107]</v>
      </c>
      <c r="V276" s="26"/>
      <c r="W276" s="25"/>
      <c r="X276" s="32">
        <v>12</v>
      </c>
      <c r="Y276" s="25"/>
      <c r="Z276" s="32" t="s">
        <v>180</v>
      </c>
      <c r="AA276" s="32" t="str">
        <f t="shared" si="146"/>
        <v>梦灵血量低于65%，伤害+60%</v>
      </c>
      <c r="AB276" s="32"/>
      <c r="AC276" s="32" t="s">
        <v>166</v>
      </c>
      <c r="AD276" s="32">
        <f t="shared" si="137"/>
        <v>1271</v>
      </c>
      <c r="AE276" s="38" t="str">
        <f t="shared" si="142"/>
        <v>5503101</v>
      </c>
      <c r="AF276" s="32" t="str">
        <f t="shared" si="143"/>
        <v>[60]</v>
      </c>
      <c r="AG276" s="26">
        <v>3</v>
      </c>
      <c r="AH276" s="26"/>
      <c r="AI276" s="26">
        <v>0</v>
      </c>
      <c r="AJ276" s="25" t="s">
        <v>167</v>
      </c>
      <c r="AK276" s="38">
        <f t="shared" si="144"/>
        <v>5503107</v>
      </c>
      <c r="AL276" s="41" t="str">
        <f t="shared" si="145"/>
        <v>梦灵血量低于&lt;color=#54b76b&gt;65%&lt;/color&gt;，伤害&lt;color=#54b76b&gt;+%s%&lt;/color&gt;</v>
      </c>
      <c r="AM276" s="26">
        <v>60</v>
      </c>
      <c r="AN276" s="26">
        <v>3</v>
      </c>
      <c r="AO276" s="26" t="s">
        <v>32</v>
      </c>
      <c r="AP276" s="20">
        <f t="shared" si="138"/>
        <v>271</v>
      </c>
    </row>
    <row r="277" s="20" customFormat="1" customHeight="1" spans="1:42">
      <c r="A277" s="38" t="s">
        <v>167</v>
      </c>
      <c r="B277" s="38" t="str">
        <f t="shared" si="139"/>
        <v/>
      </c>
      <c r="C277" s="32" t="str">
        <f t="shared" si="140"/>
        <v/>
      </c>
      <c r="D277" s="32"/>
      <c r="E277" s="26"/>
      <c r="F277" s="26" t="str">
        <f t="shared" si="134"/>
        <v/>
      </c>
      <c r="G277" s="26" t="str">
        <f>IFERROR(IF(--MID($E277,2*COUNTIF($F277:F277,"&gt;"&amp;0)+2,1)=G$1,G$1,""),"")</f>
        <v/>
      </c>
      <c r="H277" s="26" t="str">
        <f>IFERROR(IF(--MID($E277,2*COUNTIF($F277:G277,"&gt;"&amp;0)+2,1)=H$1,H$1,""),"")</f>
        <v/>
      </c>
      <c r="I277" s="26" t="str">
        <f>IFERROR(IF(--MID($E277,2*COUNTIF($F277:H277,"&gt;"&amp;0)+2,1)=I$1,I$1,""),"")</f>
        <v/>
      </c>
      <c r="J277" s="26" t="str">
        <f>IFERROR(IF(--MID($E277,2*COUNTIF($F277:I277,"&gt;"&amp;0)+2,1)=J$1,J$1,""),"")</f>
        <v/>
      </c>
      <c r="K277" s="26" t="str">
        <f>IFERROR(IF(--MID($E277,2*COUNTIF($F277:J277,"&gt;"&amp;0)+2,1)=K$1,K$1,""),"")</f>
        <v/>
      </c>
      <c r="L277" s="39" t="str" cm="1">
        <f t="array" ref="L277">IFERROR(IF($A277="","",IF(F277="","",_xlfn.XLOOKUP($C277&amp;"_"&amp;$AG277,符文权重!$A:$A&amp;"_"&amp;符文权重!$C:$C,符文权重!$D:$D)*$X277/SUMIFS($X:$X,F:F,F277,$C:$C,$C277,$AG:$AG,$AG277)/SUMIF(符文权重!$A:$A,$C277,符文权重!$D:$D))),"")</f>
        <v/>
      </c>
      <c r="M277" s="39" t="str" cm="1">
        <f t="array" ref="M277">IFERROR(IF($A277="","",IF(G277="","",_xlfn.XLOOKUP($C277&amp;"_"&amp;$AG277,符文权重!$A:$A&amp;"_"&amp;符文权重!$C:$C,符文权重!$D:$D)*$X277/SUMIFS($X:$X,G:G,G277,$C:$C,$C277,$AG:$AG,$AG277)/SUMIF(符文权重!$A:$A,$C277,符文权重!$D:$D))),"")</f>
        <v/>
      </c>
      <c r="N277" s="39" t="str" cm="1">
        <f t="array" ref="N277">IFERROR(IF($A277="","",IF(H277="","",_xlfn.XLOOKUP($C277&amp;"_"&amp;$AG277,符文权重!$A:$A&amp;"_"&amp;符文权重!$C:$C,符文权重!$D:$D)*$X277/SUMIFS($X:$X,H:H,H277,$C:$C,$C277,$AG:$AG,$AG277)/SUMIF(符文权重!$A:$A,$C277,符文权重!$D:$D))),"")</f>
        <v/>
      </c>
      <c r="O277" s="39" t="str" cm="1">
        <f t="array" ref="O277">IFERROR(IF($A277="","",IF(I277="","",_xlfn.XLOOKUP($C277&amp;"_"&amp;$AG277,符文权重!$A:$A&amp;"_"&amp;符文权重!$C:$C,符文权重!$D:$D)*$X277/SUMIFS($X:$X,I:I,I277,$C:$C,$C277,$AG:$AG,$AG277)/SUMIF(符文权重!$A:$A,$C277,符文权重!$D:$D))),"")</f>
        <v/>
      </c>
      <c r="P277" s="39" t="str" cm="1">
        <f t="array" ref="P277">IFERROR(IF($A277="","",IF(J277="","",_xlfn.XLOOKUP($C277&amp;"_"&amp;$AG277,符文权重!$A:$A&amp;"_"&amp;符文权重!$C:$C,符文权重!$D:$D)*$X277/SUMIFS($X:$X,J:J,J277,$C:$C,$C277,$AG:$AG,$AG277)/SUMIF(符文权重!$A:$A,$C277,符文权重!$D:$D))),"")</f>
        <v/>
      </c>
      <c r="Q277" s="39" t="str" cm="1">
        <f t="array" ref="Q277">IFERROR(IF($A277="","",IF(K277="","",_xlfn.XLOOKUP($C277&amp;"_"&amp;$AG277,符文权重!$A:$A&amp;"_"&amp;符文权重!$C:$C,符文权重!$D:$D)*$X277/SUMIFS($X:$X,K:K,K277,$C:$C,$C277,$AG:$AG,$AG277)/SUMIF(符文权重!$A:$A,$C277,符文权重!$D:$D))),"")</f>
        <v/>
      </c>
      <c r="R277" s="26"/>
      <c r="S277" s="26"/>
      <c r="T277" s="26"/>
      <c r="V277" s="31"/>
      <c r="W277" s="25"/>
      <c r="X277" s="32"/>
      <c r="Y277" s="25"/>
      <c r="Z277" s="32" t="s">
        <v>167</v>
      </c>
      <c r="AA277" s="32" t="str">
        <f t="shared" si="146"/>
        <v/>
      </c>
      <c r="AB277" s="32"/>
      <c r="AC277" s="32" t="s">
        <v>166</v>
      </c>
      <c r="AD277" s="32">
        <f t="shared" si="137"/>
        <v>1272</v>
      </c>
      <c r="AE277" s="38" t="str">
        <f t="shared" si="142"/>
        <v/>
      </c>
      <c r="AF277" s="32" t="str">
        <f t="shared" si="143"/>
        <v/>
      </c>
      <c r="AG277" s="26"/>
      <c r="AH277" s="26"/>
      <c r="AI277" s="26"/>
      <c r="AJ277" s="25" t="s">
        <v>167</v>
      </c>
      <c r="AK277" s="24"/>
      <c r="AL277" s="43"/>
      <c r="AM277" s="26"/>
      <c r="AN277" s="26"/>
      <c r="AO277" s="26"/>
      <c r="AP277" s="20">
        <f t="shared" si="138"/>
        <v>272</v>
      </c>
    </row>
    <row r="278" s="22" customFormat="1" customHeight="1" spans="1:42">
      <c r="A278" s="44">
        <v>5504011</v>
      </c>
      <c r="B278" s="44" t="str">
        <f t="shared" si="139"/>
        <v>5504011</v>
      </c>
      <c r="C278" s="45">
        <f t="shared" si="140"/>
        <v>1</v>
      </c>
      <c r="D278" s="45"/>
      <c r="E278" s="46" t="s">
        <v>162</v>
      </c>
      <c r="F278" s="26">
        <f t="shared" si="134"/>
        <v>1</v>
      </c>
      <c r="G278" s="26">
        <f>IFERROR(IF(--MID($E278,2*COUNTIF($F278:F278,"&gt;"&amp;0)+2,1)=G$1,G$1,""),"")</f>
        <v>2</v>
      </c>
      <c r="H278" s="26">
        <f>IFERROR(IF(--MID($E278,2*COUNTIF($F278:G278,"&gt;"&amp;0)+2,1)=H$1,H$1,""),"")</f>
        <v>3</v>
      </c>
      <c r="I278" s="26">
        <f>IFERROR(IF(--MID($E278,2*COUNTIF($F278:H278,"&gt;"&amp;0)+2,1)=I$1,I$1,""),"")</f>
        <v>4</v>
      </c>
      <c r="J278" s="26">
        <f>IFERROR(IF(--MID($E278,2*COUNTIF($F278:I278,"&gt;"&amp;0)+2,1)=J$1,J$1,""),"")</f>
        <v>5</v>
      </c>
      <c r="K278" s="26">
        <f>IFERROR(IF(--MID($E278,2*COUNTIF($F278:J278,"&gt;"&amp;0)+2,1)=K$1,K$1,""),"")</f>
        <v>6</v>
      </c>
      <c r="L278" s="39" t="str" cm="1">
        <f t="array" ref="L278">IFERROR(IF($A278="","",IF(F278="","",_xlfn.XLOOKUP($C278&amp;"_"&amp;$AG278,符文权重!$A:$A&amp;"_"&amp;符文权重!$C:$C,符文权重!$D:$D)*$X278/SUMIFS($X:$X,F:F,F278,$C:$C,$C278,$AG:$AG,$AG278)/SUMIF(符文权重!$A:$A,$C278,符文权重!$D:$D))),"")</f>
        <v/>
      </c>
      <c r="M278" s="39" t="str" cm="1">
        <f t="array" ref="M278">IFERROR(IF($A278="","",IF(G278="","",_xlfn.XLOOKUP($C278&amp;"_"&amp;$AG278,符文权重!$A:$A&amp;"_"&amp;符文权重!$C:$C,符文权重!$D:$D)*$X278/SUMIFS($X:$X,G:G,G278,$C:$C,$C278,$AG:$AG,$AG278)/SUMIF(符文权重!$A:$A,$C278,符文权重!$D:$D))),"")</f>
        <v/>
      </c>
      <c r="N278" s="39" t="str" cm="1">
        <f t="array" ref="N278">IFERROR(IF($A278="","",IF(H278="","",_xlfn.XLOOKUP($C278&amp;"_"&amp;$AG278,符文权重!$A:$A&amp;"_"&amp;符文权重!$C:$C,符文权重!$D:$D)*$X278/SUMIFS($X:$X,H:H,H278,$C:$C,$C278,$AG:$AG,$AG278)/SUMIF(符文权重!$A:$A,$C278,符文权重!$D:$D))),"")</f>
        <v/>
      </c>
      <c r="O278" s="39" t="str" cm="1">
        <f t="array" ref="O278">IFERROR(IF($A278="","",IF(I278="","",_xlfn.XLOOKUP($C278&amp;"_"&amp;$AG278,符文权重!$A:$A&amp;"_"&amp;符文权重!$C:$C,符文权重!$D:$D)*$X278/SUMIFS($X:$X,I:I,I278,$C:$C,$C278,$AG:$AG,$AG278)/SUMIF(符文权重!$A:$A,$C278,符文权重!$D:$D))),"")</f>
        <v/>
      </c>
      <c r="P278" s="39" t="str" cm="1">
        <f t="array" ref="P278">IFERROR(IF($A278="","",IF(J278="","",_xlfn.XLOOKUP($C278&amp;"_"&amp;$AG278,符文权重!$A:$A&amp;"_"&amp;符文权重!$C:$C,符文权重!$D:$D)*$X278/SUMIFS($X:$X,J:J,J278,$C:$C,$C278,$AG:$AG,$AG278)/SUMIF(符文权重!$A:$A,$C278,符文权重!$D:$D))),"")</f>
        <v/>
      </c>
      <c r="Q278" s="39" t="str" cm="1">
        <f t="array" ref="Q278">IFERROR(IF($A278="","",IF(K278="","",_xlfn.XLOOKUP($C278&amp;"_"&amp;$AG278,符文权重!$A:$A&amp;"_"&amp;符文权重!$C:$C,符文权重!$D:$D)*$X278/SUMIFS($X:$X,K:K,K278,$C:$C,$C278,$AG:$AG,$AG278)/SUMIF(符文权重!$A:$A,$C278,符文权重!$D:$D))),"")</f>
        <v/>
      </c>
      <c r="R278" s="46" t="s">
        <v>330</v>
      </c>
      <c r="S278" s="46"/>
      <c r="T278" s="46" t="e">
        <f>IF(B278="","",SUBSTITUTE(SUBSTITUTE("[{global_atk,"&amp;#REF!*C278&amp;"}]",21,20),9,8))</f>
        <v>#REF!</v>
      </c>
      <c r="U278" s="47" t="str">
        <f t="shared" ref="U278:U284" si="147">"["&amp;A278&amp;"]"</f>
        <v>[5504011]</v>
      </c>
      <c r="V278" s="46"/>
      <c r="W278" s="23"/>
      <c r="X278" s="32">
        <v>100</v>
      </c>
      <c r="Y278" s="23"/>
      <c r="Z278" s="45" t="s">
        <v>165</v>
      </c>
      <c r="AA278" s="32" t="str">
        <f t="shared" si="146"/>
        <v>梦灵满血时，伤害+10%</v>
      </c>
      <c r="AB278" s="32"/>
      <c r="AC278" s="32" t="s">
        <v>166</v>
      </c>
      <c r="AD278" s="32">
        <f t="shared" si="137"/>
        <v>1273</v>
      </c>
      <c r="AE278" s="44" t="str">
        <f t="shared" si="142"/>
        <v>5504011</v>
      </c>
      <c r="AF278" s="45" t="str">
        <f t="shared" si="143"/>
        <v>[10]</v>
      </c>
      <c r="AG278" s="26">
        <v>100</v>
      </c>
      <c r="AH278" s="46"/>
      <c r="AI278" s="46">
        <v>1</v>
      </c>
      <c r="AJ278" s="25" t="s">
        <v>167</v>
      </c>
      <c r="AK278" s="48">
        <v>5504011</v>
      </c>
      <c r="AL278" s="49" t="s">
        <v>366</v>
      </c>
      <c r="AM278" s="46">
        <v>10</v>
      </c>
      <c r="AN278" s="26"/>
      <c r="AO278" s="26" t="s">
        <v>25</v>
      </c>
      <c r="AP278" s="20">
        <f t="shared" si="138"/>
        <v>273</v>
      </c>
    </row>
    <row r="279" s="22" customFormat="1" customHeight="1" spans="1:42">
      <c r="A279" s="44">
        <v>5504012</v>
      </c>
      <c r="B279" s="44" t="str">
        <f t="shared" si="139"/>
        <v>5504011</v>
      </c>
      <c r="C279" s="45">
        <f t="shared" si="140"/>
        <v>2</v>
      </c>
      <c r="D279" s="45"/>
      <c r="E279" s="46" t="s">
        <v>162</v>
      </c>
      <c r="F279" s="26">
        <f t="shared" si="134"/>
        <v>1</v>
      </c>
      <c r="G279" s="26">
        <f>IFERROR(IF(--MID($E279,2*COUNTIF($F279:F279,"&gt;"&amp;0)+2,1)=G$1,G$1,""),"")</f>
        <v>2</v>
      </c>
      <c r="H279" s="26">
        <f>IFERROR(IF(--MID($E279,2*COUNTIF($F279:G279,"&gt;"&amp;0)+2,1)=H$1,H$1,""),"")</f>
        <v>3</v>
      </c>
      <c r="I279" s="26">
        <f>IFERROR(IF(--MID($E279,2*COUNTIF($F279:H279,"&gt;"&amp;0)+2,1)=I$1,I$1,""),"")</f>
        <v>4</v>
      </c>
      <c r="J279" s="26">
        <f>IFERROR(IF(--MID($E279,2*COUNTIF($F279:I279,"&gt;"&amp;0)+2,1)=J$1,J$1,""),"")</f>
        <v>5</v>
      </c>
      <c r="K279" s="26">
        <f>IFERROR(IF(--MID($E279,2*COUNTIF($F279:J279,"&gt;"&amp;0)+2,1)=K$1,K$1,""),"")</f>
        <v>6</v>
      </c>
      <c r="L279" s="39" t="str" cm="1">
        <f t="array" ref="L279">IFERROR(IF($A279="","",IF(F279="","",_xlfn.XLOOKUP($C279&amp;"_"&amp;$AG279,符文权重!$A:$A&amp;"_"&amp;符文权重!$C:$C,符文权重!$D:$D)*$X279/SUMIFS($X:$X,F:F,F279,$C:$C,$C279,$AG:$AG,$AG279)/SUMIF(符文权重!$A:$A,$C279,符文权重!$D:$D))),"")</f>
        <v/>
      </c>
      <c r="M279" s="39" t="str" cm="1">
        <f t="array" ref="M279">IFERROR(IF($A279="","",IF(G279="","",_xlfn.XLOOKUP($C279&amp;"_"&amp;$AG279,符文权重!$A:$A&amp;"_"&amp;符文权重!$C:$C,符文权重!$D:$D)*$X279/SUMIFS($X:$X,G:G,G279,$C:$C,$C279,$AG:$AG,$AG279)/SUMIF(符文权重!$A:$A,$C279,符文权重!$D:$D))),"")</f>
        <v/>
      </c>
      <c r="N279" s="39" t="str" cm="1">
        <f t="array" ref="N279">IFERROR(IF($A279="","",IF(H279="","",_xlfn.XLOOKUP($C279&amp;"_"&amp;$AG279,符文权重!$A:$A&amp;"_"&amp;符文权重!$C:$C,符文权重!$D:$D)*$X279/SUMIFS($X:$X,H:H,H279,$C:$C,$C279,$AG:$AG,$AG279)/SUMIF(符文权重!$A:$A,$C279,符文权重!$D:$D))),"")</f>
        <v/>
      </c>
      <c r="O279" s="39" t="str" cm="1">
        <f t="array" ref="O279">IFERROR(IF($A279="","",IF(I279="","",_xlfn.XLOOKUP($C279&amp;"_"&amp;$AG279,符文权重!$A:$A&amp;"_"&amp;符文权重!$C:$C,符文权重!$D:$D)*$X279/SUMIFS($X:$X,I:I,I279,$C:$C,$C279,$AG:$AG,$AG279)/SUMIF(符文权重!$A:$A,$C279,符文权重!$D:$D))),"")</f>
        <v/>
      </c>
      <c r="P279" s="39" t="str" cm="1">
        <f t="array" ref="P279">IFERROR(IF($A279="","",IF(J279="","",_xlfn.XLOOKUP($C279&amp;"_"&amp;$AG279,符文权重!$A:$A&amp;"_"&amp;符文权重!$C:$C,符文权重!$D:$D)*$X279/SUMIFS($X:$X,J:J,J279,$C:$C,$C279,$AG:$AG,$AG279)/SUMIF(符文权重!$A:$A,$C279,符文权重!$D:$D))),"")</f>
        <v/>
      </c>
      <c r="Q279" s="39" t="str" cm="1">
        <f t="array" ref="Q279">IFERROR(IF($A279="","",IF(K279="","",_xlfn.XLOOKUP($C279&amp;"_"&amp;$AG279,符文权重!$A:$A&amp;"_"&amp;符文权重!$C:$C,符文权重!$D:$D)*$X279/SUMIFS($X:$X,K:K,K279,$C:$C,$C279,$AG:$AG,$AG279)/SUMIF(符文权重!$A:$A,$C279,符文权重!$D:$D))),"")</f>
        <v/>
      </c>
      <c r="R279" s="46" t="s">
        <v>330</v>
      </c>
      <c r="S279" s="46"/>
      <c r="T279" s="46" t="e">
        <f>IF(B279="","",SUBSTITUTE(SUBSTITUTE("[{global_atk,"&amp;#REF!*C279&amp;"}]",21,20),9,8))</f>
        <v>#REF!</v>
      </c>
      <c r="U279" s="47" t="str">
        <f t="shared" si="147"/>
        <v>[5504012]</v>
      </c>
      <c r="V279" s="46"/>
      <c r="W279" s="23"/>
      <c r="X279" s="32">
        <v>100</v>
      </c>
      <c r="Y279" s="23"/>
      <c r="Z279" s="45" t="s">
        <v>170</v>
      </c>
      <c r="AA279" s="32" t="str">
        <f t="shared" si="146"/>
        <v>梦灵满血时，伤害+15%</v>
      </c>
      <c r="AB279" s="32"/>
      <c r="AC279" s="32" t="s">
        <v>166</v>
      </c>
      <c r="AD279" s="32">
        <f t="shared" si="137"/>
        <v>1274</v>
      </c>
      <c r="AE279" s="44" t="str">
        <f t="shared" si="142"/>
        <v>5504011</v>
      </c>
      <c r="AF279" s="45" t="str">
        <f t="shared" si="143"/>
        <v>[15]</v>
      </c>
      <c r="AG279" s="26">
        <v>100</v>
      </c>
      <c r="AH279" s="46"/>
      <c r="AI279" s="46">
        <v>1</v>
      </c>
      <c r="AJ279" s="25" t="s">
        <v>167</v>
      </c>
      <c r="AK279" s="44">
        <f t="shared" ref="AK279:AK284" si="148">AK278+1</f>
        <v>5504012</v>
      </c>
      <c r="AL279" s="50" t="str">
        <f t="shared" ref="AL279:AL284" si="149">AL278</f>
        <v>梦灵满血时，伤害&lt;color=#54b76b&gt;+%s%&lt;/color&gt;</v>
      </c>
      <c r="AM279" s="46">
        <v>15</v>
      </c>
      <c r="AN279" s="26"/>
      <c r="AO279" s="26" t="s">
        <v>25</v>
      </c>
      <c r="AP279" s="20">
        <f t="shared" si="138"/>
        <v>274</v>
      </c>
    </row>
    <row r="280" s="20" customFormat="1" customHeight="1" spans="1:42">
      <c r="A280" s="38">
        <v>5504013</v>
      </c>
      <c r="B280" s="38" t="str">
        <f t="shared" si="139"/>
        <v>5504011</v>
      </c>
      <c r="C280" s="32">
        <f t="shared" si="140"/>
        <v>3</v>
      </c>
      <c r="D280" s="32"/>
      <c r="E280" s="26" t="s">
        <v>162</v>
      </c>
      <c r="F280" s="26">
        <f t="shared" si="134"/>
        <v>1</v>
      </c>
      <c r="G280" s="26">
        <f>IFERROR(IF(--MID($E280,2*COUNTIF($F280:F280,"&gt;"&amp;0)+2,1)=G$1,G$1,""),"")</f>
        <v>2</v>
      </c>
      <c r="H280" s="26">
        <f>IFERROR(IF(--MID($E280,2*COUNTIF($F280:G280,"&gt;"&amp;0)+2,1)=H$1,H$1,""),"")</f>
        <v>3</v>
      </c>
      <c r="I280" s="26">
        <f>IFERROR(IF(--MID($E280,2*COUNTIF($F280:H280,"&gt;"&amp;0)+2,1)=I$1,I$1,""),"")</f>
        <v>4</v>
      </c>
      <c r="J280" s="26">
        <f>IFERROR(IF(--MID($E280,2*COUNTIF($F280:I280,"&gt;"&amp;0)+2,1)=J$1,J$1,""),"")</f>
        <v>5</v>
      </c>
      <c r="K280" s="26">
        <f>IFERROR(IF(--MID($E280,2*COUNTIF($F280:J280,"&gt;"&amp;0)+2,1)=K$1,K$1,""),"")</f>
        <v>6</v>
      </c>
      <c r="L280" s="39" t="str" cm="1">
        <f t="array" ref="L280">IFERROR(IF($A280="","",IF(F280="","",_xlfn.XLOOKUP($C280&amp;"_"&amp;$AG280,符文权重!$A:$A&amp;"_"&amp;符文权重!$C:$C,符文权重!$D:$D)*$X280/SUMIFS($X:$X,F:F,F280,$C:$C,$C280,$AG:$AG,$AG280)/SUMIF(符文权重!$A:$A,$C280,符文权重!$D:$D))),"")</f>
        <v/>
      </c>
      <c r="M280" s="39" t="str" cm="1">
        <f t="array" ref="M280">IFERROR(IF($A280="","",IF(G280="","",_xlfn.XLOOKUP($C280&amp;"_"&amp;$AG280,符文权重!$A:$A&amp;"_"&amp;符文权重!$C:$C,符文权重!$D:$D)*$X280/SUMIFS($X:$X,G:G,G280,$C:$C,$C280,$AG:$AG,$AG280)/SUMIF(符文权重!$A:$A,$C280,符文权重!$D:$D))),"")</f>
        <v/>
      </c>
      <c r="N280" s="39" t="str" cm="1">
        <f t="array" ref="N280">IFERROR(IF($A280="","",IF(H280="","",_xlfn.XLOOKUP($C280&amp;"_"&amp;$AG280,符文权重!$A:$A&amp;"_"&amp;符文权重!$C:$C,符文权重!$D:$D)*$X280/SUMIFS($X:$X,H:H,H280,$C:$C,$C280,$AG:$AG,$AG280)/SUMIF(符文权重!$A:$A,$C280,符文权重!$D:$D))),"")</f>
        <v/>
      </c>
      <c r="O280" s="39" t="str" cm="1">
        <f t="array" ref="O280">IFERROR(IF($A280="","",IF(I280="","",_xlfn.XLOOKUP($C280&amp;"_"&amp;$AG280,符文权重!$A:$A&amp;"_"&amp;符文权重!$C:$C,符文权重!$D:$D)*$X280/SUMIFS($X:$X,I:I,I280,$C:$C,$C280,$AG:$AG,$AG280)/SUMIF(符文权重!$A:$A,$C280,符文权重!$D:$D))),"")</f>
        <v/>
      </c>
      <c r="P280" s="39" t="str" cm="1">
        <f t="array" ref="P280">IFERROR(IF($A280="","",IF(J280="","",_xlfn.XLOOKUP($C280&amp;"_"&amp;$AG280,符文权重!$A:$A&amp;"_"&amp;符文权重!$C:$C,符文权重!$D:$D)*$X280/SUMIFS($X:$X,J:J,J280,$C:$C,$C280,$AG:$AG,$AG280)/SUMIF(符文权重!$A:$A,$C280,符文权重!$D:$D))),"")</f>
        <v/>
      </c>
      <c r="Q280" s="39" t="str" cm="1">
        <f t="array" ref="Q280">IFERROR(IF($A280="","",IF(K280="","",_xlfn.XLOOKUP($C280&amp;"_"&amp;$AG280,符文权重!$A:$A&amp;"_"&amp;符文权重!$C:$C,符文权重!$D:$D)*$X280/SUMIFS($X:$X,K:K,K280,$C:$C,$C280,$AG:$AG,$AG280)/SUMIF(符文权重!$A:$A,$C280,符文权重!$D:$D))),"")</f>
        <v/>
      </c>
      <c r="R280" s="26" t="s">
        <v>330</v>
      </c>
      <c r="S280" s="26"/>
      <c r="T280" s="26" t="e">
        <f>IF(B280="","",SUBSTITUTE(SUBSTITUTE("[{global_atk,"&amp;#REF!*C280&amp;"}]",21,20),9,8))</f>
        <v>#REF!</v>
      </c>
      <c r="U280" s="40" t="str">
        <f t="shared" si="147"/>
        <v>[5504013]</v>
      </c>
      <c r="V280" s="26"/>
      <c r="W280" s="25"/>
      <c r="X280" s="32">
        <v>100</v>
      </c>
      <c r="Y280" s="25"/>
      <c r="Z280" s="32" t="s">
        <v>172</v>
      </c>
      <c r="AA280" s="32" t="str">
        <f t="shared" si="146"/>
        <v>梦灵满血时，伤害+20%</v>
      </c>
      <c r="AB280" s="32"/>
      <c r="AC280" s="32" t="s">
        <v>166</v>
      </c>
      <c r="AD280" s="32">
        <f t="shared" si="137"/>
        <v>1275</v>
      </c>
      <c r="AE280" s="38" t="str">
        <f t="shared" si="142"/>
        <v>5504011</v>
      </c>
      <c r="AF280" s="32" t="str">
        <f t="shared" si="143"/>
        <v>[20]</v>
      </c>
      <c r="AG280" s="26">
        <v>100</v>
      </c>
      <c r="AH280" s="26"/>
      <c r="AI280" s="26">
        <v>1</v>
      </c>
      <c r="AJ280" s="25" t="s">
        <v>167</v>
      </c>
      <c r="AK280" s="38">
        <f t="shared" si="148"/>
        <v>5504013</v>
      </c>
      <c r="AL280" s="41" t="str">
        <f t="shared" si="149"/>
        <v>梦灵满血时，伤害&lt;color=#54b76b&gt;+%s%&lt;/color&gt;</v>
      </c>
      <c r="AM280" s="26">
        <v>20</v>
      </c>
      <c r="AN280" s="26"/>
      <c r="AO280" s="26" t="s">
        <v>25</v>
      </c>
      <c r="AP280" s="20">
        <f t="shared" si="138"/>
        <v>275</v>
      </c>
    </row>
    <row r="281" s="20" customFormat="1" customHeight="1" spans="1:42">
      <c r="A281" s="38">
        <v>5504014</v>
      </c>
      <c r="B281" s="38" t="str">
        <f t="shared" si="139"/>
        <v>5504011</v>
      </c>
      <c r="C281" s="32">
        <f t="shared" si="140"/>
        <v>4</v>
      </c>
      <c r="D281" s="32"/>
      <c r="E281" s="26" t="s">
        <v>162</v>
      </c>
      <c r="F281" s="26">
        <f t="shared" si="134"/>
        <v>1</v>
      </c>
      <c r="G281" s="26">
        <f>IFERROR(IF(--MID($E281,2*COUNTIF($F281:F281,"&gt;"&amp;0)+2,1)=G$1,G$1,""),"")</f>
        <v>2</v>
      </c>
      <c r="H281" s="26">
        <f>IFERROR(IF(--MID($E281,2*COUNTIF($F281:G281,"&gt;"&amp;0)+2,1)=H$1,H$1,""),"")</f>
        <v>3</v>
      </c>
      <c r="I281" s="26">
        <f>IFERROR(IF(--MID($E281,2*COUNTIF($F281:H281,"&gt;"&amp;0)+2,1)=I$1,I$1,""),"")</f>
        <v>4</v>
      </c>
      <c r="J281" s="26">
        <f>IFERROR(IF(--MID($E281,2*COUNTIF($F281:I281,"&gt;"&amp;0)+2,1)=J$1,J$1,""),"")</f>
        <v>5</v>
      </c>
      <c r="K281" s="26">
        <f>IFERROR(IF(--MID($E281,2*COUNTIF($F281:J281,"&gt;"&amp;0)+2,1)=K$1,K$1,""),"")</f>
        <v>6</v>
      </c>
      <c r="L281" s="39" t="str" cm="1">
        <f t="array" ref="L281">IFERROR(IF($A281="","",IF(F281="","",_xlfn.XLOOKUP($C281&amp;"_"&amp;$AG281,符文权重!$A:$A&amp;"_"&amp;符文权重!$C:$C,符文权重!$D:$D)*$X281/SUMIFS($X:$X,F:F,F281,$C:$C,$C281,$AG:$AG,$AG281)/SUMIF(符文权重!$A:$A,$C281,符文权重!$D:$D))),"")</f>
        <v/>
      </c>
      <c r="M281" s="39" t="str" cm="1">
        <f t="array" ref="M281">IFERROR(IF($A281="","",IF(G281="","",_xlfn.XLOOKUP($C281&amp;"_"&amp;$AG281,符文权重!$A:$A&amp;"_"&amp;符文权重!$C:$C,符文权重!$D:$D)*$X281/SUMIFS($X:$X,G:G,G281,$C:$C,$C281,$AG:$AG,$AG281)/SUMIF(符文权重!$A:$A,$C281,符文权重!$D:$D))),"")</f>
        <v/>
      </c>
      <c r="N281" s="39" t="str" cm="1">
        <f t="array" ref="N281">IFERROR(IF($A281="","",IF(H281="","",_xlfn.XLOOKUP($C281&amp;"_"&amp;$AG281,符文权重!$A:$A&amp;"_"&amp;符文权重!$C:$C,符文权重!$D:$D)*$X281/SUMIFS($X:$X,H:H,H281,$C:$C,$C281,$AG:$AG,$AG281)/SUMIF(符文权重!$A:$A,$C281,符文权重!$D:$D))),"")</f>
        <v/>
      </c>
      <c r="O281" s="39" t="str" cm="1">
        <f t="array" ref="O281">IFERROR(IF($A281="","",IF(I281="","",_xlfn.XLOOKUP($C281&amp;"_"&amp;$AG281,符文权重!$A:$A&amp;"_"&amp;符文权重!$C:$C,符文权重!$D:$D)*$X281/SUMIFS($X:$X,I:I,I281,$C:$C,$C281,$AG:$AG,$AG281)/SUMIF(符文权重!$A:$A,$C281,符文权重!$D:$D))),"")</f>
        <v/>
      </c>
      <c r="P281" s="39" t="str" cm="1">
        <f t="array" ref="P281">IFERROR(IF($A281="","",IF(J281="","",_xlfn.XLOOKUP($C281&amp;"_"&amp;$AG281,符文权重!$A:$A&amp;"_"&amp;符文权重!$C:$C,符文权重!$D:$D)*$X281/SUMIFS($X:$X,J:J,J281,$C:$C,$C281,$AG:$AG,$AG281)/SUMIF(符文权重!$A:$A,$C281,符文权重!$D:$D))),"")</f>
        <v/>
      </c>
      <c r="Q281" s="39" t="str" cm="1">
        <f t="array" ref="Q281">IFERROR(IF($A281="","",IF(K281="","",_xlfn.XLOOKUP($C281&amp;"_"&amp;$AG281,符文权重!$A:$A&amp;"_"&amp;符文权重!$C:$C,符文权重!$D:$D)*$X281/SUMIFS($X:$X,K:K,K281,$C:$C,$C281,$AG:$AG,$AG281)/SUMIF(符文权重!$A:$A,$C281,符文权重!$D:$D))),"")</f>
        <v/>
      </c>
      <c r="R281" s="26" t="s">
        <v>330</v>
      </c>
      <c r="S281" s="26"/>
      <c r="T281" s="26" t="e">
        <f>IF(B281="","",SUBSTITUTE(SUBSTITUTE("[{global_atk,"&amp;#REF!*C281&amp;"}]",21,20),9,8))</f>
        <v>#REF!</v>
      </c>
      <c r="U281" s="40" t="str">
        <f t="shared" si="147"/>
        <v>[5504014]</v>
      </c>
      <c r="V281" s="26"/>
      <c r="W281" s="25"/>
      <c r="X281" s="32">
        <v>100</v>
      </c>
      <c r="Y281" s="25"/>
      <c r="Z281" s="32" t="s">
        <v>174</v>
      </c>
      <c r="AA281" s="32" t="str">
        <f t="shared" si="146"/>
        <v>梦灵满血时，伤害+25%</v>
      </c>
      <c r="AB281" s="32"/>
      <c r="AC281" s="32" t="s">
        <v>166</v>
      </c>
      <c r="AD281" s="32">
        <f t="shared" si="137"/>
        <v>1276</v>
      </c>
      <c r="AE281" s="38" t="str">
        <f t="shared" si="142"/>
        <v>5504011</v>
      </c>
      <c r="AF281" s="32" t="str">
        <f t="shared" si="143"/>
        <v>[25]</v>
      </c>
      <c r="AG281" s="26">
        <v>100</v>
      </c>
      <c r="AH281" s="26"/>
      <c r="AI281" s="26">
        <v>1</v>
      </c>
      <c r="AJ281" s="25" t="s">
        <v>167</v>
      </c>
      <c r="AK281" s="38">
        <f t="shared" si="148"/>
        <v>5504014</v>
      </c>
      <c r="AL281" s="41" t="str">
        <f t="shared" si="149"/>
        <v>梦灵满血时，伤害&lt;color=#54b76b&gt;+%s%&lt;/color&gt;</v>
      </c>
      <c r="AM281" s="26">
        <v>25</v>
      </c>
      <c r="AN281" s="26"/>
      <c r="AO281" s="26" t="s">
        <v>25</v>
      </c>
      <c r="AP281" s="20">
        <f t="shared" si="138"/>
        <v>276</v>
      </c>
    </row>
    <row r="282" s="20" customFormat="1" customHeight="1" spans="1:42">
      <c r="A282" s="38">
        <v>5504015</v>
      </c>
      <c r="B282" s="38" t="str">
        <f t="shared" si="139"/>
        <v>5504011</v>
      </c>
      <c r="C282" s="32">
        <f t="shared" si="140"/>
        <v>5</v>
      </c>
      <c r="D282" s="32"/>
      <c r="E282" s="26" t="s">
        <v>162</v>
      </c>
      <c r="F282" s="26">
        <f t="shared" si="134"/>
        <v>1</v>
      </c>
      <c r="G282" s="26">
        <f>IFERROR(IF(--MID($E282,2*COUNTIF($F282:F282,"&gt;"&amp;0)+2,1)=G$1,G$1,""),"")</f>
        <v>2</v>
      </c>
      <c r="H282" s="26">
        <f>IFERROR(IF(--MID($E282,2*COUNTIF($F282:G282,"&gt;"&amp;0)+2,1)=H$1,H$1,""),"")</f>
        <v>3</v>
      </c>
      <c r="I282" s="26">
        <f>IFERROR(IF(--MID($E282,2*COUNTIF($F282:H282,"&gt;"&amp;0)+2,1)=I$1,I$1,""),"")</f>
        <v>4</v>
      </c>
      <c r="J282" s="26">
        <f>IFERROR(IF(--MID($E282,2*COUNTIF($F282:I282,"&gt;"&amp;0)+2,1)=J$1,J$1,""),"")</f>
        <v>5</v>
      </c>
      <c r="K282" s="26">
        <f>IFERROR(IF(--MID($E282,2*COUNTIF($F282:J282,"&gt;"&amp;0)+2,1)=K$1,K$1,""),"")</f>
        <v>6</v>
      </c>
      <c r="L282" s="39" t="str" cm="1">
        <f t="array" ref="L282">IFERROR(IF($A282="","",IF(F282="","",_xlfn.XLOOKUP($C282&amp;"_"&amp;$AG282,符文权重!$A:$A&amp;"_"&amp;符文权重!$C:$C,符文权重!$D:$D)*$X282/SUMIFS($X:$X,F:F,F282,$C:$C,$C282,$AG:$AG,$AG282)/SUMIF(符文权重!$A:$A,$C282,符文权重!$D:$D))),"")</f>
        <v/>
      </c>
      <c r="M282" s="39" t="str" cm="1">
        <f t="array" ref="M282">IFERROR(IF($A282="","",IF(G282="","",_xlfn.XLOOKUP($C282&amp;"_"&amp;$AG282,符文权重!$A:$A&amp;"_"&amp;符文权重!$C:$C,符文权重!$D:$D)*$X282/SUMIFS($X:$X,G:G,G282,$C:$C,$C282,$AG:$AG,$AG282)/SUMIF(符文权重!$A:$A,$C282,符文权重!$D:$D))),"")</f>
        <v/>
      </c>
      <c r="N282" s="39" t="str" cm="1">
        <f t="array" ref="N282">IFERROR(IF($A282="","",IF(H282="","",_xlfn.XLOOKUP($C282&amp;"_"&amp;$AG282,符文权重!$A:$A&amp;"_"&amp;符文权重!$C:$C,符文权重!$D:$D)*$X282/SUMIFS($X:$X,H:H,H282,$C:$C,$C282,$AG:$AG,$AG282)/SUMIF(符文权重!$A:$A,$C282,符文权重!$D:$D))),"")</f>
        <v/>
      </c>
      <c r="O282" s="39" t="str" cm="1">
        <f t="array" ref="O282">IFERROR(IF($A282="","",IF(I282="","",_xlfn.XLOOKUP($C282&amp;"_"&amp;$AG282,符文权重!$A:$A&amp;"_"&amp;符文权重!$C:$C,符文权重!$D:$D)*$X282/SUMIFS($X:$X,I:I,I282,$C:$C,$C282,$AG:$AG,$AG282)/SUMIF(符文权重!$A:$A,$C282,符文权重!$D:$D))),"")</f>
        <v/>
      </c>
      <c r="P282" s="39" t="str" cm="1">
        <f t="array" ref="P282">IFERROR(IF($A282="","",IF(J282="","",_xlfn.XLOOKUP($C282&amp;"_"&amp;$AG282,符文权重!$A:$A&amp;"_"&amp;符文权重!$C:$C,符文权重!$D:$D)*$X282/SUMIFS($X:$X,J:J,J282,$C:$C,$C282,$AG:$AG,$AG282)/SUMIF(符文权重!$A:$A,$C282,符文权重!$D:$D))),"")</f>
        <v/>
      </c>
      <c r="Q282" s="39" t="str" cm="1">
        <f t="array" ref="Q282">IFERROR(IF($A282="","",IF(K282="","",_xlfn.XLOOKUP($C282&amp;"_"&amp;$AG282,符文权重!$A:$A&amp;"_"&amp;符文权重!$C:$C,符文权重!$D:$D)*$X282/SUMIFS($X:$X,K:K,K282,$C:$C,$C282,$AG:$AG,$AG282)/SUMIF(符文权重!$A:$A,$C282,符文权重!$D:$D))),"")</f>
        <v/>
      </c>
      <c r="R282" s="26" t="s">
        <v>330</v>
      </c>
      <c r="S282" s="26"/>
      <c r="T282" s="26" t="e">
        <f>IF(B282="","",SUBSTITUTE(SUBSTITUTE("[{global_atk,"&amp;#REF!*C282&amp;"}]",21,20),9,8))</f>
        <v>#REF!</v>
      </c>
      <c r="U282" s="40" t="str">
        <f t="shared" si="147"/>
        <v>[5504015]</v>
      </c>
      <c r="V282" s="26"/>
      <c r="W282" s="25"/>
      <c r="X282" s="32">
        <v>100</v>
      </c>
      <c r="Y282" s="25"/>
      <c r="Z282" s="32" t="s">
        <v>176</v>
      </c>
      <c r="AA282" s="32" t="str">
        <f t="shared" si="146"/>
        <v>梦灵满血时，伤害+30%</v>
      </c>
      <c r="AB282" s="32"/>
      <c r="AC282" s="32" t="s">
        <v>166</v>
      </c>
      <c r="AD282" s="32">
        <f t="shared" si="137"/>
        <v>1277</v>
      </c>
      <c r="AE282" s="38" t="str">
        <f t="shared" si="142"/>
        <v>5504011</v>
      </c>
      <c r="AF282" s="32" t="str">
        <f t="shared" si="143"/>
        <v>[30]</v>
      </c>
      <c r="AG282" s="26">
        <v>100</v>
      </c>
      <c r="AH282" s="26"/>
      <c r="AI282" s="26">
        <v>1</v>
      </c>
      <c r="AJ282" s="25" t="s">
        <v>167</v>
      </c>
      <c r="AK282" s="38">
        <f t="shared" si="148"/>
        <v>5504015</v>
      </c>
      <c r="AL282" s="41" t="str">
        <f t="shared" si="149"/>
        <v>梦灵满血时，伤害&lt;color=#54b76b&gt;+%s%&lt;/color&gt;</v>
      </c>
      <c r="AM282" s="26">
        <v>30</v>
      </c>
      <c r="AN282" s="26"/>
      <c r="AO282" s="26" t="s">
        <v>25</v>
      </c>
      <c r="AP282" s="20">
        <f t="shared" si="138"/>
        <v>277</v>
      </c>
    </row>
    <row r="283" s="20" customFormat="1" customHeight="1" spans="1:42">
      <c r="A283" s="38">
        <v>5504016</v>
      </c>
      <c r="B283" s="38" t="str">
        <f t="shared" si="139"/>
        <v>5504011</v>
      </c>
      <c r="C283" s="32">
        <f t="shared" si="140"/>
        <v>6</v>
      </c>
      <c r="D283" s="32"/>
      <c r="E283" s="26" t="s">
        <v>162</v>
      </c>
      <c r="F283" s="26">
        <f t="shared" si="134"/>
        <v>1</v>
      </c>
      <c r="G283" s="26">
        <f>IFERROR(IF(--MID($E283,2*COUNTIF($F283:F283,"&gt;"&amp;0)+2,1)=G$1,G$1,""),"")</f>
        <v>2</v>
      </c>
      <c r="H283" s="26">
        <f>IFERROR(IF(--MID($E283,2*COUNTIF($F283:G283,"&gt;"&amp;0)+2,1)=H$1,H$1,""),"")</f>
        <v>3</v>
      </c>
      <c r="I283" s="26">
        <f>IFERROR(IF(--MID($E283,2*COUNTIF($F283:H283,"&gt;"&amp;0)+2,1)=I$1,I$1,""),"")</f>
        <v>4</v>
      </c>
      <c r="J283" s="26">
        <f>IFERROR(IF(--MID($E283,2*COUNTIF($F283:I283,"&gt;"&amp;0)+2,1)=J$1,J$1,""),"")</f>
        <v>5</v>
      </c>
      <c r="K283" s="26">
        <f>IFERROR(IF(--MID($E283,2*COUNTIF($F283:J283,"&gt;"&amp;0)+2,1)=K$1,K$1,""),"")</f>
        <v>6</v>
      </c>
      <c r="L283" s="39" t="str" cm="1">
        <f t="array" ref="L283">IFERROR(IF($A283="","",IF(F283="","",_xlfn.XLOOKUP($C283&amp;"_"&amp;$AG283,符文权重!$A:$A&amp;"_"&amp;符文权重!$C:$C,符文权重!$D:$D)*$X283/SUMIFS($X:$X,F:F,F283,$C:$C,$C283,$AG:$AG,$AG283)/SUMIF(符文权重!$A:$A,$C283,符文权重!$D:$D))),"")</f>
        <v/>
      </c>
      <c r="M283" s="39" t="str" cm="1">
        <f t="array" ref="M283">IFERROR(IF($A283="","",IF(G283="","",_xlfn.XLOOKUP($C283&amp;"_"&amp;$AG283,符文权重!$A:$A&amp;"_"&amp;符文权重!$C:$C,符文权重!$D:$D)*$X283/SUMIFS($X:$X,G:G,G283,$C:$C,$C283,$AG:$AG,$AG283)/SUMIF(符文权重!$A:$A,$C283,符文权重!$D:$D))),"")</f>
        <v/>
      </c>
      <c r="N283" s="39" t="str" cm="1">
        <f t="array" ref="N283">IFERROR(IF($A283="","",IF(H283="","",_xlfn.XLOOKUP($C283&amp;"_"&amp;$AG283,符文权重!$A:$A&amp;"_"&amp;符文权重!$C:$C,符文权重!$D:$D)*$X283/SUMIFS($X:$X,H:H,H283,$C:$C,$C283,$AG:$AG,$AG283)/SUMIF(符文权重!$A:$A,$C283,符文权重!$D:$D))),"")</f>
        <v/>
      </c>
      <c r="O283" s="39" t="str" cm="1">
        <f t="array" ref="O283">IFERROR(IF($A283="","",IF(I283="","",_xlfn.XLOOKUP($C283&amp;"_"&amp;$AG283,符文权重!$A:$A&amp;"_"&amp;符文权重!$C:$C,符文权重!$D:$D)*$X283/SUMIFS($X:$X,I:I,I283,$C:$C,$C283,$AG:$AG,$AG283)/SUMIF(符文权重!$A:$A,$C283,符文权重!$D:$D))),"")</f>
        <v/>
      </c>
      <c r="P283" s="39" t="str" cm="1">
        <f t="array" ref="P283">IFERROR(IF($A283="","",IF(J283="","",_xlfn.XLOOKUP($C283&amp;"_"&amp;$AG283,符文权重!$A:$A&amp;"_"&amp;符文权重!$C:$C,符文权重!$D:$D)*$X283/SUMIFS($X:$X,J:J,J283,$C:$C,$C283,$AG:$AG,$AG283)/SUMIF(符文权重!$A:$A,$C283,符文权重!$D:$D))),"")</f>
        <v/>
      </c>
      <c r="Q283" s="39" t="str" cm="1">
        <f t="array" ref="Q283">IFERROR(IF($A283="","",IF(K283="","",_xlfn.XLOOKUP($C283&amp;"_"&amp;$AG283,符文权重!$A:$A&amp;"_"&amp;符文权重!$C:$C,符文权重!$D:$D)*$X283/SUMIFS($X:$X,K:K,K283,$C:$C,$C283,$AG:$AG,$AG283)/SUMIF(符文权重!$A:$A,$C283,符文权重!$D:$D))),"")</f>
        <v/>
      </c>
      <c r="R283" s="26" t="s">
        <v>330</v>
      </c>
      <c r="S283" s="26"/>
      <c r="T283" s="26" t="e">
        <f>IF(B283="","",SUBSTITUTE(SUBSTITUTE("[{global_atk,"&amp;#REF!*C283&amp;"}]",21,20),9,8))</f>
        <v>#REF!</v>
      </c>
      <c r="U283" s="40" t="str">
        <f t="shared" si="147"/>
        <v>[5504016]</v>
      </c>
      <c r="V283" s="26"/>
      <c r="W283" s="25"/>
      <c r="X283" s="32">
        <v>100</v>
      </c>
      <c r="Y283" s="25"/>
      <c r="Z283" s="32" t="s">
        <v>178</v>
      </c>
      <c r="AA283" s="32" t="str">
        <f t="shared" si="146"/>
        <v>梦灵满血时，伤害+35%</v>
      </c>
      <c r="AB283" s="32"/>
      <c r="AC283" s="32" t="s">
        <v>166</v>
      </c>
      <c r="AD283" s="32">
        <f t="shared" si="137"/>
        <v>1278</v>
      </c>
      <c r="AE283" s="38" t="str">
        <f t="shared" si="142"/>
        <v>5504011</v>
      </c>
      <c r="AF283" s="32" t="str">
        <f t="shared" si="143"/>
        <v>[35]</v>
      </c>
      <c r="AG283" s="26">
        <v>100</v>
      </c>
      <c r="AH283" s="26"/>
      <c r="AI283" s="26">
        <v>1</v>
      </c>
      <c r="AJ283" s="25" t="s">
        <v>167</v>
      </c>
      <c r="AK283" s="38">
        <f t="shared" si="148"/>
        <v>5504016</v>
      </c>
      <c r="AL283" s="41" t="str">
        <f t="shared" si="149"/>
        <v>梦灵满血时，伤害&lt;color=#54b76b&gt;+%s%&lt;/color&gt;</v>
      </c>
      <c r="AM283" s="26">
        <v>35</v>
      </c>
      <c r="AN283" s="26"/>
      <c r="AO283" s="26" t="s">
        <v>25</v>
      </c>
      <c r="AP283" s="20">
        <f t="shared" si="138"/>
        <v>278</v>
      </c>
    </row>
    <row r="284" s="20" customFormat="1" customHeight="1" spans="1:42">
      <c r="A284" s="38">
        <v>5504017</v>
      </c>
      <c r="B284" s="38" t="str">
        <f t="shared" si="139"/>
        <v>5504011</v>
      </c>
      <c r="C284" s="32">
        <f t="shared" si="140"/>
        <v>7</v>
      </c>
      <c r="D284" s="32"/>
      <c r="E284" s="26" t="s">
        <v>162</v>
      </c>
      <c r="F284" s="26">
        <f t="shared" si="134"/>
        <v>1</v>
      </c>
      <c r="G284" s="26">
        <f>IFERROR(IF(--MID($E284,2*COUNTIF($F284:F284,"&gt;"&amp;0)+2,1)=G$1,G$1,""),"")</f>
        <v>2</v>
      </c>
      <c r="H284" s="26">
        <f>IFERROR(IF(--MID($E284,2*COUNTIF($F284:G284,"&gt;"&amp;0)+2,1)=H$1,H$1,""),"")</f>
        <v>3</v>
      </c>
      <c r="I284" s="26">
        <f>IFERROR(IF(--MID($E284,2*COUNTIF($F284:H284,"&gt;"&amp;0)+2,1)=I$1,I$1,""),"")</f>
        <v>4</v>
      </c>
      <c r="J284" s="26">
        <f>IFERROR(IF(--MID($E284,2*COUNTIF($F284:I284,"&gt;"&amp;0)+2,1)=J$1,J$1,""),"")</f>
        <v>5</v>
      </c>
      <c r="K284" s="26">
        <f>IFERROR(IF(--MID($E284,2*COUNTIF($F284:J284,"&gt;"&amp;0)+2,1)=K$1,K$1,""),"")</f>
        <v>6</v>
      </c>
      <c r="L284" s="39" t="str" cm="1">
        <f t="array" ref="L284">IFERROR(IF($A284="","",IF(F284="","",_xlfn.XLOOKUP($C284&amp;"_"&amp;$AG284,符文权重!$A:$A&amp;"_"&amp;符文权重!$C:$C,符文权重!$D:$D)*$X284/SUMIFS($X:$X,F:F,F284,$C:$C,$C284,$AG:$AG,$AG284)/SUMIF(符文权重!$A:$A,$C284,符文权重!$D:$D))),"")</f>
        <v/>
      </c>
      <c r="M284" s="39" t="str" cm="1">
        <f t="array" ref="M284">IFERROR(IF($A284="","",IF(G284="","",_xlfn.XLOOKUP($C284&amp;"_"&amp;$AG284,符文权重!$A:$A&amp;"_"&amp;符文权重!$C:$C,符文权重!$D:$D)*$X284/SUMIFS($X:$X,G:G,G284,$C:$C,$C284,$AG:$AG,$AG284)/SUMIF(符文权重!$A:$A,$C284,符文权重!$D:$D))),"")</f>
        <v/>
      </c>
      <c r="N284" s="39" t="str" cm="1">
        <f t="array" ref="N284">IFERROR(IF($A284="","",IF(H284="","",_xlfn.XLOOKUP($C284&amp;"_"&amp;$AG284,符文权重!$A:$A&amp;"_"&amp;符文权重!$C:$C,符文权重!$D:$D)*$X284/SUMIFS($X:$X,H:H,H284,$C:$C,$C284,$AG:$AG,$AG284)/SUMIF(符文权重!$A:$A,$C284,符文权重!$D:$D))),"")</f>
        <v/>
      </c>
      <c r="O284" s="39" t="str" cm="1">
        <f t="array" ref="O284">IFERROR(IF($A284="","",IF(I284="","",_xlfn.XLOOKUP($C284&amp;"_"&amp;$AG284,符文权重!$A:$A&amp;"_"&amp;符文权重!$C:$C,符文权重!$D:$D)*$X284/SUMIFS($X:$X,I:I,I284,$C:$C,$C284,$AG:$AG,$AG284)/SUMIF(符文权重!$A:$A,$C284,符文权重!$D:$D))),"")</f>
        <v/>
      </c>
      <c r="P284" s="39" t="str" cm="1">
        <f t="array" ref="P284">IFERROR(IF($A284="","",IF(J284="","",_xlfn.XLOOKUP($C284&amp;"_"&amp;$AG284,符文权重!$A:$A&amp;"_"&amp;符文权重!$C:$C,符文权重!$D:$D)*$X284/SUMIFS($X:$X,J:J,J284,$C:$C,$C284,$AG:$AG,$AG284)/SUMIF(符文权重!$A:$A,$C284,符文权重!$D:$D))),"")</f>
        <v/>
      </c>
      <c r="Q284" s="39" t="str" cm="1">
        <f t="array" ref="Q284">IFERROR(IF($A284="","",IF(K284="","",_xlfn.XLOOKUP($C284&amp;"_"&amp;$AG284,符文权重!$A:$A&amp;"_"&amp;符文权重!$C:$C,符文权重!$D:$D)*$X284/SUMIFS($X:$X,K:K,K284,$C:$C,$C284,$AG:$AG,$AG284)/SUMIF(符文权重!$A:$A,$C284,符文权重!$D:$D))),"")</f>
        <v/>
      </c>
      <c r="R284" s="26" t="s">
        <v>330</v>
      </c>
      <c r="S284" s="26"/>
      <c r="T284" s="26" t="e">
        <f>IF(B284="","",SUBSTITUTE(SUBSTITUTE("[{global_atk,"&amp;#REF!*C284&amp;"}]",21,20),9,8))</f>
        <v>#REF!</v>
      </c>
      <c r="U284" s="40" t="str">
        <f t="shared" si="147"/>
        <v>[5504017]</v>
      </c>
      <c r="V284" s="53"/>
      <c r="W284" s="25"/>
      <c r="X284" s="32">
        <v>100</v>
      </c>
      <c r="Y284" s="25"/>
      <c r="Z284" s="32" t="s">
        <v>180</v>
      </c>
      <c r="AA284" s="32" t="str">
        <f t="shared" si="146"/>
        <v>梦灵满血时，伤害+40%</v>
      </c>
      <c r="AB284" s="32"/>
      <c r="AC284" s="32" t="s">
        <v>166</v>
      </c>
      <c r="AD284" s="32">
        <f t="shared" si="137"/>
        <v>1279</v>
      </c>
      <c r="AE284" s="38" t="str">
        <f t="shared" si="142"/>
        <v>5504011</v>
      </c>
      <c r="AF284" s="32" t="str">
        <f t="shared" si="143"/>
        <v>[40]</v>
      </c>
      <c r="AG284" s="26">
        <v>100</v>
      </c>
      <c r="AH284" s="26"/>
      <c r="AI284" s="26">
        <v>1</v>
      </c>
      <c r="AJ284" s="25" t="s">
        <v>167</v>
      </c>
      <c r="AK284" s="38">
        <f t="shared" si="148"/>
        <v>5504017</v>
      </c>
      <c r="AL284" s="41" t="str">
        <f t="shared" si="149"/>
        <v>梦灵满血时，伤害&lt;color=#54b76b&gt;+%s%&lt;/color&gt;</v>
      </c>
      <c r="AM284" s="26">
        <v>40</v>
      </c>
      <c r="AN284" s="26"/>
      <c r="AO284" s="26" t="s">
        <v>25</v>
      </c>
      <c r="AP284" s="20">
        <f t="shared" si="138"/>
        <v>279</v>
      </c>
    </row>
    <row r="285" s="20" customFormat="1" customHeight="1" spans="1:42">
      <c r="A285" s="38"/>
      <c r="B285" s="38"/>
      <c r="C285" s="32"/>
      <c r="D285" s="32"/>
      <c r="E285" s="26"/>
      <c r="F285" s="26" t="str">
        <f t="shared" si="134"/>
        <v/>
      </c>
      <c r="G285" s="26" t="str">
        <f>IFERROR(IF(--MID($E285,2*COUNTIF($F285:F285,"&gt;"&amp;0)+2,1)=G$1,G$1,""),"")</f>
        <v/>
      </c>
      <c r="H285" s="26" t="str">
        <f>IFERROR(IF(--MID($E285,2*COUNTIF($F285:G285,"&gt;"&amp;0)+2,1)=H$1,H$1,""),"")</f>
        <v/>
      </c>
      <c r="I285" s="26" t="str">
        <f>IFERROR(IF(--MID($E285,2*COUNTIF($F285:H285,"&gt;"&amp;0)+2,1)=I$1,I$1,""),"")</f>
        <v/>
      </c>
      <c r="J285" s="26" t="str">
        <f>IFERROR(IF(--MID($E285,2*COUNTIF($F285:I285,"&gt;"&amp;0)+2,1)=J$1,J$1,""),"")</f>
        <v/>
      </c>
      <c r="K285" s="26" t="str">
        <f>IFERROR(IF(--MID($E285,2*COUNTIF($F285:J285,"&gt;"&amp;0)+2,1)=K$1,K$1,""),"")</f>
        <v/>
      </c>
      <c r="L285" s="39" t="str" cm="1">
        <f t="array" ref="L285">IFERROR(IF($A285="","",IF(F285="","",_xlfn.XLOOKUP($C285&amp;"_"&amp;$AG285,符文权重!$A:$A&amp;"_"&amp;符文权重!$C:$C,符文权重!$D:$D)*$X285/SUMIFS($X:$X,F:F,F285,$C:$C,$C285,$AG:$AG,$AG285)/SUMIF(符文权重!$A:$A,$C285,符文权重!$D:$D))),"")</f>
        <v/>
      </c>
      <c r="M285" s="39" t="str" cm="1">
        <f t="array" ref="M285">IFERROR(IF($A285="","",IF(G285="","",_xlfn.XLOOKUP($C285&amp;"_"&amp;$AG285,符文权重!$A:$A&amp;"_"&amp;符文权重!$C:$C,符文权重!$D:$D)*$X285/SUMIFS($X:$X,G:G,G285,$C:$C,$C285,$AG:$AG,$AG285)/SUMIF(符文权重!$A:$A,$C285,符文权重!$D:$D))),"")</f>
        <v/>
      </c>
      <c r="N285" s="39" t="str" cm="1">
        <f t="array" ref="N285">IFERROR(IF($A285="","",IF(H285="","",_xlfn.XLOOKUP($C285&amp;"_"&amp;$AG285,符文权重!$A:$A&amp;"_"&amp;符文权重!$C:$C,符文权重!$D:$D)*$X285/SUMIFS($X:$X,H:H,H285,$C:$C,$C285,$AG:$AG,$AG285)/SUMIF(符文权重!$A:$A,$C285,符文权重!$D:$D))),"")</f>
        <v/>
      </c>
      <c r="O285" s="39" t="str" cm="1">
        <f t="array" ref="O285">IFERROR(IF($A285="","",IF(I285="","",_xlfn.XLOOKUP($C285&amp;"_"&amp;$AG285,符文权重!$A:$A&amp;"_"&amp;符文权重!$C:$C,符文权重!$D:$D)*$X285/SUMIFS($X:$X,I:I,I285,$C:$C,$C285,$AG:$AG,$AG285)/SUMIF(符文权重!$A:$A,$C285,符文权重!$D:$D))),"")</f>
        <v/>
      </c>
      <c r="P285" s="39" t="str" cm="1">
        <f t="array" ref="P285">IFERROR(IF($A285="","",IF(J285="","",_xlfn.XLOOKUP($C285&amp;"_"&amp;$AG285,符文权重!$A:$A&amp;"_"&amp;符文权重!$C:$C,符文权重!$D:$D)*$X285/SUMIFS($X:$X,J:J,J285,$C:$C,$C285,$AG:$AG,$AG285)/SUMIF(符文权重!$A:$A,$C285,符文权重!$D:$D))),"")</f>
        <v/>
      </c>
      <c r="Q285" s="39" t="str" cm="1">
        <f t="array" ref="Q285">IFERROR(IF($A285="","",IF(K285="","",_xlfn.XLOOKUP($C285&amp;"_"&amp;$AG285,符文权重!$A:$A&amp;"_"&amp;符文权重!$C:$C,符文权重!$D:$D)*$X285/SUMIFS($X:$X,K:K,K285,$C:$C,$C285,$AG:$AG,$AG285)/SUMIF(符文权重!$A:$A,$C285,符文权重!$D:$D))),"")</f>
        <v/>
      </c>
      <c r="R285" s="26"/>
      <c r="S285" s="26"/>
      <c r="T285" s="26"/>
      <c r="U285" s="40"/>
      <c r="V285" s="53"/>
      <c r="W285" s="25"/>
      <c r="X285" s="32"/>
      <c r="Y285" s="25"/>
      <c r="Z285" s="32"/>
      <c r="AA285" s="32" t="str">
        <f t="shared" si="146"/>
        <v/>
      </c>
      <c r="AB285" s="32"/>
      <c r="AC285" s="32" t="s">
        <v>166</v>
      </c>
      <c r="AD285" s="32">
        <f t="shared" si="137"/>
        <v>1280</v>
      </c>
      <c r="AE285" s="38"/>
      <c r="AF285" s="32"/>
      <c r="AG285" s="26"/>
      <c r="AH285" s="26"/>
      <c r="AI285" s="26"/>
      <c r="AJ285" s="25" t="s">
        <v>167</v>
      </c>
      <c r="AK285" s="38"/>
      <c r="AL285" s="41"/>
      <c r="AM285" s="26"/>
      <c r="AN285" s="26"/>
      <c r="AO285" s="26"/>
      <c r="AP285" s="20">
        <f t="shared" si="138"/>
        <v>280</v>
      </c>
    </row>
    <row r="286" s="22" customFormat="1" customHeight="1" spans="1:42">
      <c r="A286" s="44">
        <v>5504021</v>
      </c>
      <c r="B286" s="44" t="str">
        <f t="shared" ref="B286:B292" si="150">IF(ISBLANK(AK286),"",LEFT(AK286,6)&amp;1)</f>
        <v>5504021</v>
      </c>
      <c r="C286" s="45">
        <f t="shared" ref="C286:C292" si="151">IF(ISBLANK(AK286),"",VALUE(RIGHT(A286,1)))</f>
        <v>1</v>
      </c>
      <c r="D286" s="45"/>
      <c r="E286" s="46" t="s">
        <v>162</v>
      </c>
      <c r="F286" s="26">
        <f t="shared" si="134"/>
        <v>1</v>
      </c>
      <c r="G286" s="26">
        <f>IFERROR(IF(--MID($E286,2*COUNTIF($F286:F286,"&gt;"&amp;0)+2,1)=G$1,G$1,""),"")</f>
        <v>2</v>
      </c>
      <c r="H286" s="26">
        <f>IFERROR(IF(--MID($E286,2*COUNTIF($F286:G286,"&gt;"&amp;0)+2,1)=H$1,H$1,""),"")</f>
        <v>3</v>
      </c>
      <c r="I286" s="26">
        <f>IFERROR(IF(--MID($E286,2*COUNTIF($F286:H286,"&gt;"&amp;0)+2,1)=I$1,I$1,""),"")</f>
        <v>4</v>
      </c>
      <c r="J286" s="26">
        <f>IFERROR(IF(--MID($E286,2*COUNTIF($F286:I286,"&gt;"&amp;0)+2,1)=J$1,J$1,""),"")</f>
        <v>5</v>
      </c>
      <c r="K286" s="26">
        <f>IFERROR(IF(--MID($E286,2*COUNTIF($F286:J286,"&gt;"&amp;0)+2,1)=K$1,K$1,""),"")</f>
        <v>6</v>
      </c>
      <c r="L286" s="39" t="str" cm="1">
        <f t="array" ref="L286">IFERROR(IF($A286="","",IF(F286="","",_xlfn.XLOOKUP($C286&amp;"_"&amp;$AG286,符文权重!$A:$A&amp;"_"&amp;符文权重!$C:$C,符文权重!$D:$D)*$X286/SUMIFS($X:$X,F:F,F286,$C:$C,$C286,$AG:$AG,$AG286)/SUMIF(符文权重!$A:$A,$C286,符文权重!$D:$D))),"")</f>
        <v/>
      </c>
      <c r="M286" s="39" t="str" cm="1">
        <f t="array" ref="M286">IFERROR(IF($A286="","",IF(G286="","",_xlfn.XLOOKUP($C286&amp;"_"&amp;$AG286,符文权重!$A:$A&amp;"_"&amp;符文权重!$C:$C,符文权重!$D:$D)*$X286/SUMIFS($X:$X,G:G,G286,$C:$C,$C286,$AG:$AG,$AG286)/SUMIF(符文权重!$A:$A,$C286,符文权重!$D:$D))),"")</f>
        <v/>
      </c>
      <c r="N286" s="39" t="str" cm="1">
        <f t="array" ref="N286">IFERROR(IF($A286="","",IF(H286="","",_xlfn.XLOOKUP($C286&amp;"_"&amp;$AG286,符文权重!$A:$A&amp;"_"&amp;符文权重!$C:$C,符文权重!$D:$D)*$X286/SUMIFS($X:$X,H:H,H286,$C:$C,$C286,$AG:$AG,$AG286)/SUMIF(符文权重!$A:$A,$C286,符文权重!$D:$D))),"")</f>
        <v/>
      </c>
      <c r="O286" s="39" t="str" cm="1">
        <f t="array" ref="O286">IFERROR(IF($A286="","",IF(I286="","",_xlfn.XLOOKUP($C286&amp;"_"&amp;$AG286,符文权重!$A:$A&amp;"_"&amp;符文权重!$C:$C,符文权重!$D:$D)*$X286/SUMIFS($X:$X,I:I,I286,$C:$C,$C286,$AG:$AG,$AG286)/SUMIF(符文权重!$A:$A,$C286,符文权重!$D:$D))),"")</f>
        <v/>
      </c>
      <c r="P286" s="39" t="str" cm="1">
        <f t="array" ref="P286">IFERROR(IF($A286="","",IF(J286="","",_xlfn.XLOOKUP($C286&amp;"_"&amp;$AG286,符文权重!$A:$A&amp;"_"&amp;符文权重!$C:$C,符文权重!$D:$D)*$X286/SUMIFS($X:$X,J:J,J286,$C:$C,$C286,$AG:$AG,$AG286)/SUMIF(符文权重!$A:$A,$C286,符文权重!$D:$D))),"")</f>
        <v/>
      </c>
      <c r="Q286" s="39" t="str" cm="1">
        <f t="array" ref="Q286">IFERROR(IF($A286="","",IF(K286="","",_xlfn.XLOOKUP($C286&amp;"_"&amp;$AG286,符文权重!$A:$A&amp;"_"&amp;符文权重!$C:$C,符文权重!$D:$D)*$X286/SUMIFS($X:$X,K:K,K286,$C:$C,$C286,$AG:$AG,$AG286)/SUMIF(符文权重!$A:$A,$C286,符文权重!$D:$D))),"")</f>
        <v/>
      </c>
      <c r="R286" s="46" t="s">
        <v>244</v>
      </c>
      <c r="S286" s="46"/>
      <c r="T286" s="46" t="e">
        <f>IF(B286="","",SUBSTITUTE(SUBSTITUTE("[{global_atk,"&amp;#REF!*C286&amp;"}]",21,20),9,8))</f>
        <v>#REF!</v>
      </c>
      <c r="U286" s="47" t="str">
        <f t="shared" ref="U286:U292" si="152">"["&amp;A286&amp;"]"</f>
        <v>[5504021]</v>
      </c>
      <c r="V286" s="46"/>
      <c r="W286" s="23"/>
      <c r="X286" s="32">
        <v>100</v>
      </c>
      <c r="Y286" s="23"/>
      <c r="Z286" s="45" t="s">
        <v>165</v>
      </c>
      <c r="AA286" s="32" t="str">
        <f t="shared" si="146"/>
        <v>队长暴击率+0%</v>
      </c>
      <c r="AB286" s="32"/>
      <c r="AC286" s="32" t="s">
        <v>166</v>
      </c>
      <c r="AD286" s="32">
        <f t="shared" si="137"/>
        <v>1281</v>
      </c>
      <c r="AE286" s="44" t="str">
        <f t="shared" ref="AE286:AE292" si="153">IF(ISBLANK(AK286),"",B286)</f>
        <v>5504021</v>
      </c>
      <c r="AF286" s="45" t="str">
        <f t="shared" ref="AF286:AF292" si="154">IF(ISBLANK(AM286),"","["&amp;AM286&amp;"]")</f>
        <v>[0]</v>
      </c>
      <c r="AG286" s="26">
        <v>100</v>
      </c>
      <c r="AH286" s="46"/>
      <c r="AI286" s="46">
        <v>1</v>
      </c>
      <c r="AJ286" s="25" t="s">
        <v>167</v>
      </c>
      <c r="AK286" s="48">
        <v>5504021</v>
      </c>
      <c r="AL286" s="49" t="s">
        <v>367</v>
      </c>
      <c r="AM286" s="46">
        <v>0</v>
      </c>
      <c r="AN286" s="26"/>
      <c r="AO286" s="26" t="s">
        <v>32</v>
      </c>
      <c r="AP286" s="20">
        <f t="shared" si="138"/>
        <v>281</v>
      </c>
    </row>
    <row r="287" s="22" customFormat="1" customHeight="1" spans="1:42">
      <c r="A287" s="44">
        <v>5504022</v>
      </c>
      <c r="B287" s="44" t="str">
        <f t="shared" si="150"/>
        <v>5504021</v>
      </c>
      <c r="C287" s="45">
        <f t="shared" si="151"/>
        <v>2</v>
      </c>
      <c r="D287" s="45"/>
      <c r="E287" s="46" t="s">
        <v>162</v>
      </c>
      <c r="F287" s="26">
        <f t="shared" si="134"/>
        <v>1</v>
      </c>
      <c r="G287" s="26">
        <f>IFERROR(IF(--MID($E287,2*COUNTIF($F287:F287,"&gt;"&amp;0)+2,1)=G$1,G$1,""),"")</f>
        <v>2</v>
      </c>
      <c r="H287" s="26">
        <f>IFERROR(IF(--MID($E287,2*COUNTIF($F287:G287,"&gt;"&amp;0)+2,1)=H$1,H$1,""),"")</f>
        <v>3</v>
      </c>
      <c r="I287" s="26">
        <f>IFERROR(IF(--MID($E287,2*COUNTIF($F287:H287,"&gt;"&amp;0)+2,1)=I$1,I$1,""),"")</f>
        <v>4</v>
      </c>
      <c r="J287" s="26">
        <f>IFERROR(IF(--MID($E287,2*COUNTIF($F287:I287,"&gt;"&amp;0)+2,1)=J$1,J$1,""),"")</f>
        <v>5</v>
      </c>
      <c r="K287" s="26">
        <f>IFERROR(IF(--MID($E287,2*COUNTIF($F287:J287,"&gt;"&amp;0)+2,1)=K$1,K$1,""),"")</f>
        <v>6</v>
      </c>
      <c r="L287" s="39" t="str" cm="1">
        <f t="array" ref="L287">IFERROR(IF($A287="","",IF(F287="","",_xlfn.XLOOKUP($C287&amp;"_"&amp;$AG287,符文权重!$A:$A&amp;"_"&amp;符文权重!$C:$C,符文权重!$D:$D)*$X287/SUMIFS($X:$X,F:F,F287,$C:$C,$C287,$AG:$AG,$AG287)/SUMIF(符文权重!$A:$A,$C287,符文权重!$D:$D))),"")</f>
        <v/>
      </c>
      <c r="M287" s="39" t="str" cm="1">
        <f t="array" ref="M287">IFERROR(IF($A287="","",IF(G287="","",_xlfn.XLOOKUP($C287&amp;"_"&amp;$AG287,符文权重!$A:$A&amp;"_"&amp;符文权重!$C:$C,符文权重!$D:$D)*$X287/SUMIFS($X:$X,G:G,G287,$C:$C,$C287,$AG:$AG,$AG287)/SUMIF(符文权重!$A:$A,$C287,符文权重!$D:$D))),"")</f>
        <v/>
      </c>
      <c r="N287" s="39" t="str" cm="1">
        <f t="array" ref="N287">IFERROR(IF($A287="","",IF(H287="","",_xlfn.XLOOKUP($C287&amp;"_"&amp;$AG287,符文权重!$A:$A&amp;"_"&amp;符文权重!$C:$C,符文权重!$D:$D)*$X287/SUMIFS($X:$X,H:H,H287,$C:$C,$C287,$AG:$AG,$AG287)/SUMIF(符文权重!$A:$A,$C287,符文权重!$D:$D))),"")</f>
        <v/>
      </c>
      <c r="O287" s="39" t="str" cm="1">
        <f t="array" ref="O287">IFERROR(IF($A287="","",IF(I287="","",_xlfn.XLOOKUP($C287&amp;"_"&amp;$AG287,符文权重!$A:$A&amp;"_"&amp;符文权重!$C:$C,符文权重!$D:$D)*$X287/SUMIFS($X:$X,I:I,I287,$C:$C,$C287,$AG:$AG,$AG287)/SUMIF(符文权重!$A:$A,$C287,符文权重!$D:$D))),"")</f>
        <v/>
      </c>
      <c r="P287" s="39" t="str" cm="1">
        <f t="array" ref="P287">IFERROR(IF($A287="","",IF(J287="","",_xlfn.XLOOKUP($C287&amp;"_"&amp;$AG287,符文权重!$A:$A&amp;"_"&amp;符文权重!$C:$C,符文权重!$D:$D)*$X287/SUMIFS($X:$X,J:J,J287,$C:$C,$C287,$AG:$AG,$AG287)/SUMIF(符文权重!$A:$A,$C287,符文权重!$D:$D))),"")</f>
        <v/>
      </c>
      <c r="Q287" s="39" t="str" cm="1">
        <f t="array" ref="Q287">IFERROR(IF($A287="","",IF(K287="","",_xlfn.XLOOKUP($C287&amp;"_"&amp;$AG287,符文权重!$A:$A&amp;"_"&amp;符文权重!$C:$C,符文权重!$D:$D)*$X287/SUMIFS($X:$X,K:K,K287,$C:$C,$C287,$AG:$AG,$AG287)/SUMIF(符文权重!$A:$A,$C287,符文权重!$D:$D))),"")</f>
        <v/>
      </c>
      <c r="R287" s="46" t="s">
        <v>244</v>
      </c>
      <c r="S287" s="46"/>
      <c r="T287" s="46" t="e">
        <f>IF(B287="","",SUBSTITUTE(SUBSTITUTE("[{global_atk,"&amp;#REF!*C287&amp;"}]",21,20),9,8))</f>
        <v>#REF!</v>
      </c>
      <c r="U287" s="47" t="str">
        <f t="shared" si="152"/>
        <v>[5504022]</v>
      </c>
      <c r="V287" s="46"/>
      <c r="W287" s="23"/>
      <c r="X287" s="32">
        <v>100</v>
      </c>
      <c r="Y287" s="23"/>
      <c r="Z287" s="45" t="s">
        <v>170</v>
      </c>
      <c r="AA287" s="32" t="str">
        <f t="shared" si="146"/>
        <v>队长暴击率+0%</v>
      </c>
      <c r="AB287" s="32"/>
      <c r="AC287" s="32" t="s">
        <v>166</v>
      </c>
      <c r="AD287" s="32">
        <f t="shared" si="137"/>
        <v>1282</v>
      </c>
      <c r="AE287" s="44" t="str">
        <f t="shared" si="153"/>
        <v>5504021</v>
      </c>
      <c r="AF287" s="45" t="str">
        <f t="shared" si="154"/>
        <v>[0]</v>
      </c>
      <c r="AG287" s="26">
        <v>100</v>
      </c>
      <c r="AH287" s="46"/>
      <c r="AI287" s="46">
        <v>1</v>
      </c>
      <c r="AJ287" s="25" t="s">
        <v>167</v>
      </c>
      <c r="AK287" s="44">
        <f t="shared" ref="AK287:AK292" si="155">AK286+1</f>
        <v>5504022</v>
      </c>
      <c r="AL287" s="50" t="str">
        <f t="shared" ref="AL287:AL292" si="156">AL286</f>
        <v>队长暴击率&lt;color=#54b76b&gt;+%s%&lt;/color&gt;</v>
      </c>
      <c r="AM287" s="46">
        <v>0</v>
      </c>
      <c r="AN287" s="26"/>
      <c r="AO287" s="26" t="s">
        <v>32</v>
      </c>
      <c r="AP287" s="20">
        <f t="shared" si="138"/>
        <v>282</v>
      </c>
    </row>
    <row r="288" s="20" customFormat="1" customHeight="1" spans="1:42">
      <c r="A288" s="38">
        <v>5504023</v>
      </c>
      <c r="B288" s="38" t="str">
        <f t="shared" si="150"/>
        <v>5504021</v>
      </c>
      <c r="C288" s="32">
        <f t="shared" si="151"/>
        <v>3</v>
      </c>
      <c r="D288" s="32"/>
      <c r="E288" s="26" t="s">
        <v>162</v>
      </c>
      <c r="F288" s="26">
        <f t="shared" si="134"/>
        <v>1</v>
      </c>
      <c r="G288" s="26">
        <f>IFERROR(IF(--MID($E288,2*COUNTIF($F288:F288,"&gt;"&amp;0)+2,1)=G$1,G$1,""),"")</f>
        <v>2</v>
      </c>
      <c r="H288" s="26">
        <f>IFERROR(IF(--MID($E288,2*COUNTIF($F288:G288,"&gt;"&amp;0)+2,1)=H$1,H$1,""),"")</f>
        <v>3</v>
      </c>
      <c r="I288" s="26">
        <f>IFERROR(IF(--MID($E288,2*COUNTIF($F288:H288,"&gt;"&amp;0)+2,1)=I$1,I$1,""),"")</f>
        <v>4</v>
      </c>
      <c r="J288" s="26">
        <f>IFERROR(IF(--MID($E288,2*COUNTIF($F288:I288,"&gt;"&amp;0)+2,1)=J$1,J$1,""),"")</f>
        <v>5</v>
      </c>
      <c r="K288" s="26">
        <f>IFERROR(IF(--MID($E288,2*COUNTIF($F288:J288,"&gt;"&amp;0)+2,1)=K$1,K$1,""),"")</f>
        <v>6</v>
      </c>
      <c r="L288" s="39" cm="1">
        <f t="array" ref="L288">IFERROR(IF($A288="","",IF(F288="","",_xlfn.XLOOKUP($C288&amp;"_"&amp;$AG288,符文权重!$A:$A&amp;"_"&amp;符文权重!$C:$C,符文权重!$D:$D)*$X288/SUMIFS($X:$X,F:F,F288,$C:$C,$C288,$AG:$AG,$AG288)/SUMIF(符文权重!$A:$A,$C288,符文权重!$D:$D))),"")</f>
        <v>0.0100095785440613</v>
      </c>
      <c r="M288" s="39" cm="1">
        <f t="array" ref="M288">IFERROR(IF($A288="","",IF(G288="","",_xlfn.XLOOKUP($C288&amp;"_"&amp;$AG288,符文权重!$A:$A&amp;"_"&amp;符文权重!$C:$C,符文权重!$D:$D)*$X288/SUMIFS($X:$X,G:G,G288,$C:$C,$C288,$AG:$AG,$AG288)/SUMIF(符文权重!$A:$A,$C288,符文权重!$D:$D))),"")</f>
        <v>0.0123815165876777</v>
      </c>
      <c r="N288" s="39" cm="1">
        <f t="array" ref="N288">IFERROR(IF($A288="","",IF(H288="","",_xlfn.XLOOKUP($C288&amp;"_"&amp;$AG288,符文权重!$A:$A&amp;"_"&amp;符文权重!$C:$C,符文权重!$D:$D)*$X288/SUMIFS($X:$X,H:H,H288,$C:$C,$C288,$AG:$AG,$AG288)/SUMIF(符文权重!$A:$A,$C288,符文权重!$D:$D))),"")</f>
        <v>0.0102250489236791</v>
      </c>
      <c r="O288" s="39" cm="1">
        <f t="array" ref="O288">IFERROR(IF($A288="","",IF(I288="","",_xlfn.XLOOKUP($C288&amp;"_"&amp;$AG288,符文权重!$A:$A&amp;"_"&amp;符文权重!$C:$C,符文权重!$D:$D)*$X288/SUMIFS($X:$X,I:I,I288,$C:$C,$C288,$AG:$AG,$AG288)/SUMIF(符文权重!$A:$A,$C288,符文权重!$D:$D))),"")</f>
        <v>0.0100095785440613</v>
      </c>
      <c r="P288" s="39" cm="1">
        <f t="array" ref="P288">IFERROR(IF($A288="","",IF(J288="","",_xlfn.XLOOKUP($C288&amp;"_"&amp;$AG288,符文权重!$A:$A&amp;"_"&amp;符文权重!$C:$C,符文权重!$D:$D)*$X288/SUMIFS($X:$X,J:J,J288,$C:$C,$C288,$AG:$AG,$AG288)/SUMIF(符文权重!$A:$A,$C288,符文权重!$D:$D))),"")</f>
        <v>0.012712895377129</v>
      </c>
      <c r="Q288" s="39" cm="1">
        <f t="array" ref="Q288">IFERROR(IF($A288="","",IF(K288="","",_xlfn.XLOOKUP($C288&amp;"_"&amp;$AG288,符文权重!$A:$A&amp;"_"&amp;符文权重!$C:$C,符文权重!$D:$D)*$X288/SUMIFS($X:$X,K:K,K288,$C:$C,$C288,$AG:$AG,$AG288)/SUMIF(符文权重!$A:$A,$C288,符文权重!$D:$D))),"")</f>
        <v>0.0100095785440613</v>
      </c>
      <c r="R288" s="26" t="s">
        <v>244</v>
      </c>
      <c r="S288" s="26"/>
      <c r="T288" s="26" t="e">
        <f>IF(B288="","",SUBSTITUTE(SUBSTITUTE("[{global_atk,"&amp;#REF!*C288&amp;"}]",21,20),9,8))</f>
        <v>#REF!</v>
      </c>
      <c r="U288" s="40" t="str">
        <f t="shared" si="152"/>
        <v>[5504023]</v>
      </c>
      <c r="V288" s="26" t="s">
        <v>368</v>
      </c>
      <c r="W288" s="25"/>
      <c r="X288" s="32">
        <v>11</v>
      </c>
      <c r="Y288" s="25"/>
      <c r="Z288" s="32" t="s">
        <v>172</v>
      </c>
      <c r="AA288" s="32" t="str">
        <f t="shared" si="146"/>
        <v>队长暴击率+3%</v>
      </c>
      <c r="AB288" s="32"/>
      <c r="AC288" s="32" t="s">
        <v>166</v>
      </c>
      <c r="AD288" s="32">
        <f t="shared" si="137"/>
        <v>1283</v>
      </c>
      <c r="AE288" s="38" t="str">
        <f t="shared" si="153"/>
        <v>5504021</v>
      </c>
      <c r="AF288" s="32" t="str">
        <f t="shared" si="154"/>
        <v>[3]</v>
      </c>
      <c r="AG288" s="26">
        <v>2</v>
      </c>
      <c r="AH288" s="26"/>
      <c r="AI288" s="26">
        <v>0</v>
      </c>
      <c r="AJ288" s="25" t="s">
        <v>167</v>
      </c>
      <c r="AK288" s="38">
        <f t="shared" si="155"/>
        <v>5504023</v>
      </c>
      <c r="AL288" s="41" t="str">
        <f t="shared" si="156"/>
        <v>队长暴击率&lt;color=#54b76b&gt;+%s%&lt;/color&gt;</v>
      </c>
      <c r="AM288" s="26">
        <v>3</v>
      </c>
      <c r="AN288" s="26">
        <v>3</v>
      </c>
      <c r="AO288" s="26" t="s">
        <v>32</v>
      </c>
      <c r="AP288" s="20">
        <f t="shared" si="138"/>
        <v>283</v>
      </c>
    </row>
    <row r="289" s="20" customFormat="1" customHeight="1" spans="1:42">
      <c r="A289" s="38">
        <v>5504024</v>
      </c>
      <c r="B289" s="38" t="str">
        <f t="shared" si="150"/>
        <v>5504021</v>
      </c>
      <c r="C289" s="32">
        <f t="shared" si="151"/>
        <v>4</v>
      </c>
      <c r="D289" s="32"/>
      <c r="E289" s="26" t="s">
        <v>162</v>
      </c>
      <c r="F289" s="26">
        <f t="shared" si="134"/>
        <v>1</v>
      </c>
      <c r="G289" s="26">
        <f>IFERROR(IF(--MID($E289,2*COUNTIF($F289:F289,"&gt;"&amp;0)+2,1)=G$1,G$1,""),"")</f>
        <v>2</v>
      </c>
      <c r="H289" s="26">
        <f>IFERROR(IF(--MID($E289,2*COUNTIF($F289:G289,"&gt;"&amp;0)+2,1)=H$1,H$1,""),"")</f>
        <v>3</v>
      </c>
      <c r="I289" s="26">
        <f>IFERROR(IF(--MID($E289,2*COUNTIF($F289:H289,"&gt;"&amp;0)+2,1)=I$1,I$1,""),"")</f>
        <v>4</v>
      </c>
      <c r="J289" s="26">
        <f>IFERROR(IF(--MID($E289,2*COUNTIF($F289:I289,"&gt;"&amp;0)+2,1)=J$1,J$1,""),"")</f>
        <v>5</v>
      </c>
      <c r="K289" s="26">
        <f>IFERROR(IF(--MID($E289,2*COUNTIF($F289:J289,"&gt;"&amp;0)+2,1)=K$1,K$1,""),"")</f>
        <v>6</v>
      </c>
      <c r="L289" s="39" cm="1">
        <f t="array" ref="L289">IFERROR(IF($A289="","",IF(F289="","",_xlfn.XLOOKUP($C289&amp;"_"&amp;$AG289,符文权重!$A:$A&amp;"_"&amp;符文权重!$C:$C,符文权重!$D:$D)*$X289/SUMIFS($X:$X,F:F,F289,$C:$C,$C289,$AG:$AG,$AG289)/SUMIF(符文权重!$A:$A,$C289,符文权重!$D:$D))),"")</f>
        <v>0.018969696969697</v>
      </c>
      <c r="M289" s="39" cm="1">
        <f t="array" ref="M289">IFERROR(IF($A289="","",IF(G289="","",_xlfn.XLOOKUP($C289&amp;"_"&amp;$AG289,符文权重!$A:$A&amp;"_"&amp;符文权重!$C:$C,符文权重!$D:$D)*$X289/SUMIFS($X:$X,G:G,G289,$C:$C,$C289,$AG:$AG,$AG289)/SUMIF(符文权重!$A:$A,$C289,符文权重!$D:$D))),"")</f>
        <v>0.018969696969697</v>
      </c>
      <c r="N289" s="39" cm="1">
        <f t="array" ref="N289">IFERROR(IF($A289="","",IF(H289="","",_xlfn.XLOOKUP($C289&amp;"_"&amp;$AG289,符文权重!$A:$A&amp;"_"&amp;符文权重!$C:$C,符文权重!$D:$D)*$X289/SUMIFS($X:$X,H:H,H289,$C:$C,$C289,$AG:$AG,$AG289)/SUMIF(符文权重!$A:$A,$C289,符文权重!$D:$D))),"")</f>
        <v>0.0201935483870968</v>
      </c>
      <c r="O289" s="39" cm="1">
        <f t="array" ref="O289">IFERROR(IF($A289="","",IF(I289="","",_xlfn.XLOOKUP($C289&amp;"_"&amp;$AG289,符文权重!$A:$A&amp;"_"&amp;符文权重!$C:$C,符文权重!$D:$D)*$X289/SUMIFS($X:$X,I:I,I289,$C:$C,$C289,$AG:$AG,$AG289)/SUMIF(符文权重!$A:$A,$C289,符文权重!$D:$D))),"")</f>
        <v>0.018969696969697</v>
      </c>
      <c r="P289" s="39" cm="1">
        <f t="array" ref="P289">IFERROR(IF($A289="","",IF(J289="","",_xlfn.XLOOKUP($C289&amp;"_"&amp;$AG289,符文权重!$A:$A&amp;"_"&amp;符文权重!$C:$C,符文权重!$D:$D)*$X289/SUMIFS($X:$X,J:J,J289,$C:$C,$C289,$AG:$AG,$AG289)/SUMIF(符文权重!$A:$A,$C289,符文权重!$D:$D))),"")</f>
        <v>0.0201935483870968</v>
      </c>
      <c r="Q289" s="39" cm="1">
        <f t="array" ref="Q289">IFERROR(IF($A289="","",IF(K289="","",_xlfn.XLOOKUP($C289&amp;"_"&amp;$AG289,符文权重!$A:$A&amp;"_"&amp;符文权重!$C:$C,符文权重!$D:$D)*$X289/SUMIFS($X:$X,K:K,K289,$C:$C,$C289,$AG:$AG,$AG289)/SUMIF(符文权重!$A:$A,$C289,符文权重!$D:$D))),"")</f>
        <v>0.018969696969697</v>
      </c>
      <c r="R289" s="26" t="s">
        <v>244</v>
      </c>
      <c r="S289" s="26"/>
      <c r="T289" s="26" t="e">
        <f>IF(B289="","",SUBSTITUTE(SUBSTITUTE("[{global_atk,"&amp;#REF!*C289&amp;"}]",21,20),9,8))</f>
        <v>#REF!</v>
      </c>
      <c r="U289" s="40" t="str">
        <f t="shared" si="152"/>
        <v>[5504024]</v>
      </c>
      <c r="V289" s="26" t="s">
        <v>369</v>
      </c>
      <c r="W289" s="25"/>
      <c r="X289" s="32">
        <v>16</v>
      </c>
      <c r="Y289" s="25"/>
      <c r="Z289" s="32" t="s">
        <v>174</v>
      </c>
      <c r="AA289" s="32" t="str">
        <f t="shared" si="146"/>
        <v>队长暴击率+4%</v>
      </c>
      <c r="AB289" s="32"/>
      <c r="AC289" s="32" t="s">
        <v>166</v>
      </c>
      <c r="AD289" s="32">
        <f t="shared" si="137"/>
        <v>1284</v>
      </c>
      <c r="AE289" s="38" t="str">
        <f t="shared" si="153"/>
        <v>5504021</v>
      </c>
      <c r="AF289" s="32" t="str">
        <f t="shared" si="154"/>
        <v>[4]</v>
      </c>
      <c r="AG289" s="26">
        <v>3</v>
      </c>
      <c r="AH289" s="26"/>
      <c r="AI289" s="26">
        <v>0</v>
      </c>
      <c r="AJ289" s="25" t="s">
        <v>167</v>
      </c>
      <c r="AK289" s="38">
        <f t="shared" si="155"/>
        <v>5504024</v>
      </c>
      <c r="AL289" s="41" t="str">
        <f t="shared" si="156"/>
        <v>队长暴击率&lt;color=#54b76b&gt;+%s%&lt;/color&gt;</v>
      </c>
      <c r="AM289" s="26">
        <v>4</v>
      </c>
      <c r="AN289" s="26">
        <v>3</v>
      </c>
      <c r="AO289" s="26" t="s">
        <v>32</v>
      </c>
      <c r="AP289" s="20">
        <f t="shared" si="138"/>
        <v>284</v>
      </c>
    </row>
    <row r="290" s="20" customFormat="1" customHeight="1" spans="1:42">
      <c r="A290" s="38">
        <v>5504025</v>
      </c>
      <c r="B290" s="38" t="str">
        <f t="shared" si="150"/>
        <v>5504021</v>
      </c>
      <c r="C290" s="32">
        <f t="shared" si="151"/>
        <v>5</v>
      </c>
      <c r="D290" s="32"/>
      <c r="E290" s="26" t="s">
        <v>162</v>
      </c>
      <c r="F290" s="26">
        <f t="shared" si="134"/>
        <v>1</v>
      </c>
      <c r="G290" s="26">
        <f>IFERROR(IF(--MID($E290,2*COUNTIF($F290:F290,"&gt;"&amp;0)+2,1)=G$1,G$1,""),"")</f>
        <v>2</v>
      </c>
      <c r="H290" s="26">
        <f>IFERROR(IF(--MID($E290,2*COUNTIF($F290:G290,"&gt;"&amp;0)+2,1)=H$1,H$1,""),"")</f>
        <v>3</v>
      </c>
      <c r="I290" s="26">
        <f>IFERROR(IF(--MID($E290,2*COUNTIF($F290:H290,"&gt;"&amp;0)+2,1)=I$1,I$1,""),"")</f>
        <v>4</v>
      </c>
      <c r="J290" s="26">
        <f>IFERROR(IF(--MID($E290,2*COUNTIF($F290:I290,"&gt;"&amp;0)+2,1)=J$1,J$1,""),"")</f>
        <v>5</v>
      </c>
      <c r="K290" s="26">
        <f>IFERROR(IF(--MID($E290,2*COUNTIF($F290:J290,"&gt;"&amp;0)+2,1)=K$1,K$1,""),"")</f>
        <v>6</v>
      </c>
      <c r="L290" s="39" cm="1">
        <f t="array" ref="L290">IFERROR(IF($A290="","",IF(F290="","",_xlfn.XLOOKUP($C290&amp;"_"&amp;$AG290,符文权重!$A:$A&amp;"_"&amp;符文权重!$C:$C,符文权重!$D:$D)*$X290/SUMIFS($X:$X,F:F,F290,$C:$C,$C290,$AG:$AG,$AG290)/SUMIF(符文权重!$A:$A,$C290,符文权重!$D:$D))),"")</f>
        <v>0.0115384615384615</v>
      </c>
      <c r="M290" s="39" cm="1">
        <f t="array" ref="M290">IFERROR(IF($A290="","",IF(G290="","",_xlfn.XLOOKUP($C290&amp;"_"&amp;$AG290,符文权重!$A:$A&amp;"_"&amp;符文权重!$C:$C,符文权重!$D:$D)*$X290/SUMIFS($X:$X,G:G,G290,$C:$C,$C290,$AG:$AG,$AG290)/SUMIF(符文权重!$A:$A,$C290,符文权重!$D:$D))),"")</f>
        <v>0.0125</v>
      </c>
      <c r="N290" s="39" cm="1">
        <f t="array" ref="N290">IFERROR(IF($A290="","",IF(H290="","",_xlfn.XLOOKUP($C290&amp;"_"&amp;$AG290,符文权重!$A:$A&amp;"_"&amp;符文权重!$C:$C,符文权重!$D:$D)*$X290/SUMIFS($X:$X,H:H,H290,$C:$C,$C290,$AG:$AG,$AG290)/SUMIF(符文权重!$A:$A,$C290,符文权重!$D:$D))),"")</f>
        <v>0.0115384615384615</v>
      </c>
      <c r="O290" s="39" cm="1">
        <f t="array" ref="O290">IFERROR(IF($A290="","",IF(I290="","",_xlfn.XLOOKUP($C290&amp;"_"&amp;$AG290,符文权重!$A:$A&amp;"_"&amp;符文权重!$C:$C,符文权重!$D:$D)*$X290/SUMIFS($X:$X,I:I,I290,$C:$C,$C290,$AG:$AG,$AG290)/SUMIF(符文权重!$A:$A,$C290,符文权重!$D:$D))),"")</f>
        <v>0.009375</v>
      </c>
      <c r="P290" s="39" cm="1">
        <f t="array" ref="P290">IFERROR(IF($A290="","",IF(J290="","",_xlfn.XLOOKUP($C290&amp;"_"&amp;$AG290,符文权重!$A:$A&amp;"_"&amp;符文权重!$C:$C,符文权重!$D:$D)*$X290/SUMIFS($X:$X,J:J,J290,$C:$C,$C290,$AG:$AG,$AG290)/SUMIF(符文权重!$A:$A,$C290,符文权重!$D:$D))),"")</f>
        <v>0.0107142857142857</v>
      </c>
      <c r="Q290" s="39" cm="1">
        <f t="array" ref="Q290">IFERROR(IF($A290="","",IF(K290="","",_xlfn.XLOOKUP($C290&amp;"_"&amp;$AG290,符文权重!$A:$A&amp;"_"&amp;符文权重!$C:$C,符文权重!$D:$D)*$X290/SUMIFS($X:$X,K:K,K290,$C:$C,$C290,$AG:$AG,$AG290)/SUMIF(符文权重!$A:$A,$C290,符文权重!$D:$D))),"")</f>
        <v>0.009375</v>
      </c>
      <c r="R290" s="26" t="s">
        <v>244</v>
      </c>
      <c r="S290" s="26"/>
      <c r="T290" s="26" t="e">
        <f>IF(B290="","",SUBSTITUTE(SUBSTITUTE("[{global_atk,"&amp;#REF!*C290&amp;"}]",21,20),9,8))</f>
        <v>#REF!</v>
      </c>
      <c r="U290" s="40" t="str">
        <f t="shared" si="152"/>
        <v>[5504025]</v>
      </c>
      <c r="V290" s="26" t="s">
        <v>370</v>
      </c>
      <c r="W290" s="25"/>
      <c r="X290" s="32">
        <v>100</v>
      </c>
      <c r="Y290" s="25"/>
      <c r="Z290" s="32" t="s">
        <v>176</v>
      </c>
      <c r="AA290" s="32" t="str">
        <f t="shared" si="146"/>
        <v>队长暴击率+5%</v>
      </c>
      <c r="AB290" s="32"/>
      <c r="AC290" s="32" t="s">
        <v>166</v>
      </c>
      <c r="AD290" s="32">
        <f t="shared" si="137"/>
        <v>1285</v>
      </c>
      <c r="AE290" s="38" t="str">
        <f t="shared" si="153"/>
        <v>5504021</v>
      </c>
      <c r="AF290" s="32" t="str">
        <f t="shared" si="154"/>
        <v>[5]</v>
      </c>
      <c r="AG290" s="26">
        <v>4</v>
      </c>
      <c r="AH290" s="26"/>
      <c r="AI290" s="26">
        <v>0</v>
      </c>
      <c r="AJ290" s="25" t="s">
        <v>167</v>
      </c>
      <c r="AK290" s="38">
        <f t="shared" si="155"/>
        <v>5504025</v>
      </c>
      <c r="AL290" s="41" t="str">
        <f t="shared" si="156"/>
        <v>队长暴击率&lt;color=#54b76b&gt;+%s%&lt;/color&gt;</v>
      </c>
      <c r="AM290" s="26">
        <v>5</v>
      </c>
      <c r="AN290" s="26">
        <v>3</v>
      </c>
      <c r="AO290" s="26" t="s">
        <v>32</v>
      </c>
      <c r="AP290" s="20">
        <f t="shared" si="138"/>
        <v>285</v>
      </c>
    </row>
    <row r="291" s="20" customFormat="1" customHeight="1" spans="1:42">
      <c r="A291" s="38">
        <v>5504026</v>
      </c>
      <c r="B291" s="38" t="str">
        <f t="shared" si="150"/>
        <v>5504021</v>
      </c>
      <c r="C291" s="32">
        <f t="shared" si="151"/>
        <v>6</v>
      </c>
      <c r="D291" s="32"/>
      <c r="E291" s="26" t="s">
        <v>162</v>
      </c>
      <c r="F291" s="26">
        <f t="shared" si="134"/>
        <v>1</v>
      </c>
      <c r="G291" s="26">
        <f>IFERROR(IF(--MID($E291,2*COUNTIF($F291:F291,"&gt;"&amp;0)+2,1)=G$1,G$1,""),"")</f>
        <v>2</v>
      </c>
      <c r="H291" s="26">
        <f>IFERROR(IF(--MID($E291,2*COUNTIF($F291:G291,"&gt;"&amp;0)+2,1)=H$1,H$1,""),"")</f>
        <v>3</v>
      </c>
      <c r="I291" s="26">
        <f>IFERROR(IF(--MID($E291,2*COUNTIF($F291:H291,"&gt;"&amp;0)+2,1)=I$1,I$1,""),"")</f>
        <v>4</v>
      </c>
      <c r="J291" s="26">
        <f>IFERROR(IF(--MID($E291,2*COUNTIF($F291:I291,"&gt;"&amp;0)+2,1)=J$1,J$1,""),"")</f>
        <v>5</v>
      </c>
      <c r="K291" s="26">
        <f>IFERROR(IF(--MID($E291,2*COUNTIF($F291:J291,"&gt;"&amp;0)+2,1)=K$1,K$1,""),"")</f>
        <v>6</v>
      </c>
      <c r="L291" s="39" cm="1">
        <f t="array" ref="L291">IFERROR(IF($A291="","",IF(F291="","",_xlfn.XLOOKUP($C291&amp;"_"&amp;$AG291,符文权重!$A:$A&amp;"_"&amp;符文权重!$C:$C,符文权重!$D:$D)*$X291/SUMIFS($X:$X,F:F,F291,$C:$C,$C291,$AG:$AG,$AG291)/SUMIF(符文权重!$A:$A,$C291,符文权重!$D:$D))),"")</f>
        <v>0.0115384615384615</v>
      </c>
      <c r="M291" s="39" cm="1">
        <f t="array" ref="M291">IFERROR(IF($A291="","",IF(G291="","",_xlfn.XLOOKUP($C291&amp;"_"&amp;$AG291,符文权重!$A:$A&amp;"_"&amp;符文权重!$C:$C,符文权重!$D:$D)*$X291/SUMIFS($X:$X,G:G,G291,$C:$C,$C291,$AG:$AG,$AG291)/SUMIF(符文权重!$A:$A,$C291,符文权重!$D:$D))),"")</f>
        <v>0.0125</v>
      </c>
      <c r="N291" s="39" cm="1">
        <f t="array" ref="N291">IFERROR(IF($A291="","",IF(H291="","",_xlfn.XLOOKUP($C291&amp;"_"&amp;$AG291,符文权重!$A:$A&amp;"_"&amp;符文权重!$C:$C,符文权重!$D:$D)*$X291/SUMIFS($X:$X,H:H,H291,$C:$C,$C291,$AG:$AG,$AG291)/SUMIF(符文权重!$A:$A,$C291,符文权重!$D:$D))),"")</f>
        <v>0.0115384615384615</v>
      </c>
      <c r="O291" s="39" cm="1">
        <f t="array" ref="O291">IFERROR(IF($A291="","",IF(I291="","",_xlfn.XLOOKUP($C291&amp;"_"&amp;$AG291,符文权重!$A:$A&amp;"_"&amp;符文权重!$C:$C,符文权重!$D:$D)*$X291/SUMIFS($X:$X,I:I,I291,$C:$C,$C291,$AG:$AG,$AG291)/SUMIF(符文权重!$A:$A,$C291,符文权重!$D:$D))),"")</f>
        <v>0.009375</v>
      </c>
      <c r="P291" s="39" cm="1">
        <f t="array" ref="P291">IFERROR(IF($A291="","",IF(J291="","",_xlfn.XLOOKUP($C291&amp;"_"&amp;$AG291,符文权重!$A:$A&amp;"_"&amp;符文权重!$C:$C,符文权重!$D:$D)*$X291/SUMIFS($X:$X,J:J,J291,$C:$C,$C291,$AG:$AG,$AG291)/SUMIF(符文权重!$A:$A,$C291,符文权重!$D:$D))),"")</f>
        <v>0.0107142857142857</v>
      </c>
      <c r="Q291" s="39" cm="1">
        <f t="array" ref="Q291">IFERROR(IF($A291="","",IF(K291="","",_xlfn.XLOOKUP($C291&amp;"_"&amp;$AG291,符文权重!$A:$A&amp;"_"&amp;符文权重!$C:$C,符文权重!$D:$D)*$X291/SUMIFS($X:$X,K:K,K291,$C:$C,$C291,$AG:$AG,$AG291)/SUMIF(符文权重!$A:$A,$C291,符文权重!$D:$D))),"")</f>
        <v>0.009375</v>
      </c>
      <c r="R291" s="26" t="s">
        <v>244</v>
      </c>
      <c r="S291" s="26"/>
      <c r="T291" s="26" t="e">
        <f>IF(B291="","",SUBSTITUTE(SUBSTITUTE("[{global_atk,"&amp;#REF!*C291&amp;"}]",21,20),9,8))</f>
        <v>#REF!</v>
      </c>
      <c r="U291" s="40" t="str">
        <f t="shared" si="152"/>
        <v>[5504026]</v>
      </c>
      <c r="V291" s="26" t="s">
        <v>371</v>
      </c>
      <c r="W291" s="25"/>
      <c r="X291" s="32">
        <v>100</v>
      </c>
      <c r="Y291" s="25"/>
      <c r="Z291" s="32" t="s">
        <v>178</v>
      </c>
      <c r="AA291" s="32" t="str">
        <f t="shared" si="146"/>
        <v>队长暴击率+6%</v>
      </c>
      <c r="AB291" s="32"/>
      <c r="AC291" s="32" t="s">
        <v>166</v>
      </c>
      <c r="AD291" s="32">
        <f t="shared" si="137"/>
        <v>1286</v>
      </c>
      <c r="AE291" s="38" t="str">
        <f t="shared" si="153"/>
        <v>5504021</v>
      </c>
      <c r="AF291" s="32" t="str">
        <f t="shared" si="154"/>
        <v>[6]</v>
      </c>
      <c r="AG291" s="26">
        <v>4</v>
      </c>
      <c r="AH291" s="26"/>
      <c r="AI291" s="26">
        <v>0</v>
      </c>
      <c r="AJ291" s="25" t="s">
        <v>167</v>
      </c>
      <c r="AK291" s="38">
        <f t="shared" si="155"/>
        <v>5504026</v>
      </c>
      <c r="AL291" s="41" t="str">
        <f t="shared" si="156"/>
        <v>队长暴击率&lt;color=#54b76b&gt;+%s%&lt;/color&gt;</v>
      </c>
      <c r="AM291" s="26">
        <v>6</v>
      </c>
      <c r="AN291" s="26">
        <v>3</v>
      </c>
      <c r="AO291" s="26" t="s">
        <v>32</v>
      </c>
      <c r="AP291" s="20">
        <f t="shared" si="138"/>
        <v>286</v>
      </c>
    </row>
    <row r="292" s="20" customFormat="1" customHeight="1" spans="1:42">
      <c r="A292" s="38">
        <v>5504027</v>
      </c>
      <c r="B292" s="38" t="str">
        <f t="shared" si="150"/>
        <v>5504021</v>
      </c>
      <c r="C292" s="32">
        <f t="shared" si="151"/>
        <v>7</v>
      </c>
      <c r="D292" s="32"/>
      <c r="E292" s="26" t="s">
        <v>162</v>
      </c>
      <c r="F292" s="26">
        <f t="shared" si="134"/>
        <v>1</v>
      </c>
      <c r="G292" s="26">
        <f>IFERROR(IF(--MID($E292,2*COUNTIF($F292:F292,"&gt;"&amp;0)+2,1)=G$1,G$1,""),"")</f>
        <v>2</v>
      </c>
      <c r="H292" s="26">
        <f>IFERROR(IF(--MID($E292,2*COUNTIF($F292:G292,"&gt;"&amp;0)+2,1)=H$1,H$1,""),"")</f>
        <v>3</v>
      </c>
      <c r="I292" s="26">
        <f>IFERROR(IF(--MID($E292,2*COUNTIF($F292:H292,"&gt;"&amp;0)+2,1)=I$1,I$1,""),"")</f>
        <v>4</v>
      </c>
      <c r="J292" s="26">
        <f>IFERROR(IF(--MID($E292,2*COUNTIF($F292:I292,"&gt;"&amp;0)+2,1)=J$1,J$1,""),"")</f>
        <v>5</v>
      </c>
      <c r="K292" s="26">
        <f>IFERROR(IF(--MID($E292,2*COUNTIF($F292:J292,"&gt;"&amp;0)+2,1)=K$1,K$1,""),"")</f>
        <v>6</v>
      </c>
      <c r="L292" s="39" cm="1">
        <f t="array" ref="L292">IFERROR(IF($A292="","",IF(F292="","",_xlfn.XLOOKUP($C292&amp;"_"&amp;$AG292,符文权重!$A:$A&amp;"_"&amp;符文权重!$C:$C,符文权重!$D:$D)*$X292/SUMIFS($X:$X,F:F,F292,$C:$C,$C292,$AG:$AG,$AG292)/SUMIF(符文权重!$A:$A,$C292,符文权重!$D:$D))),"")</f>
        <v>0.0115384615384615</v>
      </c>
      <c r="M292" s="39" cm="1">
        <f t="array" ref="M292">IFERROR(IF($A292="","",IF(G292="","",_xlfn.XLOOKUP($C292&amp;"_"&amp;$AG292,符文权重!$A:$A&amp;"_"&amp;符文权重!$C:$C,符文权重!$D:$D)*$X292/SUMIFS($X:$X,G:G,G292,$C:$C,$C292,$AG:$AG,$AG292)/SUMIF(符文权重!$A:$A,$C292,符文权重!$D:$D))),"")</f>
        <v>0.0125</v>
      </c>
      <c r="N292" s="39" cm="1">
        <f t="array" ref="N292">IFERROR(IF($A292="","",IF(H292="","",_xlfn.XLOOKUP($C292&amp;"_"&amp;$AG292,符文权重!$A:$A&amp;"_"&amp;符文权重!$C:$C,符文权重!$D:$D)*$X292/SUMIFS($X:$X,H:H,H292,$C:$C,$C292,$AG:$AG,$AG292)/SUMIF(符文权重!$A:$A,$C292,符文权重!$D:$D))),"")</f>
        <v>0.0115384615384615</v>
      </c>
      <c r="O292" s="39" cm="1">
        <f t="array" ref="O292">IFERROR(IF($A292="","",IF(I292="","",_xlfn.XLOOKUP($C292&amp;"_"&amp;$AG292,符文权重!$A:$A&amp;"_"&amp;符文权重!$C:$C,符文权重!$D:$D)*$X292/SUMIFS($X:$X,I:I,I292,$C:$C,$C292,$AG:$AG,$AG292)/SUMIF(符文权重!$A:$A,$C292,符文权重!$D:$D))),"")</f>
        <v>0.009375</v>
      </c>
      <c r="P292" s="39" cm="1">
        <f t="array" ref="P292">IFERROR(IF($A292="","",IF(J292="","",_xlfn.XLOOKUP($C292&amp;"_"&amp;$AG292,符文权重!$A:$A&amp;"_"&amp;符文权重!$C:$C,符文权重!$D:$D)*$X292/SUMIFS($X:$X,J:J,J292,$C:$C,$C292,$AG:$AG,$AG292)/SUMIF(符文权重!$A:$A,$C292,符文权重!$D:$D))),"")</f>
        <v>0.0107142857142857</v>
      </c>
      <c r="Q292" s="39" cm="1">
        <f t="array" ref="Q292">IFERROR(IF($A292="","",IF(K292="","",_xlfn.XLOOKUP($C292&amp;"_"&amp;$AG292,符文权重!$A:$A&amp;"_"&amp;符文权重!$C:$C,符文权重!$D:$D)*$X292/SUMIFS($X:$X,K:K,K292,$C:$C,$C292,$AG:$AG,$AG292)/SUMIF(符文权重!$A:$A,$C292,符文权重!$D:$D))),"")</f>
        <v>0.009375</v>
      </c>
      <c r="R292" s="26" t="s">
        <v>244</v>
      </c>
      <c r="S292" s="26"/>
      <c r="T292" s="26" t="e">
        <f>IF(B292="","",SUBSTITUTE(SUBSTITUTE("[{global_atk,"&amp;#REF!*C292&amp;"}]",21,20),9,8))</f>
        <v>#REF!</v>
      </c>
      <c r="U292" s="40" t="str">
        <f t="shared" si="152"/>
        <v>[5504027]</v>
      </c>
      <c r="V292" s="53" t="s">
        <v>372</v>
      </c>
      <c r="W292" s="25"/>
      <c r="X292" s="32">
        <v>100</v>
      </c>
      <c r="Y292" s="25"/>
      <c r="Z292" s="32" t="s">
        <v>180</v>
      </c>
      <c r="AA292" s="32" t="str">
        <f t="shared" si="146"/>
        <v>队长暴击率+7%</v>
      </c>
      <c r="AB292" s="32"/>
      <c r="AC292" s="32" t="s">
        <v>166</v>
      </c>
      <c r="AD292" s="32">
        <f t="shared" si="137"/>
        <v>1287</v>
      </c>
      <c r="AE292" s="38" t="str">
        <f t="shared" si="153"/>
        <v>5504021</v>
      </c>
      <c r="AF292" s="32" t="str">
        <f t="shared" si="154"/>
        <v>[7]</v>
      </c>
      <c r="AG292" s="26">
        <v>4</v>
      </c>
      <c r="AH292" s="26"/>
      <c r="AI292" s="26">
        <v>0</v>
      </c>
      <c r="AJ292" s="25" t="s">
        <v>167</v>
      </c>
      <c r="AK292" s="38">
        <f t="shared" si="155"/>
        <v>5504027</v>
      </c>
      <c r="AL292" s="41" t="str">
        <f t="shared" si="156"/>
        <v>队长暴击率&lt;color=#54b76b&gt;+%s%&lt;/color&gt;</v>
      </c>
      <c r="AM292" s="26">
        <v>7</v>
      </c>
      <c r="AN292" s="26">
        <v>3</v>
      </c>
      <c r="AO292" s="26" t="s">
        <v>32</v>
      </c>
      <c r="AP292" s="20">
        <f t="shared" si="138"/>
        <v>287</v>
      </c>
    </row>
    <row r="293" s="20" customFormat="1" customHeight="1" spans="1:42">
      <c r="A293" s="38"/>
      <c r="B293" s="38"/>
      <c r="C293" s="32"/>
      <c r="D293" s="32"/>
      <c r="E293" s="26"/>
      <c r="F293" s="26" t="str">
        <f t="shared" si="134"/>
        <v/>
      </c>
      <c r="G293" s="26" t="str">
        <f>IFERROR(IF(--MID($E293,2*COUNTIF($F293:F293,"&gt;"&amp;0)+2,1)=G$1,G$1,""),"")</f>
        <v/>
      </c>
      <c r="H293" s="26" t="str">
        <f>IFERROR(IF(--MID($E293,2*COUNTIF($F293:G293,"&gt;"&amp;0)+2,1)=H$1,H$1,""),"")</f>
        <v/>
      </c>
      <c r="I293" s="26" t="str">
        <f>IFERROR(IF(--MID($E293,2*COUNTIF($F293:H293,"&gt;"&amp;0)+2,1)=I$1,I$1,""),"")</f>
        <v/>
      </c>
      <c r="J293" s="26" t="str">
        <f>IFERROR(IF(--MID($E293,2*COUNTIF($F293:I293,"&gt;"&amp;0)+2,1)=J$1,J$1,""),"")</f>
        <v/>
      </c>
      <c r="K293" s="26" t="str">
        <f>IFERROR(IF(--MID($E293,2*COUNTIF($F293:J293,"&gt;"&amp;0)+2,1)=K$1,K$1,""),"")</f>
        <v/>
      </c>
      <c r="L293" s="39" t="str" cm="1">
        <f t="array" ref="L293">IFERROR(IF($A293="","",IF(F293="","",_xlfn.XLOOKUP($C293&amp;"_"&amp;$AG293,符文权重!$A:$A&amp;"_"&amp;符文权重!$C:$C,符文权重!$D:$D)*$X293/SUMIFS($X:$X,F:F,F293,$C:$C,$C293,$AG:$AG,$AG293)/SUMIF(符文权重!$A:$A,$C293,符文权重!$D:$D))),"")</f>
        <v/>
      </c>
      <c r="M293" s="39" t="str" cm="1">
        <f t="array" ref="M293">IFERROR(IF($A293="","",IF(G293="","",_xlfn.XLOOKUP($C293&amp;"_"&amp;$AG293,符文权重!$A:$A&amp;"_"&amp;符文权重!$C:$C,符文权重!$D:$D)*$X293/SUMIFS($X:$X,G:G,G293,$C:$C,$C293,$AG:$AG,$AG293)/SUMIF(符文权重!$A:$A,$C293,符文权重!$D:$D))),"")</f>
        <v/>
      </c>
      <c r="N293" s="39" t="str" cm="1">
        <f t="array" ref="N293">IFERROR(IF($A293="","",IF(H293="","",_xlfn.XLOOKUP($C293&amp;"_"&amp;$AG293,符文权重!$A:$A&amp;"_"&amp;符文权重!$C:$C,符文权重!$D:$D)*$X293/SUMIFS($X:$X,H:H,H293,$C:$C,$C293,$AG:$AG,$AG293)/SUMIF(符文权重!$A:$A,$C293,符文权重!$D:$D))),"")</f>
        <v/>
      </c>
      <c r="O293" s="39" t="str" cm="1">
        <f t="array" ref="O293">IFERROR(IF($A293="","",IF(I293="","",_xlfn.XLOOKUP($C293&amp;"_"&amp;$AG293,符文权重!$A:$A&amp;"_"&amp;符文权重!$C:$C,符文权重!$D:$D)*$X293/SUMIFS($X:$X,I:I,I293,$C:$C,$C293,$AG:$AG,$AG293)/SUMIF(符文权重!$A:$A,$C293,符文权重!$D:$D))),"")</f>
        <v/>
      </c>
      <c r="P293" s="39" t="str" cm="1">
        <f t="array" ref="P293">IFERROR(IF($A293="","",IF(J293="","",_xlfn.XLOOKUP($C293&amp;"_"&amp;$AG293,符文权重!$A:$A&amp;"_"&amp;符文权重!$C:$C,符文权重!$D:$D)*$X293/SUMIFS($X:$X,J:J,J293,$C:$C,$C293,$AG:$AG,$AG293)/SUMIF(符文权重!$A:$A,$C293,符文权重!$D:$D))),"")</f>
        <v/>
      </c>
      <c r="Q293" s="39" t="str" cm="1">
        <f t="array" ref="Q293">IFERROR(IF($A293="","",IF(K293="","",_xlfn.XLOOKUP($C293&amp;"_"&amp;$AG293,符文权重!$A:$A&amp;"_"&amp;符文权重!$C:$C,符文权重!$D:$D)*$X293/SUMIFS($X:$X,K:K,K293,$C:$C,$C293,$AG:$AG,$AG293)/SUMIF(符文权重!$A:$A,$C293,符文权重!$D:$D))),"")</f>
        <v/>
      </c>
      <c r="R293" s="26"/>
      <c r="S293" s="26"/>
      <c r="T293" s="26"/>
      <c r="U293" s="40"/>
      <c r="V293" s="53"/>
      <c r="W293" s="25"/>
      <c r="X293" s="32"/>
      <c r="Y293" s="25"/>
      <c r="Z293" s="32"/>
      <c r="AA293" s="32" t="str">
        <f t="shared" si="146"/>
        <v/>
      </c>
      <c r="AB293" s="32"/>
      <c r="AC293" s="32" t="s">
        <v>166</v>
      </c>
      <c r="AD293" s="32">
        <f t="shared" si="137"/>
        <v>1288</v>
      </c>
      <c r="AE293" s="38"/>
      <c r="AF293" s="32"/>
      <c r="AG293" s="26"/>
      <c r="AH293" s="26"/>
      <c r="AI293" s="26"/>
      <c r="AJ293" s="25" t="s">
        <v>167</v>
      </c>
      <c r="AK293" s="38"/>
      <c r="AL293" s="41"/>
      <c r="AM293" s="26"/>
      <c r="AN293" s="26"/>
      <c r="AO293" s="26"/>
      <c r="AP293" s="20">
        <f t="shared" si="138"/>
        <v>288</v>
      </c>
    </row>
    <row r="294" s="22" customFormat="1" customHeight="1" spans="1:42">
      <c r="A294" s="44">
        <v>5504031</v>
      </c>
      <c r="B294" s="44" t="str">
        <f t="shared" ref="B294:B300" si="157">IF(ISBLANK(AK294),"",LEFT(AK294,6)&amp;1)</f>
        <v>5504031</v>
      </c>
      <c r="C294" s="45">
        <f t="shared" ref="C294:C300" si="158">IF(ISBLANK(AK294),"",VALUE(RIGHT(A294,1)))</f>
        <v>1</v>
      </c>
      <c r="D294" s="45"/>
      <c r="E294" s="46" t="s">
        <v>200</v>
      </c>
      <c r="F294" s="26" t="str">
        <f t="shared" si="134"/>
        <v/>
      </c>
      <c r="G294" s="26">
        <f>IFERROR(IF(--MID($E294,2*COUNTIF($F294:F294,"&gt;"&amp;0)+2,1)=G$1,G$1,""),"")</f>
        <v>2</v>
      </c>
      <c r="H294" s="26" t="str">
        <f>IFERROR(IF(--MID($E294,2*COUNTIF($F294:G294,"&gt;"&amp;0)+2,1)=H$1,H$1,""),"")</f>
        <v/>
      </c>
      <c r="I294" s="26" t="str">
        <f>IFERROR(IF(--MID($E294,2*COUNTIF($F294:H294,"&gt;"&amp;0)+2,1)=I$1,I$1,""),"")</f>
        <v/>
      </c>
      <c r="J294" s="26" t="str">
        <f>IFERROR(IF(--MID($E294,2*COUNTIF($F294:I294,"&gt;"&amp;0)+2,1)=J$1,J$1,""),"")</f>
        <v/>
      </c>
      <c r="K294" s="26" t="str">
        <f>IFERROR(IF(--MID($E294,2*COUNTIF($F294:J294,"&gt;"&amp;0)+2,1)=K$1,K$1,""),"")</f>
        <v/>
      </c>
      <c r="L294" s="39" t="str" cm="1">
        <f t="array" ref="L294">IFERROR(IF($A294="","",IF(F294="","",_xlfn.XLOOKUP($C294&amp;"_"&amp;$AG294,符文权重!$A:$A&amp;"_"&amp;符文权重!$C:$C,符文权重!$D:$D)*$X294/SUMIFS($X:$X,F:F,F294,$C:$C,$C294,$AG:$AG,$AG294)/SUMIF(符文权重!$A:$A,$C294,符文权重!$D:$D))),"")</f>
        <v/>
      </c>
      <c r="M294" s="39" t="str" cm="1">
        <f t="array" ref="M294">IFERROR(IF($A294="","",IF(G294="","",_xlfn.XLOOKUP($C294&amp;"_"&amp;$AG294,符文权重!$A:$A&amp;"_"&amp;符文权重!$C:$C,符文权重!$D:$D)*$X294/SUMIFS($X:$X,G:G,G294,$C:$C,$C294,$AG:$AG,$AG294)/SUMIF(符文权重!$A:$A,$C294,符文权重!$D:$D))),"")</f>
        <v/>
      </c>
      <c r="N294" s="39" t="str" cm="1">
        <f t="array" ref="N294">IFERROR(IF($A294="","",IF(H294="","",_xlfn.XLOOKUP($C294&amp;"_"&amp;$AG294,符文权重!$A:$A&amp;"_"&amp;符文权重!$C:$C,符文权重!$D:$D)*$X294/SUMIFS($X:$X,H:H,H294,$C:$C,$C294,$AG:$AG,$AG294)/SUMIF(符文权重!$A:$A,$C294,符文权重!$D:$D))),"")</f>
        <v/>
      </c>
      <c r="O294" s="39" t="str" cm="1">
        <f t="array" ref="O294">IFERROR(IF($A294="","",IF(I294="","",_xlfn.XLOOKUP($C294&amp;"_"&amp;$AG294,符文权重!$A:$A&amp;"_"&amp;符文权重!$C:$C,符文权重!$D:$D)*$X294/SUMIFS($X:$X,I:I,I294,$C:$C,$C294,$AG:$AG,$AG294)/SUMIF(符文权重!$A:$A,$C294,符文权重!$D:$D))),"")</f>
        <v/>
      </c>
      <c r="P294" s="39" t="str" cm="1">
        <f t="array" ref="P294">IFERROR(IF($A294="","",IF(J294="","",_xlfn.XLOOKUP($C294&amp;"_"&amp;$AG294,符文权重!$A:$A&amp;"_"&amp;符文权重!$C:$C,符文权重!$D:$D)*$X294/SUMIFS($X:$X,J:J,J294,$C:$C,$C294,$AG:$AG,$AG294)/SUMIF(符文权重!$A:$A,$C294,符文权重!$D:$D))),"")</f>
        <v/>
      </c>
      <c r="Q294" s="39" t="str" cm="1">
        <f t="array" ref="Q294">IFERROR(IF($A294="","",IF(K294="","",_xlfn.XLOOKUP($C294&amp;"_"&amp;$AG294,符文权重!$A:$A&amp;"_"&amp;符文权重!$C:$C,符文权重!$D:$D)*$X294/SUMIFS($X:$X,K:K,K294,$C:$C,$C294,$AG:$AG,$AG294)/SUMIF(符文权重!$A:$A,$C294,符文权重!$D:$D))),"")</f>
        <v/>
      </c>
      <c r="R294" s="46" t="s">
        <v>330</v>
      </c>
      <c r="S294" s="46"/>
      <c r="T294" s="46" t="e">
        <f>IF(B294="","",SUBSTITUTE(SUBSTITUTE("[{global_atk,"&amp;#REF!*C294&amp;"}]",21,20),9,8))</f>
        <v>#REF!</v>
      </c>
      <c r="U294" s="47" t="str">
        <f t="shared" ref="U294:U300" si="159">"["&amp;A294&amp;"]"</f>
        <v>[5504031]</v>
      </c>
      <c r="V294" s="46"/>
      <c r="W294" s="23"/>
      <c r="X294" s="32">
        <v>100</v>
      </c>
      <c r="Y294" s="23"/>
      <c r="Z294" s="45" t="s">
        <v>165</v>
      </c>
      <c r="AA294" s="32" t="str">
        <f t="shared" si="146"/>
        <v>每次穿透时，伤害+10%</v>
      </c>
      <c r="AB294" s="32"/>
      <c r="AC294" s="32" t="s">
        <v>166</v>
      </c>
      <c r="AD294" s="32">
        <f t="shared" si="137"/>
        <v>1289</v>
      </c>
      <c r="AE294" s="44" t="str">
        <f t="shared" ref="AE294:AE300" si="160">IF(ISBLANK(AK294),"",B294)</f>
        <v>5504031</v>
      </c>
      <c r="AF294" s="45" t="str">
        <f t="shared" ref="AF294:AF300" si="161">IF(ISBLANK(AM294),"","["&amp;AM294&amp;"]")</f>
        <v>[10]</v>
      </c>
      <c r="AG294" s="26">
        <v>100</v>
      </c>
      <c r="AH294" s="46"/>
      <c r="AI294" s="46">
        <v>1</v>
      </c>
      <c r="AJ294" s="25" t="s">
        <v>167</v>
      </c>
      <c r="AK294" s="48">
        <v>5504031</v>
      </c>
      <c r="AL294" s="49" t="s">
        <v>373</v>
      </c>
      <c r="AM294" s="46">
        <v>10</v>
      </c>
      <c r="AN294" s="26"/>
      <c r="AO294" s="26" t="s">
        <v>31</v>
      </c>
      <c r="AP294" s="20">
        <f t="shared" si="138"/>
        <v>289</v>
      </c>
    </row>
    <row r="295" s="22" customFormat="1" customHeight="1" spans="1:42">
      <c r="A295" s="44">
        <v>5504032</v>
      </c>
      <c r="B295" s="44" t="str">
        <f t="shared" si="157"/>
        <v>5504031</v>
      </c>
      <c r="C295" s="45">
        <f t="shared" si="158"/>
        <v>2</v>
      </c>
      <c r="D295" s="45"/>
      <c r="E295" s="46" t="s">
        <v>200</v>
      </c>
      <c r="F295" s="26" t="str">
        <f t="shared" si="134"/>
        <v/>
      </c>
      <c r="G295" s="26">
        <f>IFERROR(IF(--MID($E295,2*COUNTIF($F295:F295,"&gt;"&amp;0)+2,1)=G$1,G$1,""),"")</f>
        <v>2</v>
      </c>
      <c r="H295" s="26" t="str">
        <f>IFERROR(IF(--MID($E295,2*COUNTIF($F295:G295,"&gt;"&amp;0)+2,1)=H$1,H$1,""),"")</f>
        <v/>
      </c>
      <c r="I295" s="26" t="str">
        <f>IFERROR(IF(--MID($E295,2*COUNTIF($F295:H295,"&gt;"&amp;0)+2,1)=I$1,I$1,""),"")</f>
        <v/>
      </c>
      <c r="J295" s="26" t="str">
        <f>IFERROR(IF(--MID($E295,2*COUNTIF($F295:I295,"&gt;"&amp;0)+2,1)=J$1,J$1,""),"")</f>
        <v/>
      </c>
      <c r="K295" s="26" t="str">
        <f>IFERROR(IF(--MID($E295,2*COUNTIF($F295:J295,"&gt;"&amp;0)+2,1)=K$1,K$1,""),"")</f>
        <v/>
      </c>
      <c r="L295" s="39" t="str" cm="1">
        <f t="array" ref="L295">IFERROR(IF($A295="","",IF(F295="","",_xlfn.XLOOKUP($C295&amp;"_"&amp;$AG295,符文权重!$A:$A&amp;"_"&amp;符文权重!$C:$C,符文权重!$D:$D)*$X295/SUMIFS($X:$X,F:F,F295,$C:$C,$C295,$AG:$AG,$AG295)/SUMIF(符文权重!$A:$A,$C295,符文权重!$D:$D))),"")</f>
        <v/>
      </c>
      <c r="M295" s="39" t="str" cm="1">
        <f t="array" ref="M295">IFERROR(IF($A295="","",IF(G295="","",_xlfn.XLOOKUP($C295&amp;"_"&amp;$AG295,符文权重!$A:$A&amp;"_"&amp;符文权重!$C:$C,符文权重!$D:$D)*$X295/SUMIFS($X:$X,G:G,G295,$C:$C,$C295,$AG:$AG,$AG295)/SUMIF(符文权重!$A:$A,$C295,符文权重!$D:$D))),"")</f>
        <v/>
      </c>
      <c r="N295" s="39" t="str" cm="1">
        <f t="array" ref="N295">IFERROR(IF($A295="","",IF(H295="","",_xlfn.XLOOKUP($C295&amp;"_"&amp;$AG295,符文权重!$A:$A&amp;"_"&amp;符文权重!$C:$C,符文权重!$D:$D)*$X295/SUMIFS($X:$X,H:H,H295,$C:$C,$C295,$AG:$AG,$AG295)/SUMIF(符文权重!$A:$A,$C295,符文权重!$D:$D))),"")</f>
        <v/>
      </c>
      <c r="O295" s="39" t="str" cm="1">
        <f t="array" ref="O295">IFERROR(IF($A295="","",IF(I295="","",_xlfn.XLOOKUP($C295&amp;"_"&amp;$AG295,符文权重!$A:$A&amp;"_"&amp;符文权重!$C:$C,符文权重!$D:$D)*$X295/SUMIFS($X:$X,I:I,I295,$C:$C,$C295,$AG:$AG,$AG295)/SUMIF(符文权重!$A:$A,$C295,符文权重!$D:$D))),"")</f>
        <v/>
      </c>
      <c r="P295" s="39" t="str" cm="1">
        <f t="array" ref="P295">IFERROR(IF($A295="","",IF(J295="","",_xlfn.XLOOKUP($C295&amp;"_"&amp;$AG295,符文权重!$A:$A&amp;"_"&amp;符文权重!$C:$C,符文权重!$D:$D)*$X295/SUMIFS($X:$X,J:J,J295,$C:$C,$C295,$AG:$AG,$AG295)/SUMIF(符文权重!$A:$A,$C295,符文权重!$D:$D))),"")</f>
        <v/>
      </c>
      <c r="Q295" s="39" t="str" cm="1">
        <f t="array" ref="Q295">IFERROR(IF($A295="","",IF(K295="","",_xlfn.XLOOKUP($C295&amp;"_"&amp;$AG295,符文权重!$A:$A&amp;"_"&amp;符文权重!$C:$C,符文权重!$D:$D)*$X295/SUMIFS($X:$X,K:K,K295,$C:$C,$C295,$AG:$AG,$AG295)/SUMIF(符文权重!$A:$A,$C295,符文权重!$D:$D))),"")</f>
        <v/>
      </c>
      <c r="R295" s="46" t="s">
        <v>330</v>
      </c>
      <c r="S295" s="46"/>
      <c r="T295" s="46" t="e">
        <f>IF(B295="","",SUBSTITUTE(SUBSTITUTE("[{global_atk,"&amp;#REF!*C295&amp;"}]",21,20),9,8))</f>
        <v>#REF!</v>
      </c>
      <c r="U295" s="47" t="str">
        <f t="shared" si="159"/>
        <v>[5504032]</v>
      </c>
      <c r="V295" s="46"/>
      <c r="W295" s="23"/>
      <c r="X295" s="32">
        <v>100</v>
      </c>
      <c r="Y295" s="23"/>
      <c r="Z295" s="45" t="s">
        <v>170</v>
      </c>
      <c r="AA295" s="32" t="str">
        <f t="shared" si="146"/>
        <v>每次穿透时，伤害+15%</v>
      </c>
      <c r="AB295" s="32"/>
      <c r="AC295" s="32" t="s">
        <v>166</v>
      </c>
      <c r="AD295" s="32">
        <f t="shared" si="137"/>
        <v>1290</v>
      </c>
      <c r="AE295" s="44" t="str">
        <f t="shared" si="160"/>
        <v>5504031</v>
      </c>
      <c r="AF295" s="45" t="str">
        <f t="shared" si="161"/>
        <v>[15]</v>
      </c>
      <c r="AG295" s="26">
        <v>100</v>
      </c>
      <c r="AH295" s="46"/>
      <c r="AI295" s="46">
        <v>1</v>
      </c>
      <c r="AJ295" s="25" t="s">
        <v>167</v>
      </c>
      <c r="AK295" s="44">
        <f t="shared" ref="AK295:AK300" si="162">AK294+1</f>
        <v>5504032</v>
      </c>
      <c r="AL295" s="50" t="str">
        <f t="shared" ref="AL295:AL300" si="163">AL294</f>
        <v>每次穿透时，伤害&lt;color=#54b76b&gt;+%s%&lt;/color&gt;</v>
      </c>
      <c r="AM295" s="46">
        <v>15</v>
      </c>
      <c r="AN295" s="26"/>
      <c r="AO295" s="26" t="s">
        <v>31</v>
      </c>
      <c r="AP295" s="20">
        <f t="shared" si="138"/>
        <v>290</v>
      </c>
    </row>
    <row r="296" s="20" customFormat="1" customHeight="1" spans="1:42">
      <c r="A296" s="38">
        <v>5504033</v>
      </c>
      <c r="B296" s="38" t="str">
        <f t="shared" si="157"/>
        <v>5504031</v>
      </c>
      <c r="C296" s="32">
        <f t="shared" si="158"/>
        <v>3</v>
      </c>
      <c r="D296" s="32"/>
      <c r="E296" s="26" t="s">
        <v>200</v>
      </c>
      <c r="F296" s="26" t="str">
        <f t="shared" si="134"/>
        <v/>
      </c>
      <c r="G296" s="26">
        <f>IFERROR(IF(--MID($E296,2*COUNTIF($F296:F296,"&gt;"&amp;0)+2,1)=G$1,G$1,""),"")</f>
        <v>2</v>
      </c>
      <c r="H296" s="26" t="str">
        <f>IFERROR(IF(--MID($E296,2*COUNTIF($F296:G296,"&gt;"&amp;0)+2,1)=H$1,H$1,""),"")</f>
        <v/>
      </c>
      <c r="I296" s="26" t="str">
        <f>IFERROR(IF(--MID($E296,2*COUNTIF($F296:H296,"&gt;"&amp;0)+2,1)=I$1,I$1,""),"")</f>
        <v/>
      </c>
      <c r="J296" s="26" t="str">
        <f>IFERROR(IF(--MID($E296,2*COUNTIF($F296:I296,"&gt;"&amp;0)+2,1)=J$1,J$1,""),"")</f>
        <v/>
      </c>
      <c r="K296" s="26" t="str">
        <f>IFERROR(IF(--MID($E296,2*COUNTIF($F296:J296,"&gt;"&amp;0)+2,1)=K$1,K$1,""),"")</f>
        <v/>
      </c>
      <c r="L296" s="39" t="str" cm="1">
        <f t="array" ref="L296">IFERROR(IF($A296="","",IF(F296="","",_xlfn.XLOOKUP($C296&amp;"_"&amp;$AG296,符文权重!$A:$A&amp;"_"&amp;符文权重!$C:$C,符文权重!$D:$D)*$X296/SUMIFS($X:$X,F:F,F296,$C:$C,$C296,$AG:$AG,$AG296)/SUMIF(符文权重!$A:$A,$C296,符文权重!$D:$D))),"")</f>
        <v/>
      </c>
      <c r="M296" s="39" t="str" cm="1">
        <f t="array" ref="M296">IFERROR(IF($A296="","",IF(G296="","",_xlfn.XLOOKUP($C296&amp;"_"&amp;$AG296,符文权重!$A:$A&amp;"_"&amp;符文权重!$C:$C,符文权重!$D:$D)*$X296/SUMIFS($X:$X,G:G,G296,$C:$C,$C296,$AG:$AG,$AG296)/SUMIF(符文权重!$A:$A,$C296,符文权重!$D:$D))),"")</f>
        <v/>
      </c>
      <c r="N296" s="39" t="str" cm="1">
        <f t="array" ref="N296">IFERROR(IF($A296="","",IF(H296="","",_xlfn.XLOOKUP($C296&amp;"_"&amp;$AG296,符文权重!$A:$A&amp;"_"&amp;符文权重!$C:$C,符文权重!$D:$D)*$X296/SUMIFS($X:$X,H:H,H296,$C:$C,$C296,$AG:$AG,$AG296)/SUMIF(符文权重!$A:$A,$C296,符文权重!$D:$D))),"")</f>
        <v/>
      </c>
      <c r="O296" s="39" t="str" cm="1">
        <f t="array" ref="O296">IFERROR(IF($A296="","",IF(I296="","",_xlfn.XLOOKUP($C296&amp;"_"&amp;$AG296,符文权重!$A:$A&amp;"_"&amp;符文权重!$C:$C,符文权重!$D:$D)*$X296/SUMIFS($X:$X,I:I,I296,$C:$C,$C296,$AG:$AG,$AG296)/SUMIF(符文权重!$A:$A,$C296,符文权重!$D:$D))),"")</f>
        <v/>
      </c>
      <c r="P296" s="39" t="str" cm="1">
        <f t="array" ref="P296">IFERROR(IF($A296="","",IF(J296="","",_xlfn.XLOOKUP($C296&amp;"_"&amp;$AG296,符文权重!$A:$A&amp;"_"&amp;符文权重!$C:$C,符文权重!$D:$D)*$X296/SUMIFS($X:$X,J:J,J296,$C:$C,$C296,$AG:$AG,$AG296)/SUMIF(符文权重!$A:$A,$C296,符文权重!$D:$D))),"")</f>
        <v/>
      </c>
      <c r="Q296" s="39" t="str" cm="1">
        <f t="array" ref="Q296">IFERROR(IF($A296="","",IF(K296="","",_xlfn.XLOOKUP($C296&amp;"_"&amp;$AG296,符文权重!$A:$A&amp;"_"&amp;符文权重!$C:$C,符文权重!$D:$D)*$X296/SUMIFS($X:$X,K:K,K296,$C:$C,$C296,$AG:$AG,$AG296)/SUMIF(符文权重!$A:$A,$C296,符文权重!$D:$D))),"")</f>
        <v/>
      </c>
      <c r="R296" s="26" t="s">
        <v>163</v>
      </c>
      <c r="S296" s="26"/>
      <c r="T296" s="26" t="e">
        <f>IF(B296="","",SUBSTITUTE(SUBSTITUTE("[{global_atk,"&amp;#REF!*C296&amp;"}]",21,20),9,8))</f>
        <v>#REF!</v>
      </c>
      <c r="U296" s="40" t="str">
        <f t="shared" si="159"/>
        <v>[5504033]</v>
      </c>
      <c r="V296" s="26"/>
      <c r="W296" s="25"/>
      <c r="X296" s="32">
        <v>100</v>
      </c>
      <c r="Y296" s="25"/>
      <c r="Z296" s="32" t="s">
        <v>172</v>
      </c>
      <c r="AA296" s="32" t="str">
        <f t="shared" si="146"/>
        <v>每次穿透时，伤害+20%</v>
      </c>
      <c r="AB296" s="32"/>
      <c r="AC296" s="32" t="s">
        <v>166</v>
      </c>
      <c r="AD296" s="32">
        <f t="shared" si="137"/>
        <v>1291</v>
      </c>
      <c r="AE296" s="38" t="str">
        <f t="shared" si="160"/>
        <v>5504031</v>
      </c>
      <c r="AF296" s="32" t="str">
        <f t="shared" si="161"/>
        <v>[20]</v>
      </c>
      <c r="AG296" s="26">
        <v>100</v>
      </c>
      <c r="AH296" s="26"/>
      <c r="AI296" s="26">
        <v>1</v>
      </c>
      <c r="AJ296" s="25" t="s">
        <v>167</v>
      </c>
      <c r="AK296" s="38">
        <f t="shared" si="162"/>
        <v>5504033</v>
      </c>
      <c r="AL296" s="41" t="str">
        <f t="shared" si="163"/>
        <v>每次穿透时，伤害&lt;color=#54b76b&gt;+%s%&lt;/color&gt;</v>
      </c>
      <c r="AM296" s="26">
        <v>20</v>
      </c>
      <c r="AN296" s="54"/>
      <c r="AO296" s="26" t="s">
        <v>31</v>
      </c>
      <c r="AP296" s="20">
        <f t="shared" si="138"/>
        <v>291</v>
      </c>
    </row>
    <row r="297" s="20" customFormat="1" customHeight="1" spans="1:42">
      <c r="A297" s="38">
        <v>5504034</v>
      </c>
      <c r="B297" s="38" t="str">
        <f t="shared" si="157"/>
        <v>5504031</v>
      </c>
      <c r="C297" s="32">
        <f t="shared" si="158"/>
        <v>4</v>
      </c>
      <c r="D297" s="32"/>
      <c r="E297" s="26" t="s">
        <v>200</v>
      </c>
      <c r="F297" s="26" t="str">
        <f t="shared" si="134"/>
        <v/>
      </c>
      <c r="G297" s="26">
        <f>IFERROR(IF(--MID($E297,2*COUNTIF($F297:F297,"&gt;"&amp;0)+2,1)=G$1,G$1,""),"")</f>
        <v>2</v>
      </c>
      <c r="H297" s="26" t="str">
        <f>IFERROR(IF(--MID($E297,2*COUNTIF($F297:G297,"&gt;"&amp;0)+2,1)=H$1,H$1,""),"")</f>
        <v/>
      </c>
      <c r="I297" s="26" t="str">
        <f>IFERROR(IF(--MID($E297,2*COUNTIF($F297:H297,"&gt;"&amp;0)+2,1)=I$1,I$1,""),"")</f>
        <v/>
      </c>
      <c r="J297" s="26" t="str">
        <f>IFERROR(IF(--MID($E297,2*COUNTIF($F297:I297,"&gt;"&amp;0)+2,1)=J$1,J$1,""),"")</f>
        <v/>
      </c>
      <c r="K297" s="26" t="str">
        <f>IFERROR(IF(--MID($E297,2*COUNTIF($F297:J297,"&gt;"&amp;0)+2,1)=K$1,K$1,""),"")</f>
        <v/>
      </c>
      <c r="L297" s="39" t="str" cm="1">
        <f t="array" ref="L297">IFERROR(IF($A297="","",IF(F297="","",_xlfn.XLOOKUP($C297&amp;"_"&amp;$AG297,符文权重!$A:$A&amp;"_"&amp;符文权重!$C:$C,符文权重!$D:$D)*$X297/SUMIFS($X:$X,F:F,F297,$C:$C,$C297,$AG:$AG,$AG297)/SUMIF(符文权重!$A:$A,$C297,符文权重!$D:$D))),"")</f>
        <v/>
      </c>
      <c r="M297" s="39" t="str" cm="1">
        <f t="array" ref="M297">IFERROR(IF($A297="","",IF(G297="","",_xlfn.XLOOKUP($C297&amp;"_"&amp;$AG297,符文权重!$A:$A&amp;"_"&amp;符文权重!$C:$C,符文权重!$D:$D)*$X297/SUMIFS($X:$X,G:G,G297,$C:$C,$C297,$AG:$AG,$AG297)/SUMIF(符文权重!$A:$A,$C297,符文权重!$D:$D))),"")</f>
        <v/>
      </c>
      <c r="N297" s="39" t="str" cm="1">
        <f t="array" ref="N297">IFERROR(IF($A297="","",IF(H297="","",_xlfn.XLOOKUP($C297&amp;"_"&amp;$AG297,符文权重!$A:$A&amp;"_"&amp;符文权重!$C:$C,符文权重!$D:$D)*$X297/SUMIFS($X:$X,H:H,H297,$C:$C,$C297,$AG:$AG,$AG297)/SUMIF(符文权重!$A:$A,$C297,符文权重!$D:$D))),"")</f>
        <v/>
      </c>
      <c r="O297" s="39" t="str" cm="1">
        <f t="array" ref="O297">IFERROR(IF($A297="","",IF(I297="","",_xlfn.XLOOKUP($C297&amp;"_"&amp;$AG297,符文权重!$A:$A&amp;"_"&amp;符文权重!$C:$C,符文权重!$D:$D)*$X297/SUMIFS($X:$X,I:I,I297,$C:$C,$C297,$AG:$AG,$AG297)/SUMIF(符文权重!$A:$A,$C297,符文权重!$D:$D))),"")</f>
        <v/>
      </c>
      <c r="P297" s="39" t="str" cm="1">
        <f t="array" ref="P297">IFERROR(IF($A297="","",IF(J297="","",_xlfn.XLOOKUP($C297&amp;"_"&amp;$AG297,符文权重!$A:$A&amp;"_"&amp;符文权重!$C:$C,符文权重!$D:$D)*$X297/SUMIFS($X:$X,J:J,J297,$C:$C,$C297,$AG:$AG,$AG297)/SUMIF(符文权重!$A:$A,$C297,符文权重!$D:$D))),"")</f>
        <v/>
      </c>
      <c r="Q297" s="39" t="str" cm="1">
        <f t="array" ref="Q297">IFERROR(IF($A297="","",IF(K297="","",_xlfn.XLOOKUP($C297&amp;"_"&amp;$AG297,符文权重!$A:$A&amp;"_"&amp;符文权重!$C:$C,符文权重!$D:$D)*$X297/SUMIFS($X:$X,K:K,K297,$C:$C,$C297,$AG:$AG,$AG297)/SUMIF(符文权重!$A:$A,$C297,符文权重!$D:$D))),"")</f>
        <v/>
      </c>
      <c r="R297" s="26" t="s">
        <v>163</v>
      </c>
      <c r="S297" s="26"/>
      <c r="T297" s="26" t="e">
        <f>IF(B297="","",SUBSTITUTE(SUBSTITUTE("[{global_atk,"&amp;#REF!*C297&amp;"}]",21,20),9,8))</f>
        <v>#REF!</v>
      </c>
      <c r="U297" s="40" t="str">
        <f t="shared" si="159"/>
        <v>[5504034]</v>
      </c>
      <c r="V297" s="26"/>
      <c r="W297" s="25"/>
      <c r="X297" s="32">
        <v>100</v>
      </c>
      <c r="Y297" s="25"/>
      <c r="Z297" s="32" t="s">
        <v>174</v>
      </c>
      <c r="AA297" s="32" t="str">
        <f t="shared" si="146"/>
        <v>每次穿透时，伤害+25%</v>
      </c>
      <c r="AB297" s="32"/>
      <c r="AC297" s="32" t="s">
        <v>166</v>
      </c>
      <c r="AD297" s="32">
        <f t="shared" si="137"/>
        <v>1292</v>
      </c>
      <c r="AE297" s="38" t="str">
        <f t="shared" si="160"/>
        <v>5504031</v>
      </c>
      <c r="AF297" s="32" t="str">
        <f t="shared" si="161"/>
        <v>[25]</v>
      </c>
      <c r="AG297" s="26">
        <v>100</v>
      </c>
      <c r="AH297" s="26"/>
      <c r="AI297" s="26">
        <v>1</v>
      </c>
      <c r="AJ297" s="25" t="s">
        <v>167</v>
      </c>
      <c r="AK297" s="38">
        <f t="shared" si="162"/>
        <v>5504034</v>
      </c>
      <c r="AL297" s="41" t="str">
        <f t="shared" si="163"/>
        <v>每次穿透时，伤害&lt;color=#54b76b&gt;+%s%&lt;/color&gt;</v>
      </c>
      <c r="AM297" s="26">
        <v>25</v>
      </c>
      <c r="AN297" s="26"/>
      <c r="AO297" s="26" t="s">
        <v>31</v>
      </c>
      <c r="AP297" s="20">
        <f t="shared" si="138"/>
        <v>292</v>
      </c>
    </row>
    <row r="298" s="20" customFormat="1" customHeight="1" spans="1:42">
      <c r="A298" s="38">
        <v>5504035</v>
      </c>
      <c r="B298" s="38" t="str">
        <f t="shared" si="157"/>
        <v>5504031</v>
      </c>
      <c r="C298" s="32">
        <f t="shared" si="158"/>
        <v>5</v>
      </c>
      <c r="D298" s="32"/>
      <c r="E298" s="26" t="s">
        <v>200</v>
      </c>
      <c r="F298" s="26" t="str">
        <f t="shared" si="134"/>
        <v/>
      </c>
      <c r="G298" s="26">
        <f>IFERROR(IF(--MID($E298,2*COUNTIF($F298:F298,"&gt;"&amp;0)+2,1)=G$1,G$1,""),"")</f>
        <v>2</v>
      </c>
      <c r="H298" s="26" t="str">
        <f>IFERROR(IF(--MID($E298,2*COUNTIF($F298:G298,"&gt;"&amp;0)+2,1)=H$1,H$1,""),"")</f>
        <v/>
      </c>
      <c r="I298" s="26" t="str">
        <f>IFERROR(IF(--MID($E298,2*COUNTIF($F298:H298,"&gt;"&amp;0)+2,1)=I$1,I$1,""),"")</f>
        <v/>
      </c>
      <c r="J298" s="26" t="str">
        <f>IFERROR(IF(--MID($E298,2*COUNTIF($F298:I298,"&gt;"&amp;0)+2,1)=J$1,J$1,""),"")</f>
        <v/>
      </c>
      <c r="K298" s="26" t="str">
        <f>IFERROR(IF(--MID($E298,2*COUNTIF($F298:J298,"&gt;"&amp;0)+2,1)=K$1,K$1,""),"")</f>
        <v/>
      </c>
      <c r="L298" s="39" t="str" cm="1">
        <f t="array" ref="L298">IFERROR(IF($A298="","",IF(F298="","",_xlfn.XLOOKUP($C298&amp;"_"&amp;$AG298,符文权重!$A:$A&amp;"_"&amp;符文权重!$C:$C,符文权重!$D:$D)*$X298/SUMIFS($X:$X,F:F,F298,$C:$C,$C298,$AG:$AG,$AG298)/SUMIF(符文权重!$A:$A,$C298,符文权重!$D:$D))),"")</f>
        <v/>
      </c>
      <c r="M298" s="39" t="str" cm="1">
        <f t="array" ref="M298">IFERROR(IF($A298="","",IF(G298="","",_xlfn.XLOOKUP($C298&amp;"_"&amp;$AG298,符文权重!$A:$A&amp;"_"&amp;符文权重!$C:$C,符文权重!$D:$D)*$X298/SUMIFS($X:$X,G:G,G298,$C:$C,$C298,$AG:$AG,$AG298)/SUMIF(符文权重!$A:$A,$C298,符文权重!$D:$D))),"")</f>
        <v/>
      </c>
      <c r="N298" s="39" t="str" cm="1">
        <f t="array" ref="N298">IFERROR(IF($A298="","",IF(H298="","",_xlfn.XLOOKUP($C298&amp;"_"&amp;$AG298,符文权重!$A:$A&amp;"_"&amp;符文权重!$C:$C,符文权重!$D:$D)*$X298/SUMIFS($X:$X,H:H,H298,$C:$C,$C298,$AG:$AG,$AG298)/SUMIF(符文权重!$A:$A,$C298,符文权重!$D:$D))),"")</f>
        <v/>
      </c>
      <c r="O298" s="39" t="str" cm="1">
        <f t="array" ref="O298">IFERROR(IF($A298="","",IF(I298="","",_xlfn.XLOOKUP($C298&amp;"_"&amp;$AG298,符文权重!$A:$A&amp;"_"&amp;符文权重!$C:$C,符文权重!$D:$D)*$X298/SUMIFS($X:$X,I:I,I298,$C:$C,$C298,$AG:$AG,$AG298)/SUMIF(符文权重!$A:$A,$C298,符文权重!$D:$D))),"")</f>
        <v/>
      </c>
      <c r="P298" s="39" t="str" cm="1">
        <f t="array" ref="P298">IFERROR(IF($A298="","",IF(J298="","",_xlfn.XLOOKUP($C298&amp;"_"&amp;$AG298,符文权重!$A:$A&amp;"_"&amp;符文权重!$C:$C,符文权重!$D:$D)*$X298/SUMIFS($X:$X,J:J,J298,$C:$C,$C298,$AG:$AG,$AG298)/SUMIF(符文权重!$A:$A,$C298,符文权重!$D:$D))),"")</f>
        <v/>
      </c>
      <c r="Q298" s="39" t="str" cm="1">
        <f t="array" ref="Q298">IFERROR(IF($A298="","",IF(K298="","",_xlfn.XLOOKUP($C298&amp;"_"&amp;$AG298,符文权重!$A:$A&amp;"_"&amp;符文权重!$C:$C,符文权重!$D:$D)*$X298/SUMIFS($X:$X,K:K,K298,$C:$C,$C298,$AG:$AG,$AG298)/SUMIF(符文权重!$A:$A,$C298,符文权重!$D:$D))),"")</f>
        <v/>
      </c>
      <c r="R298" s="26" t="s">
        <v>163</v>
      </c>
      <c r="S298" s="26"/>
      <c r="T298" s="26" t="e">
        <f>IF(B298="","",SUBSTITUTE(SUBSTITUTE("[{global_atk,"&amp;#REF!*C298&amp;"}]",21,20),9,8))</f>
        <v>#REF!</v>
      </c>
      <c r="U298" s="40" t="str">
        <f t="shared" si="159"/>
        <v>[5504035]</v>
      </c>
      <c r="V298" s="26"/>
      <c r="W298" s="25"/>
      <c r="X298" s="32">
        <v>100</v>
      </c>
      <c r="Y298" s="25"/>
      <c r="Z298" s="32" t="s">
        <v>176</v>
      </c>
      <c r="AA298" s="32" t="str">
        <f t="shared" si="146"/>
        <v>每次穿透时，伤害+30%</v>
      </c>
      <c r="AB298" s="32"/>
      <c r="AC298" s="32" t="s">
        <v>166</v>
      </c>
      <c r="AD298" s="32">
        <f t="shared" si="137"/>
        <v>1293</v>
      </c>
      <c r="AE298" s="38" t="str">
        <f t="shared" si="160"/>
        <v>5504031</v>
      </c>
      <c r="AF298" s="32" t="str">
        <f t="shared" si="161"/>
        <v>[30]</v>
      </c>
      <c r="AG298" s="26">
        <v>100</v>
      </c>
      <c r="AH298" s="26"/>
      <c r="AI298" s="26">
        <v>1</v>
      </c>
      <c r="AJ298" s="25" t="s">
        <v>167</v>
      </c>
      <c r="AK298" s="38">
        <f t="shared" si="162"/>
        <v>5504035</v>
      </c>
      <c r="AL298" s="41" t="str">
        <f t="shared" si="163"/>
        <v>每次穿透时，伤害&lt;color=#54b76b&gt;+%s%&lt;/color&gt;</v>
      </c>
      <c r="AM298" s="26">
        <v>30</v>
      </c>
      <c r="AN298" s="26"/>
      <c r="AO298" s="26" t="s">
        <v>31</v>
      </c>
      <c r="AP298" s="20">
        <f t="shared" si="138"/>
        <v>293</v>
      </c>
    </row>
    <row r="299" s="20" customFormat="1" customHeight="1" spans="1:42">
      <c r="A299" s="38">
        <v>5504036</v>
      </c>
      <c r="B299" s="38" t="str">
        <f t="shared" si="157"/>
        <v>5504031</v>
      </c>
      <c r="C299" s="32">
        <f t="shared" si="158"/>
        <v>6</v>
      </c>
      <c r="D299" s="32"/>
      <c r="E299" s="26" t="s">
        <v>200</v>
      </c>
      <c r="F299" s="26" t="str">
        <f t="shared" si="134"/>
        <v/>
      </c>
      <c r="G299" s="26">
        <f>IFERROR(IF(--MID($E299,2*COUNTIF($F299:F299,"&gt;"&amp;0)+2,1)=G$1,G$1,""),"")</f>
        <v>2</v>
      </c>
      <c r="H299" s="26" t="str">
        <f>IFERROR(IF(--MID($E299,2*COUNTIF($F299:G299,"&gt;"&amp;0)+2,1)=H$1,H$1,""),"")</f>
        <v/>
      </c>
      <c r="I299" s="26" t="str">
        <f>IFERROR(IF(--MID($E299,2*COUNTIF($F299:H299,"&gt;"&amp;0)+2,1)=I$1,I$1,""),"")</f>
        <v/>
      </c>
      <c r="J299" s="26" t="str">
        <f>IFERROR(IF(--MID($E299,2*COUNTIF($F299:I299,"&gt;"&amp;0)+2,1)=J$1,J$1,""),"")</f>
        <v/>
      </c>
      <c r="K299" s="26" t="str">
        <f>IFERROR(IF(--MID($E299,2*COUNTIF($F299:J299,"&gt;"&amp;0)+2,1)=K$1,K$1,""),"")</f>
        <v/>
      </c>
      <c r="L299" s="39" t="str" cm="1">
        <f t="array" ref="L299">IFERROR(IF($A299="","",IF(F299="","",_xlfn.XLOOKUP($C299&amp;"_"&amp;$AG299,符文权重!$A:$A&amp;"_"&amp;符文权重!$C:$C,符文权重!$D:$D)*$X299/SUMIFS($X:$X,F:F,F299,$C:$C,$C299,$AG:$AG,$AG299)/SUMIF(符文权重!$A:$A,$C299,符文权重!$D:$D))),"")</f>
        <v/>
      </c>
      <c r="M299" s="39" t="str" cm="1">
        <f t="array" ref="M299">IFERROR(IF($A299="","",IF(G299="","",_xlfn.XLOOKUP($C299&amp;"_"&amp;$AG299,符文权重!$A:$A&amp;"_"&amp;符文权重!$C:$C,符文权重!$D:$D)*$X299/SUMIFS($X:$X,G:G,G299,$C:$C,$C299,$AG:$AG,$AG299)/SUMIF(符文权重!$A:$A,$C299,符文权重!$D:$D))),"")</f>
        <v/>
      </c>
      <c r="N299" s="39" t="str" cm="1">
        <f t="array" ref="N299">IFERROR(IF($A299="","",IF(H299="","",_xlfn.XLOOKUP($C299&amp;"_"&amp;$AG299,符文权重!$A:$A&amp;"_"&amp;符文权重!$C:$C,符文权重!$D:$D)*$X299/SUMIFS($X:$X,H:H,H299,$C:$C,$C299,$AG:$AG,$AG299)/SUMIF(符文权重!$A:$A,$C299,符文权重!$D:$D))),"")</f>
        <v/>
      </c>
      <c r="O299" s="39" t="str" cm="1">
        <f t="array" ref="O299">IFERROR(IF($A299="","",IF(I299="","",_xlfn.XLOOKUP($C299&amp;"_"&amp;$AG299,符文权重!$A:$A&amp;"_"&amp;符文权重!$C:$C,符文权重!$D:$D)*$X299/SUMIFS($X:$X,I:I,I299,$C:$C,$C299,$AG:$AG,$AG299)/SUMIF(符文权重!$A:$A,$C299,符文权重!$D:$D))),"")</f>
        <v/>
      </c>
      <c r="P299" s="39" t="str" cm="1">
        <f t="array" ref="P299">IFERROR(IF($A299="","",IF(J299="","",_xlfn.XLOOKUP($C299&amp;"_"&amp;$AG299,符文权重!$A:$A&amp;"_"&amp;符文权重!$C:$C,符文权重!$D:$D)*$X299/SUMIFS($X:$X,J:J,J299,$C:$C,$C299,$AG:$AG,$AG299)/SUMIF(符文权重!$A:$A,$C299,符文权重!$D:$D))),"")</f>
        <v/>
      </c>
      <c r="Q299" s="39" t="str" cm="1">
        <f t="array" ref="Q299">IFERROR(IF($A299="","",IF(K299="","",_xlfn.XLOOKUP($C299&amp;"_"&amp;$AG299,符文权重!$A:$A&amp;"_"&amp;符文权重!$C:$C,符文权重!$D:$D)*$X299/SUMIFS($X:$X,K:K,K299,$C:$C,$C299,$AG:$AG,$AG299)/SUMIF(符文权重!$A:$A,$C299,符文权重!$D:$D))),"")</f>
        <v/>
      </c>
      <c r="R299" s="26" t="s">
        <v>163</v>
      </c>
      <c r="S299" s="26"/>
      <c r="T299" s="26" t="e">
        <f>IF(B299="","",SUBSTITUTE(SUBSTITUTE("[{global_atk,"&amp;#REF!*C299&amp;"}]",21,20),9,8))</f>
        <v>#REF!</v>
      </c>
      <c r="U299" s="40" t="str">
        <f t="shared" si="159"/>
        <v>[5504036]</v>
      </c>
      <c r="V299" s="26"/>
      <c r="W299" s="25"/>
      <c r="X299" s="32">
        <v>100</v>
      </c>
      <c r="Y299" s="25"/>
      <c r="Z299" s="32" t="s">
        <v>178</v>
      </c>
      <c r="AA299" s="32" t="str">
        <f t="shared" si="146"/>
        <v>每次穿透时，伤害+35%</v>
      </c>
      <c r="AB299" s="32"/>
      <c r="AC299" s="32" t="s">
        <v>166</v>
      </c>
      <c r="AD299" s="32">
        <f t="shared" si="137"/>
        <v>1294</v>
      </c>
      <c r="AE299" s="38" t="str">
        <f t="shared" si="160"/>
        <v>5504031</v>
      </c>
      <c r="AF299" s="32" t="str">
        <f t="shared" si="161"/>
        <v>[35]</v>
      </c>
      <c r="AG299" s="26">
        <v>100</v>
      </c>
      <c r="AH299" s="26"/>
      <c r="AI299" s="26">
        <v>1</v>
      </c>
      <c r="AJ299" s="25" t="s">
        <v>167</v>
      </c>
      <c r="AK299" s="38">
        <f t="shared" si="162"/>
        <v>5504036</v>
      </c>
      <c r="AL299" s="41" t="str">
        <f t="shared" si="163"/>
        <v>每次穿透时，伤害&lt;color=#54b76b&gt;+%s%&lt;/color&gt;</v>
      </c>
      <c r="AM299" s="26">
        <v>35</v>
      </c>
      <c r="AN299" s="26"/>
      <c r="AO299" s="26" t="s">
        <v>31</v>
      </c>
      <c r="AP299" s="20">
        <f t="shared" si="138"/>
        <v>294</v>
      </c>
    </row>
    <row r="300" s="20" customFormat="1" customHeight="1" spans="1:42">
      <c r="A300" s="38">
        <v>5504037</v>
      </c>
      <c r="B300" s="38" t="str">
        <f t="shared" si="157"/>
        <v>5504031</v>
      </c>
      <c r="C300" s="32">
        <f t="shared" si="158"/>
        <v>7</v>
      </c>
      <c r="D300" s="32"/>
      <c r="E300" s="26" t="s">
        <v>200</v>
      </c>
      <c r="F300" s="26" t="str">
        <f t="shared" si="134"/>
        <v/>
      </c>
      <c r="G300" s="26">
        <f>IFERROR(IF(--MID($E300,2*COUNTIF($F300:F300,"&gt;"&amp;0)+2,1)=G$1,G$1,""),"")</f>
        <v>2</v>
      </c>
      <c r="H300" s="26" t="str">
        <f>IFERROR(IF(--MID($E300,2*COUNTIF($F300:G300,"&gt;"&amp;0)+2,1)=H$1,H$1,""),"")</f>
        <v/>
      </c>
      <c r="I300" s="26" t="str">
        <f>IFERROR(IF(--MID($E300,2*COUNTIF($F300:H300,"&gt;"&amp;0)+2,1)=I$1,I$1,""),"")</f>
        <v/>
      </c>
      <c r="J300" s="26" t="str">
        <f>IFERROR(IF(--MID($E300,2*COUNTIF($F300:I300,"&gt;"&amp;0)+2,1)=J$1,J$1,""),"")</f>
        <v/>
      </c>
      <c r="K300" s="26" t="str">
        <f>IFERROR(IF(--MID($E300,2*COUNTIF($F300:J300,"&gt;"&amp;0)+2,1)=K$1,K$1,""),"")</f>
        <v/>
      </c>
      <c r="L300" s="39" t="str" cm="1">
        <f t="array" ref="L300">IFERROR(IF($A300="","",IF(F300="","",_xlfn.XLOOKUP($C300&amp;"_"&amp;$AG300,符文权重!$A:$A&amp;"_"&amp;符文权重!$C:$C,符文权重!$D:$D)*$X300/SUMIFS($X:$X,F:F,F300,$C:$C,$C300,$AG:$AG,$AG300)/SUMIF(符文权重!$A:$A,$C300,符文权重!$D:$D))),"")</f>
        <v/>
      </c>
      <c r="M300" s="39" t="str" cm="1">
        <f t="array" ref="M300">IFERROR(IF($A300="","",IF(G300="","",_xlfn.XLOOKUP($C300&amp;"_"&amp;$AG300,符文权重!$A:$A&amp;"_"&amp;符文权重!$C:$C,符文权重!$D:$D)*$X300/SUMIFS($X:$X,G:G,G300,$C:$C,$C300,$AG:$AG,$AG300)/SUMIF(符文权重!$A:$A,$C300,符文权重!$D:$D))),"")</f>
        <v/>
      </c>
      <c r="N300" s="39" t="str" cm="1">
        <f t="array" ref="N300">IFERROR(IF($A300="","",IF(H300="","",_xlfn.XLOOKUP($C300&amp;"_"&amp;$AG300,符文权重!$A:$A&amp;"_"&amp;符文权重!$C:$C,符文权重!$D:$D)*$X300/SUMIFS($X:$X,H:H,H300,$C:$C,$C300,$AG:$AG,$AG300)/SUMIF(符文权重!$A:$A,$C300,符文权重!$D:$D))),"")</f>
        <v/>
      </c>
      <c r="O300" s="39" t="str" cm="1">
        <f t="array" ref="O300">IFERROR(IF($A300="","",IF(I300="","",_xlfn.XLOOKUP($C300&amp;"_"&amp;$AG300,符文权重!$A:$A&amp;"_"&amp;符文权重!$C:$C,符文权重!$D:$D)*$X300/SUMIFS($X:$X,I:I,I300,$C:$C,$C300,$AG:$AG,$AG300)/SUMIF(符文权重!$A:$A,$C300,符文权重!$D:$D))),"")</f>
        <v/>
      </c>
      <c r="P300" s="39" t="str" cm="1">
        <f t="array" ref="P300">IFERROR(IF($A300="","",IF(J300="","",_xlfn.XLOOKUP($C300&amp;"_"&amp;$AG300,符文权重!$A:$A&amp;"_"&amp;符文权重!$C:$C,符文权重!$D:$D)*$X300/SUMIFS($X:$X,J:J,J300,$C:$C,$C300,$AG:$AG,$AG300)/SUMIF(符文权重!$A:$A,$C300,符文权重!$D:$D))),"")</f>
        <v/>
      </c>
      <c r="Q300" s="39" t="str" cm="1">
        <f t="array" ref="Q300">IFERROR(IF($A300="","",IF(K300="","",_xlfn.XLOOKUP($C300&amp;"_"&amp;$AG300,符文权重!$A:$A&amp;"_"&amp;符文权重!$C:$C,符文权重!$D:$D)*$X300/SUMIFS($X:$X,K:K,K300,$C:$C,$C300,$AG:$AG,$AG300)/SUMIF(符文权重!$A:$A,$C300,符文权重!$D:$D))),"")</f>
        <v/>
      </c>
      <c r="R300" s="26" t="s">
        <v>163</v>
      </c>
      <c r="S300" s="26"/>
      <c r="T300" s="26" t="e">
        <f>IF(B300="","",SUBSTITUTE(SUBSTITUTE("[{global_atk,"&amp;#REF!*C300&amp;"}]",21,20),9,8))</f>
        <v>#REF!</v>
      </c>
      <c r="U300" s="40" t="str">
        <f t="shared" si="159"/>
        <v>[5504037]</v>
      </c>
      <c r="V300" s="53"/>
      <c r="W300" s="25"/>
      <c r="X300" s="32">
        <v>100</v>
      </c>
      <c r="Y300" s="25"/>
      <c r="Z300" s="32" t="s">
        <v>180</v>
      </c>
      <c r="AA300" s="32" t="str">
        <f t="shared" si="146"/>
        <v>每次穿透时，伤害+40%</v>
      </c>
      <c r="AB300" s="32"/>
      <c r="AC300" s="32" t="s">
        <v>166</v>
      </c>
      <c r="AD300" s="32">
        <f t="shared" si="137"/>
        <v>1295</v>
      </c>
      <c r="AE300" s="38" t="str">
        <f t="shared" si="160"/>
        <v>5504031</v>
      </c>
      <c r="AF300" s="32" t="str">
        <f t="shared" si="161"/>
        <v>[40]</v>
      </c>
      <c r="AG300" s="26">
        <v>100</v>
      </c>
      <c r="AH300" s="26"/>
      <c r="AI300" s="26">
        <v>1</v>
      </c>
      <c r="AJ300" s="25" t="s">
        <v>167</v>
      </c>
      <c r="AK300" s="38">
        <f t="shared" si="162"/>
        <v>5504037</v>
      </c>
      <c r="AL300" s="41" t="str">
        <f t="shared" si="163"/>
        <v>每次穿透时，伤害&lt;color=#54b76b&gt;+%s%&lt;/color&gt;</v>
      </c>
      <c r="AM300" s="26">
        <v>40</v>
      </c>
      <c r="AN300" s="26"/>
      <c r="AO300" s="26" t="s">
        <v>31</v>
      </c>
      <c r="AP300" s="20">
        <f t="shared" si="138"/>
        <v>295</v>
      </c>
    </row>
    <row r="301" s="20" customFormat="1" customHeight="1" spans="1:42">
      <c r="A301" s="38"/>
      <c r="B301" s="38"/>
      <c r="C301" s="32"/>
      <c r="D301" s="32"/>
      <c r="E301" s="26"/>
      <c r="F301" s="26" t="str">
        <f t="shared" si="134"/>
        <v/>
      </c>
      <c r="G301" s="26" t="str">
        <f>IFERROR(IF(--MID($E301,2*COUNTIF($F301:F301,"&gt;"&amp;0)+2,1)=G$1,G$1,""),"")</f>
        <v/>
      </c>
      <c r="H301" s="26" t="str">
        <f>IFERROR(IF(--MID($E301,2*COUNTIF($F301:G301,"&gt;"&amp;0)+2,1)=H$1,H$1,""),"")</f>
        <v/>
      </c>
      <c r="I301" s="26" t="str">
        <f>IFERROR(IF(--MID($E301,2*COUNTIF($F301:H301,"&gt;"&amp;0)+2,1)=I$1,I$1,""),"")</f>
        <v/>
      </c>
      <c r="J301" s="26" t="str">
        <f>IFERROR(IF(--MID($E301,2*COUNTIF($F301:I301,"&gt;"&amp;0)+2,1)=J$1,J$1,""),"")</f>
        <v/>
      </c>
      <c r="K301" s="26" t="str">
        <f>IFERROR(IF(--MID($E301,2*COUNTIF($F301:J301,"&gt;"&amp;0)+2,1)=K$1,K$1,""),"")</f>
        <v/>
      </c>
      <c r="L301" s="39" t="str" cm="1">
        <f t="array" ref="L301">IFERROR(IF($A301="","",IF(F301="","",_xlfn.XLOOKUP($C301&amp;"_"&amp;$AG301,符文权重!$A:$A&amp;"_"&amp;符文权重!$C:$C,符文权重!$D:$D)*$X301/SUMIFS($X:$X,F:F,F301,$C:$C,$C301,$AG:$AG,$AG301)/SUMIF(符文权重!$A:$A,$C301,符文权重!$D:$D))),"")</f>
        <v/>
      </c>
      <c r="M301" s="39" t="str" cm="1">
        <f t="array" ref="M301">IFERROR(IF($A301="","",IF(G301="","",_xlfn.XLOOKUP($C301&amp;"_"&amp;$AG301,符文权重!$A:$A&amp;"_"&amp;符文权重!$C:$C,符文权重!$D:$D)*$X301/SUMIFS($X:$X,G:G,G301,$C:$C,$C301,$AG:$AG,$AG301)/SUMIF(符文权重!$A:$A,$C301,符文权重!$D:$D))),"")</f>
        <v/>
      </c>
      <c r="N301" s="39" t="str" cm="1">
        <f t="array" ref="N301">IFERROR(IF($A301="","",IF(H301="","",_xlfn.XLOOKUP($C301&amp;"_"&amp;$AG301,符文权重!$A:$A&amp;"_"&amp;符文权重!$C:$C,符文权重!$D:$D)*$X301/SUMIFS($X:$X,H:H,H301,$C:$C,$C301,$AG:$AG,$AG301)/SUMIF(符文权重!$A:$A,$C301,符文权重!$D:$D))),"")</f>
        <v/>
      </c>
      <c r="O301" s="39" t="str" cm="1">
        <f t="array" ref="O301">IFERROR(IF($A301="","",IF(I301="","",_xlfn.XLOOKUP($C301&amp;"_"&amp;$AG301,符文权重!$A:$A&amp;"_"&amp;符文权重!$C:$C,符文权重!$D:$D)*$X301/SUMIFS($X:$X,I:I,I301,$C:$C,$C301,$AG:$AG,$AG301)/SUMIF(符文权重!$A:$A,$C301,符文权重!$D:$D))),"")</f>
        <v/>
      </c>
      <c r="P301" s="39" t="str" cm="1">
        <f t="array" ref="P301">IFERROR(IF($A301="","",IF(J301="","",_xlfn.XLOOKUP($C301&amp;"_"&amp;$AG301,符文权重!$A:$A&amp;"_"&amp;符文权重!$C:$C,符文权重!$D:$D)*$X301/SUMIFS($X:$X,J:J,J301,$C:$C,$C301,$AG:$AG,$AG301)/SUMIF(符文权重!$A:$A,$C301,符文权重!$D:$D))),"")</f>
        <v/>
      </c>
      <c r="Q301" s="39" t="str" cm="1">
        <f t="array" ref="Q301">IFERROR(IF($A301="","",IF(K301="","",_xlfn.XLOOKUP($C301&amp;"_"&amp;$AG301,符文权重!$A:$A&amp;"_"&amp;符文权重!$C:$C,符文权重!$D:$D)*$X301/SUMIFS($X:$X,K:K,K301,$C:$C,$C301,$AG:$AG,$AG301)/SUMIF(符文权重!$A:$A,$C301,符文权重!$D:$D))),"")</f>
        <v/>
      </c>
      <c r="R301" s="26"/>
      <c r="S301" s="26"/>
      <c r="T301" s="26"/>
      <c r="U301" s="40"/>
      <c r="V301" s="53"/>
      <c r="W301" s="25"/>
      <c r="X301" s="32"/>
      <c r="Y301" s="25"/>
      <c r="Z301" s="32"/>
      <c r="AA301" s="32" t="str">
        <f t="shared" si="146"/>
        <v/>
      </c>
      <c r="AB301" s="32"/>
      <c r="AC301" s="32" t="s">
        <v>166</v>
      </c>
      <c r="AD301" s="32">
        <f t="shared" si="137"/>
        <v>1296</v>
      </c>
      <c r="AE301" s="38"/>
      <c r="AF301" s="32"/>
      <c r="AG301" s="26"/>
      <c r="AH301" s="26"/>
      <c r="AI301" s="26"/>
      <c r="AJ301" s="25" t="s">
        <v>167</v>
      </c>
      <c r="AK301" s="38"/>
      <c r="AL301" s="41"/>
      <c r="AM301" s="26"/>
      <c r="AN301" s="26"/>
      <c r="AO301" s="26"/>
      <c r="AP301" s="20">
        <f t="shared" si="138"/>
        <v>296</v>
      </c>
    </row>
    <row r="302" s="22" customFormat="1" customHeight="1" spans="1:42">
      <c r="A302" s="44">
        <v>5504041</v>
      </c>
      <c r="B302" s="44" t="str">
        <f t="shared" ref="B302:B308" si="164">IF(ISBLANK(AK302),"",LEFT(AK302,6)&amp;1)</f>
        <v>5504041</v>
      </c>
      <c r="C302" s="45">
        <f t="shared" ref="C302:C308" si="165">IF(ISBLANK(AK302),"",VALUE(RIGHT(A302,1)))</f>
        <v>1</v>
      </c>
      <c r="D302" s="45"/>
      <c r="E302" s="46" t="s">
        <v>182</v>
      </c>
      <c r="F302" s="26" t="str">
        <f t="shared" si="134"/>
        <v/>
      </c>
      <c r="G302" s="26" t="str">
        <f>IFERROR(IF(--MID($E302,2*COUNTIF($F302:F302,"&gt;"&amp;0)+2,1)=G$1,G$1,""),"")</f>
        <v/>
      </c>
      <c r="H302" s="26">
        <f>IFERROR(IF(--MID($E302,2*COUNTIF($F302:G302,"&gt;"&amp;0)+2,1)=H$1,H$1,""),"")</f>
        <v>3</v>
      </c>
      <c r="I302" s="26" t="str">
        <f>IFERROR(IF(--MID($E302,2*COUNTIF($F302:H302,"&gt;"&amp;0)+2,1)=I$1,I$1,""),"")</f>
        <v/>
      </c>
      <c r="J302" s="26" t="str">
        <f>IFERROR(IF(--MID($E302,2*COUNTIF($F302:I302,"&gt;"&amp;0)+2,1)=J$1,J$1,""),"")</f>
        <v/>
      </c>
      <c r="K302" s="26" t="str">
        <f>IFERROR(IF(--MID($E302,2*COUNTIF($F302:J302,"&gt;"&amp;0)+2,1)=K$1,K$1,""),"")</f>
        <v/>
      </c>
      <c r="L302" s="39" t="str" cm="1">
        <f t="array" ref="L302">IFERROR(IF($A302="","",IF(F302="","",_xlfn.XLOOKUP($C302&amp;"_"&amp;$AG302,符文权重!$A:$A&amp;"_"&amp;符文权重!$C:$C,符文权重!$D:$D)*$X302/SUMIFS($X:$X,F:F,F302,$C:$C,$C302,$AG:$AG,$AG302)/SUMIF(符文权重!$A:$A,$C302,符文权重!$D:$D))),"")</f>
        <v/>
      </c>
      <c r="M302" s="39" t="str" cm="1">
        <f t="array" ref="M302">IFERROR(IF($A302="","",IF(G302="","",_xlfn.XLOOKUP($C302&amp;"_"&amp;$AG302,符文权重!$A:$A&amp;"_"&amp;符文权重!$C:$C,符文权重!$D:$D)*$X302/SUMIFS($X:$X,G:G,G302,$C:$C,$C302,$AG:$AG,$AG302)/SUMIF(符文权重!$A:$A,$C302,符文权重!$D:$D))),"")</f>
        <v/>
      </c>
      <c r="N302" s="39" t="str" cm="1">
        <f t="array" ref="N302">IFERROR(IF($A302="","",IF(H302="","",_xlfn.XLOOKUP($C302&amp;"_"&amp;$AG302,符文权重!$A:$A&amp;"_"&amp;符文权重!$C:$C,符文权重!$D:$D)*$X302/SUMIFS($X:$X,H:H,H302,$C:$C,$C302,$AG:$AG,$AG302)/SUMIF(符文权重!$A:$A,$C302,符文权重!$D:$D))),"")</f>
        <v/>
      </c>
      <c r="O302" s="39" t="str" cm="1">
        <f t="array" ref="O302">IFERROR(IF($A302="","",IF(I302="","",_xlfn.XLOOKUP($C302&amp;"_"&amp;$AG302,符文权重!$A:$A&amp;"_"&amp;符文权重!$C:$C,符文权重!$D:$D)*$X302/SUMIFS($X:$X,I:I,I302,$C:$C,$C302,$AG:$AG,$AG302)/SUMIF(符文权重!$A:$A,$C302,符文权重!$D:$D))),"")</f>
        <v/>
      </c>
      <c r="P302" s="39" t="str" cm="1">
        <f t="array" ref="P302">IFERROR(IF($A302="","",IF(J302="","",_xlfn.XLOOKUP($C302&amp;"_"&amp;$AG302,符文权重!$A:$A&amp;"_"&amp;符文权重!$C:$C,符文权重!$D:$D)*$X302/SUMIFS($X:$X,J:J,J302,$C:$C,$C302,$AG:$AG,$AG302)/SUMIF(符文权重!$A:$A,$C302,符文权重!$D:$D))),"")</f>
        <v/>
      </c>
      <c r="Q302" s="39" t="str" cm="1">
        <f t="array" ref="Q302">IFERROR(IF($A302="","",IF(K302="","",_xlfn.XLOOKUP($C302&amp;"_"&amp;$AG302,符文权重!$A:$A&amp;"_"&amp;符文权重!$C:$C,符文权重!$D:$D)*$X302/SUMIFS($X:$X,K:K,K302,$C:$C,$C302,$AG:$AG,$AG302)/SUMIF(符文权重!$A:$A,$C302,符文权重!$D:$D))),"")</f>
        <v/>
      </c>
      <c r="R302" s="46" t="s">
        <v>330</v>
      </c>
      <c r="S302" s="46"/>
      <c r="T302" s="46" t="e">
        <f>IF(B302="","",SUBSTITUTE(SUBSTITUTE("[{global_atk,"&amp;#REF!*C302&amp;"}]",21,20),9,8))</f>
        <v>#REF!</v>
      </c>
      <c r="U302" s="47" t="str">
        <f t="shared" ref="U302:U308" si="166">"["&amp;A302&amp;"]"</f>
        <v>[5504041]</v>
      </c>
      <c r="V302" s="46"/>
      <c r="W302" s="23"/>
      <c r="X302" s="32">
        <v>100</v>
      </c>
      <c r="Y302" s="23"/>
      <c r="Z302" s="45" t="s">
        <v>165</v>
      </c>
      <c r="AA302" s="32" t="str">
        <f t="shared" si="146"/>
        <v>每次弹射时，伤害+10%</v>
      </c>
      <c r="AB302" s="32"/>
      <c r="AC302" s="32" t="s">
        <v>166</v>
      </c>
      <c r="AD302" s="32">
        <f t="shared" si="137"/>
        <v>1297</v>
      </c>
      <c r="AE302" s="44" t="str">
        <f t="shared" ref="AE302:AE308" si="167">IF(ISBLANK(AK302),"",B302)</f>
        <v>5504041</v>
      </c>
      <c r="AF302" s="45" t="str">
        <f t="shared" ref="AF302:AF308" si="168">IF(ISBLANK(AM302),"","["&amp;AM302&amp;"]")</f>
        <v>[10]</v>
      </c>
      <c r="AG302" s="26">
        <v>100</v>
      </c>
      <c r="AH302" s="46"/>
      <c r="AI302" s="46">
        <v>1</v>
      </c>
      <c r="AJ302" s="25" t="s">
        <v>167</v>
      </c>
      <c r="AK302" s="48">
        <v>5504041</v>
      </c>
      <c r="AL302" s="49" t="s">
        <v>374</v>
      </c>
      <c r="AM302" s="46">
        <v>10</v>
      </c>
      <c r="AN302" s="26"/>
      <c r="AO302" s="26" t="s">
        <v>31</v>
      </c>
      <c r="AP302" s="20">
        <f t="shared" si="138"/>
        <v>297</v>
      </c>
    </row>
    <row r="303" s="22" customFormat="1" customHeight="1" spans="1:42">
      <c r="A303" s="44">
        <v>5504042</v>
      </c>
      <c r="B303" s="44" t="str">
        <f t="shared" si="164"/>
        <v>5504041</v>
      </c>
      <c r="C303" s="45">
        <f t="shared" si="165"/>
        <v>2</v>
      </c>
      <c r="D303" s="45"/>
      <c r="E303" s="46" t="s">
        <v>182</v>
      </c>
      <c r="F303" s="26" t="str">
        <f t="shared" si="134"/>
        <v/>
      </c>
      <c r="G303" s="26" t="str">
        <f>IFERROR(IF(--MID($E303,2*COUNTIF($F303:F303,"&gt;"&amp;0)+2,1)=G$1,G$1,""),"")</f>
        <v/>
      </c>
      <c r="H303" s="26">
        <f>IFERROR(IF(--MID($E303,2*COUNTIF($F303:G303,"&gt;"&amp;0)+2,1)=H$1,H$1,""),"")</f>
        <v>3</v>
      </c>
      <c r="I303" s="26" t="str">
        <f>IFERROR(IF(--MID($E303,2*COUNTIF($F303:H303,"&gt;"&amp;0)+2,1)=I$1,I$1,""),"")</f>
        <v/>
      </c>
      <c r="J303" s="26" t="str">
        <f>IFERROR(IF(--MID($E303,2*COUNTIF($F303:I303,"&gt;"&amp;0)+2,1)=J$1,J$1,""),"")</f>
        <v/>
      </c>
      <c r="K303" s="26" t="str">
        <f>IFERROR(IF(--MID($E303,2*COUNTIF($F303:J303,"&gt;"&amp;0)+2,1)=K$1,K$1,""),"")</f>
        <v/>
      </c>
      <c r="L303" s="39" t="str" cm="1">
        <f t="array" ref="L303">IFERROR(IF($A303="","",IF(F303="","",_xlfn.XLOOKUP($C303&amp;"_"&amp;$AG303,符文权重!$A:$A&amp;"_"&amp;符文权重!$C:$C,符文权重!$D:$D)*$X303/SUMIFS($X:$X,F:F,F303,$C:$C,$C303,$AG:$AG,$AG303)/SUMIF(符文权重!$A:$A,$C303,符文权重!$D:$D))),"")</f>
        <v/>
      </c>
      <c r="M303" s="39" t="str" cm="1">
        <f t="array" ref="M303">IFERROR(IF($A303="","",IF(G303="","",_xlfn.XLOOKUP($C303&amp;"_"&amp;$AG303,符文权重!$A:$A&amp;"_"&amp;符文权重!$C:$C,符文权重!$D:$D)*$X303/SUMIFS($X:$X,G:G,G303,$C:$C,$C303,$AG:$AG,$AG303)/SUMIF(符文权重!$A:$A,$C303,符文权重!$D:$D))),"")</f>
        <v/>
      </c>
      <c r="N303" s="39" t="str" cm="1">
        <f t="array" ref="N303">IFERROR(IF($A303="","",IF(H303="","",_xlfn.XLOOKUP($C303&amp;"_"&amp;$AG303,符文权重!$A:$A&amp;"_"&amp;符文权重!$C:$C,符文权重!$D:$D)*$X303/SUMIFS($X:$X,H:H,H303,$C:$C,$C303,$AG:$AG,$AG303)/SUMIF(符文权重!$A:$A,$C303,符文权重!$D:$D))),"")</f>
        <v/>
      </c>
      <c r="O303" s="39" t="str" cm="1">
        <f t="array" ref="O303">IFERROR(IF($A303="","",IF(I303="","",_xlfn.XLOOKUP($C303&amp;"_"&amp;$AG303,符文权重!$A:$A&amp;"_"&amp;符文权重!$C:$C,符文权重!$D:$D)*$X303/SUMIFS($X:$X,I:I,I303,$C:$C,$C303,$AG:$AG,$AG303)/SUMIF(符文权重!$A:$A,$C303,符文权重!$D:$D))),"")</f>
        <v/>
      </c>
      <c r="P303" s="39" t="str" cm="1">
        <f t="array" ref="P303">IFERROR(IF($A303="","",IF(J303="","",_xlfn.XLOOKUP($C303&amp;"_"&amp;$AG303,符文权重!$A:$A&amp;"_"&amp;符文权重!$C:$C,符文权重!$D:$D)*$X303/SUMIFS($X:$X,J:J,J303,$C:$C,$C303,$AG:$AG,$AG303)/SUMIF(符文权重!$A:$A,$C303,符文权重!$D:$D))),"")</f>
        <v/>
      </c>
      <c r="Q303" s="39" t="str" cm="1">
        <f t="array" ref="Q303">IFERROR(IF($A303="","",IF(K303="","",_xlfn.XLOOKUP($C303&amp;"_"&amp;$AG303,符文权重!$A:$A&amp;"_"&amp;符文权重!$C:$C,符文权重!$D:$D)*$X303/SUMIFS($X:$X,K:K,K303,$C:$C,$C303,$AG:$AG,$AG303)/SUMIF(符文权重!$A:$A,$C303,符文权重!$D:$D))),"")</f>
        <v/>
      </c>
      <c r="R303" s="46" t="s">
        <v>330</v>
      </c>
      <c r="S303" s="46"/>
      <c r="T303" s="46" t="e">
        <f>IF(B303="","",SUBSTITUTE(SUBSTITUTE("[{global_atk,"&amp;#REF!*C303&amp;"}]",21,20),9,8))</f>
        <v>#REF!</v>
      </c>
      <c r="U303" s="47" t="str">
        <f t="shared" si="166"/>
        <v>[5504042]</v>
      </c>
      <c r="V303" s="46"/>
      <c r="W303" s="23"/>
      <c r="X303" s="32">
        <v>100</v>
      </c>
      <c r="Y303" s="23"/>
      <c r="Z303" s="45" t="s">
        <v>170</v>
      </c>
      <c r="AA303" s="32" t="str">
        <f t="shared" si="146"/>
        <v>每次弹射时，伤害+15%</v>
      </c>
      <c r="AB303" s="32"/>
      <c r="AC303" s="32" t="s">
        <v>166</v>
      </c>
      <c r="AD303" s="32">
        <f t="shared" si="137"/>
        <v>1298</v>
      </c>
      <c r="AE303" s="44" t="str">
        <f t="shared" si="167"/>
        <v>5504041</v>
      </c>
      <c r="AF303" s="45" t="str">
        <f t="shared" si="168"/>
        <v>[15]</v>
      </c>
      <c r="AG303" s="26">
        <v>100</v>
      </c>
      <c r="AH303" s="46"/>
      <c r="AI303" s="46">
        <v>1</v>
      </c>
      <c r="AJ303" s="25" t="s">
        <v>167</v>
      </c>
      <c r="AK303" s="44">
        <f t="shared" ref="AK303:AK308" si="169">AK302+1</f>
        <v>5504042</v>
      </c>
      <c r="AL303" s="50" t="str">
        <f t="shared" ref="AL303:AL308" si="170">AL302</f>
        <v>每次弹射时，伤害&lt;color=#54b76b&gt;+%s%&lt;/color&gt;</v>
      </c>
      <c r="AM303" s="46">
        <v>15</v>
      </c>
      <c r="AN303" s="26"/>
      <c r="AO303" s="26" t="s">
        <v>31</v>
      </c>
      <c r="AP303" s="20">
        <f t="shared" si="138"/>
        <v>298</v>
      </c>
    </row>
    <row r="304" s="20" customFormat="1" customHeight="1" spans="1:42">
      <c r="A304" s="38">
        <v>5504043</v>
      </c>
      <c r="B304" s="38" t="str">
        <f t="shared" si="164"/>
        <v>5504041</v>
      </c>
      <c r="C304" s="32">
        <f t="shared" si="165"/>
        <v>3</v>
      </c>
      <c r="D304" s="32"/>
      <c r="E304" s="26" t="s">
        <v>182</v>
      </c>
      <c r="F304" s="26" t="str">
        <f t="shared" si="134"/>
        <v/>
      </c>
      <c r="G304" s="26" t="str">
        <f>IFERROR(IF(--MID($E304,2*COUNTIF($F304:F304,"&gt;"&amp;0)+2,1)=G$1,G$1,""),"")</f>
        <v/>
      </c>
      <c r="H304" s="26">
        <f>IFERROR(IF(--MID($E304,2*COUNTIF($F304:G304,"&gt;"&amp;0)+2,1)=H$1,H$1,""),"")</f>
        <v>3</v>
      </c>
      <c r="I304" s="26" t="str">
        <f>IFERROR(IF(--MID($E304,2*COUNTIF($F304:H304,"&gt;"&amp;0)+2,1)=I$1,I$1,""),"")</f>
        <v/>
      </c>
      <c r="J304" s="26" t="str">
        <f>IFERROR(IF(--MID($E304,2*COUNTIF($F304:I304,"&gt;"&amp;0)+2,1)=J$1,J$1,""),"")</f>
        <v/>
      </c>
      <c r="K304" s="26" t="str">
        <f>IFERROR(IF(--MID($E304,2*COUNTIF($F304:J304,"&gt;"&amp;0)+2,1)=K$1,K$1,""),"")</f>
        <v/>
      </c>
      <c r="L304" s="39" t="str" cm="1">
        <f t="array" ref="L304">IFERROR(IF($A304="","",IF(F304="","",_xlfn.XLOOKUP($C304&amp;"_"&amp;$AG304,符文权重!$A:$A&amp;"_"&amp;符文权重!$C:$C,符文权重!$D:$D)*$X304/SUMIFS($X:$X,F:F,F304,$C:$C,$C304,$AG:$AG,$AG304)/SUMIF(符文权重!$A:$A,$C304,符文权重!$D:$D))),"")</f>
        <v/>
      </c>
      <c r="M304" s="39" t="str" cm="1">
        <f t="array" ref="M304">IFERROR(IF($A304="","",IF(G304="","",_xlfn.XLOOKUP($C304&amp;"_"&amp;$AG304,符文权重!$A:$A&amp;"_"&amp;符文权重!$C:$C,符文权重!$D:$D)*$X304/SUMIFS($X:$X,G:G,G304,$C:$C,$C304,$AG:$AG,$AG304)/SUMIF(符文权重!$A:$A,$C304,符文权重!$D:$D))),"")</f>
        <v/>
      </c>
      <c r="N304" s="39" t="str" cm="1">
        <f t="array" ref="N304">IFERROR(IF($A304="","",IF(H304="","",_xlfn.XLOOKUP($C304&amp;"_"&amp;$AG304,符文权重!$A:$A&amp;"_"&amp;符文权重!$C:$C,符文权重!$D:$D)*$X304/SUMIFS($X:$X,H:H,H304,$C:$C,$C304,$AG:$AG,$AG304)/SUMIF(符文权重!$A:$A,$C304,符文权重!$D:$D))),"")</f>
        <v/>
      </c>
      <c r="O304" s="39" t="str" cm="1">
        <f t="array" ref="O304">IFERROR(IF($A304="","",IF(I304="","",_xlfn.XLOOKUP($C304&amp;"_"&amp;$AG304,符文权重!$A:$A&amp;"_"&amp;符文权重!$C:$C,符文权重!$D:$D)*$X304/SUMIFS($X:$X,I:I,I304,$C:$C,$C304,$AG:$AG,$AG304)/SUMIF(符文权重!$A:$A,$C304,符文权重!$D:$D))),"")</f>
        <v/>
      </c>
      <c r="P304" s="39" t="str" cm="1">
        <f t="array" ref="P304">IFERROR(IF($A304="","",IF(J304="","",_xlfn.XLOOKUP($C304&amp;"_"&amp;$AG304,符文权重!$A:$A&amp;"_"&amp;符文权重!$C:$C,符文权重!$D:$D)*$X304/SUMIFS($X:$X,J:J,J304,$C:$C,$C304,$AG:$AG,$AG304)/SUMIF(符文权重!$A:$A,$C304,符文权重!$D:$D))),"")</f>
        <v/>
      </c>
      <c r="Q304" s="39" t="str" cm="1">
        <f t="array" ref="Q304">IFERROR(IF($A304="","",IF(K304="","",_xlfn.XLOOKUP($C304&amp;"_"&amp;$AG304,符文权重!$A:$A&amp;"_"&amp;符文权重!$C:$C,符文权重!$D:$D)*$X304/SUMIFS($X:$X,K:K,K304,$C:$C,$C304,$AG:$AG,$AG304)/SUMIF(符文权重!$A:$A,$C304,符文权重!$D:$D))),"")</f>
        <v/>
      </c>
      <c r="R304" s="26" t="s">
        <v>330</v>
      </c>
      <c r="S304" s="26"/>
      <c r="T304" s="26" t="e">
        <f>IF(B304="","",SUBSTITUTE(SUBSTITUTE("[{global_atk,"&amp;#REF!*C304&amp;"}]",21,20),9,8))</f>
        <v>#REF!</v>
      </c>
      <c r="U304" s="40" t="str">
        <f t="shared" si="166"/>
        <v>[5504043]</v>
      </c>
      <c r="V304" s="26"/>
      <c r="W304" s="25"/>
      <c r="X304" s="32">
        <v>100</v>
      </c>
      <c r="Y304" s="25"/>
      <c r="Z304" s="32" t="s">
        <v>172</v>
      </c>
      <c r="AA304" s="32" t="str">
        <f t="shared" si="146"/>
        <v>每次弹射时，伤害+20%</v>
      </c>
      <c r="AB304" s="32"/>
      <c r="AC304" s="32" t="s">
        <v>166</v>
      </c>
      <c r="AD304" s="32">
        <f t="shared" si="137"/>
        <v>1299</v>
      </c>
      <c r="AE304" s="38" t="str">
        <f t="shared" si="167"/>
        <v>5504041</v>
      </c>
      <c r="AF304" s="32" t="str">
        <f t="shared" si="168"/>
        <v>[20]</v>
      </c>
      <c r="AG304" s="26">
        <v>100</v>
      </c>
      <c r="AH304" s="26"/>
      <c r="AI304" s="26">
        <v>1</v>
      </c>
      <c r="AJ304" s="25" t="s">
        <v>167</v>
      </c>
      <c r="AK304" s="38">
        <f t="shared" si="169"/>
        <v>5504043</v>
      </c>
      <c r="AL304" s="41" t="str">
        <f t="shared" si="170"/>
        <v>每次弹射时，伤害&lt;color=#54b76b&gt;+%s%&lt;/color&gt;</v>
      </c>
      <c r="AM304" s="26">
        <v>20</v>
      </c>
      <c r="AN304" s="26"/>
      <c r="AO304" s="26" t="s">
        <v>31</v>
      </c>
      <c r="AP304" s="20">
        <f t="shared" si="138"/>
        <v>299</v>
      </c>
    </row>
    <row r="305" s="20" customFormat="1" customHeight="1" spans="1:42">
      <c r="A305" s="38">
        <v>5504044</v>
      </c>
      <c r="B305" s="38" t="str">
        <f t="shared" si="164"/>
        <v>5504041</v>
      </c>
      <c r="C305" s="32">
        <f t="shared" si="165"/>
        <v>4</v>
      </c>
      <c r="D305" s="32"/>
      <c r="E305" s="26" t="s">
        <v>182</v>
      </c>
      <c r="F305" s="26" t="str">
        <f t="shared" si="134"/>
        <v/>
      </c>
      <c r="G305" s="26" t="str">
        <f>IFERROR(IF(--MID($E305,2*COUNTIF($F305:F305,"&gt;"&amp;0)+2,1)=G$1,G$1,""),"")</f>
        <v/>
      </c>
      <c r="H305" s="26">
        <f>IFERROR(IF(--MID($E305,2*COUNTIF($F305:G305,"&gt;"&amp;0)+2,1)=H$1,H$1,""),"")</f>
        <v>3</v>
      </c>
      <c r="I305" s="26" t="str">
        <f>IFERROR(IF(--MID($E305,2*COUNTIF($F305:H305,"&gt;"&amp;0)+2,1)=I$1,I$1,""),"")</f>
        <v/>
      </c>
      <c r="J305" s="26" t="str">
        <f>IFERROR(IF(--MID($E305,2*COUNTIF($F305:I305,"&gt;"&amp;0)+2,1)=J$1,J$1,""),"")</f>
        <v/>
      </c>
      <c r="K305" s="26" t="str">
        <f>IFERROR(IF(--MID($E305,2*COUNTIF($F305:J305,"&gt;"&amp;0)+2,1)=K$1,K$1,""),"")</f>
        <v/>
      </c>
      <c r="L305" s="39" t="str" cm="1">
        <f t="array" ref="L305">IFERROR(IF($A305="","",IF(F305="","",_xlfn.XLOOKUP($C305&amp;"_"&amp;$AG305,符文权重!$A:$A&amp;"_"&amp;符文权重!$C:$C,符文权重!$D:$D)*$X305/SUMIFS($X:$X,F:F,F305,$C:$C,$C305,$AG:$AG,$AG305)/SUMIF(符文权重!$A:$A,$C305,符文权重!$D:$D))),"")</f>
        <v/>
      </c>
      <c r="M305" s="39" t="str" cm="1">
        <f t="array" ref="M305">IFERROR(IF($A305="","",IF(G305="","",_xlfn.XLOOKUP($C305&amp;"_"&amp;$AG305,符文权重!$A:$A&amp;"_"&amp;符文权重!$C:$C,符文权重!$D:$D)*$X305/SUMIFS($X:$X,G:G,G305,$C:$C,$C305,$AG:$AG,$AG305)/SUMIF(符文权重!$A:$A,$C305,符文权重!$D:$D))),"")</f>
        <v/>
      </c>
      <c r="N305" s="39" t="str" cm="1">
        <f t="array" ref="N305">IFERROR(IF($A305="","",IF(H305="","",_xlfn.XLOOKUP($C305&amp;"_"&amp;$AG305,符文权重!$A:$A&amp;"_"&amp;符文权重!$C:$C,符文权重!$D:$D)*$X305/SUMIFS($X:$X,H:H,H305,$C:$C,$C305,$AG:$AG,$AG305)/SUMIF(符文权重!$A:$A,$C305,符文权重!$D:$D))),"")</f>
        <v/>
      </c>
      <c r="O305" s="39" t="str" cm="1">
        <f t="array" ref="O305">IFERROR(IF($A305="","",IF(I305="","",_xlfn.XLOOKUP($C305&amp;"_"&amp;$AG305,符文权重!$A:$A&amp;"_"&amp;符文权重!$C:$C,符文权重!$D:$D)*$X305/SUMIFS($X:$X,I:I,I305,$C:$C,$C305,$AG:$AG,$AG305)/SUMIF(符文权重!$A:$A,$C305,符文权重!$D:$D))),"")</f>
        <v/>
      </c>
      <c r="P305" s="39" t="str" cm="1">
        <f t="array" ref="P305">IFERROR(IF($A305="","",IF(J305="","",_xlfn.XLOOKUP($C305&amp;"_"&amp;$AG305,符文权重!$A:$A&amp;"_"&amp;符文权重!$C:$C,符文权重!$D:$D)*$X305/SUMIFS($X:$X,J:J,J305,$C:$C,$C305,$AG:$AG,$AG305)/SUMIF(符文权重!$A:$A,$C305,符文权重!$D:$D))),"")</f>
        <v/>
      </c>
      <c r="Q305" s="39" t="str" cm="1">
        <f t="array" ref="Q305">IFERROR(IF($A305="","",IF(K305="","",_xlfn.XLOOKUP($C305&amp;"_"&amp;$AG305,符文权重!$A:$A&amp;"_"&amp;符文权重!$C:$C,符文权重!$D:$D)*$X305/SUMIFS($X:$X,K:K,K305,$C:$C,$C305,$AG:$AG,$AG305)/SUMIF(符文权重!$A:$A,$C305,符文权重!$D:$D))),"")</f>
        <v/>
      </c>
      <c r="R305" s="26" t="s">
        <v>330</v>
      </c>
      <c r="S305" s="26"/>
      <c r="T305" s="26" t="e">
        <f>IF(B305="","",SUBSTITUTE(SUBSTITUTE("[{global_atk,"&amp;#REF!*C305&amp;"}]",21,20),9,8))</f>
        <v>#REF!</v>
      </c>
      <c r="U305" s="40" t="str">
        <f t="shared" si="166"/>
        <v>[5504044]</v>
      </c>
      <c r="V305" s="26"/>
      <c r="W305" s="25"/>
      <c r="X305" s="32">
        <v>100</v>
      </c>
      <c r="Y305" s="25"/>
      <c r="Z305" s="32" t="s">
        <v>174</v>
      </c>
      <c r="AA305" s="32" t="str">
        <f t="shared" si="146"/>
        <v>每次弹射时，伤害+25%</v>
      </c>
      <c r="AB305" s="32"/>
      <c r="AC305" s="32" t="s">
        <v>166</v>
      </c>
      <c r="AD305" s="32">
        <f t="shared" si="137"/>
        <v>1300</v>
      </c>
      <c r="AE305" s="38" t="str">
        <f t="shared" si="167"/>
        <v>5504041</v>
      </c>
      <c r="AF305" s="32" t="str">
        <f t="shared" si="168"/>
        <v>[25]</v>
      </c>
      <c r="AG305" s="26">
        <v>100</v>
      </c>
      <c r="AH305" s="26"/>
      <c r="AI305" s="26">
        <v>1</v>
      </c>
      <c r="AJ305" s="25" t="s">
        <v>167</v>
      </c>
      <c r="AK305" s="38">
        <f t="shared" si="169"/>
        <v>5504044</v>
      </c>
      <c r="AL305" s="41" t="str">
        <f t="shared" si="170"/>
        <v>每次弹射时，伤害&lt;color=#54b76b&gt;+%s%&lt;/color&gt;</v>
      </c>
      <c r="AM305" s="26">
        <v>25</v>
      </c>
      <c r="AN305" s="26"/>
      <c r="AO305" s="26" t="s">
        <v>31</v>
      </c>
      <c r="AP305" s="20">
        <f t="shared" si="138"/>
        <v>300</v>
      </c>
    </row>
    <row r="306" s="20" customFormat="1" customHeight="1" spans="1:42">
      <c r="A306" s="38">
        <v>5504045</v>
      </c>
      <c r="B306" s="38" t="str">
        <f t="shared" si="164"/>
        <v>5504041</v>
      </c>
      <c r="C306" s="32">
        <f t="shared" si="165"/>
        <v>5</v>
      </c>
      <c r="D306" s="32"/>
      <c r="E306" s="26" t="s">
        <v>182</v>
      </c>
      <c r="F306" s="26" t="str">
        <f t="shared" si="134"/>
        <v/>
      </c>
      <c r="G306" s="26" t="str">
        <f>IFERROR(IF(--MID($E306,2*COUNTIF($F306:F306,"&gt;"&amp;0)+2,1)=G$1,G$1,""),"")</f>
        <v/>
      </c>
      <c r="H306" s="26">
        <f>IFERROR(IF(--MID($E306,2*COUNTIF($F306:G306,"&gt;"&amp;0)+2,1)=H$1,H$1,""),"")</f>
        <v>3</v>
      </c>
      <c r="I306" s="26" t="str">
        <f>IFERROR(IF(--MID($E306,2*COUNTIF($F306:H306,"&gt;"&amp;0)+2,1)=I$1,I$1,""),"")</f>
        <v/>
      </c>
      <c r="J306" s="26" t="str">
        <f>IFERROR(IF(--MID($E306,2*COUNTIF($F306:I306,"&gt;"&amp;0)+2,1)=J$1,J$1,""),"")</f>
        <v/>
      </c>
      <c r="K306" s="26" t="str">
        <f>IFERROR(IF(--MID($E306,2*COUNTIF($F306:J306,"&gt;"&amp;0)+2,1)=K$1,K$1,""),"")</f>
        <v/>
      </c>
      <c r="L306" s="39" t="str" cm="1">
        <f t="array" ref="L306">IFERROR(IF($A306="","",IF(F306="","",_xlfn.XLOOKUP($C306&amp;"_"&amp;$AG306,符文权重!$A:$A&amp;"_"&amp;符文权重!$C:$C,符文权重!$D:$D)*$X306/SUMIFS($X:$X,F:F,F306,$C:$C,$C306,$AG:$AG,$AG306)/SUMIF(符文权重!$A:$A,$C306,符文权重!$D:$D))),"")</f>
        <v/>
      </c>
      <c r="M306" s="39" t="str" cm="1">
        <f t="array" ref="M306">IFERROR(IF($A306="","",IF(G306="","",_xlfn.XLOOKUP($C306&amp;"_"&amp;$AG306,符文权重!$A:$A&amp;"_"&amp;符文权重!$C:$C,符文权重!$D:$D)*$X306/SUMIFS($X:$X,G:G,G306,$C:$C,$C306,$AG:$AG,$AG306)/SUMIF(符文权重!$A:$A,$C306,符文权重!$D:$D))),"")</f>
        <v/>
      </c>
      <c r="N306" s="39" t="str" cm="1">
        <f t="array" ref="N306">IFERROR(IF($A306="","",IF(H306="","",_xlfn.XLOOKUP($C306&amp;"_"&amp;$AG306,符文权重!$A:$A&amp;"_"&amp;符文权重!$C:$C,符文权重!$D:$D)*$X306/SUMIFS($X:$X,H:H,H306,$C:$C,$C306,$AG:$AG,$AG306)/SUMIF(符文权重!$A:$A,$C306,符文权重!$D:$D))),"")</f>
        <v/>
      </c>
      <c r="O306" s="39" t="str" cm="1">
        <f t="array" ref="O306">IFERROR(IF($A306="","",IF(I306="","",_xlfn.XLOOKUP($C306&amp;"_"&amp;$AG306,符文权重!$A:$A&amp;"_"&amp;符文权重!$C:$C,符文权重!$D:$D)*$X306/SUMIFS($X:$X,I:I,I306,$C:$C,$C306,$AG:$AG,$AG306)/SUMIF(符文权重!$A:$A,$C306,符文权重!$D:$D))),"")</f>
        <v/>
      </c>
      <c r="P306" s="39" t="str" cm="1">
        <f t="array" ref="P306">IFERROR(IF($A306="","",IF(J306="","",_xlfn.XLOOKUP($C306&amp;"_"&amp;$AG306,符文权重!$A:$A&amp;"_"&amp;符文权重!$C:$C,符文权重!$D:$D)*$X306/SUMIFS($X:$X,J:J,J306,$C:$C,$C306,$AG:$AG,$AG306)/SUMIF(符文权重!$A:$A,$C306,符文权重!$D:$D))),"")</f>
        <v/>
      </c>
      <c r="Q306" s="39" t="str" cm="1">
        <f t="array" ref="Q306">IFERROR(IF($A306="","",IF(K306="","",_xlfn.XLOOKUP($C306&amp;"_"&amp;$AG306,符文权重!$A:$A&amp;"_"&amp;符文权重!$C:$C,符文权重!$D:$D)*$X306/SUMIFS($X:$X,K:K,K306,$C:$C,$C306,$AG:$AG,$AG306)/SUMIF(符文权重!$A:$A,$C306,符文权重!$D:$D))),"")</f>
        <v/>
      </c>
      <c r="R306" s="26" t="s">
        <v>330</v>
      </c>
      <c r="S306" s="26"/>
      <c r="T306" s="26" t="e">
        <f>IF(B306="","",SUBSTITUTE(SUBSTITUTE("[{global_atk,"&amp;#REF!*C306&amp;"}]",21,20),9,8))</f>
        <v>#REF!</v>
      </c>
      <c r="U306" s="40" t="str">
        <f t="shared" si="166"/>
        <v>[5504045]</v>
      </c>
      <c r="V306" s="26"/>
      <c r="W306" s="25"/>
      <c r="X306" s="32">
        <v>100</v>
      </c>
      <c r="Y306" s="25"/>
      <c r="Z306" s="32" t="s">
        <v>176</v>
      </c>
      <c r="AA306" s="32" t="str">
        <f t="shared" si="146"/>
        <v>每次弹射时，伤害+30%</v>
      </c>
      <c r="AB306" s="32"/>
      <c r="AC306" s="32" t="s">
        <v>166</v>
      </c>
      <c r="AD306" s="32">
        <f t="shared" si="137"/>
        <v>1301</v>
      </c>
      <c r="AE306" s="38" t="str">
        <f t="shared" si="167"/>
        <v>5504041</v>
      </c>
      <c r="AF306" s="32" t="str">
        <f t="shared" si="168"/>
        <v>[30]</v>
      </c>
      <c r="AG306" s="26">
        <v>100</v>
      </c>
      <c r="AH306" s="26"/>
      <c r="AI306" s="26">
        <v>1</v>
      </c>
      <c r="AJ306" s="25" t="s">
        <v>167</v>
      </c>
      <c r="AK306" s="38">
        <f t="shared" si="169"/>
        <v>5504045</v>
      </c>
      <c r="AL306" s="41" t="str">
        <f t="shared" si="170"/>
        <v>每次弹射时，伤害&lt;color=#54b76b&gt;+%s%&lt;/color&gt;</v>
      </c>
      <c r="AM306" s="26">
        <v>30</v>
      </c>
      <c r="AN306" s="26"/>
      <c r="AO306" s="26" t="s">
        <v>31</v>
      </c>
      <c r="AP306" s="20">
        <f t="shared" si="138"/>
        <v>301</v>
      </c>
    </row>
    <row r="307" s="20" customFormat="1" customHeight="1" spans="1:42">
      <c r="A307" s="38">
        <v>5504046</v>
      </c>
      <c r="B307" s="38" t="str">
        <f t="shared" si="164"/>
        <v>5504041</v>
      </c>
      <c r="C307" s="32">
        <f t="shared" si="165"/>
        <v>6</v>
      </c>
      <c r="D307" s="32"/>
      <c r="E307" s="26" t="s">
        <v>182</v>
      </c>
      <c r="F307" s="26" t="str">
        <f t="shared" si="134"/>
        <v/>
      </c>
      <c r="G307" s="26" t="str">
        <f>IFERROR(IF(--MID($E307,2*COUNTIF($F307:F307,"&gt;"&amp;0)+2,1)=G$1,G$1,""),"")</f>
        <v/>
      </c>
      <c r="H307" s="26">
        <f>IFERROR(IF(--MID($E307,2*COUNTIF($F307:G307,"&gt;"&amp;0)+2,1)=H$1,H$1,""),"")</f>
        <v>3</v>
      </c>
      <c r="I307" s="26" t="str">
        <f>IFERROR(IF(--MID($E307,2*COUNTIF($F307:H307,"&gt;"&amp;0)+2,1)=I$1,I$1,""),"")</f>
        <v/>
      </c>
      <c r="J307" s="26" t="str">
        <f>IFERROR(IF(--MID($E307,2*COUNTIF($F307:I307,"&gt;"&amp;0)+2,1)=J$1,J$1,""),"")</f>
        <v/>
      </c>
      <c r="K307" s="26" t="str">
        <f>IFERROR(IF(--MID($E307,2*COUNTIF($F307:J307,"&gt;"&amp;0)+2,1)=K$1,K$1,""),"")</f>
        <v/>
      </c>
      <c r="L307" s="39" t="str" cm="1">
        <f t="array" ref="L307">IFERROR(IF($A307="","",IF(F307="","",_xlfn.XLOOKUP($C307&amp;"_"&amp;$AG307,符文权重!$A:$A&amp;"_"&amp;符文权重!$C:$C,符文权重!$D:$D)*$X307/SUMIFS($X:$X,F:F,F307,$C:$C,$C307,$AG:$AG,$AG307)/SUMIF(符文权重!$A:$A,$C307,符文权重!$D:$D))),"")</f>
        <v/>
      </c>
      <c r="M307" s="39" t="str" cm="1">
        <f t="array" ref="M307">IFERROR(IF($A307="","",IF(G307="","",_xlfn.XLOOKUP($C307&amp;"_"&amp;$AG307,符文权重!$A:$A&amp;"_"&amp;符文权重!$C:$C,符文权重!$D:$D)*$X307/SUMIFS($X:$X,G:G,G307,$C:$C,$C307,$AG:$AG,$AG307)/SUMIF(符文权重!$A:$A,$C307,符文权重!$D:$D))),"")</f>
        <v/>
      </c>
      <c r="N307" s="39" t="str" cm="1">
        <f t="array" ref="N307">IFERROR(IF($A307="","",IF(H307="","",_xlfn.XLOOKUP($C307&amp;"_"&amp;$AG307,符文权重!$A:$A&amp;"_"&amp;符文权重!$C:$C,符文权重!$D:$D)*$X307/SUMIFS($X:$X,H:H,H307,$C:$C,$C307,$AG:$AG,$AG307)/SUMIF(符文权重!$A:$A,$C307,符文权重!$D:$D))),"")</f>
        <v/>
      </c>
      <c r="O307" s="39" t="str" cm="1">
        <f t="array" ref="O307">IFERROR(IF($A307="","",IF(I307="","",_xlfn.XLOOKUP($C307&amp;"_"&amp;$AG307,符文权重!$A:$A&amp;"_"&amp;符文权重!$C:$C,符文权重!$D:$D)*$X307/SUMIFS($X:$X,I:I,I307,$C:$C,$C307,$AG:$AG,$AG307)/SUMIF(符文权重!$A:$A,$C307,符文权重!$D:$D))),"")</f>
        <v/>
      </c>
      <c r="P307" s="39" t="str" cm="1">
        <f t="array" ref="P307">IFERROR(IF($A307="","",IF(J307="","",_xlfn.XLOOKUP($C307&amp;"_"&amp;$AG307,符文权重!$A:$A&amp;"_"&amp;符文权重!$C:$C,符文权重!$D:$D)*$X307/SUMIFS($X:$X,J:J,J307,$C:$C,$C307,$AG:$AG,$AG307)/SUMIF(符文权重!$A:$A,$C307,符文权重!$D:$D))),"")</f>
        <v/>
      </c>
      <c r="Q307" s="39" t="str" cm="1">
        <f t="array" ref="Q307">IFERROR(IF($A307="","",IF(K307="","",_xlfn.XLOOKUP($C307&amp;"_"&amp;$AG307,符文权重!$A:$A&amp;"_"&amp;符文权重!$C:$C,符文权重!$D:$D)*$X307/SUMIFS($X:$X,K:K,K307,$C:$C,$C307,$AG:$AG,$AG307)/SUMIF(符文权重!$A:$A,$C307,符文权重!$D:$D))),"")</f>
        <v/>
      </c>
      <c r="R307" s="26" t="s">
        <v>330</v>
      </c>
      <c r="S307" s="26"/>
      <c r="T307" s="26" t="e">
        <f>IF(B307="","",SUBSTITUTE(SUBSTITUTE("[{global_atk,"&amp;#REF!*C307&amp;"}]",21,20),9,8))</f>
        <v>#REF!</v>
      </c>
      <c r="U307" s="40" t="str">
        <f t="shared" si="166"/>
        <v>[5504046]</v>
      </c>
      <c r="V307" s="26"/>
      <c r="W307" s="25"/>
      <c r="X307" s="32">
        <v>100</v>
      </c>
      <c r="Y307" s="25"/>
      <c r="Z307" s="32" t="s">
        <v>178</v>
      </c>
      <c r="AA307" s="32" t="str">
        <f t="shared" si="146"/>
        <v>每次弹射时，伤害+35%</v>
      </c>
      <c r="AB307" s="32"/>
      <c r="AC307" s="32" t="s">
        <v>166</v>
      </c>
      <c r="AD307" s="32">
        <f t="shared" si="137"/>
        <v>1302</v>
      </c>
      <c r="AE307" s="38" t="str">
        <f t="shared" si="167"/>
        <v>5504041</v>
      </c>
      <c r="AF307" s="32" t="str">
        <f t="shared" si="168"/>
        <v>[35]</v>
      </c>
      <c r="AG307" s="26">
        <v>100</v>
      </c>
      <c r="AH307" s="26"/>
      <c r="AI307" s="26">
        <v>1</v>
      </c>
      <c r="AJ307" s="25" t="s">
        <v>167</v>
      </c>
      <c r="AK307" s="38">
        <f t="shared" si="169"/>
        <v>5504046</v>
      </c>
      <c r="AL307" s="41" t="str">
        <f t="shared" si="170"/>
        <v>每次弹射时，伤害&lt;color=#54b76b&gt;+%s%&lt;/color&gt;</v>
      </c>
      <c r="AM307" s="26">
        <v>35</v>
      </c>
      <c r="AN307" s="26"/>
      <c r="AO307" s="26" t="s">
        <v>31</v>
      </c>
      <c r="AP307" s="20">
        <f t="shared" si="138"/>
        <v>302</v>
      </c>
    </row>
    <row r="308" s="20" customFormat="1" customHeight="1" spans="1:42">
      <c r="A308" s="38">
        <v>5504047</v>
      </c>
      <c r="B308" s="38" t="str">
        <f t="shared" si="164"/>
        <v>5504041</v>
      </c>
      <c r="C308" s="32">
        <f t="shared" si="165"/>
        <v>7</v>
      </c>
      <c r="D308" s="32"/>
      <c r="E308" s="26" t="s">
        <v>182</v>
      </c>
      <c r="F308" s="26" t="str">
        <f t="shared" si="134"/>
        <v/>
      </c>
      <c r="G308" s="26" t="str">
        <f>IFERROR(IF(--MID($E308,2*COUNTIF($F308:F308,"&gt;"&amp;0)+2,1)=G$1,G$1,""),"")</f>
        <v/>
      </c>
      <c r="H308" s="26">
        <f>IFERROR(IF(--MID($E308,2*COUNTIF($F308:G308,"&gt;"&amp;0)+2,1)=H$1,H$1,""),"")</f>
        <v>3</v>
      </c>
      <c r="I308" s="26" t="str">
        <f>IFERROR(IF(--MID($E308,2*COUNTIF($F308:H308,"&gt;"&amp;0)+2,1)=I$1,I$1,""),"")</f>
        <v/>
      </c>
      <c r="J308" s="26" t="str">
        <f>IFERROR(IF(--MID($E308,2*COUNTIF($F308:I308,"&gt;"&amp;0)+2,1)=J$1,J$1,""),"")</f>
        <v/>
      </c>
      <c r="K308" s="26" t="str">
        <f>IFERROR(IF(--MID($E308,2*COUNTIF($F308:J308,"&gt;"&amp;0)+2,1)=K$1,K$1,""),"")</f>
        <v/>
      </c>
      <c r="L308" s="39" t="str" cm="1">
        <f t="array" ref="L308">IFERROR(IF($A308="","",IF(F308="","",_xlfn.XLOOKUP($C308&amp;"_"&amp;$AG308,符文权重!$A:$A&amp;"_"&amp;符文权重!$C:$C,符文权重!$D:$D)*$X308/SUMIFS($X:$X,F:F,F308,$C:$C,$C308,$AG:$AG,$AG308)/SUMIF(符文权重!$A:$A,$C308,符文权重!$D:$D))),"")</f>
        <v/>
      </c>
      <c r="M308" s="39" t="str" cm="1">
        <f t="array" ref="M308">IFERROR(IF($A308="","",IF(G308="","",_xlfn.XLOOKUP($C308&amp;"_"&amp;$AG308,符文权重!$A:$A&amp;"_"&amp;符文权重!$C:$C,符文权重!$D:$D)*$X308/SUMIFS($X:$X,G:G,G308,$C:$C,$C308,$AG:$AG,$AG308)/SUMIF(符文权重!$A:$A,$C308,符文权重!$D:$D))),"")</f>
        <v/>
      </c>
      <c r="N308" s="39" t="str" cm="1">
        <f t="array" ref="N308">IFERROR(IF($A308="","",IF(H308="","",_xlfn.XLOOKUP($C308&amp;"_"&amp;$AG308,符文权重!$A:$A&amp;"_"&amp;符文权重!$C:$C,符文权重!$D:$D)*$X308/SUMIFS($X:$X,H:H,H308,$C:$C,$C308,$AG:$AG,$AG308)/SUMIF(符文权重!$A:$A,$C308,符文权重!$D:$D))),"")</f>
        <v/>
      </c>
      <c r="O308" s="39" t="str" cm="1">
        <f t="array" ref="O308">IFERROR(IF($A308="","",IF(I308="","",_xlfn.XLOOKUP($C308&amp;"_"&amp;$AG308,符文权重!$A:$A&amp;"_"&amp;符文权重!$C:$C,符文权重!$D:$D)*$X308/SUMIFS($X:$X,I:I,I308,$C:$C,$C308,$AG:$AG,$AG308)/SUMIF(符文权重!$A:$A,$C308,符文权重!$D:$D))),"")</f>
        <v/>
      </c>
      <c r="P308" s="39" t="str" cm="1">
        <f t="array" ref="P308">IFERROR(IF($A308="","",IF(J308="","",_xlfn.XLOOKUP($C308&amp;"_"&amp;$AG308,符文权重!$A:$A&amp;"_"&amp;符文权重!$C:$C,符文权重!$D:$D)*$X308/SUMIFS($X:$X,J:J,J308,$C:$C,$C308,$AG:$AG,$AG308)/SUMIF(符文权重!$A:$A,$C308,符文权重!$D:$D))),"")</f>
        <v/>
      </c>
      <c r="Q308" s="39" t="str" cm="1">
        <f t="array" ref="Q308">IFERROR(IF($A308="","",IF(K308="","",_xlfn.XLOOKUP($C308&amp;"_"&amp;$AG308,符文权重!$A:$A&amp;"_"&amp;符文权重!$C:$C,符文权重!$D:$D)*$X308/SUMIFS($X:$X,K:K,K308,$C:$C,$C308,$AG:$AG,$AG308)/SUMIF(符文权重!$A:$A,$C308,符文权重!$D:$D))),"")</f>
        <v/>
      </c>
      <c r="R308" s="26" t="s">
        <v>330</v>
      </c>
      <c r="S308" s="26"/>
      <c r="T308" s="26" t="e">
        <f>IF(B308="","",SUBSTITUTE(SUBSTITUTE("[{global_atk,"&amp;#REF!*C308&amp;"}]",21,20),9,8))</f>
        <v>#REF!</v>
      </c>
      <c r="U308" s="40" t="str">
        <f t="shared" si="166"/>
        <v>[5504047]</v>
      </c>
      <c r="V308" s="53"/>
      <c r="W308" s="25"/>
      <c r="X308" s="32">
        <v>100</v>
      </c>
      <c r="Y308" s="25"/>
      <c r="Z308" s="32" t="s">
        <v>180</v>
      </c>
      <c r="AA308" s="32" t="str">
        <f t="shared" si="146"/>
        <v>每次弹射时，伤害+40%</v>
      </c>
      <c r="AB308" s="32"/>
      <c r="AC308" s="32" t="s">
        <v>166</v>
      </c>
      <c r="AD308" s="32">
        <f t="shared" si="137"/>
        <v>1303</v>
      </c>
      <c r="AE308" s="38" t="str">
        <f t="shared" si="167"/>
        <v>5504041</v>
      </c>
      <c r="AF308" s="32" t="str">
        <f t="shared" si="168"/>
        <v>[40]</v>
      </c>
      <c r="AG308" s="26">
        <v>100</v>
      </c>
      <c r="AH308" s="26"/>
      <c r="AI308" s="26">
        <v>1</v>
      </c>
      <c r="AJ308" s="25" t="s">
        <v>167</v>
      </c>
      <c r="AK308" s="38">
        <f t="shared" si="169"/>
        <v>5504047</v>
      </c>
      <c r="AL308" s="41" t="str">
        <f t="shared" si="170"/>
        <v>每次弹射时，伤害&lt;color=#54b76b&gt;+%s%&lt;/color&gt;</v>
      </c>
      <c r="AM308" s="26">
        <v>40</v>
      </c>
      <c r="AN308" s="26"/>
      <c r="AO308" s="26" t="s">
        <v>31</v>
      </c>
      <c r="AP308" s="20">
        <f t="shared" si="138"/>
        <v>303</v>
      </c>
    </row>
    <row r="309" s="20" customFormat="1" customHeight="1" spans="1:42">
      <c r="A309" s="38"/>
      <c r="B309" s="38"/>
      <c r="C309" s="32"/>
      <c r="D309" s="32"/>
      <c r="E309" s="26"/>
      <c r="F309" s="26" t="str">
        <f t="shared" si="134"/>
        <v/>
      </c>
      <c r="G309" s="26" t="str">
        <f>IFERROR(IF(--MID($E309,2*COUNTIF($F309:F309,"&gt;"&amp;0)+2,1)=G$1,G$1,""),"")</f>
        <v/>
      </c>
      <c r="H309" s="26" t="str">
        <f>IFERROR(IF(--MID($E309,2*COUNTIF($F309:G309,"&gt;"&amp;0)+2,1)=H$1,H$1,""),"")</f>
        <v/>
      </c>
      <c r="I309" s="26" t="str">
        <f>IFERROR(IF(--MID($E309,2*COUNTIF($F309:H309,"&gt;"&amp;0)+2,1)=I$1,I$1,""),"")</f>
        <v/>
      </c>
      <c r="J309" s="26" t="str">
        <f>IFERROR(IF(--MID($E309,2*COUNTIF($F309:I309,"&gt;"&amp;0)+2,1)=J$1,J$1,""),"")</f>
        <v/>
      </c>
      <c r="K309" s="26" t="str">
        <f>IFERROR(IF(--MID($E309,2*COUNTIF($F309:J309,"&gt;"&amp;0)+2,1)=K$1,K$1,""),"")</f>
        <v/>
      </c>
      <c r="L309" s="39" t="str" cm="1">
        <f t="array" ref="L309">IFERROR(IF($A309="","",IF(F309="","",_xlfn.XLOOKUP($C309&amp;"_"&amp;$AG309,符文权重!$A:$A&amp;"_"&amp;符文权重!$C:$C,符文权重!$D:$D)*$X309/SUMIFS($X:$X,F:F,F309,$C:$C,$C309,$AG:$AG,$AG309)/SUMIF(符文权重!$A:$A,$C309,符文权重!$D:$D))),"")</f>
        <v/>
      </c>
      <c r="M309" s="39" t="str" cm="1">
        <f t="array" ref="M309">IFERROR(IF($A309="","",IF(G309="","",_xlfn.XLOOKUP($C309&amp;"_"&amp;$AG309,符文权重!$A:$A&amp;"_"&amp;符文权重!$C:$C,符文权重!$D:$D)*$X309/SUMIFS($X:$X,G:G,G309,$C:$C,$C309,$AG:$AG,$AG309)/SUMIF(符文权重!$A:$A,$C309,符文权重!$D:$D))),"")</f>
        <v/>
      </c>
      <c r="N309" s="39" t="str" cm="1">
        <f t="array" ref="N309">IFERROR(IF($A309="","",IF(H309="","",_xlfn.XLOOKUP($C309&amp;"_"&amp;$AG309,符文权重!$A:$A&amp;"_"&amp;符文权重!$C:$C,符文权重!$D:$D)*$X309/SUMIFS($X:$X,H:H,H309,$C:$C,$C309,$AG:$AG,$AG309)/SUMIF(符文权重!$A:$A,$C309,符文权重!$D:$D))),"")</f>
        <v/>
      </c>
      <c r="O309" s="39" t="str" cm="1">
        <f t="array" ref="O309">IFERROR(IF($A309="","",IF(I309="","",_xlfn.XLOOKUP($C309&amp;"_"&amp;$AG309,符文权重!$A:$A&amp;"_"&amp;符文权重!$C:$C,符文权重!$D:$D)*$X309/SUMIFS($X:$X,I:I,I309,$C:$C,$C309,$AG:$AG,$AG309)/SUMIF(符文权重!$A:$A,$C309,符文权重!$D:$D))),"")</f>
        <v/>
      </c>
      <c r="P309" s="39" t="str" cm="1">
        <f t="array" ref="P309">IFERROR(IF($A309="","",IF(J309="","",_xlfn.XLOOKUP($C309&amp;"_"&amp;$AG309,符文权重!$A:$A&amp;"_"&amp;符文权重!$C:$C,符文权重!$D:$D)*$X309/SUMIFS($X:$X,J:J,J309,$C:$C,$C309,$AG:$AG,$AG309)/SUMIF(符文权重!$A:$A,$C309,符文权重!$D:$D))),"")</f>
        <v/>
      </c>
      <c r="Q309" s="39" t="str" cm="1">
        <f t="array" ref="Q309">IFERROR(IF($A309="","",IF(K309="","",_xlfn.XLOOKUP($C309&amp;"_"&amp;$AG309,符文权重!$A:$A&amp;"_"&amp;符文权重!$C:$C,符文权重!$D:$D)*$X309/SUMIFS($X:$X,K:K,K309,$C:$C,$C309,$AG:$AG,$AG309)/SUMIF(符文权重!$A:$A,$C309,符文权重!$D:$D))),"")</f>
        <v/>
      </c>
      <c r="R309" s="26"/>
      <c r="S309" s="26"/>
      <c r="T309" s="26"/>
      <c r="U309" s="40"/>
      <c r="V309" s="53"/>
      <c r="W309" s="25"/>
      <c r="X309" s="32"/>
      <c r="Y309" s="25"/>
      <c r="Z309" s="32"/>
      <c r="AA309" s="32" t="str">
        <f t="shared" si="146"/>
        <v/>
      </c>
      <c r="AB309" s="32"/>
      <c r="AC309" s="32" t="s">
        <v>166</v>
      </c>
      <c r="AD309" s="32">
        <f t="shared" si="137"/>
        <v>1304</v>
      </c>
      <c r="AE309" s="38"/>
      <c r="AF309" s="32"/>
      <c r="AG309" s="26"/>
      <c r="AH309" s="26"/>
      <c r="AI309" s="26"/>
      <c r="AJ309" s="25" t="s">
        <v>167</v>
      </c>
      <c r="AK309" s="38"/>
      <c r="AL309" s="41"/>
      <c r="AM309" s="26"/>
      <c r="AN309" s="26"/>
      <c r="AO309" s="26"/>
      <c r="AP309" s="20">
        <f t="shared" si="138"/>
        <v>304</v>
      </c>
    </row>
    <row r="310" s="22" customFormat="1" customHeight="1" spans="1:42">
      <c r="A310" s="44">
        <v>5504051</v>
      </c>
      <c r="B310" s="44" t="str">
        <f t="shared" ref="B310:B316" si="171">IF(ISBLANK(AK310),"",LEFT(AK310,6)&amp;1)</f>
        <v>5504051</v>
      </c>
      <c r="C310" s="45">
        <f t="shared" ref="C310:C316" si="172">IF(ISBLANK(AK310),"",VALUE(RIGHT(A310,1)))</f>
        <v>1</v>
      </c>
      <c r="D310" s="45"/>
      <c r="E310" s="46" t="s">
        <v>375</v>
      </c>
      <c r="F310" s="26" t="str">
        <f t="shared" si="134"/>
        <v/>
      </c>
      <c r="G310" s="26" t="str">
        <f>IFERROR(IF(--MID($E310,2*COUNTIF($F310:F310,"&gt;"&amp;0)+2,1)=G$1,G$1,""),"")</f>
        <v/>
      </c>
      <c r="H310" s="26" t="str">
        <f>IFERROR(IF(--MID($E310,2*COUNTIF($F310:G310,"&gt;"&amp;0)+2,1)=H$1,H$1,""),"")</f>
        <v/>
      </c>
      <c r="I310" s="26">
        <f>IFERROR(IF(--MID($E310,2*COUNTIF($F310:H310,"&gt;"&amp;0)+2,1)=I$1,I$1,""),"")</f>
        <v>4</v>
      </c>
      <c r="J310" s="26" t="str">
        <f>IFERROR(IF(--MID($E310,2*COUNTIF($F310:I310,"&gt;"&amp;0)+2,1)=J$1,J$1,""),"")</f>
        <v/>
      </c>
      <c r="K310" s="26" t="str">
        <f>IFERROR(IF(--MID($E310,2*COUNTIF($F310:J310,"&gt;"&amp;0)+2,1)=K$1,K$1,""),"")</f>
        <v/>
      </c>
      <c r="L310" s="39" t="str" cm="1">
        <f t="array" ref="L310">IFERROR(IF($A310="","",IF(F310="","",_xlfn.XLOOKUP($C310&amp;"_"&amp;$AG310,符文权重!$A:$A&amp;"_"&amp;符文权重!$C:$C,符文权重!$D:$D)*$X310/SUMIFS($X:$X,F:F,F310,$C:$C,$C310,$AG:$AG,$AG310)/SUMIF(符文权重!$A:$A,$C310,符文权重!$D:$D))),"")</f>
        <v/>
      </c>
      <c r="M310" s="39" t="str" cm="1">
        <f t="array" ref="M310">IFERROR(IF($A310="","",IF(G310="","",_xlfn.XLOOKUP($C310&amp;"_"&amp;$AG310,符文权重!$A:$A&amp;"_"&amp;符文权重!$C:$C,符文权重!$D:$D)*$X310/SUMIFS($X:$X,G:G,G310,$C:$C,$C310,$AG:$AG,$AG310)/SUMIF(符文权重!$A:$A,$C310,符文权重!$D:$D))),"")</f>
        <v/>
      </c>
      <c r="N310" s="39" t="str" cm="1">
        <f t="array" ref="N310">IFERROR(IF($A310="","",IF(H310="","",_xlfn.XLOOKUP($C310&amp;"_"&amp;$AG310,符文权重!$A:$A&amp;"_"&amp;符文权重!$C:$C,符文权重!$D:$D)*$X310/SUMIFS($X:$X,H:H,H310,$C:$C,$C310,$AG:$AG,$AG310)/SUMIF(符文权重!$A:$A,$C310,符文权重!$D:$D))),"")</f>
        <v/>
      </c>
      <c r="O310" s="39" t="str" cm="1">
        <f t="array" ref="O310">IFERROR(IF($A310="","",IF(I310="","",_xlfn.XLOOKUP($C310&amp;"_"&amp;$AG310,符文权重!$A:$A&amp;"_"&amp;符文权重!$C:$C,符文权重!$D:$D)*$X310/SUMIFS($X:$X,I:I,I310,$C:$C,$C310,$AG:$AG,$AG310)/SUMIF(符文权重!$A:$A,$C310,符文权重!$D:$D))),"")</f>
        <v/>
      </c>
      <c r="P310" s="39" t="str" cm="1">
        <f t="array" ref="P310">IFERROR(IF($A310="","",IF(J310="","",_xlfn.XLOOKUP($C310&amp;"_"&amp;$AG310,符文权重!$A:$A&amp;"_"&amp;符文权重!$C:$C,符文权重!$D:$D)*$X310/SUMIFS($X:$X,J:J,J310,$C:$C,$C310,$AG:$AG,$AG310)/SUMIF(符文权重!$A:$A,$C310,符文权重!$D:$D))),"")</f>
        <v/>
      </c>
      <c r="Q310" s="39" t="str" cm="1">
        <f t="array" ref="Q310">IFERROR(IF($A310="","",IF(K310="","",_xlfn.XLOOKUP($C310&amp;"_"&amp;$AG310,符文权重!$A:$A&amp;"_"&amp;符文权重!$C:$C,符文权重!$D:$D)*$X310/SUMIFS($X:$X,K:K,K310,$C:$C,$C310,$AG:$AG,$AG310)/SUMIF(符文权重!$A:$A,$C310,符文权重!$D:$D))),"")</f>
        <v/>
      </c>
      <c r="R310" s="46" t="s">
        <v>330</v>
      </c>
      <c r="S310" s="46"/>
      <c r="T310" s="46" t="e">
        <f>IF(B310="","",SUBSTITUTE(SUBSTITUTE("[{global_atk,"&amp;#REF!*C310&amp;"}]",21,20),9,8))</f>
        <v>#REF!</v>
      </c>
      <c r="U310" s="47" t="str">
        <f t="shared" ref="U310:U316" si="173">"["&amp;A310&amp;"]"</f>
        <v>[5504051]</v>
      </c>
      <c r="V310" s="46"/>
      <c r="W310" s="23"/>
      <c r="X310" s="32">
        <v>100</v>
      </c>
      <c r="Y310" s="23"/>
      <c r="Z310" s="45" t="s">
        <v>165</v>
      </c>
      <c r="AA310" s="32" t="str">
        <f t="shared" si="146"/>
        <v>梦灵技能范围大小+10%</v>
      </c>
      <c r="AB310" s="32"/>
      <c r="AC310" s="32" t="s">
        <v>166</v>
      </c>
      <c r="AD310" s="32">
        <f t="shared" si="137"/>
        <v>1305</v>
      </c>
      <c r="AE310" s="44" t="str">
        <f t="shared" ref="AE310:AE316" si="174">IF(ISBLANK(AK310),"",B310)</f>
        <v>5504051</v>
      </c>
      <c r="AF310" s="45" t="str">
        <f t="shared" ref="AF310:AF316" si="175">IF(ISBLANK(AM310),"","["&amp;AM310&amp;"]")</f>
        <v>[10]</v>
      </c>
      <c r="AG310" s="26">
        <v>100</v>
      </c>
      <c r="AH310" s="46"/>
      <c r="AI310" s="46">
        <v>1</v>
      </c>
      <c r="AJ310" s="25" t="s">
        <v>167</v>
      </c>
      <c r="AK310" s="48">
        <v>5504051</v>
      </c>
      <c r="AL310" s="49" t="s">
        <v>376</v>
      </c>
      <c r="AM310" s="46">
        <v>10</v>
      </c>
      <c r="AN310" s="26"/>
      <c r="AO310" s="26" t="s">
        <v>32</v>
      </c>
      <c r="AP310" s="20">
        <f t="shared" si="138"/>
        <v>305</v>
      </c>
    </row>
    <row r="311" s="22" customFormat="1" customHeight="1" spans="1:42">
      <c r="A311" s="44">
        <v>5504052</v>
      </c>
      <c r="B311" s="44" t="str">
        <f t="shared" si="171"/>
        <v>5504051</v>
      </c>
      <c r="C311" s="45">
        <f t="shared" si="172"/>
        <v>2</v>
      </c>
      <c r="D311" s="45"/>
      <c r="E311" s="46" t="s">
        <v>375</v>
      </c>
      <c r="F311" s="26" t="str">
        <f t="shared" si="134"/>
        <v/>
      </c>
      <c r="G311" s="26" t="str">
        <f>IFERROR(IF(--MID($E311,2*COUNTIF($F311:F311,"&gt;"&amp;0)+2,1)=G$1,G$1,""),"")</f>
        <v/>
      </c>
      <c r="H311" s="26" t="str">
        <f>IFERROR(IF(--MID($E311,2*COUNTIF($F311:G311,"&gt;"&amp;0)+2,1)=H$1,H$1,""),"")</f>
        <v/>
      </c>
      <c r="I311" s="26">
        <f>IFERROR(IF(--MID($E311,2*COUNTIF($F311:H311,"&gt;"&amp;0)+2,1)=I$1,I$1,""),"")</f>
        <v>4</v>
      </c>
      <c r="J311" s="26" t="str">
        <f>IFERROR(IF(--MID($E311,2*COUNTIF($F311:I311,"&gt;"&amp;0)+2,1)=J$1,J$1,""),"")</f>
        <v/>
      </c>
      <c r="K311" s="26" t="str">
        <f>IFERROR(IF(--MID($E311,2*COUNTIF($F311:J311,"&gt;"&amp;0)+2,1)=K$1,K$1,""),"")</f>
        <v/>
      </c>
      <c r="L311" s="39" t="str" cm="1">
        <f t="array" ref="L311">IFERROR(IF($A311="","",IF(F311="","",_xlfn.XLOOKUP($C311&amp;"_"&amp;$AG311,符文权重!$A:$A&amp;"_"&amp;符文权重!$C:$C,符文权重!$D:$D)*$X311/SUMIFS($X:$X,F:F,F311,$C:$C,$C311,$AG:$AG,$AG311)/SUMIF(符文权重!$A:$A,$C311,符文权重!$D:$D))),"")</f>
        <v/>
      </c>
      <c r="M311" s="39" t="str" cm="1">
        <f t="array" ref="M311">IFERROR(IF($A311="","",IF(G311="","",_xlfn.XLOOKUP($C311&amp;"_"&amp;$AG311,符文权重!$A:$A&amp;"_"&amp;符文权重!$C:$C,符文权重!$D:$D)*$X311/SUMIFS($X:$X,G:G,G311,$C:$C,$C311,$AG:$AG,$AG311)/SUMIF(符文权重!$A:$A,$C311,符文权重!$D:$D))),"")</f>
        <v/>
      </c>
      <c r="N311" s="39" t="str" cm="1">
        <f t="array" ref="N311">IFERROR(IF($A311="","",IF(H311="","",_xlfn.XLOOKUP($C311&amp;"_"&amp;$AG311,符文权重!$A:$A&amp;"_"&amp;符文权重!$C:$C,符文权重!$D:$D)*$X311/SUMIFS($X:$X,H:H,H311,$C:$C,$C311,$AG:$AG,$AG311)/SUMIF(符文权重!$A:$A,$C311,符文权重!$D:$D))),"")</f>
        <v/>
      </c>
      <c r="O311" s="39" t="str" cm="1">
        <f t="array" ref="O311">IFERROR(IF($A311="","",IF(I311="","",_xlfn.XLOOKUP($C311&amp;"_"&amp;$AG311,符文权重!$A:$A&amp;"_"&amp;符文权重!$C:$C,符文权重!$D:$D)*$X311/SUMIFS($X:$X,I:I,I311,$C:$C,$C311,$AG:$AG,$AG311)/SUMIF(符文权重!$A:$A,$C311,符文权重!$D:$D))),"")</f>
        <v/>
      </c>
      <c r="P311" s="39" t="str" cm="1">
        <f t="array" ref="P311">IFERROR(IF($A311="","",IF(J311="","",_xlfn.XLOOKUP($C311&amp;"_"&amp;$AG311,符文权重!$A:$A&amp;"_"&amp;符文权重!$C:$C,符文权重!$D:$D)*$X311/SUMIFS($X:$X,J:J,J311,$C:$C,$C311,$AG:$AG,$AG311)/SUMIF(符文权重!$A:$A,$C311,符文权重!$D:$D))),"")</f>
        <v/>
      </c>
      <c r="Q311" s="39" t="str" cm="1">
        <f t="array" ref="Q311">IFERROR(IF($A311="","",IF(K311="","",_xlfn.XLOOKUP($C311&amp;"_"&amp;$AG311,符文权重!$A:$A&amp;"_"&amp;符文权重!$C:$C,符文权重!$D:$D)*$X311/SUMIFS($X:$X,K:K,K311,$C:$C,$C311,$AG:$AG,$AG311)/SUMIF(符文权重!$A:$A,$C311,符文权重!$D:$D))),"")</f>
        <v/>
      </c>
      <c r="R311" s="46" t="s">
        <v>330</v>
      </c>
      <c r="S311" s="46"/>
      <c r="T311" s="46" t="e">
        <f>IF(B311="","",SUBSTITUTE(SUBSTITUTE("[{global_atk,"&amp;#REF!*C311&amp;"}]",21,20),9,8))</f>
        <v>#REF!</v>
      </c>
      <c r="U311" s="47" t="str">
        <f t="shared" si="173"/>
        <v>[5504052]</v>
      </c>
      <c r="V311" s="46"/>
      <c r="W311" s="23"/>
      <c r="X311" s="32">
        <v>100</v>
      </c>
      <c r="Y311" s="23"/>
      <c r="Z311" s="45" t="s">
        <v>170</v>
      </c>
      <c r="AA311" s="32" t="str">
        <f t="shared" si="146"/>
        <v>梦灵技能范围大小+15%</v>
      </c>
      <c r="AB311" s="32"/>
      <c r="AC311" s="32" t="s">
        <v>166</v>
      </c>
      <c r="AD311" s="32">
        <f t="shared" si="137"/>
        <v>1306</v>
      </c>
      <c r="AE311" s="44" t="str">
        <f t="shared" si="174"/>
        <v>5504051</v>
      </c>
      <c r="AF311" s="45" t="str">
        <f t="shared" si="175"/>
        <v>[15]</v>
      </c>
      <c r="AG311" s="26">
        <v>100</v>
      </c>
      <c r="AH311" s="46"/>
      <c r="AI311" s="46">
        <v>1</v>
      </c>
      <c r="AJ311" s="25" t="s">
        <v>167</v>
      </c>
      <c r="AK311" s="44">
        <f t="shared" ref="AK311:AK316" si="176">AK310+1</f>
        <v>5504052</v>
      </c>
      <c r="AL311" s="50" t="str">
        <f t="shared" ref="AL311:AL316" si="177">AL310</f>
        <v>梦灵技能范围大小&lt;color=#54b76b&gt;+%s%&lt;/color&gt;</v>
      </c>
      <c r="AM311" s="46">
        <v>15</v>
      </c>
      <c r="AN311" s="26"/>
      <c r="AO311" s="26" t="s">
        <v>32</v>
      </c>
      <c r="AP311" s="20">
        <f t="shared" si="138"/>
        <v>306</v>
      </c>
    </row>
    <row r="312" s="20" customFormat="1" customHeight="1" spans="1:42">
      <c r="A312" s="38">
        <v>5504053</v>
      </c>
      <c r="B312" s="38" t="str">
        <f t="shared" si="171"/>
        <v>5504051</v>
      </c>
      <c r="C312" s="32">
        <f t="shared" si="172"/>
        <v>3</v>
      </c>
      <c r="D312" s="32"/>
      <c r="E312" s="26" t="s">
        <v>375</v>
      </c>
      <c r="F312" s="26" t="str">
        <f t="shared" si="134"/>
        <v/>
      </c>
      <c r="G312" s="26" t="str">
        <f>IFERROR(IF(--MID($E312,2*COUNTIF($F312:F312,"&gt;"&amp;0)+2,1)=G$1,G$1,""),"")</f>
        <v/>
      </c>
      <c r="H312" s="26" t="str">
        <f>IFERROR(IF(--MID($E312,2*COUNTIF($F312:G312,"&gt;"&amp;0)+2,1)=H$1,H$1,""),"")</f>
        <v/>
      </c>
      <c r="I312" s="26">
        <f>IFERROR(IF(--MID($E312,2*COUNTIF($F312:H312,"&gt;"&amp;0)+2,1)=I$1,I$1,""),"")</f>
        <v>4</v>
      </c>
      <c r="J312" s="26" t="str">
        <f>IFERROR(IF(--MID($E312,2*COUNTIF($F312:I312,"&gt;"&amp;0)+2,1)=J$1,J$1,""),"")</f>
        <v/>
      </c>
      <c r="K312" s="26" t="str">
        <f>IFERROR(IF(--MID($E312,2*COUNTIF($F312:J312,"&gt;"&amp;0)+2,1)=K$1,K$1,""),"")</f>
        <v/>
      </c>
      <c r="L312" s="39" t="str" cm="1">
        <f t="array" ref="L312">IFERROR(IF($A312="","",IF(F312="","",_xlfn.XLOOKUP($C312&amp;"_"&amp;$AG312,符文权重!$A:$A&amp;"_"&amp;符文权重!$C:$C,符文权重!$D:$D)*$X312/SUMIFS($X:$X,F:F,F312,$C:$C,$C312,$AG:$AG,$AG312)/SUMIF(符文权重!$A:$A,$C312,符文权重!$D:$D))),"")</f>
        <v/>
      </c>
      <c r="M312" s="39" t="str" cm="1">
        <f t="array" ref="M312">IFERROR(IF($A312="","",IF(G312="","",_xlfn.XLOOKUP($C312&amp;"_"&amp;$AG312,符文权重!$A:$A&amp;"_"&amp;符文权重!$C:$C,符文权重!$D:$D)*$X312/SUMIFS($X:$X,G:G,G312,$C:$C,$C312,$AG:$AG,$AG312)/SUMIF(符文权重!$A:$A,$C312,符文权重!$D:$D))),"")</f>
        <v/>
      </c>
      <c r="N312" s="39" t="str" cm="1">
        <f t="array" ref="N312">IFERROR(IF($A312="","",IF(H312="","",_xlfn.XLOOKUP($C312&amp;"_"&amp;$AG312,符文权重!$A:$A&amp;"_"&amp;符文权重!$C:$C,符文权重!$D:$D)*$X312/SUMIFS($X:$X,H:H,H312,$C:$C,$C312,$AG:$AG,$AG312)/SUMIF(符文权重!$A:$A,$C312,符文权重!$D:$D))),"")</f>
        <v/>
      </c>
      <c r="O312" s="39" t="str" cm="1">
        <f t="array" ref="O312">IFERROR(IF($A312="","",IF(I312="","",_xlfn.XLOOKUP($C312&amp;"_"&amp;$AG312,符文权重!$A:$A&amp;"_"&amp;符文权重!$C:$C,符文权重!$D:$D)*$X312/SUMIFS($X:$X,I:I,I312,$C:$C,$C312,$AG:$AG,$AG312)/SUMIF(符文权重!$A:$A,$C312,符文权重!$D:$D))),"")</f>
        <v/>
      </c>
      <c r="P312" s="39" t="str" cm="1">
        <f t="array" ref="P312">IFERROR(IF($A312="","",IF(J312="","",_xlfn.XLOOKUP($C312&amp;"_"&amp;$AG312,符文权重!$A:$A&amp;"_"&amp;符文权重!$C:$C,符文权重!$D:$D)*$X312/SUMIFS($X:$X,J:J,J312,$C:$C,$C312,$AG:$AG,$AG312)/SUMIF(符文权重!$A:$A,$C312,符文权重!$D:$D))),"")</f>
        <v/>
      </c>
      <c r="Q312" s="39" t="str" cm="1">
        <f t="array" ref="Q312">IFERROR(IF($A312="","",IF(K312="","",_xlfn.XLOOKUP($C312&amp;"_"&amp;$AG312,符文权重!$A:$A&amp;"_"&amp;符文权重!$C:$C,符文权重!$D:$D)*$X312/SUMIFS($X:$X,K:K,K312,$C:$C,$C312,$AG:$AG,$AG312)/SUMIF(符文权重!$A:$A,$C312,符文权重!$D:$D))),"")</f>
        <v/>
      </c>
      <c r="R312" s="26" t="s">
        <v>330</v>
      </c>
      <c r="S312" s="26"/>
      <c r="T312" s="26" t="e">
        <f>IF(B312="","",SUBSTITUTE(SUBSTITUTE("[{global_atk,"&amp;#REF!*C312&amp;"}]",21,20),9,8))</f>
        <v>#REF!</v>
      </c>
      <c r="U312" s="40" t="str">
        <f t="shared" si="173"/>
        <v>[5504053]</v>
      </c>
      <c r="V312" s="26"/>
      <c r="W312" s="25"/>
      <c r="X312" s="32">
        <v>100</v>
      </c>
      <c r="Y312" s="25"/>
      <c r="Z312" s="32" t="s">
        <v>172</v>
      </c>
      <c r="AA312" s="32" t="str">
        <f t="shared" si="146"/>
        <v>梦灵技能范围大小+20%</v>
      </c>
      <c r="AB312" s="32"/>
      <c r="AC312" s="32" t="s">
        <v>166</v>
      </c>
      <c r="AD312" s="32">
        <f t="shared" si="137"/>
        <v>1307</v>
      </c>
      <c r="AE312" s="38" t="str">
        <f t="shared" si="174"/>
        <v>5504051</v>
      </c>
      <c r="AF312" s="32" t="str">
        <f t="shared" si="175"/>
        <v>[20]</v>
      </c>
      <c r="AG312" s="26">
        <v>100</v>
      </c>
      <c r="AH312" s="26"/>
      <c r="AI312" s="26">
        <v>1</v>
      </c>
      <c r="AJ312" s="25" t="s">
        <v>167</v>
      </c>
      <c r="AK312" s="38">
        <f t="shared" si="176"/>
        <v>5504053</v>
      </c>
      <c r="AL312" s="41" t="str">
        <f t="shared" si="177"/>
        <v>梦灵技能范围大小&lt;color=#54b76b&gt;+%s%&lt;/color&gt;</v>
      </c>
      <c r="AM312" s="26">
        <v>20</v>
      </c>
      <c r="AN312" s="26"/>
      <c r="AO312" s="26" t="s">
        <v>32</v>
      </c>
      <c r="AP312" s="20">
        <f t="shared" si="138"/>
        <v>307</v>
      </c>
    </row>
    <row r="313" s="20" customFormat="1" customHeight="1" spans="1:42">
      <c r="A313" s="38">
        <v>5504054</v>
      </c>
      <c r="B313" s="38" t="str">
        <f t="shared" si="171"/>
        <v>5504051</v>
      </c>
      <c r="C313" s="32">
        <f t="shared" si="172"/>
        <v>4</v>
      </c>
      <c r="D313" s="32"/>
      <c r="E313" s="26" t="s">
        <v>375</v>
      </c>
      <c r="F313" s="26" t="str">
        <f t="shared" si="134"/>
        <v/>
      </c>
      <c r="G313" s="26" t="str">
        <f>IFERROR(IF(--MID($E313,2*COUNTIF($F313:F313,"&gt;"&amp;0)+2,1)=G$1,G$1,""),"")</f>
        <v/>
      </c>
      <c r="H313" s="26" t="str">
        <f>IFERROR(IF(--MID($E313,2*COUNTIF($F313:G313,"&gt;"&amp;0)+2,1)=H$1,H$1,""),"")</f>
        <v/>
      </c>
      <c r="I313" s="26">
        <f>IFERROR(IF(--MID($E313,2*COUNTIF($F313:H313,"&gt;"&amp;0)+2,1)=I$1,I$1,""),"")</f>
        <v>4</v>
      </c>
      <c r="J313" s="26" t="str">
        <f>IFERROR(IF(--MID($E313,2*COUNTIF($F313:I313,"&gt;"&amp;0)+2,1)=J$1,J$1,""),"")</f>
        <v/>
      </c>
      <c r="K313" s="26" t="str">
        <f>IFERROR(IF(--MID($E313,2*COUNTIF($F313:J313,"&gt;"&amp;0)+2,1)=K$1,K$1,""),"")</f>
        <v/>
      </c>
      <c r="L313" s="39" t="str" cm="1">
        <f t="array" ref="L313">IFERROR(IF($A313="","",IF(F313="","",_xlfn.XLOOKUP($C313&amp;"_"&amp;$AG313,符文权重!$A:$A&amp;"_"&amp;符文权重!$C:$C,符文权重!$D:$D)*$X313/SUMIFS($X:$X,F:F,F313,$C:$C,$C313,$AG:$AG,$AG313)/SUMIF(符文权重!$A:$A,$C313,符文权重!$D:$D))),"")</f>
        <v/>
      </c>
      <c r="M313" s="39" t="str" cm="1">
        <f t="array" ref="M313">IFERROR(IF($A313="","",IF(G313="","",_xlfn.XLOOKUP($C313&amp;"_"&amp;$AG313,符文权重!$A:$A&amp;"_"&amp;符文权重!$C:$C,符文权重!$D:$D)*$X313/SUMIFS($X:$X,G:G,G313,$C:$C,$C313,$AG:$AG,$AG313)/SUMIF(符文权重!$A:$A,$C313,符文权重!$D:$D))),"")</f>
        <v/>
      </c>
      <c r="N313" s="39" t="str" cm="1">
        <f t="array" ref="N313">IFERROR(IF($A313="","",IF(H313="","",_xlfn.XLOOKUP($C313&amp;"_"&amp;$AG313,符文权重!$A:$A&amp;"_"&amp;符文权重!$C:$C,符文权重!$D:$D)*$X313/SUMIFS($X:$X,H:H,H313,$C:$C,$C313,$AG:$AG,$AG313)/SUMIF(符文权重!$A:$A,$C313,符文权重!$D:$D))),"")</f>
        <v/>
      </c>
      <c r="O313" s="39" t="str" cm="1">
        <f t="array" ref="O313">IFERROR(IF($A313="","",IF(I313="","",_xlfn.XLOOKUP($C313&amp;"_"&amp;$AG313,符文权重!$A:$A&amp;"_"&amp;符文权重!$C:$C,符文权重!$D:$D)*$X313/SUMIFS($X:$X,I:I,I313,$C:$C,$C313,$AG:$AG,$AG313)/SUMIF(符文权重!$A:$A,$C313,符文权重!$D:$D))),"")</f>
        <v/>
      </c>
      <c r="P313" s="39" t="str" cm="1">
        <f t="array" ref="P313">IFERROR(IF($A313="","",IF(J313="","",_xlfn.XLOOKUP($C313&amp;"_"&amp;$AG313,符文权重!$A:$A&amp;"_"&amp;符文权重!$C:$C,符文权重!$D:$D)*$X313/SUMIFS($X:$X,J:J,J313,$C:$C,$C313,$AG:$AG,$AG313)/SUMIF(符文权重!$A:$A,$C313,符文权重!$D:$D))),"")</f>
        <v/>
      </c>
      <c r="Q313" s="39" t="str" cm="1">
        <f t="array" ref="Q313">IFERROR(IF($A313="","",IF(K313="","",_xlfn.XLOOKUP($C313&amp;"_"&amp;$AG313,符文权重!$A:$A&amp;"_"&amp;符文权重!$C:$C,符文权重!$D:$D)*$X313/SUMIFS($X:$X,K:K,K313,$C:$C,$C313,$AG:$AG,$AG313)/SUMIF(符文权重!$A:$A,$C313,符文权重!$D:$D))),"")</f>
        <v/>
      </c>
      <c r="R313" s="26" t="s">
        <v>330</v>
      </c>
      <c r="S313" s="26"/>
      <c r="T313" s="26" t="e">
        <f>IF(B313="","",SUBSTITUTE(SUBSTITUTE("[{global_atk,"&amp;#REF!*C313&amp;"}]",21,20),9,8))</f>
        <v>#REF!</v>
      </c>
      <c r="U313" s="40" t="str">
        <f t="shared" si="173"/>
        <v>[5504054]</v>
      </c>
      <c r="V313" s="26"/>
      <c r="W313" s="25"/>
      <c r="X313" s="32">
        <v>100</v>
      </c>
      <c r="Y313" s="25"/>
      <c r="Z313" s="32" t="s">
        <v>174</v>
      </c>
      <c r="AA313" s="32" t="str">
        <f t="shared" si="146"/>
        <v>梦灵技能范围大小+25%</v>
      </c>
      <c r="AB313" s="32"/>
      <c r="AC313" s="32" t="s">
        <v>166</v>
      </c>
      <c r="AD313" s="32">
        <f t="shared" si="137"/>
        <v>1308</v>
      </c>
      <c r="AE313" s="38" t="str">
        <f t="shared" si="174"/>
        <v>5504051</v>
      </c>
      <c r="AF313" s="32" t="str">
        <f t="shared" si="175"/>
        <v>[25]</v>
      </c>
      <c r="AG313" s="26">
        <v>100</v>
      </c>
      <c r="AH313" s="26"/>
      <c r="AI313" s="26">
        <v>1</v>
      </c>
      <c r="AJ313" s="25" t="s">
        <v>167</v>
      </c>
      <c r="AK313" s="38">
        <f t="shared" si="176"/>
        <v>5504054</v>
      </c>
      <c r="AL313" s="41" t="str">
        <f t="shared" si="177"/>
        <v>梦灵技能范围大小&lt;color=#54b76b&gt;+%s%&lt;/color&gt;</v>
      </c>
      <c r="AM313" s="26">
        <v>25</v>
      </c>
      <c r="AN313" s="26"/>
      <c r="AO313" s="26" t="s">
        <v>32</v>
      </c>
      <c r="AP313" s="20">
        <f t="shared" si="138"/>
        <v>308</v>
      </c>
    </row>
    <row r="314" s="20" customFormat="1" customHeight="1" spans="1:42">
      <c r="A314" s="38">
        <v>5504055</v>
      </c>
      <c r="B314" s="38" t="str">
        <f t="shared" si="171"/>
        <v>5504051</v>
      </c>
      <c r="C314" s="32">
        <f t="shared" si="172"/>
        <v>5</v>
      </c>
      <c r="D314" s="32"/>
      <c r="E314" s="26" t="s">
        <v>375</v>
      </c>
      <c r="F314" s="26" t="str">
        <f t="shared" si="134"/>
        <v/>
      </c>
      <c r="G314" s="26" t="str">
        <f>IFERROR(IF(--MID($E314,2*COUNTIF($F314:F314,"&gt;"&amp;0)+2,1)=G$1,G$1,""),"")</f>
        <v/>
      </c>
      <c r="H314" s="26" t="str">
        <f>IFERROR(IF(--MID($E314,2*COUNTIF($F314:G314,"&gt;"&amp;0)+2,1)=H$1,H$1,""),"")</f>
        <v/>
      </c>
      <c r="I314" s="26">
        <f>IFERROR(IF(--MID($E314,2*COUNTIF($F314:H314,"&gt;"&amp;0)+2,1)=I$1,I$1,""),"")</f>
        <v>4</v>
      </c>
      <c r="J314" s="26" t="str">
        <f>IFERROR(IF(--MID($E314,2*COUNTIF($F314:I314,"&gt;"&amp;0)+2,1)=J$1,J$1,""),"")</f>
        <v/>
      </c>
      <c r="K314" s="26" t="str">
        <f>IFERROR(IF(--MID($E314,2*COUNTIF($F314:J314,"&gt;"&amp;0)+2,1)=K$1,K$1,""),"")</f>
        <v/>
      </c>
      <c r="L314" s="39" t="str" cm="1">
        <f t="array" ref="L314">IFERROR(IF($A314="","",IF(F314="","",_xlfn.XLOOKUP($C314&amp;"_"&amp;$AG314,符文权重!$A:$A&amp;"_"&amp;符文权重!$C:$C,符文权重!$D:$D)*$X314/SUMIFS($X:$X,F:F,F314,$C:$C,$C314,$AG:$AG,$AG314)/SUMIF(符文权重!$A:$A,$C314,符文权重!$D:$D))),"")</f>
        <v/>
      </c>
      <c r="M314" s="39" t="str" cm="1">
        <f t="array" ref="M314">IFERROR(IF($A314="","",IF(G314="","",_xlfn.XLOOKUP($C314&amp;"_"&amp;$AG314,符文权重!$A:$A&amp;"_"&amp;符文权重!$C:$C,符文权重!$D:$D)*$X314/SUMIFS($X:$X,G:G,G314,$C:$C,$C314,$AG:$AG,$AG314)/SUMIF(符文权重!$A:$A,$C314,符文权重!$D:$D))),"")</f>
        <v/>
      </c>
      <c r="N314" s="39" t="str" cm="1">
        <f t="array" ref="N314">IFERROR(IF($A314="","",IF(H314="","",_xlfn.XLOOKUP($C314&amp;"_"&amp;$AG314,符文权重!$A:$A&amp;"_"&amp;符文权重!$C:$C,符文权重!$D:$D)*$X314/SUMIFS($X:$X,H:H,H314,$C:$C,$C314,$AG:$AG,$AG314)/SUMIF(符文权重!$A:$A,$C314,符文权重!$D:$D))),"")</f>
        <v/>
      </c>
      <c r="O314" s="39" t="str" cm="1">
        <f t="array" ref="O314">IFERROR(IF($A314="","",IF(I314="","",_xlfn.XLOOKUP($C314&amp;"_"&amp;$AG314,符文权重!$A:$A&amp;"_"&amp;符文权重!$C:$C,符文权重!$D:$D)*$X314/SUMIFS($X:$X,I:I,I314,$C:$C,$C314,$AG:$AG,$AG314)/SUMIF(符文权重!$A:$A,$C314,符文权重!$D:$D))),"")</f>
        <v/>
      </c>
      <c r="P314" s="39" t="str" cm="1">
        <f t="array" ref="P314">IFERROR(IF($A314="","",IF(J314="","",_xlfn.XLOOKUP($C314&amp;"_"&amp;$AG314,符文权重!$A:$A&amp;"_"&amp;符文权重!$C:$C,符文权重!$D:$D)*$X314/SUMIFS($X:$X,J:J,J314,$C:$C,$C314,$AG:$AG,$AG314)/SUMIF(符文权重!$A:$A,$C314,符文权重!$D:$D))),"")</f>
        <v/>
      </c>
      <c r="Q314" s="39" t="str" cm="1">
        <f t="array" ref="Q314">IFERROR(IF($A314="","",IF(K314="","",_xlfn.XLOOKUP($C314&amp;"_"&amp;$AG314,符文权重!$A:$A&amp;"_"&amp;符文权重!$C:$C,符文权重!$D:$D)*$X314/SUMIFS($X:$X,K:K,K314,$C:$C,$C314,$AG:$AG,$AG314)/SUMIF(符文权重!$A:$A,$C314,符文权重!$D:$D))),"")</f>
        <v/>
      </c>
      <c r="R314" s="26" t="s">
        <v>330</v>
      </c>
      <c r="S314" s="26"/>
      <c r="T314" s="26" t="e">
        <f>IF(B314="","",SUBSTITUTE(SUBSTITUTE("[{global_atk,"&amp;#REF!*C314&amp;"}]",21,20),9,8))</f>
        <v>#REF!</v>
      </c>
      <c r="U314" s="40" t="str">
        <f t="shared" si="173"/>
        <v>[5504055]</v>
      </c>
      <c r="V314" s="26"/>
      <c r="W314" s="25"/>
      <c r="X314" s="32">
        <v>100</v>
      </c>
      <c r="Y314" s="25"/>
      <c r="Z314" s="32" t="s">
        <v>176</v>
      </c>
      <c r="AA314" s="32" t="str">
        <f t="shared" si="146"/>
        <v>梦灵技能范围大小+30%</v>
      </c>
      <c r="AB314" s="32"/>
      <c r="AC314" s="32" t="s">
        <v>166</v>
      </c>
      <c r="AD314" s="32">
        <f t="shared" si="137"/>
        <v>1309</v>
      </c>
      <c r="AE314" s="38" t="str">
        <f t="shared" si="174"/>
        <v>5504051</v>
      </c>
      <c r="AF314" s="32" t="str">
        <f t="shared" si="175"/>
        <v>[30]</v>
      </c>
      <c r="AG314" s="26">
        <v>100</v>
      </c>
      <c r="AH314" s="26"/>
      <c r="AI314" s="26">
        <v>1</v>
      </c>
      <c r="AJ314" s="25" t="s">
        <v>167</v>
      </c>
      <c r="AK314" s="38">
        <f t="shared" si="176"/>
        <v>5504055</v>
      </c>
      <c r="AL314" s="41" t="str">
        <f t="shared" si="177"/>
        <v>梦灵技能范围大小&lt;color=#54b76b&gt;+%s%&lt;/color&gt;</v>
      </c>
      <c r="AM314" s="26">
        <v>30</v>
      </c>
      <c r="AN314" s="26"/>
      <c r="AO314" s="26" t="s">
        <v>32</v>
      </c>
      <c r="AP314" s="20">
        <f t="shared" si="138"/>
        <v>309</v>
      </c>
    </row>
    <row r="315" s="20" customFormat="1" customHeight="1" spans="1:42">
      <c r="A315" s="38">
        <v>5504056</v>
      </c>
      <c r="B315" s="38" t="str">
        <f t="shared" si="171"/>
        <v>5504051</v>
      </c>
      <c r="C315" s="32">
        <f t="shared" si="172"/>
        <v>6</v>
      </c>
      <c r="D315" s="32"/>
      <c r="E315" s="26" t="s">
        <v>375</v>
      </c>
      <c r="F315" s="26" t="str">
        <f t="shared" si="134"/>
        <v/>
      </c>
      <c r="G315" s="26" t="str">
        <f>IFERROR(IF(--MID($E315,2*COUNTIF($F315:F315,"&gt;"&amp;0)+2,1)=G$1,G$1,""),"")</f>
        <v/>
      </c>
      <c r="H315" s="26" t="str">
        <f>IFERROR(IF(--MID($E315,2*COUNTIF($F315:G315,"&gt;"&amp;0)+2,1)=H$1,H$1,""),"")</f>
        <v/>
      </c>
      <c r="I315" s="26">
        <f>IFERROR(IF(--MID($E315,2*COUNTIF($F315:H315,"&gt;"&amp;0)+2,1)=I$1,I$1,""),"")</f>
        <v>4</v>
      </c>
      <c r="J315" s="26" t="str">
        <f>IFERROR(IF(--MID($E315,2*COUNTIF($F315:I315,"&gt;"&amp;0)+2,1)=J$1,J$1,""),"")</f>
        <v/>
      </c>
      <c r="K315" s="26" t="str">
        <f>IFERROR(IF(--MID($E315,2*COUNTIF($F315:J315,"&gt;"&amp;0)+2,1)=K$1,K$1,""),"")</f>
        <v/>
      </c>
      <c r="L315" s="39" t="str" cm="1">
        <f t="array" ref="L315">IFERROR(IF($A315="","",IF(F315="","",_xlfn.XLOOKUP($C315&amp;"_"&amp;$AG315,符文权重!$A:$A&amp;"_"&amp;符文权重!$C:$C,符文权重!$D:$D)*$X315/SUMIFS($X:$X,F:F,F315,$C:$C,$C315,$AG:$AG,$AG315)/SUMIF(符文权重!$A:$A,$C315,符文权重!$D:$D))),"")</f>
        <v/>
      </c>
      <c r="M315" s="39" t="str" cm="1">
        <f t="array" ref="M315">IFERROR(IF($A315="","",IF(G315="","",_xlfn.XLOOKUP($C315&amp;"_"&amp;$AG315,符文权重!$A:$A&amp;"_"&amp;符文权重!$C:$C,符文权重!$D:$D)*$X315/SUMIFS($X:$X,G:G,G315,$C:$C,$C315,$AG:$AG,$AG315)/SUMIF(符文权重!$A:$A,$C315,符文权重!$D:$D))),"")</f>
        <v/>
      </c>
      <c r="N315" s="39" t="str" cm="1">
        <f t="array" ref="N315">IFERROR(IF($A315="","",IF(H315="","",_xlfn.XLOOKUP($C315&amp;"_"&amp;$AG315,符文权重!$A:$A&amp;"_"&amp;符文权重!$C:$C,符文权重!$D:$D)*$X315/SUMIFS($X:$X,H:H,H315,$C:$C,$C315,$AG:$AG,$AG315)/SUMIF(符文权重!$A:$A,$C315,符文权重!$D:$D))),"")</f>
        <v/>
      </c>
      <c r="O315" s="39" t="str" cm="1">
        <f t="array" ref="O315">IFERROR(IF($A315="","",IF(I315="","",_xlfn.XLOOKUP($C315&amp;"_"&amp;$AG315,符文权重!$A:$A&amp;"_"&amp;符文权重!$C:$C,符文权重!$D:$D)*$X315/SUMIFS($X:$X,I:I,I315,$C:$C,$C315,$AG:$AG,$AG315)/SUMIF(符文权重!$A:$A,$C315,符文权重!$D:$D))),"")</f>
        <v/>
      </c>
      <c r="P315" s="39" t="str" cm="1">
        <f t="array" ref="P315">IFERROR(IF($A315="","",IF(J315="","",_xlfn.XLOOKUP($C315&amp;"_"&amp;$AG315,符文权重!$A:$A&amp;"_"&amp;符文权重!$C:$C,符文权重!$D:$D)*$X315/SUMIFS($X:$X,J:J,J315,$C:$C,$C315,$AG:$AG,$AG315)/SUMIF(符文权重!$A:$A,$C315,符文权重!$D:$D))),"")</f>
        <v/>
      </c>
      <c r="Q315" s="39" t="str" cm="1">
        <f t="array" ref="Q315">IFERROR(IF($A315="","",IF(K315="","",_xlfn.XLOOKUP($C315&amp;"_"&amp;$AG315,符文权重!$A:$A&amp;"_"&amp;符文权重!$C:$C,符文权重!$D:$D)*$X315/SUMIFS($X:$X,K:K,K315,$C:$C,$C315,$AG:$AG,$AG315)/SUMIF(符文权重!$A:$A,$C315,符文权重!$D:$D))),"")</f>
        <v/>
      </c>
      <c r="R315" s="26" t="s">
        <v>330</v>
      </c>
      <c r="S315" s="26"/>
      <c r="T315" s="26" t="e">
        <f>IF(B315="","",SUBSTITUTE(SUBSTITUTE("[{global_atk,"&amp;#REF!*C315&amp;"}]",21,20),9,8))</f>
        <v>#REF!</v>
      </c>
      <c r="U315" s="40" t="str">
        <f t="shared" si="173"/>
        <v>[5504056]</v>
      </c>
      <c r="V315" s="26"/>
      <c r="W315" s="25"/>
      <c r="X315" s="32">
        <v>100</v>
      </c>
      <c r="Y315" s="25"/>
      <c r="Z315" s="32" t="s">
        <v>178</v>
      </c>
      <c r="AA315" s="32" t="str">
        <f t="shared" si="146"/>
        <v>梦灵技能范围大小+35%</v>
      </c>
      <c r="AB315" s="32"/>
      <c r="AC315" s="32" t="s">
        <v>166</v>
      </c>
      <c r="AD315" s="32">
        <f t="shared" si="137"/>
        <v>1310</v>
      </c>
      <c r="AE315" s="38" t="str">
        <f t="shared" si="174"/>
        <v>5504051</v>
      </c>
      <c r="AF315" s="32" t="str">
        <f t="shared" si="175"/>
        <v>[35]</v>
      </c>
      <c r="AG315" s="26">
        <v>100</v>
      </c>
      <c r="AH315" s="26"/>
      <c r="AI315" s="26">
        <v>1</v>
      </c>
      <c r="AJ315" s="25" t="s">
        <v>167</v>
      </c>
      <c r="AK315" s="38">
        <f t="shared" si="176"/>
        <v>5504056</v>
      </c>
      <c r="AL315" s="41" t="str">
        <f t="shared" si="177"/>
        <v>梦灵技能范围大小&lt;color=#54b76b&gt;+%s%&lt;/color&gt;</v>
      </c>
      <c r="AM315" s="26">
        <v>35</v>
      </c>
      <c r="AN315" s="26"/>
      <c r="AO315" s="26" t="s">
        <v>32</v>
      </c>
      <c r="AP315" s="20">
        <f t="shared" si="138"/>
        <v>310</v>
      </c>
    </row>
    <row r="316" s="20" customFormat="1" customHeight="1" spans="1:42">
      <c r="A316" s="38">
        <v>5504057</v>
      </c>
      <c r="B316" s="38" t="str">
        <f t="shared" si="171"/>
        <v>5504051</v>
      </c>
      <c r="C316" s="32">
        <f t="shared" si="172"/>
        <v>7</v>
      </c>
      <c r="D316" s="32"/>
      <c r="E316" s="26" t="s">
        <v>375</v>
      </c>
      <c r="F316" s="26" t="str">
        <f t="shared" si="134"/>
        <v/>
      </c>
      <c r="G316" s="26" t="str">
        <f>IFERROR(IF(--MID($E316,2*COUNTIF($F316:F316,"&gt;"&amp;0)+2,1)=G$1,G$1,""),"")</f>
        <v/>
      </c>
      <c r="H316" s="26" t="str">
        <f>IFERROR(IF(--MID($E316,2*COUNTIF($F316:G316,"&gt;"&amp;0)+2,1)=H$1,H$1,""),"")</f>
        <v/>
      </c>
      <c r="I316" s="26">
        <f>IFERROR(IF(--MID($E316,2*COUNTIF($F316:H316,"&gt;"&amp;0)+2,1)=I$1,I$1,""),"")</f>
        <v>4</v>
      </c>
      <c r="J316" s="26" t="str">
        <f>IFERROR(IF(--MID($E316,2*COUNTIF($F316:I316,"&gt;"&amp;0)+2,1)=J$1,J$1,""),"")</f>
        <v/>
      </c>
      <c r="K316" s="26" t="str">
        <f>IFERROR(IF(--MID($E316,2*COUNTIF($F316:J316,"&gt;"&amp;0)+2,1)=K$1,K$1,""),"")</f>
        <v/>
      </c>
      <c r="L316" s="39" t="str" cm="1">
        <f t="array" ref="L316">IFERROR(IF($A316="","",IF(F316="","",_xlfn.XLOOKUP($C316&amp;"_"&amp;$AG316,符文权重!$A:$A&amp;"_"&amp;符文权重!$C:$C,符文权重!$D:$D)*$X316/SUMIFS($X:$X,F:F,F316,$C:$C,$C316,$AG:$AG,$AG316)/SUMIF(符文权重!$A:$A,$C316,符文权重!$D:$D))),"")</f>
        <v/>
      </c>
      <c r="M316" s="39" t="str" cm="1">
        <f t="array" ref="M316">IFERROR(IF($A316="","",IF(G316="","",_xlfn.XLOOKUP($C316&amp;"_"&amp;$AG316,符文权重!$A:$A&amp;"_"&amp;符文权重!$C:$C,符文权重!$D:$D)*$X316/SUMIFS($X:$X,G:G,G316,$C:$C,$C316,$AG:$AG,$AG316)/SUMIF(符文权重!$A:$A,$C316,符文权重!$D:$D))),"")</f>
        <v/>
      </c>
      <c r="N316" s="39" t="str" cm="1">
        <f t="array" ref="N316">IFERROR(IF($A316="","",IF(H316="","",_xlfn.XLOOKUP($C316&amp;"_"&amp;$AG316,符文权重!$A:$A&amp;"_"&amp;符文权重!$C:$C,符文权重!$D:$D)*$X316/SUMIFS($X:$X,H:H,H316,$C:$C,$C316,$AG:$AG,$AG316)/SUMIF(符文权重!$A:$A,$C316,符文权重!$D:$D))),"")</f>
        <v/>
      </c>
      <c r="O316" s="39" t="str" cm="1">
        <f t="array" ref="O316">IFERROR(IF($A316="","",IF(I316="","",_xlfn.XLOOKUP($C316&amp;"_"&amp;$AG316,符文权重!$A:$A&amp;"_"&amp;符文权重!$C:$C,符文权重!$D:$D)*$X316/SUMIFS($X:$X,I:I,I316,$C:$C,$C316,$AG:$AG,$AG316)/SUMIF(符文权重!$A:$A,$C316,符文权重!$D:$D))),"")</f>
        <v/>
      </c>
      <c r="P316" s="39" t="str" cm="1">
        <f t="array" ref="P316">IFERROR(IF($A316="","",IF(J316="","",_xlfn.XLOOKUP($C316&amp;"_"&amp;$AG316,符文权重!$A:$A&amp;"_"&amp;符文权重!$C:$C,符文权重!$D:$D)*$X316/SUMIFS($X:$X,J:J,J316,$C:$C,$C316,$AG:$AG,$AG316)/SUMIF(符文权重!$A:$A,$C316,符文权重!$D:$D))),"")</f>
        <v/>
      </c>
      <c r="Q316" s="39" t="str" cm="1">
        <f t="array" ref="Q316">IFERROR(IF($A316="","",IF(K316="","",_xlfn.XLOOKUP($C316&amp;"_"&amp;$AG316,符文权重!$A:$A&amp;"_"&amp;符文权重!$C:$C,符文权重!$D:$D)*$X316/SUMIFS($X:$X,K:K,K316,$C:$C,$C316,$AG:$AG,$AG316)/SUMIF(符文权重!$A:$A,$C316,符文权重!$D:$D))),"")</f>
        <v/>
      </c>
      <c r="R316" s="26" t="s">
        <v>330</v>
      </c>
      <c r="S316" s="26"/>
      <c r="T316" s="26" t="e">
        <f>IF(B316="","",SUBSTITUTE(SUBSTITUTE("[{global_atk,"&amp;#REF!*C316&amp;"}]",21,20),9,8))</f>
        <v>#REF!</v>
      </c>
      <c r="U316" s="40" t="str">
        <f t="shared" si="173"/>
        <v>[5504057]</v>
      </c>
      <c r="V316" s="53"/>
      <c r="W316" s="25"/>
      <c r="X316" s="32">
        <v>100</v>
      </c>
      <c r="Y316" s="25"/>
      <c r="Z316" s="32" t="s">
        <v>180</v>
      </c>
      <c r="AA316" s="32" t="str">
        <f t="shared" si="146"/>
        <v>梦灵技能范围大小+40%</v>
      </c>
      <c r="AB316" s="32"/>
      <c r="AC316" s="32" t="s">
        <v>166</v>
      </c>
      <c r="AD316" s="32">
        <f t="shared" si="137"/>
        <v>1311</v>
      </c>
      <c r="AE316" s="38" t="str">
        <f t="shared" si="174"/>
        <v>5504051</v>
      </c>
      <c r="AF316" s="32" t="str">
        <f t="shared" si="175"/>
        <v>[40]</v>
      </c>
      <c r="AG316" s="26">
        <v>100</v>
      </c>
      <c r="AH316" s="26"/>
      <c r="AI316" s="26">
        <v>1</v>
      </c>
      <c r="AJ316" s="25" t="s">
        <v>167</v>
      </c>
      <c r="AK316" s="38">
        <f t="shared" si="176"/>
        <v>5504057</v>
      </c>
      <c r="AL316" s="41" t="str">
        <f t="shared" si="177"/>
        <v>梦灵技能范围大小&lt;color=#54b76b&gt;+%s%&lt;/color&gt;</v>
      </c>
      <c r="AM316" s="26">
        <v>40</v>
      </c>
      <c r="AN316" s="26"/>
      <c r="AO316" s="26" t="s">
        <v>32</v>
      </c>
      <c r="AP316" s="20">
        <f t="shared" si="138"/>
        <v>311</v>
      </c>
    </row>
    <row r="317" s="20" customFormat="1" customHeight="1" spans="1:42">
      <c r="A317" s="38"/>
      <c r="B317" s="38"/>
      <c r="C317" s="32"/>
      <c r="D317" s="32"/>
      <c r="E317" s="26"/>
      <c r="F317" s="26" t="str">
        <f t="shared" si="134"/>
        <v/>
      </c>
      <c r="G317" s="26" t="str">
        <f>IFERROR(IF(--MID($E317,2*COUNTIF($F317:F317,"&gt;"&amp;0)+2,1)=G$1,G$1,""),"")</f>
        <v/>
      </c>
      <c r="H317" s="26" t="str">
        <f>IFERROR(IF(--MID($E317,2*COUNTIF($F317:G317,"&gt;"&amp;0)+2,1)=H$1,H$1,""),"")</f>
        <v/>
      </c>
      <c r="I317" s="26" t="str">
        <f>IFERROR(IF(--MID($E317,2*COUNTIF($F317:H317,"&gt;"&amp;0)+2,1)=I$1,I$1,""),"")</f>
        <v/>
      </c>
      <c r="J317" s="26" t="str">
        <f>IFERROR(IF(--MID($E317,2*COUNTIF($F317:I317,"&gt;"&amp;0)+2,1)=J$1,J$1,""),"")</f>
        <v/>
      </c>
      <c r="K317" s="26" t="str">
        <f>IFERROR(IF(--MID($E317,2*COUNTIF($F317:J317,"&gt;"&amp;0)+2,1)=K$1,K$1,""),"")</f>
        <v/>
      </c>
      <c r="L317" s="39" t="str" cm="1">
        <f t="array" ref="L317">IFERROR(IF($A317="","",IF(F317="","",_xlfn.XLOOKUP($C317&amp;"_"&amp;$AG317,符文权重!$A:$A&amp;"_"&amp;符文权重!$C:$C,符文权重!$D:$D)*$X317/SUMIFS($X:$X,F:F,F317,$C:$C,$C317,$AG:$AG,$AG317)/SUMIF(符文权重!$A:$A,$C317,符文权重!$D:$D))),"")</f>
        <v/>
      </c>
      <c r="M317" s="39" t="str" cm="1">
        <f t="array" ref="M317">IFERROR(IF($A317="","",IF(G317="","",_xlfn.XLOOKUP($C317&amp;"_"&amp;$AG317,符文权重!$A:$A&amp;"_"&amp;符文权重!$C:$C,符文权重!$D:$D)*$X317/SUMIFS($X:$X,G:G,G317,$C:$C,$C317,$AG:$AG,$AG317)/SUMIF(符文权重!$A:$A,$C317,符文权重!$D:$D))),"")</f>
        <v/>
      </c>
      <c r="N317" s="39" t="str" cm="1">
        <f t="array" ref="N317">IFERROR(IF($A317="","",IF(H317="","",_xlfn.XLOOKUP($C317&amp;"_"&amp;$AG317,符文权重!$A:$A&amp;"_"&amp;符文权重!$C:$C,符文权重!$D:$D)*$X317/SUMIFS($X:$X,H:H,H317,$C:$C,$C317,$AG:$AG,$AG317)/SUMIF(符文权重!$A:$A,$C317,符文权重!$D:$D))),"")</f>
        <v/>
      </c>
      <c r="O317" s="39" t="str" cm="1">
        <f t="array" ref="O317">IFERROR(IF($A317="","",IF(I317="","",_xlfn.XLOOKUP($C317&amp;"_"&amp;$AG317,符文权重!$A:$A&amp;"_"&amp;符文权重!$C:$C,符文权重!$D:$D)*$X317/SUMIFS($X:$X,I:I,I317,$C:$C,$C317,$AG:$AG,$AG317)/SUMIF(符文权重!$A:$A,$C317,符文权重!$D:$D))),"")</f>
        <v/>
      </c>
      <c r="P317" s="39" t="str" cm="1">
        <f t="array" ref="P317">IFERROR(IF($A317="","",IF(J317="","",_xlfn.XLOOKUP($C317&amp;"_"&amp;$AG317,符文权重!$A:$A&amp;"_"&amp;符文权重!$C:$C,符文权重!$D:$D)*$X317/SUMIFS($X:$X,J:J,J317,$C:$C,$C317,$AG:$AG,$AG317)/SUMIF(符文权重!$A:$A,$C317,符文权重!$D:$D))),"")</f>
        <v/>
      </c>
      <c r="Q317" s="39" t="str" cm="1">
        <f t="array" ref="Q317">IFERROR(IF($A317="","",IF(K317="","",_xlfn.XLOOKUP($C317&amp;"_"&amp;$AG317,符文权重!$A:$A&amp;"_"&amp;符文权重!$C:$C,符文权重!$D:$D)*$X317/SUMIFS($X:$X,K:K,K317,$C:$C,$C317,$AG:$AG,$AG317)/SUMIF(符文权重!$A:$A,$C317,符文权重!$D:$D))),"")</f>
        <v/>
      </c>
      <c r="R317" s="26"/>
      <c r="S317" s="26"/>
      <c r="T317" s="26"/>
      <c r="U317" s="40"/>
      <c r="V317" s="53"/>
      <c r="W317" s="25"/>
      <c r="X317" s="32"/>
      <c r="Y317" s="25"/>
      <c r="Z317" s="32"/>
      <c r="AA317" s="32" t="str">
        <f t="shared" si="146"/>
        <v/>
      </c>
      <c r="AB317" s="32"/>
      <c r="AC317" s="32" t="s">
        <v>166</v>
      </c>
      <c r="AD317" s="32">
        <f t="shared" si="137"/>
        <v>1312</v>
      </c>
      <c r="AE317" s="38"/>
      <c r="AF317" s="32"/>
      <c r="AG317" s="26"/>
      <c r="AH317" s="26"/>
      <c r="AI317" s="26"/>
      <c r="AJ317" s="25" t="s">
        <v>167</v>
      </c>
      <c r="AK317" s="38"/>
      <c r="AL317" s="41"/>
      <c r="AM317" s="26"/>
      <c r="AN317" s="26"/>
      <c r="AO317" s="26"/>
      <c r="AP317" s="20">
        <f t="shared" si="138"/>
        <v>312</v>
      </c>
    </row>
    <row r="318" s="22" customFormat="1" customHeight="1" spans="1:42">
      <c r="A318" s="44">
        <v>5504061</v>
      </c>
      <c r="B318" s="44" t="str">
        <f t="shared" ref="B318:B324" si="178">IF(ISBLANK(AK318),"",LEFT(AK318,6)&amp;1)</f>
        <v>5504061</v>
      </c>
      <c r="C318" s="45">
        <f t="shared" ref="C318:C324" si="179">IF(ISBLANK(AK318),"",VALUE(RIGHT(A318,1)))</f>
        <v>1</v>
      </c>
      <c r="D318" s="45"/>
      <c r="E318" s="46" t="s">
        <v>337</v>
      </c>
      <c r="F318" s="26">
        <f t="shared" si="134"/>
        <v>1</v>
      </c>
      <c r="G318" s="26" t="str">
        <f>IFERROR(IF(--MID($E318,2*COUNTIF($F318:F318,"&gt;"&amp;0)+2,1)=G$1,G$1,""),"")</f>
        <v/>
      </c>
      <c r="H318" s="26" t="str">
        <f>IFERROR(IF(--MID($E318,2*COUNTIF($F318:G318,"&gt;"&amp;0)+2,1)=H$1,H$1,""),"")</f>
        <v/>
      </c>
      <c r="I318" s="26" t="str">
        <f>IFERROR(IF(--MID($E318,2*COUNTIF($F318:H318,"&gt;"&amp;0)+2,1)=I$1,I$1,""),"")</f>
        <v/>
      </c>
      <c r="J318" s="26" t="str">
        <f>IFERROR(IF(--MID($E318,2*COUNTIF($F318:I318,"&gt;"&amp;0)+2,1)=J$1,J$1,""),"")</f>
        <v/>
      </c>
      <c r="K318" s="26">
        <f>IFERROR(IF(--MID($E318,2*COUNTIF($F318:J318,"&gt;"&amp;0)+2,1)=K$1,K$1,""),"")</f>
        <v>6</v>
      </c>
      <c r="L318" s="39" t="str" cm="1">
        <f t="array" ref="L318">IFERROR(IF($A318="","",IF(F318="","",_xlfn.XLOOKUP($C318&amp;"_"&amp;$AG318,符文权重!$A:$A&amp;"_"&amp;符文权重!$C:$C,符文权重!$D:$D)*$X318/SUMIFS($X:$X,F:F,F318,$C:$C,$C318,$AG:$AG,$AG318)/SUMIF(符文权重!$A:$A,$C318,符文权重!$D:$D))),"")</f>
        <v/>
      </c>
      <c r="M318" s="39" t="str" cm="1">
        <f t="array" ref="M318">IFERROR(IF($A318="","",IF(G318="","",_xlfn.XLOOKUP($C318&amp;"_"&amp;$AG318,符文权重!$A:$A&amp;"_"&amp;符文权重!$C:$C,符文权重!$D:$D)*$X318/SUMIFS($X:$X,G:G,G318,$C:$C,$C318,$AG:$AG,$AG318)/SUMIF(符文权重!$A:$A,$C318,符文权重!$D:$D))),"")</f>
        <v/>
      </c>
      <c r="N318" s="39" t="str" cm="1">
        <f t="array" ref="N318">IFERROR(IF($A318="","",IF(H318="","",_xlfn.XLOOKUP($C318&amp;"_"&amp;$AG318,符文权重!$A:$A&amp;"_"&amp;符文权重!$C:$C,符文权重!$D:$D)*$X318/SUMIFS($X:$X,H:H,H318,$C:$C,$C318,$AG:$AG,$AG318)/SUMIF(符文权重!$A:$A,$C318,符文权重!$D:$D))),"")</f>
        <v/>
      </c>
      <c r="O318" s="39" t="str" cm="1">
        <f t="array" ref="O318">IFERROR(IF($A318="","",IF(I318="","",_xlfn.XLOOKUP($C318&amp;"_"&amp;$AG318,符文权重!$A:$A&amp;"_"&amp;符文权重!$C:$C,符文权重!$D:$D)*$X318/SUMIFS($X:$X,I:I,I318,$C:$C,$C318,$AG:$AG,$AG318)/SUMIF(符文权重!$A:$A,$C318,符文权重!$D:$D))),"")</f>
        <v/>
      </c>
      <c r="P318" s="39" t="str" cm="1">
        <f t="array" ref="P318">IFERROR(IF($A318="","",IF(J318="","",_xlfn.XLOOKUP($C318&amp;"_"&amp;$AG318,符文权重!$A:$A&amp;"_"&amp;符文权重!$C:$C,符文权重!$D:$D)*$X318/SUMIFS($X:$X,J:J,J318,$C:$C,$C318,$AG:$AG,$AG318)/SUMIF(符文权重!$A:$A,$C318,符文权重!$D:$D))),"")</f>
        <v/>
      </c>
      <c r="Q318" s="39" t="str" cm="1">
        <f t="array" ref="Q318">IFERROR(IF($A318="","",IF(K318="","",_xlfn.XLOOKUP($C318&amp;"_"&amp;$AG318,符文权重!$A:$A&amp;"_"&amp;符文权重!$C:$C,符文权重!$D:$D)*$X318/SUMIFS($X:$X,K:K,K318,$C:$C,$C318,$AG:$AG,$AG318)/SUMIF(符文权重!$A:$A,$C318,符文权重!$D:$D))),"")</f>
        <v/>
      </c>
      <c r="R318" s="46" t="s">
        <v>330</v>
      </c>
      <c r="S318" s="46"/>
      <c r="T318" s="46" t="e">
        <f>IF(B318="","",SUBSTITUTE(SUBSTITUTE("[{global_atk,"&amp;#REF!*C318&amp;"}]",21,20),9,8))</f>
        <v>#REF!</v>
      </c>
      <c r="U318" s="47" t="str">
        <f t="shared" ref="U318:U324" si="180">"["&amp;A318&amp;"]"</f>
        <v>[5504061]</v>
      </c>
      <c r="V318" s="46"/>
      <c r="W318" s="23"/>
      <c r="X318" s="32">
        <v>100</v>
      </c>
      <c r="Y318" s="23"/>
      <c r="Z318" s="45" t="s">
        <v>165</v>
      </c>
      <c r="AA318" s="32" t="str">
        <f t="shared" si="146"/>
        <v>梦灵对近距离敌人的伤害+5%</v>
      </c>
      <c r="AB318" s="32"/>
      <c r="AC318" s="32" t="s">
        <v>166</v>
      </c>
      <c r="AD318" s="32">
        <f t="shared" si="137"/>
        <v>1313</v>
      </c>
      <c r="AE318" s="44" t="str">
        <f t="shared" ref="AE318:AE324" si="181">IF(ISBLANK(AK318),"",B318)</f>
        <v>5504061</v>
      </c>
      <c r="AF318" s="45" t="str">
        <f t="shared" ref="AF318:AF324" si="182">IF(ISBLANK(AM318),"","["&amp;AM318&amp;"]")</f>
        <v>[5]</v>
      </c>
      <c r="AG318" s="26">
        <v>100</v>
      </c>
      <c r="AH318" s="46"/>
      <c r="AI318" s="46">
        <v>1</v>
      </c>
      <c r="AJ318" s="25" t="s">
        <v>167</v>
      </c>
      <c r="AK318" s="48">
        <v>5504061</v>
      </c>
      <c r="AL318" s="49" t="s">
        <v>377</v>
      </c>
      <c r="AM318" s="46">
        <v>5</v>
      </c>
      <c r="AN318" s="26"/>
      <c r="AO318" s="26" t="s">
        <v>32</v>
      </c>
      <c r="AP318" s="20">
        <f t="shared" si="138"/>
        <v>313</v>
      </c>
    </row>
    <row r="319" s="22" customFormat="1" customHeight="1" spans="1:42">
      <c r="A319" s="44">
        <v>5504062</v>
      </c>
      <c r="B319" s="44" t="str">
        <f t="shared" si="178"/>
        <v>5504061</v>
      </c>
      <c r="C319" s="45">
        <f t="shared" si="179"/>
        <v>2</v>
      </c>
      <c r="D319" s="45"/>
      <c r="E319" s="46" t="s">
        <v>337</v>
      </c>
      <c r="F319" s="26">
        <f t="shared" si="134"/>
        <v>1</v>
      </c>
      <c r="G319" s="26" t="str">
        <f>IFERROR(IF(--MID($E319,2*COUNTIF($F319:F319,"&gt;"&amp;0)+2,1)=G$1,G$1,""),"")</f>
        <v/>
      </c>
      <c r="H319" s="26" t="str">
        <f>IFERROR(IF(--MID($E319,2*COUNTIF($F319:G319,"&gt;"&amp;0)+2,1)=H$1,H$1,""),"")</f>
        <v/>
      </c>
      <c r="I319" s="26" t="str">
        <f>IFERROR(IF(--MID($E319,2*COUNTIF($F319:H319,"&gt;"&amp;0)+2,1)=I$1,I$1,""),"")</f>
        <v/>
      </c>
      <c r="J319" s="26" t="str">
        <f>IFERROR(IF(--MID($E319,2*COUNTIF($F319:I319,"&gt;"&amp;0)+2,1)=J$1,J$1,""),"")</f>
        <v/>
      </c>
      <c r="K319" s="26">
        <f>IFERROR(IF(--MID($E319,2*COUNTIF($F319:J319,"&gt;"&amp;0)+2,1)=K$1,K$1,""),"")</f>
        <v>6</v>
      </c>
      <c r="L319" s="39" t="str" cm="1">
        <f t="array" ref="L319">IFERROR(IF($A319="","",IF(F319="","",_xlfn.XLOOKUP($C319&amp;"_"&amp;$AG319,符文权重!$A:$A&amp;"_"&amp;符文权重!$C:$C,符文权重!$D:$D)*$X319/SUMIFS($X:$X,F:F,F319,$C:$C,$C319,$AG:$AG,$AG319)/SUMIF(符文权重!$A:$A,$C319,符文权重!$D:$D))),"")</f>
        <v/>
      </c>
      <c r="M319" s="39" t="str" cm="1">
        <f t="array" ref="M319">IFERROR(IF($A319="","",IF(G319="","",_xlfn.XLOOKUP($C319&amp;"_"&amp;$AG319,符文权重!$A:$A&amp;"_"&amp;符文权重!$C:$C,符文权重!$D:$D)*$X319/SUMIFS($X:$X,G:G,G319,$C:$C,$C319,$AG:$AG,$AG319)/SUMIF(符文权重!$A:$A,$C319,符文权重!$D:$D))),"")</f>
        <v/>
      </c>
      <c r="N319" s="39" t="str" cm="1">
        <f t="array" ref="N319">IFERROR(IF($A319="","",IF(H319="","",_xlfn.XLOOKUP($C319&amp;"_"&amp;$AG319,符文权重!$A:$A&amp;"_"&amp;符文权重!$C:$C,符文权重!$D:$D)*$X319/SUMIFS($X:$X,H:H,H319,$C:$C,$C319,$AG:$AG,$AG319)/SUMIF(符文权重!$A:$A,$C319,符文权重!$D:$D))),"")</f>
        <v/>
      </c>
      <c r="O319" s="39" t="str" cm="1">
        <f t="array" ref="O319">IFERROR(IF($A319="","",IF(I319="","",_xlfn.XLOOKUP($C319&amp;"_"&amp;$AG319,符文权重!$A:$A&amp;"_"&amp;符文权重!$C:$C,符文权重!$D:$D)*$X319/SUMIFS($X:$X,I:I,I319,$C:$C,$C319,$AG:$AG,$AG319)/SUMIF(符文权重!$A:$A,$C319,符文权重!$D:$D))),"")</f>
        <v/>
      </c>
      <c r="P319" s="39" t="str" cm="1">
        <f t="array" ref="P319">IFERROR(IF($A319="","",IF(J319="","",_xlfn.XLOOKUP($C319&amp;"_"&amp;$AG319,符文权重!$A:$A&amp;"_"&amp;符文权重!$C:$C,符文权重!$D:$D)*$X319/SUMIFS($X:$X,J:J,J319,$C:$C,$C319,$AG:$AG,$AG319)/SUMIF(符文权重!$A:$A,$C319,符文权重!$D:$D))),"")</f>
        <v/>
      </c>
      <c r="Q319" s="39" t="str" cm="1">
        <f t="array" ref="Q319">IFERROR(IF($A319="","",IF(K319="","",_xlfn.XLOOKUP($C319&amp;"_"&amp;$AG319,符文权重!$A:$A&amp;"_"&amp;符文权重!$C:$C,符文权重!$D:$D)*$X319/SUMIFS($X:$X,K:K,K319,$C:$C,$C319,$AG:$AG,$AG319)/SUMIF(符文权重!$A:$A,$C319,符文权重!$D:$D))),"")</f>
        <v/>
      </c>
      <c r="R319" s="46" t="s">
        <v>330</v>
      </c>
      <c r="S319" s="46"/>
      <c r="T319" s="46" t="e">
        <f>IF(B319="","",SUBSTITUTE(SUBSTITUTE("[{global_atk,"&amp;#REF!*C319&amp;"}]",21,20),9,8))</f>
        <v>#REF!</v>
      </c>
      <c r="U319" s="47" t="str">
        <f t="shared" si="180"/>
        <v>[5504062]</v>
      </c>
      <c r="V319" s="46"/>
      <c r="W319" s="23"/>
      <c r="X319" s="32">
        <v>100</v>
      </c>
      <c r="Y319" s="23"/>
      <c r="Z319" s="45" t="s">
        <v>170</v>
      </c>
      <c r="AA319" s="32" t="str">
        <f t="shared" si="146"/>
        <v>梦灵对近距离敌人的伤害+10%</v>
      </c>
      <c r="AB319" s="32"/>
      <c r="AC319" s="32" t="s">
        <v>166</v>
      </c>
      <c r="AD319" s="32">
        <f t="shared" si="137"/>
        <v>1314</v>
      </c>
      <c r="AE319" s="44" t="str">
        <f t="shared" si="181"/>
        <v>5504061</v>
      </c>
      <c r="AF319" s="45" t="str">
        <f t="shared" si="182"/>
        <v>[10]</v>
      </c>
      <c r="AG319" s="26">
        <v>100</v>
      </c>
      <c r="AH319" s="46"/>
      <c r="AI319" s="46">
        <v>1</v>
      </c>
      <c r="AJ319" s="25" t="s">
        <v>167</v>
      </c>
      <c r="AK319" s="44">
        <f t="shared" ref="AK319:AK324" si="183">AK318+1</f>
        <v>5504062</v>
      </c>
      <c r="AL319" s="50" t="str">
        <f t="shared" ref="AL319:AL324" si="184">AL318</f>
        <v>梦灵对近距离敌人的伤害&lt;color=#54b76b&gt;+%s%&lt;/color&gt;</v>
      </c>
      <c r="AM319" s="46">
        <v>10</v>
      </c>
      <c r="AN319" s="26"/>
      <c r="AO319" s="26" t="s">
        <v>32</v>
      </c>
      <c r="AP319" s="20">
        <f t="shared" si="138"/>
        <v>314</v>
      </c>
    </row>
    <row r="320" s="20" customFormat="1" customHeight="1" spans="1:42">
      <c r="A320" s="38">
        <v>5504063</v>
      </c>
      <c r="B320" s="38" t="str">
        <f t="shared" si="178"/>
        <v>5504061</v>
      </c>
      <c r="C320" s="32">
        <f t="shared" si="179"/>
        <v>3</v>
      </c>
      <c r="D320" s="32"/>
      <c r="E320" s="26" t="s">
        <v>337</v>
      </c>
      <c r="F320" s="26">
        <f t="shared" si="134"/>
        <v>1</v>
      </c>
      <c r="G320" s="26" t="str">
        <f>IFERROR(IF(--MID($E320,2*COUNTIF($F320:F320,"&gt;"&amp;0)+2,1)=G$1,G$1,""),"")</f>
        <v/>
      </c>
      <c r="H320" s="26" t="str">
        <f>IFERROR(IF(--MID($E320,2*COUNTIF($F320:G320,"&gt;"&amp;0)+2,1)=H$1,H$1,""),"")</f>
        <v/>
      </c>
      <c r="I320" s="26" t="str">
        <f>IFERROR(IF(--MID($E320,2*COUNTIF($F320:H320,"&gt;"&amp;0)+2,1)=I$1,I$1,""),"")</f>
        <v/>
      </c>
      <c r="J320" s="26" t="str">
        <f>IFERROR(IF(--MID($E320,2*COUNTIF($F320:I320,"&gt;"&amp;0)+2,1)=J$1,J$1,""),"")</f>
        <v/>
      </c>
      <c r="K320" s="26">
        <f>IFERROR(IF(--MID($E320,2*COUNTIF($F320:J320,"&gt;"&amp;0)+2,1)=K$1,K$1,""),"")</f>
        <v>6</v>
      </c>
      <c r="L320" s="39" cm="1">
        <f t="array" ref="L320">IFERROR(IF($A320="","",IF(F320="","",_xlfn.XLOOKUP($C320&amp;"_"&amp;$AG320,符文权重!$A:$A&amp;"_"&amp;符文权重!$C:$C,符文权重!$D:$D)*$X320/SUMIFS($X:$X,F:F,F320,$C:$C,$C320,$AG:$AG,$AG320)/SUMIF(符文权重!$A:$A,$C320,符文权重!$D:$D))),"")</f>
        <v>0.0100095785440613</v>
      </c>
      <c r="M320" s="39" t="str" cm="1">
        <f t="array" ref="M320">IFERROR(IF($A320="","",IF(G320="","",_xlfn.XLOOKUP($C320&amp;"_"&amp;$AG320,符文权重!$A:$A&amp;"_"&amp;符文权重!$C:$C,符文权重!$D:$D)*$X320/SUMIFS($X:$X,G:G,G320,$C:$C,$C320,$AG:$AG,$AG320)/SUMIF(符文权重!$A:$A,$C320,符文权重!$D:$D))),"")</f>
        <v/>
      </c>
      <c r="N320" s="39" t="str" cm="1">
        <f t="array" ref="N320">IFERROR(IF($A320="","",IF(H320="","",_xlfn.XLOOKUP($C320&amp;"_"&amp;$AG320,符文权重!$A:$A&amp;"_"&amp;符文权重!$C:$C,符文权重!$D:$D)*$X320/SUMIFS($X:$X,H:H,H320,$C:$C,$C320,$AG:$AG,$AG320)/SUMIF(符文权重!$A:$A,$C320,符文权重!$D:$D))),"")</f>
        <v/>
      </c>
      <c r="O320" s="39" t="str" cm="1">
        <f t="array" ref="O320">IFERROR(IF($A320="","",IF(I320="","",_xlfn.XLOOKUP($C320&amp;"_"&amp;$AG320,符文权重!$A:$A&amp;"_"&amp;符文权重!$C:$C,符文权重!$D:$D)*$X320/SUMIFS($X:$X,I:I,I320,$C:$C,$C320,$AG:$AG,$AG320)/SUMIF(符文权重!$A:$A,$C320,符文权重!$D:$D))),"")</f>
        <v/>
      </c>
      <c r="P320" s="39" t="str" cm="1">
        <f t="array" ref="P320">IFERROR(IF($A320="","",IF(J320="","",_xlfn.XLOOKUP($C320&amp;"_"&amp;$AG320,符文权重!$A:$A&amp;"_"&amp;符文权重!$C:$C,符文权重!$D:$D)*$X320/SUMIFS($X:$X,J:J,J320,$C:$C,$C320,$AG:$AG,$AG320)/SUMIF(符文权重!$A:$A,$C320,符文权重!$D:$D))),"")</f>
        <v/>
      </c>
      <c r="Q320" s="39" cm="1">
        <f t="array" ref="Q320">IFERROR(IF($A320="","",IF(K320="","",_xlfn.XLOOKUP($C320&amp;"_"&amp;$AG320,符文权重!$A:$A&amp;"_"&amp;符文权重!$C:$C,符文权重!$D:$D)*$X320/SUMIFS($X:$X,K:K,K320,$C:$C,$C320,$AG:$AG,$AG320)/SUMIF(符文权重!$A:$A,$C320,符文权重!$D:$D))),"")</f>
        <v>0.0100095785440613</v>
      </c>
      <c r="R320" s="26" t="s">
        <v>330</v>
      </c>
      <c r="S320" s="26"/>
      <c r="T320" s="26" t="e">
        <f>IF(B320="","",SUBSTITUTE(SUBSTITUTE("[{global_atk,"&amp;#REF!*C320&amp;"}]",21,20),9,8))</f>
        <v>#REF!</v>
      </c>
      <c r="U320" s="40" t="str">
        <f t="shared" si="180"/>
        <v>[5504063]</v>
      </c>
      <c r="V320" s="26"/>
      <c r="W320" s="25"/>
      <c r="X320" s="32">
        <v>11</v>
      </c>
      <c r="Y320" s="25"/>
      <c r="Z320" s="32" t="s">
        <v>172</v>
      </c>
      <c r="AA320" s="32" t="str">
        <f t="shared" si="146"/>
        <v>梦灵对近距离敌人的伤害+15%</v>
      </c>
      <c r="AB320" s="32"/>
      <c r="AC320" s="32" t="s">
        <v>166</v>
      </c>
      <c r="AD320" s="32">
        <f t="shared" si="137"/>
        <v>1315</v>
      </c>
      <c r="AE320" s="38" t="str">
        <f t="shared" si="181"/>
        <v>5504061</v>
      </c>
      <c r="AF320" s="32" t="str">
        <f t="shared" si="182"/>
        <v>[15]</v>
      </c>
      <c r="AG320" s="26">
        <v>2</v>
      </c>
      <c r="AH320" s="26"/>
      <c r="AI320" s="26">
        <v>0</v>
      </c>
      <c r="AJ320" s="25" t="s">
        <v>167</v>
      </c>
      <c r="AK320" s="38">
        <f t="shared" si="183"/>
        <v>5504063</v>
      </c>
      <c r="AL320" s="41" t="str">
        <f t="shared" si="184"/>
        <v>梦灵对近距离敌人的伤害&lt;color=#54b76b&gt;+%s%&lt;/color&gt;</v>
      </c>
      <c r="AM320" s="26">
        <v>15</v>
      </c>
      <c r="AN320" s="26">
        <v>3</v>
      </c>
      <c r="AO320" s="26" t="s">
        <v>32</v>
      </c>
      <c r="AP320" s="20">
        <f t="shared" si="138"/>
        <v>315</v>
      </c>
    </row>
    <row r="321" s="20" customFormat="1" customHeight="1" spans="1:42">
      <c r="A321" s="38">
        <v>5504064</v>
      </c>
      <c r="B321" s="38" t="str">
        <f t="shared" si="178"/>
        <v>5504061</v>
      </c>
      <c r="C321" s="32">
        <f t="shared" si="179"/>
        <v>4</v>
      </c>
      <c r="D321" s="32"/>
      <c r="E321" s="26" t="s">
        <v>337</v>
      </c>
      <c r="F321" s="26">
        <f t="shared" si="134"/>
        <v>1</v>
      </c>
      <c r="G321" s="26" t="str">
        <f>IFERROR(IF(--MID($E321,2*COUNTIF($F321:F321,"&gt;"&amp;0)+2,1)=G$1,G$1,""),"")</f>
        <v/>
      </c>
      <c r="H321" s="26" t="str">
        <f>IFERROR(IF(--MID($E321,2*COUNTIF($F321:G321,"&gt;"&amp;0)+2,1)=H$1,H$1,""),"")</f>
        <v/>
      </c>
      <c r="I321" s="26" t="str">
        <f>IFERROR(IF(--MID($E321,2*COUNTIF($F321:H321,"&gt;"&amp;0)+2,1)=I$1,I$1,""),"")</f>
        <v/>
      </c>
      <c r="J321" s="26" t="str">
        <f>IFERROR(IF(--MID($E321,2*COUNTIF($F321:I321,"&gt;"&amp;0)+2,1)=J$1,J$1,""),"")</f>
        <v/>
      </c>
      <c r="K321" s="26">
        <f>IFERROR(IF(--MID($E321,2*COUNTIF($F321:J321,"&gt;"&amp;0)+2,1)=K$1,K$1,""),"")</f>
        <v>6</v>
      </c>
      <c r="L321" s="39" cm="1">
        <f t="array" ref="L321">IFERROR(IF($A321="","",IF(F321="","",_xlfn.XLOOKUP($C321&amp;"_"&amp;$AG321,符文权重!$A:$A&amp;"_"&amp;符文权重!$C:$C,符文权重!$D:$D)*$X321/SUMIFS($X:$X,F:F,F321,$C:$C,$C321,$AG:$AG,$AG321)/SUMIF(符文权重!$A:$A,$C321,符文权重!$D:$D))),"")</f>
        <v>0.018969696969697</v>
      </c>
      <c r="M321" s="39" t="str" cm="1">
        <f t="array" ref="M321">IFERROR(IF($A321="","",IF(G321="","",_xlfn.XLOOKUP($C321&amp;"_"&amp;$AG321,符文权重!$A:$A&amp;"_"&amp;符文权重!$C:$C,符文权重!$D:$D)*$X321/SUMIFS($X:$X,G:G,G321,$C:$C,$C321,$AG:$AG,$AG321)/SUMIF(符文权重!$A:$A,$C321,符文权重!$D:$D))),"")</f>
        <v/>
      </c>
      <c r="N321" s="39" t="str" cm="1">
        <f t="array" ref="N321">IFERROR(IF($A321="","",IF(H321="","",_xlfn.XLOOKUP($C321&amp;"_"&amp;$AG321,符文权重!$A:$A&amp;"_"&amp;符文权重!$C:$C,符文权重!$D:$D)*$X321/SUMIFS($X:$X,H:H,H321,$C:$C,$C321,$AG:$AG,$AG321)/SUMIF(符文权重!$A:$A,$C321,符文权重!$D:$D))),"")</f>
        <v/>
      </c>
      <c r="O321" s="39" t="str" cm="1">
        <f t="array" ref="O321">IFERROR(IF($A321="","",IF(I321="","",_xlfn.XLOOKUP($C321&amp;"_"&amp;$AG321,符文权重!$A:$A&amp;"_"&amp;符文权重!$C:$C,符文权重!$D:$D)*$X321/SUMIFS($X:$X,I:I,I321,$C:$C,$C321,$AG:$AG,$AG321)/SUMIF(符文权重!$A:$A,$C321,符文权重!$D:$D))),"")</f>
        <v/>
      </c>
      <c r="P321" s="39" t="str" cm="1">
        <f t="array" ref="P321">IFERROR(IF($A321="","",IF(J321="","",_xlfn.XLOOKUP($C321&amp;"_"&amp;$AG321,符文权重!$A:$A&amp;"_"&amp;符文权重!$C:$C,符文权重!$D:$D)*$X321/SUMIFS($X:$X,J:J,J321,$C:$C,$C321,$AG:$AG,$AG321)/SUMIF(符文权重!$A:$A,$C321,符文权重!$D:$D))),"")</f>
        <v/>
      </c>
      <c r="Q321" s="39" cm="1">
        <f t="array" ref="Q321">IFERROR(IF($A321="","",IF(K321="","",_xlfn.XLOOKUP($C321&amp;"_"&amp;$AG321,符文权重!$A:$A&amp;"_"&amp;符文权重!$C:$C,符文权重!$D:$D)*$X321/SUMIFS($X:$X,K:K,K321,$C:$C,$C321,$AG:$AG,$AG321)/SUMIF(符文权重!$A:$A,$C321,符文权重!$D:$D))),"")</f>
        <v>0.018969696969697</v>
      </c>
      <c r="R321" s="26" t="s">
        <v>330</v>
      </c>
      <c r="S321" s="26"/>
      <c r="T321" s="26" t="e">
        <f>IF(B321="","",SUBSTITUTE(SUBSTITUTE("[{global_atk,"&amp;#REF!*C321&amp;"}]",21,20),9,8))</f>
        <v>#REF!</v>
      </c>
      <c r="U321" s="40" t="str">
        <f t="shared" si="180"/>
        <v>[5504064]</v>
      </c>
      <c r="V321" s="26"/>
      <c r="W321" s="25"/>
      <c r="X321" s="32">
        <v>16</v>
      </c>
      <c r="Y321" s="25"/>
      <c r="Z321" s="32" t="s">
        <v>174</v>
      </c>
      <c r="AA321" s="32" t="str">
        <f t="shared" si="146"/>
        <v>梦灵对近距离敌人的伤害+20%</v>
      </c>
      <c r="AB321" s="32"/>
      <c r="AC321" s="32" t="s">
        <v>166</v>
      </c>
      <c r="AD321" s="32">
        <f t="shared" si="137"/>
        <v>1316</v>
      </c>
      <c r="AE321" s="38" t="str">
        <f t="shared" si="181"/>
        <v>5504061</v>
      </c>
      <c r="AF321" s="32" t="str">
        <f t="shared" si="182"/>
        <v>[20]</v>
      </c>
      <c r="AG321" s="26">
        <v>3</v>
      </c>
      <c r="AH321" s="26"/>
      <c r="AI321" s="26">
        <v>0</v>
      </c>
      <c r="AJ321" s="25" t="s">
        <v>167</v>
      </c>
      <c r="AK321" s="38">
        <f t="shared" si="183"/>
        <v>5504064</v>
      </c>
      <c r="AL321" s="41" t="str">
        <f t="shared" si="184"/>
        <v>梦灵对近距离敌人的伤害&lt;color=#54b76b&gt;+%s%&lt;/color&gt;</v>
      </c>
      <c r="AM321" s="26">
        <v>20</v>
      </c>
      <c r="AN321" s="26">
        <v>3</v>
      </c>
      <c r="AO321" s="26" t="s">
        <v>32</v>
      </c>
      <c r="AP321" s="20">
        <f t="shared" si="138"/>
        <v>316</v>
      </c>
    </row>
    <row r="322" s="20" customFormat="1" customHeight="1" spans="1:42">
      <c r="A322" s="38">
        <v>5504065</v>
      </c>
      <c r="B322" s="38" t="str">
        <f t="shared" si="178"/>
        <v>5504061</v>
      </c>
      <c r="C322" s="32">
        <f t="shared" si="179"/>
        <v>5</v>
      </c>
      <c r="D322" s="32"/>
      <c r="E322" s="26" t="s">
        <v>337</v>
      </c>
      <c r="F322" s="26">
        <f t="shared" si="134"/>
        <v>1</v>
      </c>
      <c r="G322" s="26" t="str">
        <f>IFERROR(IF(--MID($E322,2*COUNTIF($F322:F322,"&gt;"&amp;0)+2,1)=G$1,G$1,""),"")</f>
        <v/>
      </c>
      <c r="H322" s="26" t="str">
        <f>IFERROR(IF(--MID($E322,2*COUNTIF($F322:G322,"&gt;"&amp;0)+2,1)=H$1,H$1,""),"")</f>
        <v/>
      </c>
      <c r="I322" s="26" t="str">
        <f>IFERROR(IF(--MID($E322,2*COUNTIF($F322:H322,"&gt;"&amp;0)+2,1)=I$1,I$1,""),"")</f>
        <v/>
      </c>
      <c r="J322" s="26" t="str">
        <f>IFERROR(IF(--MID($E322,2*COUNTIF($F322:I322,"&gt;"&amp;0)+2,1)=J$1,J$1,""),"")</f>
        <v/>
      </c>
      <c r="K322" s="26">
        <f>IFERROR(IF(--MID($E322,2*COUNTIF($F322:J322,"&gt;"&amp;0)+2,1)=K$1,K$1,""),"")</f>
        <v>6</v>
      </c>
      <c r="L322" s="39" cm="1">
        <f t="array" ref="L322">IFERROR(IF($A322="","",IF(F322="","",_xlfn.XLOOKUP($C322&amp;"_"&amp;$AG322,符文权重!$A:$A&amp;"_"&amp;符文权重!$C:$C,符文权重!$D:$D)*$X322/SUMIFS($X:$X,F:F,F322,$C:$C,$C322,$AG:$AG,$AG322)/SUMIF(符文权重!$A:$A,$C322,符文权重!$D:$D))),"")</f>
        <v>0.0115384615384615</v>
      </c>
      <c r="M322" s="39" t="str" cm="1">
        <f t="array" ref="M322">IFERROR(IF($A322="","",IF(G322="","",_xlfn.XLOOKUP($C322&amp;"_"&amp;$AG322,符文权重!$A:$A&amp;"_"&amp;符文权重!$C:$C,符文权重!$D:$D)*$X322/SUMIFS($X:$X,G:G,G322,$C:$C,$C322,$AG:$AG,$AG322)/SUMIF(符文权重!$A:$A,$C322,符文权重!$D:$D))),"")</f>
        <v/>
      </c>
      <c r="N322" s="39" t="str" cm="1">
        <f t="array" ref="N322">IFERROR(IF($A322="","",IF(H322="","",_xlfn.XLOOKUP($C322&amp;"_"&amp;$AG322,符文权重!$A:$A&amp;"_"&amp;符文权重!$C:$C,符文权重!$D:$D)*$X322/SUMIFS($X:$X,H:H,H322,$C:$C,$C322,$AG:$AG,$AG322)/SUMIF(符文权重!$A:$A,$C322,符文权重!$D:$D))),"")</f>
        <v/>
      </c>
      <c r="O322" s="39" t="str" cm="1">
        <f t="array" ref="O322">IFERROR(IF($A322="","",IF(I322="","",_xlfn.XLOOKUP($C322&amp;"_"&amp;$AG322,符文权重!$A:$A&amp;"_"&amp;符文权重!$C:$C,符文权重!$D:$D)*$X322/SUMIFS($X:$X,I:I,I322,$C:$C,$C322,$AG:$AG,$AG322)/SUMIF(符文权重!$A:$A,$C322,符文权重!$D:$D))),"")</f>
        <v/>
      </c>
      <c r="P322" s="39" t="str" cm="1">
        <f t="array" ref="P322">IFERROR(IF($A322="","",IF(J322="","",_xlfn.XLOOKUP($C322&amp;"_"&amp;$AG322,符文权重!$A:$A&amp;"_"&amp;符文权重!$C:$C,符文权重!$D:$D)*$X322/SUMIFS($X:$X,J:J,J322,$C:$C,$C322,$AG:$AG,$AG322)/SUMIF(符文权重!$A:$A,$C322,符文权重!$D:$D))),"")</f>
        <v/>
      </c>
      <c r="Q322" s="39" cm="1">
        <f t="array" ref="Q322">IFERROR(IF($A322="","",IF(K322="","",_xlfn.XLOOKUP($C322&amp;"_"&amp;$AG322,符文权重!$A:$A&amp;"_"&amp;符文权重!$C:$C,符文权重!$D:$D)*$X322/SUMIFS($X:$X,K:K,K322,$C:$C,$C322,$AG:$AG,$AG322)/SUMIF(符文权重!$A:$A,$C322,符文权重!$D:$D))),"")</f>
        <v>0.009375</v>
      </c>
      <c r="R322" s="26" t="s">
        <v>330</v>
      </c>
      <c r="S322" s="26"/>
      <c r="T322" s="26" t="e">
        <f>IF(B322="","",SUBSTITUTE(SUBSTITUTE("[{global_atk,"&amp;#REF!*C322&amp;"}]",21,20),9,8))</f>
        <v>#REF!</v>
      </c>
      <c r="U322" s="40" t="str">
        <f t="shared" si="180"/>
        <v>[5504065]</v>
      </c>
      <c r="V322" s="26"/>
      <c r="W322" s="25"/>
      <c r="X322" s="32">
        <v>100</v>
      </c>
      <c r="Y322" s="25"/>
      <c r="Z322" s="32" t="s">
        <v>176</v>
      </c>
      <c r="AA322" s="32" t="str">
        <f t="shared" si="146"/>
        <v>梦灵对近距离敌人的伤害+25%</v>
      </c>
      <c r="AB322" s="32"/>
      <c r="AC322" s="32" t="s">
        <v>166</v>
      </c>
      <c r="AD322" s="32">
        <f t="shared" si="137"/>
        <v>1317</v>
      </c>
      <c r="AE322" s="38" t="str">
        <f t="shared" si="181"/>
        <v>5504061</v>
      </c>
      <c r="AF322" s="32" t="str">
        <f t="shared" si="182"/>
        <v>[25]</v>
      </c>
      <c r="AG322" s="26">
        <v>4</v>
      </c>
      <c r="AH322" s="26"/>
      <c r="AI322" s="26">
        <v>0</v>
      </c>
      <c r="AJ322" s="25" t="s">
        <v>167</v>
      </c>
      <c r="AK322" s="38">
        <f t="shared" si="183"/>
        <v>5504065</v>
      </c>
      <c r="AL322" s="41" t="str">
        <f t="shared" si="184"/>
        <v>梦灵对近距离敌人的伤害&lt;color=#54b76b&gt;+%s%&lt;/color&gt;</v>
      </c>
      <c r="AM322" s="26">
        <v>25</v>
      </c>
      <c r="AN322" s="26">
        <v>3</v>
      </c>
      <c r="AO322" s="26" t="s">
        <v>32</v>
      </c>
      <c r="AP322" s="20">
        <f t="shared" si="138"/>
        <v>317</v>
      </c>
    </row>
    <row r="323" s="20" customFormat="1" customHeight="1" spans="1:42">
      <c r="A323" s="38">
        <v>5504066</v>
      </c>
      <c r="B323" s="38" t="str">
        <f t="shared" si="178"/>
        <v>5504061</v>
      </c>
      <c r="C323" s="32">
        <f t="shared" si="179"/>
        <v>6</v>
      </c>
      <c r="D323" s="32"/>
      <c r="E323" s="26" t="s">
        <v>337</v>
      </c>
      <c r="F323" s="26">
        <f t="shared" si="134"/>
        <v>1</v>
      </c>
      <c r="G323" s="26" t="str">
        <f>IFERROR(IF(--MID($E323,2*COUNTIF($F323:F323,"&gt;"&amp;0)+2,1)=G$1,G$1,""),"")</f>
        <v/>
      </c>
      <c r="H323" s="26" t="str">
        <f>IFERROR(IF(--MID($E323,2*COUNTIF($F323:G323,"&gt;"&amp;0)+2,1)=H$1,H$1,""),"")</f>
        <v/>
      </c>
      <c r="I323" s="26" t="str">
        <f>IFERROR(IF(--MID($E323,2*COUNTIF($F323:H323,"&gt;"&amp;0)+2,1)=I$1,I$1,""),"")</f>
        <v/>
      </c>
      <c r="J323" s="26" t="str">
        <f>IFERROR(IF(--MID($E323,2*COUNTIF($F323:I323,"&gt;"&amp;0)+2,1)=J$1,J$1,""),"")</f>
        <v/>
      </c>
      <c r="K323" s="26">
        <f>IFERROR(IF(--MID($E323,2*COUNTIF($F323:J323,"&gt;"&amp;0)+2,1)=K$1,K$1,""),"")</f>
        <v>6</v>
      </c>
      <c r="L323" s="39" cm="1">
        <f t="array" ref="L323">IFERROR(IF($A323="","",IF(F323="","",_xlfn.XLOOKUP($C323&amp;"_"&amp;$AG323,符文权重!$A:$A&amp;"_"&amp;符文权重!$C:$C,符文权重!$D:$D)*$X323/SUMIFS($X:$X,F:F,F323,$C:$C,$C323,$AG:$AG,$AG323)/SUMIF(符文权重!$A:$A,$C323,符文权重!$D:$D))),"")</f>
        <v>0.0115384615384615</v>
      </c>
      <c r="M323" s="39" t="str" cm="1">
        <f t="array" ref="M323">IFERROR(IF($A323="","",IF(G323="","",_xlfn.XLOOKUP($C323&amp;"_"&amp;$AG323,符文权重!$A:$A&amp;"_"&amp;符文权重!$C:$C,符文权重!$D:$D)*$X323/SUMIFS($X:$X,G:G,G323,$C:$C,$C323,$AG:$AG,$AG323)/SUMIF(符文权重!$A:$A,$C323,符文权重!$D:$D))),"")</f>
        <v/>
      </c>
      <c r="N323" s="39" t="str" cm="1">
        <f t="array" ref="N323">IFERROR(IF($A323="","",IF(H323="","",_xlfn.XLOOKUP($C323&amp;"_"&amp;$AG323,符文权重!$A:$A&amp;"_"&amp;符文权重!$C:$C,符文权重!$D:$D)*$X323/SUMIFS($X:$X,H:H,H323,$C:$C,$C323,$AG:$AG,$AG323)/SUMIF(符文权重!$A:$A,$C323,符文权重!$D:$D))),"")</f>
        <v/>
      </c>
      <c r="O323" s="39" t="str" cm="1">
        <f t="array" ref="O323">IFERROR(IF($A323="","",IF(I323="","",_xlfn.XLOOKUP($C323&amp;"_"&amp;$AG323,符文权重!$A:$A&amp;"_"&amp;符文权重!$C:$C,符文权重!$D:$D)*$X323/SUMIFS($X:$X,I:I,I323,$C:$C,$C323,$AG:$AG,$AG323)/SUMIF(符文权重!$A:$A,$C323,符文权重!$D:$D))),"")</f>
        <v/>
      </c>
      <c r="P323" s="39" t="str" cm="1">
        <f t="array" ref="P323">IFERROR(IF($A323="","",IF(J323="","",_xlfn.XLOOKUP($C323&amp;"_"&amp;$AG323,符文权重!$A:$A&amp;"_"&amp;符文权重!$C:$C,符文权重!$D:$D)*$X323/SUMIFS($X:$X,J:J,J323,$C:$C,$C323,$AG:$AG,$AG323)/SUMIF(符文权重!$A:$A,$C323,符文权重!$D:$D))),"")</f>
        <v/>
      </c>
      <c r="Q323" s="39" cm="1">
        <f t="array" ref="Q323">IFERROR(IF($A323="","",IF(K323="","",_xlfn.XLOOKUP($C323&amp;"_"&amp;$AG323,符文权重!$A:$A&amp;"_"&amp;符文权重!$C:$C,符文权重!$D:$D)*$X323/SUMIFS($X:$X,K:K,K323,$C:$C,$C323,$AG:$AG,$AG323)/SUMIF(符文权重!$A:$A,$C323,符文权重!$D:$D))),"")</f>
        <v>0.009375</v>
      </c>
      <c r="R323" s="26" t="s">
        <v>330</v>
      </c>
      <c r="S323" s="26"/>
      <c r="T323" s="26" t="e">
        <f>IF(B323="","",SUBSTITUTE(SUBSTITUTE("[{global_atk,"&amp;#REF!*C323&amp;"}]",21,20),9,8))</f>
        <v>#REF!</v>
      </c>
      <c r="U323" s="40" t="str">
        <f t="shared" si="180"/>
        <v>[5504066]</v>
      </c>
      <c r="V323" s="26"/>
      <c r="W323" s="25"/>
      <c r="X323" s="32">
        <v>100</v>
      </c>
      <c r="Y323" s="25"/>
      <c r="Z323" s="32" t="s">
        <v>178</v>
      </c>
      <c r="AA323" s="32" t="str">
        <f t="shared" si="146"/>
        <v>梦灵对近距离敌人的伤害+30%</v>
      </c>
      <c r="AB323" s="32"/>
      <c r="AC323" s="32" t="s">
        <v>166</v>
      </c>
      <c r="AD323" s="32">
        <f t="shared" si="137"/>
        <v>1318</v>
      </c>
      <c r="AE323" s="38" t="str">
        <f t="shared" si="181"/>
        <v>5504061</v>
      </c>
      <c r="AF323" s="32" t="str">
        <f t="shared" si="182"/>
        <v>[30]</v>
      </c>
      <c r="AG323" s="26">
        <v>4</v>
      </c>
      <c r="AH323" s="26"/>
      <c r="AI323" s="26">
        <v>0</v>
      </c>
      <c r="AJ323" s="25" t="s">
        <v>167</v>
      </c>
      <c r="AK323" s="38">
        <f t="shared" si="183"/>
        <v>5504066</v>
      </c>
      <c r="AL323" s="41" t="str">
        <f t="shared" si="184"/>
        <v>梦灵对近距离敌人的伤害&lt;color=#54b76b&gt;+%s%&lt;/color&gt;</v>
      </c>
      <c r="AM323" s="26">
        <v>30</v>
      </c>
      <c r="AN323" s="26">
        <v>3</v>
      </c>
      <c r="AO323" s="26" t="s">
        <v>32</v>
      </c>
      <c r="AP323" s="20">
        <f t="shared" si="138"/>
        <v>318</v>
      </c>
    </row>
    <row r="324" s="20" customFormat="1" customHeight="1" spans="1:42">
      <c r="A324" s="38">
        <v>5504067</v>
      </c>
      <c r="B324" s="38" t="str">
        <f t="shared" si="178"/>
        <v>5504061</v>
      </c>
      <c r="C324" s="32">
        <f t="shared" si="179"/>
        <v>7</v>
      </c>
      <c r="D324" s="32"/>
      <c r="E324" s="26" t="s">
        <v>337</v>
      </c>
      <c r="F324" s="26">
        <f t="shared" si="134"/>
        <v>1</v>
      </c>
      <c r="G324" s="26" t="str">
        <f>IFERROR(IF(--MID($E324,2*COUNTIF($F324:F324,"&gt;"&amp;0)+2,1)=G$1,G$1,""),"")</f>
        <v/>
      </c>
      <c r="H324" s="26" t="str">
        <f>IFERROR(IF(--MID($E324,2*COUNTIF($F324:G324,"&gt;"&amp;0)+2,1)=H$1,H$1,""),"")</f>
        <v/>
      </c>
      <c r="I324" s="26" t="str">
        <f>IFERROR(IF(--MID($E324,2*COUNTIF($F324:H324,"&gt;"&amp;0)+2,1)=I$1,I$1,""),"")</f>
        <v/>
      </c>
      <c r="J324" s="26" t="str">
        <f>IFERROR(IF(--MID($E324,2*COUNTIF($F324:I324,"&gt;"&amp;0)+2,1)=J$1,J$1,""),"")</f>
        <v/>
      </c>
      <c r="K324" s="26">
        <f>IFERROR(IF(--MID($E324,2*COUNTIF($F324:J324,"&gt;"&amp;0)+2,1)=K$1,K$1,""),"")</f>
        <v>6</v>
      </c>
      <c r="L324" s="39" cm="1">
        <f t="array" ref="L324">IFERROR(IF($A324="","",IF(F324="","",_xlfn.XLOOKUP($C324&amp;"_"&amp;$AG324,符文权重!$A:$A&amp;"_"&amp;符文权重!$C:$C,符文权重!$D:$D)*$X324/SUMIFS($X:$X,F:F,F324,$C:$C,$C324,$AG:$AG,$AG324)/SUMIF(符文权重!$A:$A,$C324,符文权重!$D:$D))),"")</f>
        <v>0.0115384615384615</v>
      </c>
      <c r="M324" s="39" t="str" cm="1">
        <f t="array" ref="M324">IFERROR(IF($A324="","",IF(G324="","",_xlfn.XLOOKUP($C324&amp;"_"&amp;$AG324,符文权重!$A:$A&amp;"_"&amp;符文权重!$C:$C,符文权重!$D:$D)*$X324/SUMIFS($X:$X,G:G,G324,$C:$C,$C324,$AG:$AG,$AG324)/SUMIF(符文权重!$A:$A,$C324,符文权重!$D:$D))),"")</f>
        <v/>
      </c>
      <c r="N324" s="39" t="str" cm="1">
        <f t="array" ref="N324">IFERROR(IF($A324="","",IF(H324="","",_xlfn.XLOOKUP($C324&amp;"_"&amp;$AG324,符文权重!$A:$A&amp;"_"&amp;符文权重!$C:$C,符文权重!$D:$D)*$X324/SUMIFS($X:$X,H:H,H324,$C:$C,$C324,$AG:$AG,$AG324)/SUMIF(符文权重!$A:$A,$C324,符文权重!$D:$D))),"")</f>
        <v/>
      </c>
      <c r="O324" s="39" t="str" cm="1">
        <f t="array" ref="O324">IFERROR(IF($A324="","",IF(I324="","",_xlfn.XLOOKUP($C324&amp;"_"&amp;$AG324,符文权重!$A:$A&amp;"_"&amp;符文权重!$C:$C,符文权重!$D:$D)*$X324/SUMIFS($X:$X,I:I,I324,$C:$C,$C324,$AG:$AG,$AG324)/SUMIF(符文权重!$A:$A,$C324,符文权重!$D:$D))),"")</f>
        <v/>
      </c>
      <c r="P324" s="39" t="str" cm="1">
        <f t="array" ref="P324">IFERROR(IF($A324="","",IF(J324="","",_xlfn.XLOOKUP($C324&amp;"_"&amp;$AG324,符文权重!$A:$A&amp;"_"&amp;符文权重!$C:$C,符文权重!$D:$D)*$X324/SUMIFS($X:$X,J:J,J324,$C:$C,$C324,$AG:$AG,$AG324)/SUMIF(符文权重!$A:$A,$C324,符文权重!$D:$D))),"")</f>
        <v/>
      </c>
      <c r="Q324" s="39" cm="1">
        <f t="array" ref="Q324">IFERROR(IF($A324="","",IF(K324="","",_xlfn.XLOOKUP($C324&amp;"_"&amp;$AG324,符文权重!$A:$A&amp;"_"&amp;符文权重!$C:$C,符文权重!$D:$D)*$X324/SUMIFS($X:$X,K:K,K324,$C:$C,$C324,$AG:$AG,$AG324)/SUMIF(符文权重!$A:$A,$C324,符文权重!$D:$D))),"")</f>
        <v>0.009375</v>
      </c>
      <c r="R324" s="26" t="s">
        <v>330</v>
      </c>
      <c r="S324" s="26"/>
      <c r="T324" s="26" t="e">
        <f>IF(B324="","",SUBSTITUTE(SUBSTITUTE("[{global_atk,"&amp;#REF!*C324&amp;"}]",21,20),9,8))</f>
        <v>#REF!</v>
      </c>
      <c r="U324" s="40" t="str">
        <f t="shared" si="180"/>
        <v>[5504067]</v>
      </c>
      <c r="V324" s="53"/>
      <c r="W324" s="25"/>
      <c r="X324" s="25">
        <v>100</v>
      </c>
      <c r="Y324" s="25"/>
      <c r="Z324" s="32" t="s">
        <v>180</v>
      </c>
      <c r="AA324" s="32" t="str">
        <f t="shared" si="146"/>
        <v>梦灵对近距离敌人的伤害+35%</v>
      </c>
      <c r="AB324" s="32"/>
      <c r="AC324" s="32" t="s">
        <v>166</v>
      </c>
      <c r="AD324" s="32">
        <f t="shared" si="137"/>
        <v>1319</v>
      </c>
      <c r="AE324" s="38" t="str">
        <f t="shared" si="181"/>
        <v>5504061</v>
      </c>
      <c r="AF324" s="32" t="str">
        <f t="shared" si="182"/>
        <v>[35]</v>
      </c>
      <c r="AG324" s="26">
        <v>4</v>
      </c>
      <c r="AH324" s="26"/>
      <c r="AI324" s="26">
        <v>0</v>
      </c>
      <c r="AJ324" s="25" t="s">
        <v>167</v>
      </c>
      <c r="AK324" s="38">
        <f t="shared" si="183"/>
        <v>5504067</v>
      </c>
      <c r="AL324" s="41" t="str">
        <f t="shared" si="184"/>
        <v>梦灵对近距离敌人的伤害&lt;color=#54b76b&gt;+%s%&lt;/color&gt;</v>
      </c>
      <c r="AM324" s="26">
        <v>35</v>
      </c>
      <c r="AN324" s="25">
        <v>3</v>
      </c>
      <c r="AO324" s="26" t="s">
        <v>32</v>
      </c>
      <c r="AP324" s="20">
        <f t="shared" si="138"/>
        <v>319</v>
      </c>
    </row>
    <row r="325" s="20" customFormat="1" customHeight="1" spans="1:42">
      <c r="A325" s="38"/>
      <c r="B325" s="38"/>
      <c r="C325" s="32"/>
      <c r="D325" s="32"/>
      <c r="E325" s="26"/>
      <c r="F325" s="26" t="str">
        <f t="shared" si="134"/>
        <v/>
      </c>
      <c r="G325" s="26" t="str">
        <f>IFERROR(IF(--MID($E325,2*COUNTIF($F325:F325,"&gt;"&amp;0)+2,1)=G$1,G$1,""),"")</f>
        <v/>
      </c>
      <c r="H325" s="26" t="str">
        <f>IFERROR(IF(--MID($E325,2*COUNTIF($F325:G325,"&gt;"&amp;0)+2,1)=H$1,H$1,""),"")</f>
        <v/>
      </c>
      <c r="I325" s="26" t="str">
        <f>IFERROR(IF(--MID($E325,2*COUNTIF($F325:H325,"&gt;"&amp;0)+2,1)=I$1,I$1,""),"")</f>
        <v/>
      </c>
      <c r="J325" s="26" t="str">
        <f>IFERROR(IF(--MID($E325,2*COUNTIF($F325:I325,"&gt;"&amp;0)+2,1)=J$1,J$1,""),"")</f>
        <v/>
      </c>
      <c r="K325" s="26" t="str">
        <f>IFERROR(IF(--MID($E325,2*COUNTIF($F325:J325,"&gt;"&amp;0)+2,1)=K$1,K$1,""),"")</f>
        <v/>
      </c>
      <c r="L325" s="39" t="str" cm="1">
        <f t="array" ref="L325">IFERROR(IF($A325="","",IF(F325="","",_xlfn.XLOOKUP($C325&amp;"_"&amp;$AG325,符文权重!$A:$A&amp;"_"&amp;符文权重!$C:$C,符文权重!$D:$D)*$X325/SUMIFS($X:$X,F:F,F325,$C:$C,$C325,$AG:$AG,$AG325)/SUMIF(符文权重!$A:$A,$C325,符文权重!$D:$D))),"")</f>
        <v/>
      </c>
      <c r="M325" s="39" t="str" cm="1">
        <f t="array" ref="M325">IFERROR(IF($A325="","",IF(G325="","",_xlfn.XLOOKUP($C325&amp;"_"&amp;$AG325,符文权重!$A:$A&amp;"_"&amp;符文权重!$C:$C,符文权重!$D:$D)*$X325/SUMIFS($X:$X,G:G,G325,$C:$C,$C325,$AG:$AG,$AG325)/SUMIF(符文权重!$A:$A,$C325,符文权重!$D:$D))),"")</f>
        <v/>
      </c>
      <c r="N325" s="39" t="str" cm="1">
        <f t="array" ref="N325">IFERROR(IF($A325="","",IF(H325="","",_xlfn.XLOOKUP($C325&amp;"_"&amp;$AG325,符文权重!$A:$A&amp;"_"&amp;符文权重!$C:$C,符文权重!$D:$D)*$X325/SUMIFS($X:$X,H:H,H325,$C:$C,$C325,$AG:$AG,$AG325)/SUMIF(符文权重!$A:$A,$C325,符文权重!$D:$D))),"")</f>
        <v/>
      </c>
      <c r="O325" s="39" t="str" cm="1">
        <f t="array" ref="O325">IFERROR(IF($A325="","",IF(I325="","",_xlfn.XLOOKUP($C325&amp;"_"&amp;$AG325,符文权重!$A:$A&amp;"_"&amp;符文权重!$C:$C,符文权重!$D:$D)*$X325/SUMIFS($X:$X,I:I,I325,$C:$C,$C325,$AG:$AG,$AG325)/SUMIF(符文权重!$A:$A,$C325,符文权重!$D:$D))),"")</f>
        <v/>
      </c>
      <c r="P325" s="39" t="str" cm="1">
        <f t="array" ref="P325">IFERROR(IF($A325="","",IF(J325="","",_xlfn.XLOOKUP($C325&amp;"_"&amp;$AG325,符文权重!$A:$A&amp;"_"&amp;符文权重!$C:$C,符文权重!$D:$D)*$X325/SUMIFS($X:$X,J:J,J325,$C:$C,$C325,$AG:$AG,$AG325)/SUMIF(符文权重!$A:$A,$C325,符文权重!$D:$D))),"")</f>
        <v/>
      </c>
      <c r="Q325" s="39" t="str" cm="1">
        <f t="array" ref="Q325">IFERROR(IF($A325="","",IF(K325="","",_xlfn.XLOOKUP($C325&amp;"_"&amp;$AG325,符文权重!$A:$A&amp;"_"&amp;符文权重!$C:$C,符文权重!$D:$D)*$X325/SUMIFS($X:$X,K:K,K325,$C:$C,$C325,$AG:$AG,$AG325)/SUMIF(符文权重!$A:$A,$C325,符文权重!$D:$D))),"")</f>
        <v/>
      </c>
      <c r="R325" s="26"/>
      <c r="S325" s="26"/>
      <c r="T325" s="26"/>
      <c r="U325" s="40"/>
      <c r="V325" s="53"/>
      <c r="W325" s="25"/>
      <c r="X325" s="25"/>
      <c r="Y325" s="25"/>
      <c r="Z325" s="32"/>
      <c r="AA325" s="32" t="str">
        <f t="shared" si="146"/>
        <v/>
      </c>
      <c r="AB325" s="32"/>
      <c r="AC325" s="32" t="s">
        <v>166</v>
      </c>
      <c r="AD325" s="32">
        <f t="shared" si="137"/>
        <v>1320</v>
      </c>
      <c r="AE325" s="38"/>
      <c r="AF325" s="32"/>
      <c r="AG325" s="26"/>
      <c r="AH325" s="26"/>
      <c r="AI325" s="26"/>
      <c r="AJ325" s="25" t="s">
        <v>167</v>
      </c>
      <c r="AK325" s="38"/>
      <c r="AL325" s="41"/>
      <c r="AM325" s="26"/>
      <c r="AN325" s="25"/>
      <c r="AO325" s="25"/>
      <c r="AP325" s="20">
        <f t="shared" si="138"/>
        <v>320</v>
      </c>
    </row>
    <row r="326" s="22" customFormat="1" customHeight="1" spans="1:42">
      <c r="A326" s="44">
        <v>5504071</v>
      </c>
      <c r="B326" s="44" t="str">
        <f t="shared" ref="B326:B333" si="185">IF(ISBLANK(AK326),"",LEFT(AK326,6)&amp;1)</f>
        <v>5504071</v>
      </c>
      <c r="C326" s="45">
        <f t="shared" ref="C326:C333" si="186">IF(ISBLANK(AK326),"",VALUE(RIGHT(A326,1)))</f>
        <v>1</v>
      </c>
      <c r="D326" s="45"/>
      <c r="E326" s="46" t="s">
        <v>360</v>
      </c>
      <c r="F326" s="26" t="str">
        <f t="shared" si="134"/>
        <v/>
      </c>
      <c r="G326" s="26">
        <f>IFERROR(IF(--MID($E326,2*COUNTIF($F326:F326,"&gt;"&amp;0)+2,1)=G$1,G$1,""),"")</f>
        <v>2</v>
      </c>
      <c r="H326" s="26" t="str">
        <f>IFERROR(IF(--MID($E326,2*COUNTIF($F326:G326,"&gt;"&amp;0)+2,1)=H$1,H$1,""),"")</f>
        <v/>
      </c>
      <c r="I326" s="26">
        <f>IFERROR(IF(--MID($E326,2*COUNTIF($F326:H326,"&gt;"&amp;0)+2,1)=I$1,I$1,""),"")</f>
        <v>4</v>
      </c>
      <c r="J326" s="26" t="str">
        <f>IFERROR(IF(--MID($E326,2*COUNTIF($F326:I326,"&gt;"&amp;0)+2,1)=J$1,J$1,""),"")</f>
        <v/>
      </c>
      <c r="K326" s="26" t="str">
        <f>IFERROR(IF(--MID($E326,2*COUNTIF($F326:J326,"&gt;"&amp;0)+2,1)=K$1,K$1,""),"")</f>
        <v/>
      </c>
      <c r="L326" s="39" t="str" cm="1">
        <f t="array" ref="L326">IFERROR(IF($A326="","",IF(F326="","",_xlfn.XLOOKUP($C326&amp;"_"&amp;$AG326,符文权重!$A:$A&amp;"_"&amp;符文权重!$C:$C,符文权重!$D:$D)*$X326/SUMIFS($X:$X,F:F,F326,$C:$C,$C326,$AG:$AG,$AG326)/SUMIF(符文权重!$A:$A,$C326,符文权重!$D:$D))),"")</f>
        <v/>
      </c>
      <c r="M326" s="39" t="str" cm="1">
        <f t="array" ref="M326">IFERROR(IF($A326="","",IF(G326="","",_xlfn.XLOOKUP($C326&amp;"_"&amp;$AG326,符文权重!$A:$A&amp;"_"&amp;符文权重!$C:$C,符文权重!$D:$D)*$X326/SUMIFS($X:$X,G:G,G326,$C:$C,$C326,$AG:$AG,$AG326)/SUMIF(符文权重!$A:$A,$C326,符文权重!$D:$D))),"")</f>
        <v/>
      </c>
      <c r="N326" s="39" t="str" cm="1">
        <f t="array" ref="N326">IFERROR(IF($A326="","",IF(H326="","",_xlfn.XLOOKUP($C326&amp;"_"&amp;$AG326,符文权重!$A:$A&amp;"_"&amp;符文权重!$C:$C,符文权重!$D:$D)*$X326/SUMIFS($X:$X,H:H,H326,$C:$C,$C326,$AG:$AG,$AG326)/SUMIF(符文权重!$A:$A,$C326,符文权重!$D:$D))),"")</f>
        <v/>
      </c>
      <c r="O326" s="39" t="str" cm="1">
        <f t="array" ref="O326">IFERROR(IF($A326="","",IF(I326="","",_xlfn.XLOOKUP($C326&amp;"_"&amp;$AG326,符文权重!$A:$A&amp;"_"&amp;符文权重!$C:$C,符文权重!$D:$D)*$X326/SUMIFS($X:$X,I:I,I326,$C:$C,$C326,$AG:$AG,$AG326)/SUMIF(符文权重!$A:$A,$C326,符文权重!$D:$D))),"")</f>
        <v/>
      </c>
      <c r="P326" s="39" t="str" cm="1">
        <f t="array" ref="P326">IFERROR(IF($A326="","",IF(J326="","",_xlfn.XLOOKUP($C326&amp;"_"&amp;$AG326,符文权重!$A:$A&amp;"_"&amp;符文权重!$C:$C,符文权重!$D:$D)*$X326/SUMIFS($X:$X,J:J,J326,$C:$C,$C326,$AG:$AG,$AG326)/SUMIF(符文权重!$A:$A,$C326,符文权重!$D:$D))),"")</f>
        <v/>
      </c>
      <c r="Q326" s="39" t="str" cm="1">
        <f t="array" ref="Q326">IFERROR(IF($A326="","",IF(K326="","",_xlfn.XLOOKUP($C326&amp;"_"&amp;$AG326,符文权重!$A:$A&amp;"_"&amp;符文权重!$C:$C,符文权重!$D:$D)*$X326/SUMIFS($X:$X,K:K,K326,$C:$C,$C326,$AG:$AG,$AG326)/SUMIF(符文权重!$A:$A,$C326,符文权重!$D:$D))),"")</f>
        <v/>
      </c>
      <c r="R326" s="46" t="s">
        <v>330</v>
      </c>
      <c r="S326" s="46"/>
      <c r="T326" s="46" t="e">
        <f>IF(B326="","",SUBSTITUTE(SUBSTITUTE("[{global_atk,"&amp;#REF!*C326&amp;"}]",21,20),9,8))</f>
        <v>#REF!</v>
      </c>
      <c r="U326" s="47" t="str">
        <f t="shared" ref="U326:U332" si="187">"["&amp;A326&amp;"]"</f>
        <v>[5504071]</v>
      </c>
      <c r="V326" s="46"/>
      <c r="W326" s="23"/>
      <c r="X326" s="25">
        <v>100</v>
      </c>
      <c r="Y326" s="23"/>
      <c r="Z326" s="45" t="s">
        <v>165</v>
      </c>
      <c r="AA326" s="32" t="str">
        <f t="shared" si="146"/>
        <v>梦灵对半场外敌人的伤害+5%</v>
      </c>
      <c r="AB326" s="32"/>
      <c r="AC326" s="32" t="s">
        <v>166</v>
      </c>
      <c r="AD326" s="32">
        <f t="shared" si="137"/>
        <v>1321</v>
      </c>
      <c r="AE326" s="44" t="str">
        <f t="shared" ref="AE326:AE333" si="188">IF(ISBLANK(AK326),"",B326)</f>
        <v>5504071</v>
      </c>
      <c r="AF326" s="45" t="str">
        <f t="shared" ref="AF326:AF333" si="189">IF(ISBLANK(AM326),"","["&amp;AM326&amp;"]")</f>
        <v>[5]</v>
      </c>
      <c r="AG326" s="26">
        <v>100</v>
      </c>
      <c r="AH326" s="46"/>
      <c r="AI326" s="46">
        <v>1</v>
      </c>
      <c r="AJ326" s="25" t="s">
        <v>167</v>
      </c>
      <c r="AK326" s="48">
        <v>5504071</v>
      </c>
      <c r="AL326" s="49" t="s">
        <v>378</v>
      </c>
      <c r="AM326" s="46">
        <v>5</v>
      </c>
      <c r="AN326" s="25"/>
      <c r="AO326" s="26" t="s">
        <v>31</v>
      </c>
      <c r="AP326" s="20">
        <f t="shared" si="138"/>
        <v>321</v>
      </c>
    </row>
    <row r="327" s="22" customFormat="1" customHeight="1" spans="1:42">
      <c r="A327" s="44">
        <v>5504072</v>
      </c>
      <c r="B327" s="44" t="str">
        <f t="shared" si="185"/>
        <v>5504071</v>
      </c>
      <c r="C327" s="45">
        <f t="shared" si="186"/>
        <v>2</v>
      </c>
      <c r="D327" s="45"/>
      <c r="E327" s="46" t="s">
        <v>360</v>
      </c>
      <c r="F327" s="26" t="str">
        <f t="shared" ref="F327:F390" si="190">IF(LEFT(E327,2)="[1",1,"")</f>
        <v/>
      </c>
      <c r="G327" s="26">
        <f>IFERROR(IF(--MID($E327,2*COUNTIF($F327:F327,"&gt;"&amp;0)+2,1)=G$1,G$1,""),"")</f>
        <v>2</v>
      </c>
      <c r="H327" s="26" t="str">
        <f>IFERROR(IF(--MID($E327,2*COUNTIF($F327:G327,"&gt;"&amp;0)+2,1)=H$1,H$1,""),"")</f>
        <v/>
      </c>
      <c r="I327" s="26">
        <f>IFERROR(IF(--MID($E327,2*COUNTIF($F327:H327,"&gt;"&amp;0)+2,1)=I$1,I$1,""),"")</f>
        <v>4</v>
      </c>
      <c r="J327" s="26" t="str">
        <f>IFERROR(IF(--MID($E327,2*COUNTIF($F327:I327,"&gt;"&amp;0)+2,1)=J$1,J$1,""),"")</f>
        <v/>
      </c>
      <c r="K327" s="26" t="str">
        <f>IFERROR(IF(--MID($E327,2*COUNTIF($F327:J327,"&gt;"&amp;0)+2,1)=K$1,K$1,""),"")</f>
        <v/>
      </c>
      <c r="L327" s="39" t="str" cm="1">
        <f t="array" ref="L327">IFERROR(IF($A327="","",IF(F327="","",_xlfn.XLOOKUP($C327&amp;"_"&amp;$AG327,符文权重!$A:$A&amp;"_"&amp;符文权重!$C:$C,符文权重!$D:$D)*$X327/SUMIFS($X:$X,F:F,F327,$C:$C,$C327,$AG:$AG,$AG327)/SUMIF(符文权重!$A:$A,$C327,符文权重!$D:$D))),"")</f>
        <v/>
      </c>
      <c r="M327" s="39" t="str" cm="1">
        <f t="array" ref="M327">IFERROR(IF($A327="","",IF(G327="","",_xlfn.XLOOKUP($C327&amp;"_"&amp;$AG327,符文权重!$A:$A&amp;"_"&amp;符文权重!$C:$C,符文权重!$D:$D)*$X327/SUMIFS($X:$X,G:G,G327,$C:$C,$C327,$AG:$AG,$AG327)/SUMIF(符文权重!$A:$A,$C327,符文权重!$D:$D))),"")</f>
        <v/>
      </c>
      <c r="N327" s="39" t="str" cm="1">
        <f t="array" ref="N327">IFERROR(IF($A327="","",IF(H327="","",_xlfn.XLOOKUP($C327&amp;"_"&amp;$AG327,符文权重!$A:$A&amp;"_"&amp;符文权重!$C:$C,符文权重!$D:$D)*$X327/SUMIFS($X:$X,H:H,H327,$C:$C,$C327,$AG:$AG,$AG327)/SUMIF(符文权重!$A:$A,$C327,符文权重!$D:$D))),"")</f>
        <v/>
      </c>
      <c r="O327" s="39" t="str" cm="1">
        <f t="array" ref="O327">IFERROR(IF($A327="","",IF(I327="","",_xlfn.XLOOKUP($C327&amp;"_"&amp;$AG327,符文权重!$A:$A&amp;"_"&amp;符文权重!$C:$C,符文权重!$D:$D)*$X327/SUMIFS($X:$X,I:I,I327,$C:$C,$C327,$AG:$AG,$AG327)/SUMIF(符文权重!$A:$A,$C327,符文权重!$D:$D))),"")</f>
        <v/>
      </c>
      <c r="P327" s="39" t="str" cm="1">
        <f t="array" ref="P327">IFERROR(IF($A327="","",IF(J327="","",_xlfn.XLOOKUP($C327&amp;"_"&amp;$AG327,符文权重!$A:$A&amp;"_"&amp;符文权重!$C:$C,符文权重!$D:$D)*$X327/SUMIFS($X:$X,J:J,J327,$C:$C,$C327,$AG:$AG,$AG327)/SUMIF(符文权重!$A:$A,$C327,符文权重!$D:$D))),"")</f>
        <v/>
      </c>
      <c r="Q327" s="39" t="str" cm="1">
        <f t="array" ref="Q327">IFERROR(IF($A327="","",IF(K327="","",_xlfn.XLOOKUP($C327&amp;"_"&amp;$AG327,符文权重!$A:$A&amp;"_"&amp;符文权重!$C:$C,符文权重!$D:$D)*$X327/SUMIFS($X:$X,K:K,K327,$C:$C,$C327,$AG:$AG,$AG327)/SUMIF(符文权重!$A:$A,$C327,符文权重!$D:$D))),"")</f>
        <v/>
      </c>
      <c r="R327" s="46" t="s">
        <v>330</v>
      </c>
      <c r="S327" s="46"/>
      <c r="T327" s="46" t="e">
        <f>IF(B327="","",SUBSTITUTE(SUBSTITUTE("[{global_atk,"&amp;#REF!*C327&amp;"}]",21,20),9,8))</f>
        <v>#REF!</v>
      </c>
      <c r="U327" s="47" t="str">
        <f t="shared" si="187"/>
        <v>[5504072]</v>
      </c>
      <c r="V327" s="46"/>
      <c r="W327" s="23"/>
      <c r="X327" s="25">
        <v>100</v>
      </c>
      <c r="Y327" s="23"/>
      <c r="Z327" s="45" t="s">
        <v>170</v>
      </c>
      <c r="AA327" s="32" t="str">
        <f t="shared" si="146"/>
        <v>梦灵对半场外敌人的伤害+10%</v>
      </c>
      <c r="AB327" s="32"/>
      <c r="AC327" s="32" t="s">
        <v>166</v>
      </c>
      <c r="AD327" s="32">
        <f t="shared" si="137"/>
        <v>1322</v>
      </c>
      <c r="AE327" s="44" t="str">
        <f t="shared" si="188"/>
        <v>5504071</v>
      </c>
      <c r="AF327" s="45" t="str">
        <f t="shared" si="189"/>
        <v>[10]</v>
      </c>
      <c r="AG327" s="26">
        <v>100</v>
      </c>
      <c r="AH327" s="46"/>
      <c r="AI327" s="46">
        <v>1</v>
      </c>
      <c r="AJ327" s="25" t="s">
        <v>167</v>
      </c>
      <c r="AK327" s="44">
        <f t="shared" ref="AK327:AK332" si="191">AK326+1</f>
        <v>5504072</v>
      </c>
      <c r="AL327" s="50" t="str">
        <f t="shared" ref="AL327:AL332" si="192">AL326</f>
        <v>梦灵对半场外敌人的伤害&lt;color=#54b76b&gt;+%s%&lt;/color&gt;</v>
      </c>
      <c r="AM327" s="46">
        <v>10</v>
      </c>
      <c r="AN327" s="25"/>
      <c r="AO327" s="26" t="s">
        <v>31</v>
      </c>
      <c r="AP327" s="20">
        <f t="shared" si="138"/>
        <v>322</v>
      </c>
    </row>
    <row r="328" s="20" customFormat="1" customHeight="1" spans="1:42">
      <c r="A328" s="38">
        <v>5504073</v>
      </c>
      <c r="B328" s="38" t="str">
        <f t="shared" si="185"/>
        <v>5504071</v>
      </c>
      <c r="C328" s="32">
        <f t="shared" si="186"/>
        <v>3</v>
      </c>
      <c r="D328" s="32"/>
      <c r="E328" s="26" t="s">
        <v>360</v>
      </c>
      <c r="F328" s="26" t="str">
        <f t="shared" si="190"/>
        <v/>
      </c>
      <c r="G328" s="26">
        <f>IFERROR(IF(--MID($E328,2*COUNTIF($F328:F328,"&gt;"&amp;0)+2,1)=G$1,G$1,""),"")</f>
        <v>2</v>
      </c>
      <c r="H328" s="26" t="str">
        <f>IFERROR(IF(--MID($E328,2*COUNTIF($F328:G328,"&gt;"&amp;0)+2,1)=H$1,H$1,""),"")</f>
        <v/>
      </c>
      <c r="I328" s="26">
        <f>IFERROR(IF(--MID($E328,2*COUNTIF($F328:H328,"&gt;"&amp;0)+2,1)=I$1,I$1,""),"")</f>
        <v>4</v>
      </c>
      <c r="J328" s="26" t="str">
        <f>IFERROR(IF(--MID($E328,2*COUNTIF($F328:I328,"&gt;"&amp;0)+2,1)=J$1,J$1,""),"")</f>
        <v/>
      </c>
      <c r="K328" s="26" t="str">
        <f>IFERROR(IF(--MID($E328,2*COUNTIF($F328:J328,"&gt;"&amp;0)+2,1)=K$1,K$1,""),"")</f>
        <v/>
      </c>
      <c r="L328" s="39" t="str" cm="1">
        <f t="array" ref="L328">IFERROR(IF($A328="","",IF(F328="","",_xlfn.XLOOKUP($C328&amp;"_"&amp;$AG328,符文权重!$A:$A&amp;"_"&amp;符文权重!$C:$C,符文权重!$D:$D)*$X328/SUMIFS($X:$X,F:F,F328,$C:$C,$C328,$AG:$AG,$AG328)/SUMIF(符文权重!$A:$A,$C328,符文权重!$D:$D))),"")</f>
        <v/>
      </c>
      <c r="M328" s="39" cm="1">
        <f t="array" ref="M328">IFERROR(IF($A328="","",IF(G328="","",_xlfn.XLOOKUP($C328&amp;"_"&amp;$AG328,符文权重!$A:$A&amp;"_"&amp;符文权重!$C:$C,符文权重!$D:$D)*$X328/SUMIFS($X:$X,G:G,G328,$C:$C,$C328,$AG:$AG,$AG328)/SUMIF(符文权重!$A:$A,$C328,符文权重!$D:$D))),"")</f>
        <v>0.0123815165876777</v>
      </c>
      <c r="N328" s="39" t="str" cm="1">
        <f t="array" ref="N328">IFERROR(IF($A328="","",IF(H328="","",_xlfn.XLOOKUP($C328&amp;"_"&amp;$AG328,符文权重!$A:$A&amp;"_"&amp;符文权重!$C:$C,符文权重!$D:$D)*$X328/SUMIFS($X:$X,H:H,H328,$C:$C,$C328,$AG:$AG,$AG328)/SUMIF(符文权重!$A:$A,$C328,符文权重!$D:$D))),"")</f>
        <v/>
      </c>
      <c r="O328" s="39" cm="1">
        <f t="array" ref="O328">IFERROR(IF($A328="","",IF(I328="","",_xlfn.XLOOKUP($C328&amp;"_"&amp;$AG328,符文权重!$A:$A&amp;"_"&amp;符文权重!$C:$C,符文权重!$D:$D)*$X328/SUMIFS($X:$X,I:I,I328,$C:$C,$C328,$AG:$AG,$AG328)/SUMIF(符文权重!$A:$A,$C328,符文权重!$D:$D))),"")</f>
        <v>0.0100095785440613</v>
      </c>
      <c r="P328" s="39" t="str" cm="1">
        <f t="array" ref="P328">IFERROR(IF($A328="","",IF(J328="","",_xlfn.XLOOKUP($C328&amp;"_"&amp;$AG328,符文权重!$A:$A&amp;"_"&amp;符文权重!$C:$C,符文权重!$D:$D)*$X328/SUMIFS($X:$X,J:J,J328,$C:$C,$C328,$AG:$AG,$AG328)/SUMIF(符文权重!$A:$A,$C328,符文权重!$D:$D))),"")</f>
        <v/>
      </c>
      <c r="Q328" s="39" t="str" cm="1">
        <f t="array" ref="Q328">IFERROR(IF($A328="","",IF(K328="","",_xlfn.XLOOKUP($C328&amp;"_"&amp;$AG328,符文权重!$A:$A&amp;"_"&amp;符文权重!$C:$C,符文权重!$D:$D)*$X328/SUMIFS($X:$X,K:K,K328,$C:$C,$C328,$AG:$AG,$AG328)/SUMIF(符文权重!$A:$A,$C328,符文权重!$D:$D))),"")</f>
        <v/>
      </c>
      <c r="R328" s="26" t="s">
        <v>330</v>
      </c>
      <c r="S328" s="26"/>
      <c r="T328" s="26" t="e">
        <f>IF(B328="","",SUBSTITUTE(SUBSTITUTE("[{global_atk,"&amp;#REF!*C328&amp;"}]",21,20),9,8))</f>
        <v>#REF!</v>
      </c>
      <c r="U328" s="40" t="str">
        <f t="shared" si="187"/>
        <v>[5504073]</v>
      </c>
      <c r="V328" s="26"/>
      <c r="W328" s="25"/>
      <c r="X328" s="25">
        <v>11</v>
      </c>
      <c r="Y328" s="25"/>
      <c r="Z328" s="32" t="s">
        <v>172</v>
      </c>
      <c r="AA328" s="32" t="str">
        <f t="shared" si="146"/>
        <v>梦灵对半场外敌人的伤害+15%</v>
      </c>
      <c r="AB328" s="32"/>
      <c r="AC328" s="32" t="s">
        <v>166</v>
      </c>
      <c r="AD328" s="32">
        <f t="shared" ref="AD328:AD391" si="193">AD327+1</f>
        <v>1323</v>
      </c>
      <c r="AE328" s="38" t="str">
        <f t="shared" si="188"/>
        <v>5504071</v>
      </c>
      <c r="AF328" s="32" t="str">
        <f t="shared" si="189"/>
        <v>[15]</v>
      </c>
      <c r="AG328" s="26">
        <v>2</v>
      </c>
      <c r="AH328" s="26"/>
      <c r="AI328" s="26">
        <v>0</v>
      </c>
      <c r="AJ328" s="25" t="s">
        <v>167</v>
      </c>
      <c r="AK328" s="38">
        <f t="shared" si="191"/>
        <v>5504073</v>
      </c>
      <c r="AL328" s="41" t="str">
        <f t="shared" si="192"/>
        <v>梦灵对半场外敌人的伤害&lt;color=#54b76b&gt;+%s%&lt;/color&gt;</v>
      </c>
      <c r="AM328" s="26">
        <v>15</v>
      </c>
      <c r="AN328" s="25">
        <v>3</v>
      </c>
      <c r="AO328" s="26" t="s">
        <v>31</v>
      </c>
      <c r="AP328" s="20">
        <f t="shared" ref="AP328:AP391" si="194">AP327+1</f>
        <v>323</v>
      </c>
    </row>
    <row r="329" s="20" customFormat="1" customHeight="1" spans="1:42">
      <c r="A329" s="38">
        <v>5504074</v>
      </c>
      <c r="B329" s="38" t="str">
        <f t="shared" si="185"/>
        <v>5504071</v>
      </c>
      <c r="C329" s="32">
        <f t="shared" si="186"/>
        <v>4</v>
      </c>
      <c r="D329" s="32"/>
      <c r="E329" s="26" t="s">
        <v>360</v>
      </c>
      <c r="F329" s="26" t="str">
        <f t="shared" si="190"/>
        <v/>
      </c>
      <c r="G329" s="26">
        <f>IFERROR(IF(--MID($E329,2*COUNTIF($F329:F329,"&gt;"&amp;0)+2,1)=G$1,G$1,""),"")</f>
        <v>2</v>
      </c>
      <c r="H329" s="26" t="str">
        <f>IFERROR(IF(--MID($E329,2*COUNTIF($F329:G329,"&gt;"&amp;0)+2,1)=H$1,H$1,""),"")</f>
        <v/>
      </c>
      <c r="I329" s="26">
        <f>IFERROR(IF(--MID($E329,2*COUNTIF($F329:H329,"&gt;"&amp;0)+2,1)=I$1,I$1,""),"")</f>
        <v>4</v>
      </c>
      <c r="J329" s="26" t="str">
        <f>IFERROR(IF(--MID($E329,2*COUNTIF($F329:I329,"&gt;"&amp;0)+2,1)=J$1,J$1,""),"")</f>
        <v/>
      </c>
      <c r="K329" s="26" t="str">
        <f>IFERROR(IF(--MID($E329,2*COUNTIF($F329:J329,"&gt;"&amp;0)+2,1)=K$1,K$1,""),"")</f>
        <v/>
      </c>
      <c r="L329" s="39" t="str" cm="1">
        <f t="array" ref="L329">IFERROR(IF($A329="","",IF(F329="","",_xlfn.XLOOKUP($C329&amp;"_"&amp;$AG329,符文权重!$A:$A&amp;"_"&amp;符文权重!$C:$C,符文权重!$D:$D)*$X329/SUMIFS($X:$X,F:F,F329,$C:$C,$C329,$AG:$AG,$AG329)/SUMIF(符文权重!$A:$A,$C329,符文权重!$D:$D))),"")</f>
        <v/>
      </c>
      <c r="M329" s="39" cm="1">
        <f t="array" ref="M329">IFERROR(IF($A329="","",IF(G329="","",_xlfn.XLOOKUP($C329&amp;"_"&amp;$AG329,符文权重!$A:$A&amp;"_"&amp;符文权重!$C:$C,符文权重!$D:$D)*$X329/SUMIFS($X:$X,G:G,G329,$C:$C,$C329,$AG:$AG,$AG329)/SUMIF(符文权重!$A:$A,$C329,符文权重!$D:$D))),"")</f>
        <v>0.018969696969697</v>
      </c>
      <c r="N329" s="39" t="str" cm="1">
        <f t="array" ref="N329">IFERROR(IF($A329="","",IF(H329="","",_xlfn.XLOOKUP($C329&amp;"_"&amp;$AG329,符文权重!$A:$A&amp;"_"&amp;符文权重!$C:$C,符文权重!$D:$D)*$X329/SUMIFS($X:$X,H:H,H329,$C:$C,$C329,$AG:$AG,$AG329)/SUMIF(符文权重!$A:$A,$C329,符文权重!$D:$D))),"")</f>
        <v/>
      </c>
      <c r="O329" s="39" cm="1">
        <f t="array" ref="O329">IFERROR(IF($A329="","",IF(I329="","",_xlfn.XLOOKUP($C329&amp;"_"&amp;$AG329,符文权重!$A:$A&amp;"_"&amp;符文权重!$C:$C,符文权重!$D:$D)*$X329/SUMIFS($X:$X,I:I,I329,$C:$C,$C329,$AG:$AG,$AG329)/SUMIF(符文权重!$A:$A,$C329,符文权重!$D:$D))),"")</f>
        <v>0.018969696969697</v>
      </c>
      <c r="P329" s="39" t="str" cm="1">
        <f t="array" ref="P329">IFERROR(IF($A329="","",IF(J329="","",_xlfn.XLOOKUP($C329&amp;"_"&amp;$AG329,符文权重!$A:$A&amp;"_"&amp;符文权重!$C:$C,符文权重!$D:$D)*$X329/SUMIFS($X:$X,J:J,J329,$C:$C,$C329,$AG:$AG,$AG329)/SUMIF(符文权重!$A:$A,$C329,符文权重!$D:$D))),"")</f>
        <v/>
      </c>
      <c r="Q329" s="39" t="str" cm="1">
        <f t="array" ref="Q329">IFERROR(IF($A329="","",IF(K329="","",_xlfn.XLOOKUP($C329&amp;"_"&amp;$AG329,符文权重!$A:$A&amp;"_"&amp;符文权重!$C:$C,符文权重!$D:$D)*$X329/SUMIFS($X:$X,K:K,K329,$C:$C,$C329,$AG:$AG,$AG329)/SUMIF(符文权重!$A:$A,$C329,符文权重!$D:$D))),"")</f>
        <v/>
      </c>
      <c r="R329" s="26" t="s">
        <v>330</v>
      </c>
      <c r="S329" s="26"/>
      <c r="T329" s="26" t="e">
        <f>IF(B329="","",SUBSTITUTE(SUBSTITUTE("[{global_atk,"&amp;#REF!*C329&amp;"}]",21,20),9,8))</f>
        <v>#REF!</v>
      </c>
      <c r="U329" s="40" t="str">
        <f t="shared" si="187"/>
        <v>[5504074]</v>
      </c>
      <c r="V329" s="26"/>
      <c r="W329" s="25"/>
      <c r="X329" s="25">
        <v>16</v>
      </c>
      <c r="Y329" s="25"/>
      <c r="Z329" s="32" t="s">
        <v>174</v>
      </c>
      <c r="AA329" s="32" t="str">
        <f t="shared" si="146"/>
        <v>梦灵对半场外敌人的伤害+20%</v>
      </c>
      <c r="AB329" s="32"/>
      <c r="AC329" s="32" t="s">
        <v>166</v>
      </c>
      <c r="AD329" s="32">
        <f t="shared" si="193"/>
        <v>1324</v>
      </c>
      <c r="AE329" s="38" t="str">
        <f t="shared" si="188"/>
        <v>5504071</v>
      </c>
      <c r="AF329" s="32" t="str">
        <f t="shared" si="189"/>
        <v>[20]</v>
      </c>
      <c r="AG329" s="26">
        <v>3</v>
      </c>
      <c r="AH329" s="26"/>
      <c r="AI329" s="26">
        <v>0</v>
      </c>
      <c r="AJ329" s="25" t="s">
        <v>167</v>
      </c>
      <c r="AK329" s="38">
        <f t="shared" si="191"/>
        <v>5504074</v>
      </c>
      <c r="AL329" s="41" t="str">
        <f t="shared" si="192"/>
        <v>梦灵对半场外敌人的伤害&lt;color=#54b76b&gt;+%s%&lt;/color&gt;</v>
      </c>
      <c r="AM329" s="26">
        <v>20</v>
      </c>
      <c r="AN329" s="25">
        <v>3</v>
      </c>
      <c r="AO329" s="26" t="s">
        <v>31</v>
      </c>
      <c r="AP329" s="20">
        <f t="shared" si="194"/>
        <v>324</v>
      </c>
    </row>
    <row r="330" s="20" customFormat="1" customHeight="1" spans="1:42">
      <c r="A330" s="38">
        <v>5504075</v>
      </c>
      <c r="B330" s="38" t="str">
        <f t="shared" si="185"/>
        <v>5504071</v>
      </c>
      <c r="C330" s="32">
        <f t="shared" si="186"/>
        <v>5</v>
      </c>
      <c r="D330" s="32"/>
      <c r="E330" s="26" t="s">
        <v>360</v>
      </c>
      <c r="F330" s="26" t="str">
        <f t="shared" si="190"/>
        <v/>
      </c>
      <c r="G330" s="26">
        <f>IFERROR(IF(--MID($E330,2*COUNTIF($F330:F330,"&gt;"&amp;0)+2,1)=G$1,G$1,""),"")</f>
        <v>2</v>
      </c>
      <c r="H330" s="26" t="str">
        <f>IFERROR(IF(--MID($E330,2*COUNTIF($F330:G330,"&gt;"&amp;0)+2,1)=H$1,H$1,""),"")</f>
        <v/>
      </c>
      <c r="I330" s="26">
        <f>IFERROR(IF(--MID($E330,2*COUNTIF($F330:H330,"&gt;"&amp;0)+2,1)=I$1,I$1,""),"")</f>
        <v>4</v>
      </c>
      <c r="J330" s="26" t="str">
        <f>IFERROR(IF(--MID($E330,2*COUNTIF($F330:I330,"&gt;"&amp;0)+2,1)=J$1,J$1,""),"")</f>
        <v/>
      </c>
      <c r="K330" s="26" t="str">
        <f>IFERROR(IF(--MID($E330,2*COUNTIF($F330:J330,"&gt;"&amp;0)+2,1)=K$1,K$1,""),"")</f>
        <v/>
      </c>
      <c r="L330" s="39" t="str" cm="1">
        <f t="array" ref="L330">IFERROR(IF($A330="","",IF(F330="","",_xlfn.XLOOKUP($C330&amp;"_"&amp;$AG330,符文权重!$A:$A&amp;"_"&amp;符文权重!$C:$C,符文权重!$D:$D)*$X330/SUMIFS($X:$X,F:F,F330,$C:$C,$C330,$AG:$AG,$AG330)/SUMIF(符文权重!$A:$A,$C330,符文权重!$D:$D))),"")</f>
        <v/>
      </c>
      <c r="M330" s="39" cm="1">
        <f t="array" ref="M330">IFERROR(IF($A330="","",IF(G330="","",_xlfn.XLOOKUP($C330&amp;"_"&amp;$AG330,符文权重!$A:$A&amp;"_"&amp;符文权重!$C:$C,符文权重!$D:$D)*$X330/SUMIFS($X:$X,G:G,G330,$C:$C,$C330,$AG:$AG,$AG330)/SUMIF(符文权重!$A:$A,$C330,符文权重!$D:$D))),"")</f>
        <v>0.0125</v>
      </c>
      <c r="N330" s="39" t="str" cm="1">
        <f t="array" ref="N330">IFERROR(IF($A330="","",IF(H330="","",_xlfn.XLOOKUP($C330&amp;"_"&amp;$AG330,符文权重!$A:$A&amp;"_"&amp;符文权重!$C:$C,符文权重!$D:$D)*$X330/SUMIFS($X:$X,H:H,H330,$C:$C,$C330,$AG:$AG,$AG330)/SUMIF(符文权重!$A:$A,$C330,符文权重!$D:$D))),"")</f>
        <v/>
      </c>
      <c r="O330" s="39" cm="1">
        <f t="array" ref="O330">IFERROR(IF($A330="","",IF(I330="","",_xlfn.XLOOKUP($C330&amp;"_"&amp;$AG330,符文权重!$A:$A&amp;"_"&amp;符文权重!$C:$C,符文权重!$D:$D)*$X330/SUMIFS($X:$X,I:I,I330,$C:$C,$C330,$AG:$AG,$AG330)/SUMIF(符文权重!$A:$A,$C330,符文权重!$D:$D))),"")</f>
        <v>0.009375</v>
      </c>
      <c r="P330" s="39" t="str" cm="1">
        <f t="array" ref="P330">IFERROR(IF($A330="","",IF(J330="","",_xlfn.XLOOKUP($C330&amp;"_"&amp;$AG330,符文权重!$A:$A&amp;"_"&amp;符文权重!$C:$C,符文权重!$D:$D)*$X330/SUMIFS($X:$X,J:J,J330,$C:$C,$C330,$AG:$AG,$AG330)/SUMIF(符文权重!$A:$A,$C330,符文权重!$D:$D))),"")</f>
        <v/>
      </c>
      <c r="Q330" s="39" t="str" cm="1">
        <f t="array" ref="Q330">IFERROR(IF($A330="","",IF(K330="","",_xlfn.XLOOKUP($C330&amp;"_"&amp;$AG330,符文权重!$A:$A&amp;"_"&amp;符文权重!$C:$C,符文权重!$D:$D)*$X330/SUMIFS($X:$X,K:K,K330,$C:$C,$C330,$AG:$AG,$AG330)/SUMIF(符文权重!$A:$A,$C330,符文权重!$D:$D))),"")</f>
        <v/>
      </c>
      <c r="R330" s="26" t="s">
        <v>330</v>
      </c>
      <c r="S330" s="26"/>
      <c r="T330" s="26" t="e">
        <f>IF(B330="","",SUBSTITUTE(SUBSTITUTE("[{global_atk,"&amp;#REF!*C330&amp;"}]",21,20),9,8))</f>
        <v>#REF!</v>
      </c>
      <c r="U330" s="40" t="str">
        <f t="shared" si="187"/>
        <v>[5504075]</v>
      </c>
      <c r="V330" s="26"/>
      <c r="W330" s="25"/>
      <c r="X330" s="25">
        <v>100</v>
      </c>
      <c r="Y330" s="25"/>
      <c r="Z330" s="32" t="s">
        <v>176</v>
      </c>
      <c r="AA330" s="32" t="str">
        <f t="shared" si="146"/>
        <v>梦灵对半场外敌人的伤害+25%</v>
      </c>
      <c r="AB330" s="32"/>
      <c r="AC330" s="32" t="s">
        <v>166</v>
      </c>
      <c r="AD330" s="32">
        <f t="shared" si="193"/>
        <v>1325</v>
      </c>
      <c r="AE330" s="38" t="str">
        <f t="shared" si="188"/>
        <v>5504071</v>
      </c>
      <c r="AF330" s="32" t="str">
        <f t="shared" si="189"/>
        <v>[25]</v>
      </c>
      <c r="AG330" s="26">
        <v>4</v>
      </c>
      <c r="AH330" s="26"/>
      <c r="AI330" s="26">
        <v>0</v>
      </c>
      <c r="AJ330" s="25" t="s">
        <v>167</v>
      </c>
      <c r="AK330" s="38">
        <f t="shared" si="191"/>
        <v>5504075</v>
      </c>
      <c r="AL330" s="41" t="str">
        <f t="shared" si="192"/>
        <v>梦灵对半场外敌人的伤害&lt;color=#54b76b&gt;+%s%&lt;/color&gt;</v>
      </c>
      <c r="AM330" s="26">
        <v>25</v>
      </c>
      <c r="AN330" s="25">
        <v>3</v>
      </c>
      <c r="AO330" s="26" t="s">
        <v>31</v>
      </c>
      <c r="AP330" s="20">
        <f t="shared" si="194"/>
        <v>325</v>
      </c>
    </row>
    <row r="331" s="20" customFormat="1" customHeight="1" spans="1:42">
      <c r="A331" s="38">
        <v>5504076</v>
      </c>
      <c r="B331" s="38" t="str">
        <f t="shared" si="185"/>
        <v>5504071</v>
      </c>
      <c r="C331" s="32">
        <f t="shared" si="186"/>
        <v>6</v>
      </c>
      <c r="D331" s="32"/>
      <c r="E331" s="26" t="s">
        <v>360</v>
      </c>
      <c r="F331" s="26" t="str">
        <f t="shared" si="190"/>
        <v/>
      </c>
      <c r="G331" s="26">
        <f>IFERROR(IF(--MID($E331,2*COUNTIF($F331:F331,"&gt;"&amp;0)+2,1)=G$1,G$1,""),"")</f>
        <v>2</v>
      </c>
      <c r="H331" s="26" t="str">
        <f>IFERROR(IF(--MID($E331,2*COUNTIF($F331:G331,"&gt;"&amp;0)+2,1)=H$1,H$1,""),"")</f>
        <v/>
      </c>
      <c r="I331" s="26">
        <f>IFERROR(IF(--MID($E331,2*COUNTIF($F331:H331,"&gt;"&amp;0)+2,1)=I$1,I$1,""),"")</f>
        <v>4</v>
      </c>
      <c r="J331" s="26" t="str">
        <f>IFERROR(IF(--MID($E331,2*COUNTIF($F331:I331,"&gt;"&amp;0)+2,1)=J$1,J$1,""),"")</f>
        <v/>
      </c>
      <c r="K331" s="26" t="str">
        <f>IFERROR(IF(--MID($E331,2*COUNTIF($F331:J331,"&gt;"&amp;0)+2,1)=K$1,K$1,""),"")</f>
        <v/>
      </c>
      <c r="L331" s="39" t="str" cm="1">
        <f t="array" ref="L331">IFERROR(IF($A331="","",IF(F331="","",_xlfn.XLOOKUP($C331&amp;"_"&amp;$AG331,符文权重!$A:$A&amp;"_"&amp;符文权重!$C:$C,符文权重!$D:$D)*$X331/SUMIFS($X:$X,F:F,F331,$C:$C,$C331,$AG:$AG,$AG331)/SUMIF(符文权重!$A:$A,$C331,符文权重!$D:$D))),"")</f>
        <v/>
      </c>
      <c r="M331" s="39" cm="1">
        <f t="array" ref="M331">IFERROR(IF($A331="","",IF(G331="","",_xlfn.XLOOKUP($C331&amp;"_"&amp;$AG331,符文权重!$A:$A&amp;"_"&amp;符文权重!$C:$C,符文权重!$D:$D)*$X331/SUMIFS($X:$X,G:G,G331,$C:$C,$C331,$AG:$AG,$AG331)/SUMIF(符文权重!$A:$A,$C331,符文权重!$D:$D))),"")</f>
        <v>0.0125</v>
      </c>
      <c r="N331" s="39" t="str" cm="1">
        <f t="array" ref="N331">IFERROR(IF($A331="","",IF(H331="","",_xlfn.XLOOKUP($C331&amp;"_"&amp;$AG331,符文权重!$A:$A&amp;"_"&amp;符文权重!$C:$C,符文权重!$D:$D)*$X331/SUMIFS($X:$X,H:H,H331,$C:$C,$C331,$AG:$AG,$AG331)/SUMIF(符文权重!$A:$A,$C331,符文权重!$D:$D))),"")</f>
        <v/>
      </c>
      <c r="O331" s="39" cm="1">
        <f t="array" ref="O331">IFERROR(IF($A331="","",IF(I331="","",_xlfn.XLOOKUP($C331&amp;"_"&amp;$AG331,符文权重!$A:$A&amp;"_"&amp;符文权重!$C:$C,符文权重!$D:$D)*$X331/SUMIFS($X:$X,I:I,I331,$C:$C,$C331,$AG:$AG,$AG331)/SUMIF(符文权重!$A:$A,$C331,符文权重!$D:$D))),"")</f>
        <v>0.009375</v>
      </c>
      <c r="P331" s="39" t="str" cm="1">
        <f t="array" ref="P331">IFERROR(IF($A331="","",IF(J331="","",_xlfn.XLOOKUP($C331&amp;"_"&amp;$AG331,符文权重!$A:$A&amp;"_"&amp;符文权重!$C:$C,符文权重!$D:$D)*$X331/SUMIFS($X:$X,J:J,J331,$C:$C,$C331,$AG:$AG,$AG331)/SUMIF(符文权重!$A:$A,$C331,符文权重!$D:$D))),"")</f>
        <v/>
      </c>
      <c r="Q331" s="39" t="str" cm="1">
        <f t="array" ref="Q331">IFERROR(IF($A331="","",IF(K331="","",_xlfn.XLOOKUP($C331&amp;"_"&amp;$AG331,符文权重!$A:$A&amp;"_"&amp;符文权重!$C:$C,符文权重!$D:$D)*$X331/SUMIFS($X:$X,K:K,K331,$C:$C,$C331,$AG:$AG,$AG331)/SUMIF(符文权重!$A:$A,$C331,符文权重!$D:$D))),"")</f>
        <v/>
      </c>
      <c r="R331" s="26" t="s">
        <v>330</v>
      </c>
      <c r="S331" s="26"/>
      <c r="T331" s="26" t="e">
        <f>IF(B331="","",SUBSTITUTE(SUBSTITUTE("[{global_atk,"&amp;#REF!*C331&amp;"}]",21,20),9,8))</f>
        <v>#REF!</v>
      </c>
      <c r="U331" s="40" t="str">
        <f t="shared" si="187"/>
        <v>[5504076]</v>
      </c>
      <c r="V331" s="26"/>
      <c r="W331" s="25"/>
      <c r="X331" s="25">
        <v>100</v>
      </c>
      <c r="Y331" s="25"/>
      <c r="Z331" s="32" t="s">
        <v>178</v>
      </c>
      <c r="AA331" s="32" t="str">
        <f t="shared" si="146"/>
        <v>梦灵对半场外敌人的伤害+30%</v>
      </c>
      <c r="AB331" s="32"/>
      <c r="AC331" s="32" t="s">
        <v>166</v>
      </c>
      <c r="AD331" s="32">
        <f t="shared" si="193"/>
        <v>1326</v>
      </c>
      <c r="AE331" s="38" t="str">
        <f t="shared" si="188"/>
        <v>5504071</v>
      </c>
      <c r="AF331" s="32" t="str">
        <f t="shared" si="189"/>
        <v>[30]</v>
      </c>
      <c r="AG331" s="26">
        <v>4</v>
      </c>
      <c r="AH331" s="26"/>
      <c r="AI331" s="26">
        <v>0</v>
      </c>
      <c r="AJ331" s="25" t="s">
        <v>167</v>
      </c>
      <c r="AK331" s="38">
        <f t="shared" si="191"/>
        <v>5504076</v>
      </c>
      <c r="AL331" s="41" t="str">
        <f t="shared" si="192"/>
        <v>梦灵对半场外敌人的伤害&lt;color=#54b76b&gt;+%s%&lt;/color&gt;</v>
      </c>
      <c r="AM331" s="26">
        <v>30</v>
      </c>
      <c r="AN331" s="25">
        <v>3</v>
      </c>
      <c r="AO331" s="26" t="s">
        <v>31</v>
      </c>
      <c r="AP331" s="20">
        <f t="shared" si="194"/>
        <v>326</v>
      </c>
    </row>
    <row r="332" s="20" customFormat="1" customHeight="1" spans="1:42">
      <c r="A332" s="38">
        <v>5504077</v>
      </c>
      <c r="B332" s="38" t="str">
        <f t="shared" si="185"/>
        <v>5504071</v>
      </c>
      <c r="C332" s="32">
        <f t="shared" si="186"/>
        <v>7</v>
      </c>
      <c r="D332" s="32"/>
      <c r="E332" s="26" t="s">
        <v>360</v>
      </c>
      <c r="F332" s="26" t="str">
        <f t="shared" si="190"/>
        <v/>
      </c>
      <c r="G332" s="26">
        <f>IFERROR(IF(--MID($E332,2*COUNTIF($F332:F332,"&gt;"&amp;0)+2,1)=G$1,G$1,""),"")</f>
        <v>2</v>
      </c>
      <c r="H332" s="26" t="str">
        <f>IFERROR(IF(--MID($E332,2*COUNTIF($F332:G332,"&gt;"&amp;0)+2,1)=H$1,H$1,""),"")</f>
        <v/>
      </c>
      <c r="I332" s="26">
        <f>IFERROR(IF(--MID($E332,2*COUNTIF($F332:H332,"&gt;"&amp;0)+2,1)=I$1,I$1,""),"")</f>
        <v>4</v>
      </c>
      <c r="J332" s="26" t="str">
        <f>IFERROR(IF(--MID($E332,2*COUNTIF($F332:I332,"&gt;"&amp;0)+2,1)=J$1,J$1,""),"")</f>
        <v/>
      </c>
      <c r="K332" s="26" t="str">
        <f>IFERROR(IF(--MID($E332,2*COUNTIF($F332:J332,"&gt;"&amp;0)+2,1)=K$1,K$1,""),"")</f>
        <v/>
      </c>
      <c r="L332" s="39" t="str" cm="1">
        <f t="array" ref="L332">IFERROR(IF($A332="","",IF(F332="","",_xlfn.XLOOKUP($C332&amp;"_"&amp;$AG332,符文权重!$A:$A&amp;"_"&amp;符文权重!$C:$C,符文权重!$D:$D)*$X332/SUMIFS($X:$X,F:F,F332,$C:$C,$C332,$AG:$AG,$AG332)/SUMIF(符文权重!$A:$A,$C332,符文权重!$D:$D))),"")</f>
        <v/>
      </c>
      <c r="M332" s="39" cm="1">
        <f t="array" ref="M332">IFERROR(IF($A332="","",IF(G332="","",_xlfn.XLOOKUP($C332&amp;"_"&amp;$AG332,符文权重!$A:$A&amp;"_"&amp;符文权重!$C:$C,符文权重!$D:$D)*$X332/SUMIFS($X:$X,G:G,G332,$C:$C,$C332,$AG:$AG,$AG332)/SUMIF(符文权重!$A:$A,$C332,符文权重!$D:$D))),"")</f>
        <v>0.0125</v>
      </c>
      <c r="N332" s="39" t="str" cm="1">
        <f t="array" ref="N332">IFERROR(IF($A332="","",IF(H332="","",_xlfn.XLOOKUP($C332&amp;"_"&amp;$AG332,符文权重!$A:$A&amp;"_"&amp;符文权重!$C:$C,符文权重!$D:$D)*$X332/SUMIFS($X:$X,H:H,H332,$C:$C,$C332,$AG:$AG,$AG332)/SUMIF(符文权重!$A:$A,$C332,符文权重!$D:$D))),"")</f>
        <v/>
      </c>
      <c r="O332" s="39" cm="1">
        <f t="array" ref="O332">IFERROR(IF($A332="","",IF(I332="","",_xlfn.XLOOKUP($C332&amp;"_"&amp;$AG332,符文权重!$A:$A&amp;"_"&amp;符文权重!$C:$C,符文权重!$D:$D)*$X332/SUMIFS($X:$X,I:I,I332,$C:$C,$C332,$AG:$AG,$AG332)/SUMIF(符文权重!$A:$A,$C332,符文权重!$D:$D))),"")</f>
        <v>0.009375</v>
      </c>
      <c r="P332" s="39" t="str" cm="1">
        <f t="array" ref="P332">IFERROR(IF($A332="","",IF(J332="","",_xlfn.XLOOKUP($C332&amp;"_"&amp;$AG332,符文权重!$A:$A&amp;"_"&amp;符文权重!$C:$C,符文权重!$D:$D)*$X332/SUMIFS($X:$X,J:J,J332,$C:$C,$C332,$AG:$AG,$AG332)/SUMIF(符文权重!$A:$A,$C332,符文权重!$D:$D))),"")</f>
        <v/>
      </c>
      <c r="Q332" s="39" t="str" cm="1">
        <f t="array" ref="Q332">IFERROR(IF($A332="","",IF(K332="","",_xlfn.XLOOKUP($C332&amp;"_"&amp;$AG332,符文权重!$A:$A&amp;"_"&amp;符文权重!$C:$C,符文权重!$D:$D)*$X332/SUMIFS($X:$X,K:K,K332,$C:$C,$C332,$AG:$AG,$AG332)/SUMIF(符文权重!$A:$A,$C332,符文权重!$D:$D))),"")</f>
        <v/>
      </c>
      <c r="R332" s="26" t="s">
        <v>330</v>
      </c>
      <c r="S332" s="26"/>
      <c r="T332" s="26" t="e">
        <f>IF(B332="","",SUBSTITUTE(SUBSTITUTE("[{global_atk,"&amp;#REF!*C332&amp;"}]",21,20),9,8))</f>
        <v>#REF!</v>
      </c>
      <c r="U332" s="40" t="str">
        <f t="shared" si="187"/>
        <v>[5504077]</v>
      </c>
      <c r="V332" s="53"/>
      <c r="W332" s="25"/>
      <c r="X332" s="25">
        <v>100</v>
      </c>
      <c r="Y332" s="25"/>
      <c r="Z332" s="32" t="s">
        <v>180</v>
      </c>
      <c r="AA332" s="32" t="str">
        <f t="shared" si="146"/>
        <v>梦灵对半场外敌人的伤害+35%</v>
      </c>
      <c r="AB332" s="32"/>
      <c r="AC332" s="32" t="s">
        <v>166</v>
      </c>
      <c r="AD332" s="32">
        <f t="shared" si="193"/>
        <v>1327</v>
      </c>
      <c r="AE332" s="38" t="str">
        <f t="shared" si="188"/>
        <v>5504071</v>
      </c>
      <c r="AF332" s="32" t="str">
        <f t="shared" si="189"/>
        <v>[35]</v>
      </c>
      <c r="AG332" s="26">
        <v>4</v>
      </c>
      <c r="AH332" s="26"/>
      <c r="AI332" s="26">
        <v>0</v>
      </c>
      <c r="AJ332" s="25" t="s">
        <v>167</v>
      </c>
      <c r="AK332" s="38">
        <f t="shared" si="191"/>
        <v>5504077</v>
      </c>
      <c r="AL332" s="41" t="str">
        <f t="shared" si="192"/>
        <v>梦灵对半场外敌人的伤害&lt;color=#54b76b&gt;+%s%&lt;/color&gt;</v>
      </c>
      <c r="AM332" s="26">
        <v>35</v>
      </c>
      <c r="AN332" s="25">
        <v>3</v>
      </c>
      <c r="AO332" s="26" t="s">
        <v>31</v>
      </c>
      <c r="AP332" s="20">
        <f t="shared" si="194"/>
        <v>327</v>
      </c>
    </row>
    <row r="333" s="20" customFormat="1" customHeight="1" spans="1:42">
      <c r="A333" s="38" t="s">
        <v>167</v>
      </c>
      <c r="B333" s="38" t="str">
        <f t="shared" si="185"/>
        <v/>
      </c>
      <c r="C333" s="32" t="str">
        <f t="shared" si="186"/>
        <v/>
      </c>
      <c r="D333" s="32"/>
      <c r="E333" s="26"/>
      <c r="F333" s="26" t="str">
        <f t="shared" si="190"/>
        <v/>
      </c>
      <c r="G333" s="26" t="str">
        <f>IFERROR(IF(--MID($E333,2*COUNTIF($F333:F333,"&gt;"&amp;0)+2,1)=G$1,G$1,""),"")</f>
        <v/>
      </c>
      <c r="H333" s="26" t="str">
        <f>IFERROR(IF(--MID($E333,2*COUNTIF($F333:G333,"&gt;"&amp;0)+2,1)=H$1,H$1,""),"")</f>
        <v/>
      </c>
      <c r="I333" s="26" t="str">
        <f>IFERROR(IF(--MID($E333,2*COUNTIF($F333:H333,"&gt;"&amp;0)+2,1)=I$1,I$1,""),"")</f>
        <v/>
      </c>
      <c r="J333" s="26" t="str">
        <f>IFERROR(IF(--MID($E333,2*COUNTIF($F333:I333,"&gt;"&amp;0)+2,1)=J$1,J$1,""),"")</f>
        <v/>
      </c>
      <c r="K333" s="26" t="str">
        <f>IFERROR(IF(--MID($E333,2*COUNTIF($F333:J333,"&gt;"&amp;0)+2,1)=K$1,K$1,""),"")</f>
        <v/>
      </c>
      <c r="L333" s="39" t="str" cm="1">
        <f t="array" ref="L333">IFERROR(IF($A333="","",IF(F333="","",_xlfn.XLOOKUP($C333&amp;"_"&amp;$AG333,符文权重!$A:$A&amp;"_"&amp;符文权重!$C:$C,符文权重!$D:$D)*$X333/SUMIFS($X:$X,F:F,F333,$C:$C,$C333,$AG:$AG,$AG333)/SUMIF(符文权重!$A:$A,$C333,符文权重!$D:$D))),"")</f>
        <v/>
      </c>
      <c r="M333" s="39" t="str" cm="1">
        <f t="array" ref="M333">IFERROR(IF($A333="","",IF(G333="","",_xlfn.XLOOKUP($C333&amp;"_"&amp;$AG333,符文权重!$A:$A&amp;"_"&amp;符文权重!$C:$C,符文权重!$D:$D)*$X333/SUMIFS($X:$X,G:G,G333,$C:$C,$C333,$AG:$AG,$AG333)/SUMIF(符文权重!$A:$A,$C333,符文权重!$D:$D))),"")</f>
        <v/>
      </c>
      <c r="N333" s="39" t="str" cm="1">
        <f t="array" ref="N333">IFERROR(IF($A333="","",IF(H333="","",_xlfn.XLOOKUP($C333&amp;"_"&amp;$AG333,符文权重!$A:$A&amp;"_"&amp;符文权重!$C:$C,符文权重!$D:$D)*$X333/SUMIFS($X:$X,H:H,H333,$C:$C,$C333,$AG:$AG,$AG333)/SUMIF(符文权重!$A:$A,$C333,符文权重!$D:$D))),"")</f>
        <v/>
      </c>
      <c r="O333" s="39" t="str" cm="1">
        <f t="array" ref="O333">IFERROR(IF($A333="","",IF(I333="","",_xlfn.XLOOKUP($C333&amp;"_"&amp;$AG333,符文权重!$A:$A&amp;"_"&amp;符文权重!$C:$C,符文权重!$D:$D)*$X333/SUMIFS($X:$X,I:I,I333,$C:$C,$C333,$AG:$AG,$AG333)/SUMIF(符文权重!$A:$A,$C333,符文权重!$D:$D))),"")</f>
        <v/>
      </c>
      <c r="P333" s="39" t="str" cm="1">
        <f t="array" ref="P333">IFERROR(IF($A333="","",IF(J333="","",_xlfn.XLOOKUP($C333&amp;"_"&amp;$AG333,符文权重!$A:$A&amp;"_"&amp;符文权重!$C:$C,符文权重!$D:$D)*$X333/SUMIFS($X:$X,J:J,J333,$C:$C,$C333,$AG:$AG,$AG333)/SUMIF(符文权重!$A:$A,$C333,符文权重!$D:$D))),"")</f>
        <v/>
      </c>
      <c r="Q333" s="39" t="str" cm="1">
        <f t="array" ref="Q333">IFERROR(IF($A333="","",IF(K333="","",_xlfn.XLOOKUP($C333&amp;"_"&amp;$AG333,符文权重!$A:$A&amp;"_"&amp;符文权重!$C:$C,符文权重!$D:$D)*$X333/SUMIFS($X:$X,K:K,K333,$C:$C,$C333,$AG:$AG,$AG333)/SUMIF(符文权重!$A:$A,$C333,符文权重!$D:$D))),"")</f>
        <v/>
      </c>
      <c r="R333" s="26"/>
      <c r="S333" s="26"/>
      <c r="T333" s="26"/>
      <c r="V333" s="31"/>
      <c r="W333" s="25"/>
      <c r="X333" s="25"/>
      <c r="Y333" s="25"/>
      <c r="Z333" s="32" t="s">
        <v>167</v>
      </c>
      <c r="AA333" s="32" t="str">
        <f t="shared" si="146"/>
        <v/>
      </c>
      <c r="AB333" s="32"/>
      <c r="AC333" s="32" t="s">
        <v>166</v>
      </c>
      <c r="AD333" s="32">
        <f t="shared" si="193"/>
        <v>1328</v>
      </c>
      <c r="AE333" s="38" t="str">
        <f t="shared" si="188"/>
        <v/>
      </c>
      <c r="AF333" s="32" t="str">
        <f t="shared" si="189"/>
        <v/>
      </c>
      <c r="AG333" s="26"/>
      <c r="AH333" s="26"/>
      <c r="AI333" s="26"/>
      <c r="AJ333" s="25" t="s">
        <v>167</v>
      </c>
      <c r="AK333" s="24"/>
      <c r="AL333" s="43"/>
      <c r="AM333" s="26"/>
      <c r="AN333" s="25"/>
      <c r="AO333" s="25"/>
      <c r="AP333" s="20">
        <f t="shared" si="194"/>
        <v>328</v>
      </c>
    </row>
    <row r="334" s="23" customFormat="1" customHeight="1" spans="1:42">
      <c r="A334" s="44">
        <v>5505011</v>
      </c>
      <c r="B334" s="44" t="s">
        <v>379</v>
      </c>
      <c r="C334" s="45">
        <v>1</v>
      </c>
      <c r="D334" s="45"/>
      <c r="E334" s="46" t="s">
        <v>191</v>
      </c>
      <c r="F334" s="26">
        <f t="shared" si="190"/>
        <v>1</v>
      </c>
      <c r="G334" s="26" t="str">
        <f>IFERROR(IF(--MID($E334,2*COUNTIF($F334:F334,"&gt;"&amp;0)+2,1)=G$1,G$1,""),"")</f>
        <v/>
      </c>
      <c r="H334" s="26" t="str">
        <f>IFERROR(IF(--MID($E334,2*COUNTIF($F334:G334,"&gt;"&amp;0)+2,1)=H$1,H$1,""),"")</f>
        <v/>
      </c>
      <c r="I334" s="26" t="str">
        <f>IFERROR(IF(--MID($E334,2*COUNTIF($F334:H334,"&gt;"&amp;0)+2,1)=I$1,I$1,""),"")</f>
        <v/>
      </c>
      <c r="J334" s="26" t="str">
        <f>IFERROR(IF(--MID($E334,2*COUNTIF($F334:I334,"&gt;"&amp;0)+2,1)=J$1,J$1,""),"")</f>
        <v/>
      </c>
      <c r="K334" s="26" t="str">
        <f>IFERROR(IF(--MID($E334,2*COUNTIF($F334:J334,"&gt;"&amp;0)+2,1)=K$1,K$1,""),"")</f>
        <v/>
      </c>
      <c r="L334" s="39" t="str" cm="1">
        <f t="array" ref="L334">IFERROR(IF($A334="","",IF(F334="","",_xlfn.XLOOKUP($C334&amp;"_"&amp;$AG334,符文权重!$A:$A&amp;"_"&amp;符文权重!$C:$C,符文权重!$D:$D)*$X334/SUMIFS($X:$X,F:F,F334,$C:$C,$C334,$AG:$AG,$AG334)/SUMIF(符文权重!$A:$A,$C334,符文权重!$D:$D))),"")</f>
        <v/>
      </c>
      <c r="M334" s="39" t="str" cm="1">
        <f t="array" ref="M334">IFERROR(IF($A334="","",IF(G334="","",_xlfn.XLOOKUP($C334&amp;"_"&amp;$AG334,符文权重!$A:$A&amp;"_"&amp;符文权重!$C:$C,符文权重!$D:$D)*$X334/SUMIFS($X:$X,G:G,G334,$C:$C,$C334,$AG:$AG,$AG334)/SUMIF(符文权重!$A:$A,$C334,符文权重!$D:$D))),"")</f>
        <v/>
      </c>
      <c r="N334" s="39" t="str" cm="1">
        <f t="array" ref="N334">IFERROR(IF($A334="","",IF(H334="","",_xlfn.XLOOKUP($C334&amp;"_"&amp;$AG334,符文权重!$A:$A&amp;"_"&amp;符文权重!$C:$C,符文权重!$D:$D)*$X334/SUMIFS($X:$X,H:H,H334,$C:$C,$C334,$AG:$AG,$AG334)/SUMIF(符文权重!$A:$A,$C334,符文权重!$D:$D))),"")</f>
        <v/>
      </c>
      <c r="O334" s="39" t="str" cm="1">
        <f t="array" ref="O334">IFERROR(IF($A334="","",IF(I334="","",_xlfn.XLOOKUP($C334&amp;"_"&amp;$AG334,符文权重!$A:$A&amp;"_"&amp;符文权重!$C:$C,符文权重!$D:$D)*$X334/SUMIFS($X:$X,I:I,I334,$C:$C,$C334,$AG:$AG,$AG334)/SUMIF(符文权重!$A:$A,$C334,符文权重!$D:$D))),"")</f>
        <v/>
      </c>
      <c r="P334" s="39" t="str" cm="1">
        <f t="array" ref="P334">IFERROR(IF($A334="","",IF(J334="","",_xlfn.XLOOKUP($C334&amp;"_"&amp;$AG334,符文权重!$A:$A&amp;"_"&amp;符文权重!$C:$C,符文权重!$D:$D)*$X334/SUMIFS($X:$X,J:J,J334,$C:$C,$C334,$AG:$AG,$AG334)/SUMIF(符文权重!$A:$A,$C334,符文权重!$D:$D))),"")</f>
        <v/>
      </c>
      <c r="Q334" s="39" t="str" cm="1">
        <f t="array" ref="Q334">IFERROR(IF($A334="","",IF(K334="","",_xlfn.XLOOKUP($C334&amp;"_"&amp;$AG334,符文权重!$A:$A&amp;"_"&amp;符文权重!$C:$C,符文权重!$D:$D)*$X334/SUMIFS($X:$X,K:K,K334,$C:$C,$C334,$AG:$AG,$AG334)/SUMIF(符文权重!$A:$A,$C334,符文权重!$D:$D))),"")</f>
        <v/>
      </c>
      <c r="R334" s="46" t="s">
        <v>163</v>
      </c>
      <c r="S334" s="46"/>
      <c r="T334" s="46" t="s">
        <v>380</v>
      </c>
      <c r="U334" s="47" t="s">
        <v>381</v>
      </c>
      <c r="V334" s="46"/>
      <c r="X334" s="25">
        <v>100</v>
      </c>
      <c r="Z334" s="45" t="s">
        <v>165</v>
      </c>
      <c r="AA334" s="32" t="str">
        <f t="shared" si="146"/>
        <v>梦灵每升阶一次后，所有伤害+4%</v>
      </c>
      <c r="AB334" s="32"/>
      <c r="AC334" s="32" t="s">
        <v>166</v>
      </c>
      <c r="AD334" s="32">
        <f t="shared" si="193"/>
        <v>1329</v>
      </c>
      <c r="AE334" s="44" t="s">
        <v>379</v>
      </c>
      <c r="AF334" s="45" t="s">
        <v>375</v>
      </c>
      <c r="AG334" s="26">
        <v>100</v>
      </c>
      <c r="AH334" s="46"/>
      <c r="AI334" s="46">
        <v>1</v>
      </c>
      <c r="AJ334" s="25">
        <v>1</v>
      </c>
      <c r="AK334" s="48">
        <v>5505011</v>
      </c>
      <c r="AL334" s="55" t="s">
        <v>382</v>
      </c>
      <c r="AM334" s="46">
        <v>4</v>
      </c>
      <c r="AN334" s="25"/>
      <c r="AO334" s="25" t="s">
        <v>25</v>
      </c>
      <c r="AP334" s="20">
        <f t="shared" si="194"/>
        <v>329</v>
      </c>
    </row>
    <row r="335" s="23" customFormat="1" customHeight="1" spans="1:42">
      <c r="A335" s="44">
        <v>5505012</v>
      </c>
      <c r="B335" s="44" t="s">
        <v>379</v>
      </c>
      <c r="C335" s="45">
        <v>2</v>
      </c>
      <c r="D335" s="45"/>
      <c r="E335" s="46" t="s">
        <v>191</v>
      </c>
      <c r="F335" s="26">
        <f t="shared" si="190"/>
        <v>1</v>
      </c>
      <c r="G335" s="26" t="str">
        <f>IFERROR(IF(--MID($E335,2*COUNTIF($F335:F335,"&gt;"&amp;0)+2,1)=G$1,G$1,""),"")</f>
        <v/>
      </c>
      <c r="H335" s="26" t="str">
        <f>IFERROR(IF(--MID($E335,2*COUNTIF($F335:G335,"&gt;"&amp;0)+2,1)=H$1,H$1,""),"")</f>
        <v/>
      </c>
      <c r="I335" s="26" t="str">
        <f>IFERROR(IF(--MID($E335,2*COUNTIF($F335:H335,"&gt;"&amp;0)+2,1)=I$1,I$1,""),"")</f>
        <v/>
      </c>
      <c r="J335" s="26" t="str">
        <f>IFERROR(IF(--MID($E335,2*COUNTIF($F335:I335,"&gt;"&amp;0)+2,1)=J$1,J$1,""),"")</f>
        <v/>
      </c>
      <c r="K335" s="26" t="str">
        <f>IFERROR(IF(--MID($E335,2*COUNTIF($F335:J335,"&gt;"&amp;0)+2,1)=K$1,K$1,""),"")</f>
        <v/>
      </c>
      <c r="L335" s="39" t="str" cm="1">
        <f t="array" ref="L335">IFERROR(IF($A335="","",IF(F335="","",_xlfn.XLOOKUP($C335&amp;"_"&amp;$AG335,符文权重!$A:$A&amp;"_"&amp;符文权重!$C:$C,符文权重!$D:$D)*$X335/SUMIFS($X:$X,F:F,F335,$C:$C,$C335,$AG:$AG,$AG335)/SUMIF(符文权重!$A:$A,$C335,符文权重!$D:$D))),"")</f>
        <v/>
      </c>
      <c r="M335" s="39" t="str" cm="1">
        <f t="array" ref="M335">IFERROR(IF($A335="","",IF(G335="","",_xlfn.XLOOKUP($C335&amp;"_"&amp;$AG335,符文权重!$A:$A&amp;"_"&amp;符文权重!$C:$C,符文权重!$D:$D)*$X335/SUMIFS($X:$X,G:G,G335,$C:$C,$C335,$AG:$AG,$AG335)/SUMIF(符文权重!$A:$A,$C335,符文权重!$D:$D))),"")</f>
        <v/>
      </c>
      <c r="N335" s="39" t="str" cm="1">
        <f t="array" ref="N335">IFERROR(IF($A335="","",IF(H335="","",_xlfn.XLOOKUP($C335&amp;"_"&amp;$AG335,符文权重!$A:$A&amp;"_"&amp;符文权重!$C:$C,符文权重!$D:$D)*$X335/SUMIFS($X:$X,H:H,H335,$C:$C,$C335,$AG:$AG,$AG335)/SUMIF(符文权重!$A:$A,$C335,符文权重!$D:$D))),"")</f>
        <v/>
      </c>
      <c r="O335" s="39" t="str" cm="1">
        <f t="array" ref="O335">IFERROR(IF($A335="","",IF(I335="","",_xlfn.XLOOKUP($C335&amp;"_"&amp;$AG335,符文权重!$A:$A&amp;"_"&amp;符文权重!$C:$C,符文权重!$D:$D)*$X335/SUMIFS($X:$X,I:I,I335,$C:$C,$C335,$AG:$AG,$AG335)/SUMIF(符文权重!$A:$A,$C335,符文权重!$D:$D))),"")</f>
        <v/>
      </c>
      <c r="P335" s="39" t="str" cm="1">
        <f t="array" ref="P335">IFERROR(IF($A335="","",IF(J335="","",_xlfn.XLOOKUP($C335&amp;"_"&amp;$AG335,符文权重!$A:$A&amp;"_"&amp;符文权重!$C:$C,符文权重!$D:$D)*$X335/SUMIFS($X:$X,J:J,J335,$C:$C,$C335,$AG:$AG,$AG335)/SUMIF(符文权重!$A:$A,$C335,符文权重!$D:$D))),"")</f>
        <v/>
      </c>
      <c r="Q335" s="39" t="str" cm="1">
        <f t="array" ref="Q335">IFERROR(IF($A335="","",IF(K335="","",_xlfn.XLOOKUP($C335&amp;"_"&amp;$AG335,符文权重!$A:$A&amp;"_"&amp;符文权重!$C:$C,符文权重!$D:$D)*$X335/SUMIFS($X:$X,K:K,K335,$C:$C,$C335,$AG:$AG,$AG335)/SUMIF(符文权重!$A:$A,$C335,符文权重!$D:$D))),"")</f>
        <v/>
      </c>
      <c r="R335" s="46" t="s">
        <v>163</v>
      </c>
      <c r="S335" s="46"/>
      <c r="T335" s="46" t="s">
        <v>383</v>
      </c>
      <c r="U335" s="47" t="s">
        <v>384</v>
      </c>
      <c r="V335" s="46"/>
      <c r="X335" s="25">
        <v>100</v>
      </c>
      <c r="Z335" s="45" t="s">
        <v>170</v>
      </c>
      <c r="AA335" s="32" t="str">
        <f t="shared" si="146"/>
        <v>梦灵每升阶一次后，所有伤害+6%</v>
      </c>
      <c r="AB335" s="32"/>
      <c r="AC335" s="32" t="s">
        <v>166</v>
      </c>
      <c r="AD335" s="32">
        <f t="shared" si="193"/>
        <v>1330</v>
      </c>
      <c r="AE335" s="44" t="s">
        <v>379</v>
      </c>
      <c r="AF335" s="45" t="s">
        <v>209</v>
      </c>
      <c r="AG335" s="26">
        <v>100</v>
      </c>
      <c r="AH335" s="46"/>
      <c r="AI335" s="46">
        <v>1</v>
      </c>
      <c r="AJ335" s="25">
        <v>1</v>
      </c>
      <c r="AK335" s="44">
        <v>5505012</v>
      </c>
      <c r="AL335" s="55" t="s">
        <v>382</v>
      </c>
      <c r="AM335" s="46">
        <v>6</v>
      </c>
      <c r="AN335" s="25"/>
      <c r="AO335" s="25" t="s">
        <v>25</v>
      </c>
      <c r="AP335" s="20">
        <f t="shared" si="194"/>
        <v>330</v>
      </c>
    </row>
    <row r="336" s="23" customFormat="1" customHeight="1" spans="1:42">
      <c r="A336" s="44">
        <v>5505013</v>
      </c>
      <c r="B336" s="44" t="s">
        <v>379</v>
      </c>
      <c r="C336" s="45">
        <v>3</v>
      </c>
      <c r="D336" s="45"/>
      <c r="E336" s="46" t="s">
        <v>191</v>
      </c>
      <c r="F336" s="26">
        <f t="shared" si="190"/>
        <v>1</v>
      </c>
      <c r="G336" s="26" t="str">
        <f>IFERROR(IF(--MID($E336,2*COUNTIF($F336:F336,"&gt;"&amp;0)+2,1)=G$1,G$1,""),"")</f>
        <v/>
      </c>
      <c r="H336" s="26" t="str">
        <f>IFERROR(IF(--MID($E336,2*COUNTIF($F336:G336,"&gt;"&amp;0)+2,1)=H$1,H$1,""),"")</f>
        <v/>
      </c>
      <c r="I336" s="26" t="str">
        <f>IFERROR(IF(--MID($E336,2*COUNTIF($F336:H336,"&gt;"&amp;0)+2,1)=I$1,I$1,""),"")</f>
        <v/>
      </c>
      <c r="J336" s="26" t="str">
        <f>IFERROR(IF(--MID($E336,2*COUNTIF($F336:I336,"&gt;"&amp;0)+2,1)=J$1,J$1,""),"")</f>
        <v/>
      </c>
      <c r="K336" s="26" t="str">
        <f>IFERROR(IF(--MID($E336,2*COUNTIF($F336:J336,"&gt;"&amp;0)+2,1)=K$1,K$1,""),"")</f>
        <v/>
      </c>
      <c r="L336" s="39" t="str" cm="1">
        <f t="array" ref="L336">IFERROR(IF($A336="","",IF(F336="","",_xlfn.XLOOKUP($C336&amp;"_"&amp;$AG336,符文权重!$A:$A&amp;"_"&amp;符文权重!$C:$C,符文权重!$D:$D)*$X336/SUMIFS($X:$X,F:F,F336,$C:$C,$C336,$AG:$AG,$AG336)/SUMIF(符文权重!$A:$A,$C336,符文权重!$D:$D))),"")</f>
        <v/>
      </c>
      <c r="M336" s="39" t="str" cm="1">
        <f t="array" ref="M336">IFERROR(IF($A336="","",IF(G336="","",_xlfn.XLOOKUP($C336&amp;"_"&amp;$AG336,符文权重!$A:$A&amp;"_"&amp;符文权重!$C:$C,符文权重!$D:$D)*$X336/SUMIFS($X:$X,G:G,G336,$C:$C,$C336,$AG:$AG,$AG336)/SUMIF(符文权重!$A:$A,$C336,符文权重!$D:$D))),"")</f>
        <v/>
      </c>
      <c r="N336" s="39" t="str" cm="1">
        <f t="array" ref="N336">IFERROR(IF($A336="","",IF(H336="","",_xlfn.XLOOKUP($C336&amp;"_"&amp;$AG336,符文权重!$A:$A&amp;"_"&amp;符文权重!$C:$C,符文权重!$D:$D)*$X336/SUMIFS($X:$X,H:H,H336,$C:$C,$C336,$AG:$AG,$AG336)/SUMIF(符文权重!$A:$A,$C336,符文权重!$D:$D))),"")</f>
        <v/>
      </c>
      <c r="O336" s="39" t="str" cm="1">
        <f t="array" ref="O336">IFERROR(IF($A336="","",IF(I336="","",_xlfn.XLOOKUP($C336&amp;"_"&amp;$AG336,符文权重!$A:$A&amp;"_"&amp;符文权重!$C:$C,符文权重!$D:$D)*$X336/SUMIFS($X:$X,I:I,I336,$C:$C,$C336,$AG:$AG,$AG336)/SUMIF(符文权重!$A:$A,$C336,符文权重!$D:$D))),"")</f>
        <v/>
      </c>
      <c r="P336" s="39" t="str" cm="1">
        <f t="array" ref="P336">IFERROR(IF($A336="","",IF(J336="","",_xlfn.XLOOKUP($C336&amp;"_"&amp;$AG336,符文权重!$A:$A&amp;"_"&amp;符文权重!$C:$C,符文权重!$D:$D)*$X336/SUMIFS($X:$X,J:J,J336,$C:$C,$C336,$AG:$AG,$AG336)/SUMIF(符文权重!$A:$A,$C336,符文权重!$D:$D))),"")</f>
        <v/>
      </c>
      <c r="Q336" s="39" t="str" cm="1">
        <f t="array" ref="Q336">IFERROR(IF($A336="","",IF(K336="","",_xlfn.XLOOKUP($C336&amp;"_"&amp;$AG336,符文权重!$A:$A&amp;"_"&amp;符文权重!$C:$C,符文权重!$D:$D)*$X336/SUMIFS($X:$X,K:K,K336,$C:$C,$C336,$AG:$AG,$AG336)/SUMIF(符文权重!$A:$A,$C336,符文权重!$D:$D))),"")</f>
        <v/>
      </c>
      <c r="R336" s="46" t="s">
        <v>163</v>
      </c>
      <c r="S336" s="46"/>
      <c r="T336" s="46" t="s">
        <v>385</v>
      </c>
      <c r="U336" s="47" t="s">
        <v>386</v>
      </c>
      <c r="V336" s="46"/>
      <c r="X336" s="25">
        <v>100</v>
      </c>
      <c r="Z336" s="45" t="s">
        <v>172</v>
      </c>
      <c r="AA336" s="32" t="str">
        <f t="shared" si="146"/>
        <v>梦灵每升阶一次后，所有伤害+8%</v>
      </c>
      <c r="AB336" s="32"/>
      <c r="AC336" s="32" t="s">
        <v>166</v>
      </c>
      <c r="AD336" s="32">
        <f t="shared" si="193"/>
        <v>1331</v>
      </c>
      <c r="AE336" s="44" t="s">
        <v>379</v>
      </c>
      <c r="AF336" s="45" t="s">
        <v>387</v>
      </c>
      <c r="AG336" s="26">
        <v>100</v>
      </c>
      <c r="AH336" s="46"/>
      <c r="AI336" s="46">
        <v>1</v>
      </c>
      <c r="AJ336" s="25">
        <v>1</v>
      </c>
      <c r="AK336" s="44">
        <v>5505013</v>
      </c>
      <c r="AL336" s="55" t="s">
        <v>382</v>
      </c>
      <c r="AM336" s="46">
        <v>8</v>
      </c>
      <c r="AN336" s="25"/>
      <c r="AO336" s="25" t="s">
        <v>25</v>
      </c>
      <c r="AP336" s="20">
        <f t="shared" si="194"/>
        <v>331</v>
      </c>
    </row>
    <row r="337" customHeight="1" spans="1:42">
      <c r="A337" s="38">
        <v>5505014</v>
      </c>
      <c r="B337" s="38" t="s">
        <v>379</v>
      </c>
      <c r="C337" s="32">
        <v>4</v>
      </c>
      <c r="D337" s="32"/>
      <c r="E337" s="26" t="s">
        <v>191</v>
      </c>
      <c r="F337" s="26">
        <f t="shared" si="190"/>
        <v>1</v>
      </c>
      <c r="G337" s="26" t="str">
        <f>IFERROR(IF(--MID($E337,2*COUNTIF($F337:F337,"&gt;"&amp;0)+2,1)=G$1,G$1,""),"")</f>
        <v/>
      </c>
      <c r="H337" s="26" t="str">
        <f>IFERROR(IF(--MID($E337,2*COUNTIF($F337:G337,"&gt;"&amp;0)+2,1)=H$1,H$1,""),"")</f>
        <v/>
      </c>
      <c r="I337" s="26" t="str">
        <f>IFERROR(IF(--MID($E337,2*COUNTIF($F337:H337,"&gt;"&amp;0)+2,1)=I$1,I$1,""),"")</f>
        <v/>
      </c>
      <c r="J337" s="26" t="str">
        <f>IFERROR(IF(--MID($E337,2*COUNTIF($F337:I337,"&gt;"&amp;0)+2,1)=J$1,J$1,""),"")</f>
        <v/>
      </c>
      <c r="K337" s="26" t="str">
        <f>IFERROR(IF(--MID($E337,2*COUNTIF($F337:J337,"&gt;"&amp;0)+2,1)=K$1,K$1,""),"")</f>
        <v/>
      </c>
      <c r="L337" s="39" cm="1">
        <f t="array" ref="L337">IFERROR(IF($A337="","",IF(F337="","",_xlfn.XLOOKUP($C337&amp;"_"&amp;$AG337,符文权重!$A:$A&amp;"_"&amp;符文权重!$C:$C,符文权重!$D:$D)*$X337/SUMIFS($X:$X,F:F,F337,$C:$C,$C337,$AG:$AG,$AG337)/SUMIF(符文权重!$A:$A,$C337,符文权重!$D:$D))),"")</f>
        <v>0.00416666666666667</v>
      </c>
      <c r="M337" s="39" t="str" cm="1">
        <f t="array" ref="M337">IFERROR(IF($A337="","",IF(G337="","",_xlfn.XLOOKUP($C337&amp;"_"&amp;$AG337,符文权重!$A:$A&amp;"_"&amp;符文权重!$C:$C,符文权重!$D:$D)*$X337/SUMIFS($X:$X,G:G,G337,$C:$C,$C337,$AG:$AG,$AG337)/SUMIF(符文权重!$A:$A,$C337,符文权重!$D:$D))),"")</f>
        <v/>
      </c>
      <c r="N337" s="39" t="str" cm="1">
        <f t="array" ref="N337">IFERROR(IF($A337="","",IF(H337="","",_xlfn.XLOOKUP($C337&amp;"_"&amp;$AG337,符文权重!$A:$A&amp;"_"&amp;符文权重!$C:$C,符文权重!$D:$D)*$X337/SUMIFS($X:$X,H:H,H337,$C:$C,$C337,$AG:$AG,$AG337)/SUMIF(符文权重!$A:$A,$C337,符文权重!$D:$D))),"")</f>
        <v/>
      </c>
      <c r="O337" s="39" t="str" cm="1">
        <f t="array" ref="O337">IFERROR(IF($A337="","",IF(I337="","",_xlfn.XLOOKUP($C337&amp;"_"&amp;$AG337,符文权重!$A:$A&amp;"_"&amp;符文权重!$C:$C,符文权重!$D:$D)*$X337/SUMIFS($X:$X,I:I,I337,$C:$C,$C337,$AG:$AG,$AG337)/SUMIF(符文权重!$A:$A,$C337,符文权重!$D:$D))),"")</f>
        <v/>
      </c>
      <c r="P337" s="39" t="str" cm="1">
        <f t="array" ref="P337">IFERROR(IF($A337="","",IF(J337="","",_xlfn.XLOOKUP($C337&amp;"_"&amp;$AG337,符文权重!$A:$A&amp;"_"&amp;符文权重!$C:$C,符文权重!$D:$D)*$X337/SUMIFS($X:$X,J:J,J337,$C:$C,$C337,$AG:$AG,$AG337)/SUMIF(符文权重!$A:$A,$C337,符文权重!$D:$D))),"")</f>
        <v/>
      </c>
      <c r="Q337" s="39" t="str" cm="1">
        <f t="array" ref="Q337">IFERROR(IF($A337="","",IF(K337="","",_xlfn.XLOOKUP($C337&amp;"_"&amp;$AG337,符文权重!$A:$A&amp;"_"&amp;符文权重!$C:$C,符文权重!$D:$D)*$X337/SUMIFS($X:$X,K:K,K337,$C:$C,$C337,$AG:$AG,$AG337)/SUMIF(符文权重!$A:$A,$C337,符文权重!$D:$D))),"")</f>
        <v/>
      </c>
      <c r="R337" s="26" t="s">
        <v>163</v>
      </c>
      <c r="S337" s="26"/>
      <c r="T337" s="26" t="s">
        <v>388</v>
      </c>
      <c r="U337" s="40" t="s">
        <v>389</v>
      </c>
      <c r="X337" s="25">
        <v>20</v>
      </c>
      <c r="Z337" s="32" t="s">
        <v>174</v>
      </c>
      <c r="AA337" s="32" t="str">
        <f t="shared" si="146"/>
        <v>梦灵每升阶一次后，所有伤害+10%</v>
      </c>
      <c r="AB337" s="32"/>
      <c r="AC337" s="32" t="s">
        <v>166</v>
      </c>
      <c r="AD337" s="32">
        <f t="shared" si="193"/>
        <v>1332</v>
      </c>
      <c r="AE337" s="38" t="s">
        <v>379</v>
      </c>
      <c r="AF337" s="32" t="s">
        <v>390</v>
      </c>
      <c r="AG337" s="26">
        <v>4</v>
      </c>
      <c r="AH337" s="26"/>
      <c r="AI337" s="26">
        <v>0</v>
      </c>
      <c r="AJ337" s="25">
        <v>1</v>
      </c>
      <c r="AK337" s="38">
        <v>5505014</v>
      </c>
      <c r="AL337" s="56" t="s">
        <v>382</v>
      </c>
      <c r="AM337" s="26">
        <v>10</v>
      </c>
      <c r="AN337" s="25">
        <v>6</v>
      </c>
      <c r="AO337" s="25" t="s">
        <v>25</v>
      </c>
      <c r="AP337" s="20">
        <f t="shared" si="194"/>
        <v>332</v>
      </c>
    </row>
    <row r="338" customHeight="1" spans="1:42">
      <c r="A338" s="38">
        <v>5505015</v>
      </c>
      <c r="B338" s="38" t="s">
        <v>379</v>
      </c>
      <c r="C338" s="32">
        <v>5</v>
      </c>
      <c r="D338" s="32"/>
      <c r="E338" s="26" t="s">
        <v>191</v>
      </c>
      <c r="F338" s="26">
        <f t="shared" si="190"/>
        <v>1</v>
      </c>
      <c r="G338" s="26" t="str">
        <f>IFERROR(IF(--MID($E338,2*COUNTIF($F338:F338,"&gt;"&amp;0)+2,1)=G$1,G$1,""),"")</f>
        <v/>
      </c>
      <c r="H338" s="26" t="str">
        <f>IFERROR(IF(--MID($E338,2*COUNTIF($F338:G338,"&gt;"&amp;0)+2,1)=H$1,H$1,""),"")</f>
        <v/>
      </c>
      <c r="I338" s="26" t="str">
        <f>IFERROR(IF(--MID($E338,2*COUNTIF($F338:H338,"&gt;"&amp;0)+2,1)=I$1,I$1,""),"")</f>
        <v/>
      </c>
      <c r="J338" s="26" t="str">
        <f>IFERROR(IF(--MID($E338,2*COUNTIF($F338:I338,"&gt;"&amp;0)+2,1)=J$1,J$1,""),"")</f>
        <v/>
      </c>
      <c r="K338" s="26" t="str">
        <f>IFERROR(IF(--MID($E338,2*COUNTIF($F338:J338,"&gt;"&amp;0)+2,1)=K$1,K$1,""),"")</f>
        <v/>
      </c>
      <c r="L338" s="39" cm="1">
        <f t="array" ref="L338">IFERROR(IF($A338="","",IF(F338="","",_xlfn.XLOOKUP($C338&amp;"_"&amp;$AG338,符文权重!$A:$A&amp;"_"&amp;符文权重!$C:$C,符文权重!$D:$D)*$X338/SUMIFS($X:$X,F:F,F338,$C:$C,$C338,$AG:$AG,$AG338)/SUMIF(符文权重!$A:$A,$C338,符文权重!$D:$D))),"")</f>
        <v>0.00300429184549356</v>
      </c>
      <c r="M338" s="39" t="str" cm="1">
        <f t="array" ref="M338">IFERROR(IF($A338="","",IF(G338="","",_xlfn.XLOOKUP($C338&amp;"_"&amp;$AG338,符文权重!$A:$A&amp;"_"&amp;符文权重!$C:$C,符文权重!$D:$D)*$X338/SUMIFS($X:$X,G:G,G338,$C:$C,$C338,$AG:$AG,$AG338)/SUMIF(符文权重!$A:$A,$C338,符文权重!$D:$D))),"")</f>
        <v/>
      </c>
      <c r="N338" s="39" t="str" cm="1">
        <f t="array" ref="N338">IFERROR(IF($A338="","",IF(H338="","",_xlfn.XLOOKUP($C338&amp;"_"&amp;$AG338,符文权重!$A:$A&amp;"_"&amp;符文权重!$C:$C,符文权重!$D:$D)*$X338/SUMIFS($X:$X,H:H,H338,$C:$C,$C338,$AG:$AG,$AG338)/SUMIF(符文权重!$A:$A,$C338,符文权重!$D:$D))),"")</f>
        <v/>
      </c>
      <c r="O338" s="39" t="str" cm="1">
        <f t="array" ref="O338">IFERROR(IF($A338="","",IF(I338="","",_xlfn.XLOOKUP($C338&amp;"_"&amp;$AG338,符文权重!$A:$A&amp;"_"&amp;符文权重!$C:$C,符文权重!$D:$D)*$X338/SUMIFS($X:$X,I:I,I338,$C:$C,$C338,$AG:$AG,$AG338)/SUMIF(符文权重!$A:$A,$C338,符文权重!$D:$D))),"")</f>
        <v/>
      </c>
      <c r="P338" s="39" t="str" cm="1">
        <f t="array" ref="P338">IFERROR(IF($A338="","",IF(J338="","",_xlfn.XLOOKUP($C338&amp;"_"&amp;$AG338,符文权重!$A:$A&amp;"_"&amp;符文权重!$C:$C,符文权重!$D:$D)*$X338/SUMIFS($X:$X,J:J,J338,$C:$C,$C338,$AG:$AG,$AG338)/SUMIF(符文权重!$A:$A,$C338,符文权重!$D:$D))),"")</f>
        <v/>
      </c>
      <c r="Q338" s="39" t="str" cm="1">
        <f t="array" ref="Q338">IFERROR(IF($A338="","",IF(K338="","",_xlfn.XLOOKUP($C338&amp;"_"&amp;$AG338,符文权重!$A:$A&amp;"_"&amp;符文权重!$C:$C,符文权重!$D:$D)*$X338/SUMIFS($X:$X,K:K,K338,$C:$C,$C338,$AG:$AG,$AG338)/SUMIF(符文权重!$A:$A,$C338,符文权重!$D:$D))),"")</f>
        <v/>
      </c>
      <c r="R338" s="26" t="s">
        <v>163</v>
      </c>
      <c r="S338" s="26"/>
      <c r="T338" s="26" t="s">
        <v>391</v>
      </c>
      <c r="U338" s="40" t="s">
        <v>392</v>
      </c>
      <c r="X338" s="25">
        <v>100</v>
      </c>
      <c r="Z338" s="32" t="s">
        <v>176</v>
      </c>
      <c r="AA338" s="32" t="str">
        <f t="shared" ref="AA338:AA401" si="195">SUBSTITUTE(SUBSTITUTE(SUBSTITUTE(SUBSTITUTE(AL338,"%s",AM338),"&lt;color=#54b76b&gt;",""),"&lt;/color&gt; ",""),"&lt;/color&gt;","")</f>
        <v>梦灵每升阶一次后，所有伤害+15%</v>
      </c>
      <c r="AB338" s="32"/>
      <c r="AC338" s="32" t="s">
        <v>166</v>
      </c>
      <c r="AD338" s="32">
        <f t="shared" si="193"/>
        <v>1333</v>
      </c>
      <c r="AE338" s="38" t="s">
        <v>379</v>
      </c>
      <c r="AF338" s="32" t="s">
        <v>393</v>
      </c>
      <c r="AG338" s="26">
        <v>6</v>
      </c>
      <c r="AH338" s="26"/>
      <c r="AI338" s="26">
        <v>0</v>
      </c>
      <c r="AJ338" s="25">
        <v>1</v>
      </c>
      <c r="AK338" s="38">
        <v>5505015</v>
      </c>
      <c r="AL338" s="56" t="s">
        <v>382</v>
      </c>
      <c r="AM338" s="26">
        <v>15</v>
      </c>
      <c r="AN338" s="25">
        <v>6</v>
      </c>
      <c r="AO338" s="25" t="s">
        <v>25</v>
      </c>
      <c r="AP338" s="20">
        <f t="shared" si="194"/>
        <v>333</v>
      </c>
    </row>
    <row r="339" customHeight="1" spans="1:42">
      <c r="A339" s="38">
        <v>5505016</v>
      </c>
      <c r="B339" s="38" t="s">
        <v>379</v>
      </c>
      <c r="C339" s="32">
        <v>6</v>
      </c>
      <c r="D339" s="32"/>
      <c r="E339" s="26" t="s">
        <v>191</v>
      </c>
      <c r="F339" s="26">
        <f t="shared" si="190"/>
        <v>1</v>
      </c>
      <c r="G339" s="26" t="str">
        <f>IFERROR(IF(--MID($E339,2*COUNTIF($F339:F339,"&gt;"&amp;0)+2,1)=G$1,G$1,""),"")</f>
        <v/>
      </c>
      <c r="H339" s="26" t="str">
        <f>IFERROR(IF(--MID($E339,2*COUNTIF($F339:G339,"&gt;"&amp;0)+2,1)=H$1,H$1,""),"")</f>
        <v/>
      </c>
      <c r="I339" s="26" t="str">
        <f>IFERROR(IF(--MID($E339,2*COUNTIF($F339:H339,"&gt;"&amp;0)+2,1)=I$1,I$1,""),"")</f>
        <v/>
      </c>
      <c r="J339" s="26" t="str">
        <f>IFERROR(IF(--MID($E339,2*COUNTIF($F339:I339,"&gt;"&amp;0)+2,1)=J$1,J$1,""),"")</f>
        <v/>
      </c>
      <c r="K339" s="26" t="str">
        <f>IFERROR(IF(--MID($E339,2*COUNTIF($F339:J339,"&gt;"&amp;0)+2,1)=K$1,K$1,""),"")</f>
        <v/>
      </c>
      <c r="L339" s="39" cm="1">
        <f t="array" ref="L339">IFERROR(IF($A339="","",IF(F339="","",_xlfn.XLOOKUP($C339&amp;"_"&amp;$AG339,符文权重!$A:$A&amp;"_"&amp;符文权重!$C:$C,符文权重!$D:$D)*$X339/SUMIFS($X:$X,F:F,F339,$C:$C,$C339,$AG:$AG,$AG339)/SUMIF(符文权重!$A:$A,$C339,符文权重!$D:$D))),"")</f>
        <v>0.00300429184549356</v>
      </c>
      <c r="M339" s="39" t="str" cm="1">
        <f t="array" ref="M339">IFERROR(IF($A339="","",IF(G339="","",_xlfn.XLOOKUP($C339&amp;"_"&amp;$AG339,符文权重!$A:$A&amp;"_"&amp;符文权重!$C:$C,符文权重!$D:$D)*$X339/SUMIFS($X:$X,G:G,G339,$C:$C,$C339,$AG:$AG,$AG339)/SUMIF(符文权重!$A:$A,$C339,符文权重!$D:$D))),"")</f>
        <v/>
      </c>
      <c r="N339" s="39" t="str" cm="1">
        <f t="array" ref="N339">IFERROR(IF($A339="","",IF(H339="","",_xlfn.XLOOKUP($C339&amp;"_"&amp;$AG339,符文权重!$A:$A&amp;"_"&amp;符文权重!$C:$C,符文权重!$D:$D)*$X339/SUMIFS($X:$X,H:H,H339,$C:$C,$C339,$AG:$AG,$AG339)/SUMIF(符文权重!$A:$A,$C339,符文权重!$D:$D))),"")</f>
        <v/>
      </c>
      <c r="O339" s="39" t="str" cm="1">
        <f t="array" ref="O339">IFERROR(IF($A339="","",IF(I339="","",_xlfn.XLOOKUP($C339&amp;"_"&amp;$AG339,符文权重!$A:$A&amp;"_"&amp;符文权重!$C:$C,符文权重!$D:$D)*$X339/SUMIFS($X:$X,I:I,I339,$C:$C,$C339,$AG:$AG,$AG339)/SUMIF(符文权重!$A:$A,$C339,符文权重!$D:$D))),"")</f>
        <v/>
      </c>
      <c r="P339" s="39" t="str" cm="1">
        <f t="array" ref="P339">IFERROR(IF($A339="","",IF(J339="","",_xlfn.XLOOKUP($C339&amp;"_"&amp;$AG339,符文权重!$A:$A&amp;"_"&amp;符文权重!$C:$C,符文权重!$D:$D)*$X339/SUMIFS($X:$X,J:J,J339,$C:$C,$C339,$AG:$AG,$AG339)/SUMIF(符文权重!$A:$A,$C339,符文权重!$D:$D))),"")</f>
        <v/>
      </c>
      <c r="Q339" s="39" t="str" cm="1">
        <f t="array" ref="Q339">IFERROR(IF($A339="","",IF(K339="","",_xlfn.XLOOKUP($C339&amp;"_"&amp;$AG339,符文权重!$A:$A&amp;"_"&amp;符文权重!$C:$C,符文权重!$D:$D)*$X339/SUMIFS($X:$X,K:K,K339,$C:$C,$C339,$AG:$AG,$AG339)/SUMIF(符文权重!$A:$A,$C339,符文权重!$D:$D))),"")</f>
        <v/>
      </c>
      <c r="R339" s="26" t="s">
        <v>163</v>
      </c>
      <c r="S339" s="26"/>
      <c r="T339" s="26" t="s">
        <v>394</v>
      </c>
      <c r="U339" s="40" t="s">
        <v>395</v>
      </c>
      <c r="X339" s="25">
        <v>100</v>
      </c>
      <c r="Z339" s="32" t="s">
        <v>178</v>
      </c>
      <c r="AA339" s="32" t="str">
        <f t="shared" si="195"/>
        <v>梦灵每升阶一次后，所有伤害+20%</v>
      </c>
      <c r="AB339" s="32"/>
      <c r="AC339" s="32" t="s">
        <v>166</v>
      </c>
      <c r="AD339" s="32">
        <f t="shared" si="193"/>
        <v>1334</v>
      </c>
      <c r="AE339" s="38" t="s">
        <v>379</v>
      </c>
      <c r="AF339" s="32" t="s">
        <v>396</v>
      </c>
      <c r="AG339" s="26">
        <v>6</v>
      </c>
      <c r="AH339" s="26"/>
      <c r="AI339" s="26">
        <v>0</v>
      </c>
      <c r="AJ339" s="25">
        <v>1</v>
      </c>
      <c r="AK339" s="38">
        <v>5505016</v>
      </c>
      <c r="AL339" s="56" t="s">
        <v>382</v>
      </c>
      <c r="AM339" s="26">
        <v>20</v>
      </c>
      <c r="AN339" s="25">
        <v>6</v>
      </c>
      <c r="AO339" s="25" t="s">
        <v>25</v>
      </c>
      <c r="AP339" s="20">
        <f t="shared" si="194"/>
        <v>334</v>
      </c>
    </row>
    <row r="340" customHeight="1" spans="1:42">
      <c r="A340" s="38">
        <v>5505017</v>
      </c>
      <c r="B340" s="38" t="s">
        <v>379</v>
      </c>
      <c r="C340" s="32">
        <v>7</v>
      </c>
      <c r="D340" s="32"/>
      <c r="E340" s="26" t="s">
        <v>191</v>
      </c>
      <c r="F340" s="26">
        <f t="shared" si="190"/>
        <v>1</v>
      </c>
      <c r="G340" s="26" t="str">
        <f>IFERROR(IF(--MID($E340,2*COUNTIF($F340:F340,"&gt;"&amp;0)+2,1)=G$1,G$1,""),"")</f>
        <v/>
      </c>
      <c r="H340" s="26" t="str">
        <f>IFERROR(IF(--MID($E340,2*COUNTIF($F340:G340,"&gt;"&amp;0)+2,1)=H$1,H$1,""),"")</f>
        <v/>
      </c>
      <c r="I340" s="26" t="str">
        <f>IFERROR(IF(--MID($E340,2*COUNTIF($F340:H340,"&gt;"&amp;0)+2,1)=I$1,I$1,""),"")</f>
        <v/>
      </c>
      <c r="J340" s="26" t="str">
        <f>IFERROR(IF(--MID($E340,2*COUNTIF($F340:I340,"&gt;"&amp;0)+2,1)=J$1,J$1,""),"")</f>
        <v/>
      </c>
      <c r="K340" s="26" t="str">
        <f>IFERROR(IF(--MID($E340,2*COUNTIF($F340:J340,"&gt;"&amp;0)+2,1)=K$1,K$1,""),"")</f>
        <v/>
      </c>
      <c r="L340" s="39" cm="1">
        <f t="array" ref="L340">IFERROR(IF($A340="","",IF(F340="","",_xlfn.XLOOKUP($C340&amp;"_"&amp;$AG340,符文权重!$A:$A&amp;"_"&amp;符文权重!$C:$C,符文权重!$D:$D)*$X340/SUMIFS($X:$X,F:F,F340,$C:$C,$C340,$AG:$AG,$AG340)/SUMIF(符文权重!$A:$A,$C340,符文权重!$D:$D))),"")</f>
        <v>0.00300429184549356</v>
      </c>
      <c r="M340" s="39" t="str" cm="1">
        <f t="array" ref="M340">IFERROR(IF($A340="","",IF(G340="","",_xlfn.XLOOKUP($C340&amp;"_"&amp;$AG340,符文权重!$A:$A&amp;"_"&amp;符文权重!$C:$C,符文权重!$D:$D)*$X340/SUMIFS($X:$X,G:G,G340,$C:$C,$C340,$AG:$AG,$AG340)/SUMIF(符文权重!$A:$A,$C340,符文权重!$D:$D))),"")</f>
        <v/>
      </c>
      <c r="N340" s="39" t="str" cm="1">
        <f t="array" ref="N340">IFERROR(IF($A340="","",IF(H340="","",_xlfn.XLOOKUP($C340&amp;"_"&amp;$AG340,符文权重!$A:$A&amp;"_"&amp;符文权重!$C:$C,符文权重!$D:$D)*$X340/SUMIFS($X:$X,H:H,H340,$C:$C,$C340,$AG:$AG,$AG340)/SUMIF(符文权重!$A:$A,$C340,符文权重!$D:$D))),"")</f>
        <v/>
      </c>
      <c r="O340" s="39" t="str" cm="1">
        <f t="array" ref="O340">IFERROR(IF($A340="","",IF(I340="","",_xlfn.XLOOKUP($C340&amp;"_"&amp;$AG340,符文权重!$A:$A&amp;"_"&amp;符文权重!$C:$C,符文权重!$D:$D)*$X340/SUMIFS($X:$X,I:I,I340,$C:$C,$C340,$AG:$AG,$AG340)/SUMIF(符文权重!$A:$A,$C340,符文权重!$D:$D))),"")</f>
        <v/>
      </c>
      <c r="P340" s="39" t="str" cm="1">
        <f t="array" ref="P340">IFERROR(IF($A340="","",IF(J340="","",_xlfn.XLOOKUP($C340&amp;"_"&amp;$AG340,符文权重!$A:$A&amp;"_"&amp;符文权重!$C:$C,符文权重!$D:$D)*$X340/SUMIFS($X:$X,J:J,J340,$C:$C,$C340,$AG:$AG,$AG340)/SUMIF(符文权重!$A:$A,$C340,符文权重!$D:$D))),"")</f>
        <v/>
      </c>
      <c r="Q340" s="39" t="str" cm="1">
        <f t="array" ref="Q340">IFERROR(IF($A340="","",IF(K340="","",_xlfn.XLOOKUP($C340&amp;"_"&amp;$AG340,符文权重!$A:$A&amp;"_"&amp;符文权重!$C:$C,符文权重!$D:$D)*$X340/SUMIFS($X:$X,K:K,K340,$C:$C,$C340,$AG:$AG,$AG340)/SUMIF(符文权重!$A:$A,$C340,符文权重!$D:$D))),"")</f>
        <v/>
      </c>
      <c r="R340" s="26" t="s">
        <v>163</v>
      </c>
      <c r="S340" s="26"/>
      <c r="T340" s="26" t="s">
        <v>397</v>
      </c>
      <c r="U340" s="40" t="s">
        <v>398</v>
      </c>
      <c r="X340" s="25">
        <v>100</v>
      </c>
      <c r="Z340" s="32" t="s">
        <v>180</v>
      </c>
      <c r="AA340" s="32" t="str">
        <f t="shared" si="195"/>
        <v>梦灵每升阶一次后，所有伤害+25%</v>
      </c>
      <c r="AB340" s="32"/>
      <c r="AC340" s="32" t="s">
        <v>166</v>
      </c>
      <c r="AD340" s="32">
        <f t="shared" si="193"/>
        <v>1335</v>
      </c>
      <c r="AE340" s="38" t="s">
        <v>379</v>
      </c>
      <c r="AF340" s="32" t="s">
        <v>399</v>
      </c>
      <c r="AG340" s="26">
        <v>6</v>
      </c>
      <c r="AH340" s="26"/>
      <c r="AI340" s="26">
        <v>0</v>
      </c>
      <c r="AJ340" s="25">
        <v>1</v>
      </c>
      <c r="AK340" s="38">
        <v>5505017</v>
      </c>
      <c r="AL340" s="56" t="s">
        <v>382</v>
      </c>
      <c r="AM340" s="26">
        <v>25</v>
      </c>
      <c r="AN340" s="25">
        <v>6</v>
      </c>
      <c r="AO340" s="25" t="s">
        <v>25</v>
      </c>
      <c r="AP340" s="20">
        <f t="shared" si="194"/>
        <v>335</v>
      </c>
    </row>
    <row r="341" s="20" customFormat="1" customHeight="1" spans="1:42">
      <c r="A341" s="38" t="s">
        <v>167</v>
      </c>
      <c r="B341" s="38" t="s">
        <v>167</v>
      </c>
      <c r="C341" s="32" t="s">
        <v>167</v>
      </c>
      <c r="D341" s="32"/>
      <c r="E341" s="26"/>
      <c r="F341" s="26" t="str">
        <f t="shared" si="190"/>
        <v/>
      </c>
      <c r="G341" s="26" t="str">
        <f>IFERROR(IF(--MID($E341,2*COUNTIF($F341:F341,"&gt;"&amp;0)+2,1)=G$1,G$1,""),"")</f>
        <v/>
      </c>
      <c r="H341" s="26" t="str">
        <f>IFERROR(IF(--MID($E341,2*COUNTIF($F341:G341,"&gt;"&amp;0)+2,1)=H$1,H$1,""),"")</f>
        <v/>
      </c>
      <c r="I341" s="26" t="str">
        <f>IFERROR(IF(--MID($E341,2*COUNTIF($F341:H341,"&gt;"&amp;0)+2,1)=I$1,I$1,""),"")</f>
        <v/>
      </c>
      <c r="J341" s="26" t="str">
        <f>IFERROR(IF(--MID($E341,2*COUNTIF($F341:I341,"&gt;"&amp;0)+2,1)=J$1,J$1,""),"")</f>
        <v/>
      </c>
      <c r="K341" s="26" t="str">
        <f>IFERROR(IF(--MID($E341,2*COUNTIF($F341:J341,"&gt;"&amp;0)+2,1)=K$1,K$1,""),"")</f>
        <v/>
      </c>
      <c r="L341" s="39" t="str" cm="1">
        <f t="array" ref="L341">IFERROR(IF($A341="","",IF(F341="","",_xlfn.XLOOKUP($C341&amp;"_"&amp;$AG341,符文权重!$A:$A&amp;"_"&amp;符文权重!$C:$C,符文权重!$D:$D)*$X341/SUMIFS($X:$X,F:F,F341,$C:$C,$C341,$AG:$AG,$AG341)/SUMIF(符文权重!$A:$A,$C341,符文权重!$D:$D))),"")</f>
        <v/>
      </c>
      <c r="M341" s="39" t="str" cm="1">
        <f t="array" ref="M341">IFERROR(IF($A341="","",IF(G341="","",_xlfn.XLOOKUP($C341&amp;"_"&amp;$AG341,符文权重!$A:$A&amp;"_"&amp;符文权重!$C:$C,符文权重!$D:$D)*$X341/SUMIFS($X:$X,G:G,G341,$C:$C,$C341,$AG:$AG,$AG341)/SUMIF(符文权重!$A:$A,$C341,符文权重!$D:$D))),"")</f>
        <v/>
      </c>
      <c r="N341" s="39" t="str" cm="1">
        <f t="array" ref="N341">IFERROR(IF($A341="","",IF(H341="","",_xlfn.XLOOKUP($C341&amp;"_"&amp;$AG341,符文权重!$A:$A&amp;"_"&amp;符文权重!$C:$C,符文权重!$D:$D)*$X341/SUMIFS($X:$X,H:H,H341,$C:$C,$C341,$AG:$AG,$AG341)/SUMIF(符文权重!$A:$A,$C341,符文权重!$D:$D))),"")</f>
        <v/>
      </c>
      <c r="O341" s="39" t="str" cm="1">
        <f t="array" ref="O341">IFERROR(IF($A341="","",IF(I341="","",_xlfn.XLOOKUP($C341&amp;"_"&amp;$AG341,符文权重!$A:$A&amp;"_"&amp;符文权重!$C:$C,符文权重!$D:$D)*$X341/SUMIFS($X:$X,I:I,I341,$C:$C,$C341,$AG:$AG,$AG341)/SUMIF(符文权重!$A:$A,$C341,符文权重!$D:$D))),"")</f>
        <v/>
      </c>
      <c r="P341" s="39" t="str" cm="1">
        <f t="array" ref="P341">IFERROR(IF($A341="","",IF(J341="","",_xlfn.XLOOKUP($C341&amp;"_"&amp;$AG341,符文权重!$A:$A&amp;"_"&amp;符文权重!$C:$C,符文权重!$D:$D)*$X341/SUMIFS($X:$X,J:J,J341,$C:$C,$C341,$AG:$AG,$AG341)/SUMIF(符文权重!$A:$A,$C341,符文权重!$D:$D))),"")</f>
        <v/>
      </c>
      <c r="Q341" s="39" t="str" cm="1">
        <f t="array" ref="Q341">IFERROR(IF($A341="","",IF(K341="","",_xlfn.XLOOKUP($C341&amp;"_"&amp;$AG341,符文权重!$A:$A&amp;"_"&amp;符文权重!$C:$C,符文权重!$D:$D)*$X341/SUMIFS($X:$X,K:K,K341,$C:$C,$C341,$AG:$AG,$AG341)/SUMIF(符文权重!$A:$A,$C341,符文权重!$D:$D))),"")</f>
        <v/>
      </c>
      <c r="R341" s="26"/>
      <c r="S341" s="26"/>
      <c r="T341" s="26"/>
      <c r="V341" s="31"/>
      <c r="W341" s="25"/>
      <c r="X341" s="25"/>
      <c r="Y341" s="25"/>
      <c r="Z341" s="32" t="s">
        <v>167</v>
      </c>
      <c r="AA341" s="32" t="str">
        <f t="shared" si="195"/>
        <v/>
      </c>
      <c r="AB341" s="32"/>
      <c r="AC341" s="32" t="s">
        <v>166</v>
      </c>
      <c r="AD341" s="32">
        <f t="shared" si="193"/>
        <v>1336</v>
      </c>
      <c r="AE341" s="38" t="s">
        <v>167</v>
      </c>
      <c r="AF341" s="32" t="s">
        <v>167</v>
      </c>
      <c r="AG341" s="26"/>
      <c r="AH341" s="26"/>
      <c r="AI341" s="26"/>
      <c r="AJ341" s="25" t="s">
        <v>167</v>
      </c>
      <c r="AK341" s="24"/>
      <c r="AL341" s="51"/>
      <c r="AM341" s="26"/>
      <c r="AN341" s="25"/>
      <c r="AO341" s="25"/>
      <c r="AP341" s="20">
        <f t="shared" si="194"/>
        <v>336</v>
      </c>
    </row>
    <row r="342" s="22" customFormat="1" customHeight="1" spans="1:42">
      <c r="A342" s="44">
        <v>5505021</v>
      </c>
      <c r="B342" s="44" t="s">
        <v>400</v>
      </c>
      <c r="C342" s="45">
        <v>1</v>
      </c>
      <c r="D342" s="45"/>
      <c r="E342" s="46" t="s">
        <v>191</v>
      </c>
      <c r="F342" s="26">
        <f t="shared" si="190"/>
        <v>1</v>
      </c>
      <c r="G342" s="26" t="str">
        <f>IFERROR(IF(--MID($E342,2*COUNTIF($F342:F342,"&gt;"&amp;0)+2,1)=G$1,G$1,""),"")</f>
        <v/>
      </c>
      <c r="H342" s="26" t="str">
        <f>IFERROR(IF(--MID($E342,2*COUNTIF($F342:G342,"&gt;"&amp;0)+2,1)=H$1,H$1,""),"")</f>
        <v/>
      </c>
      <c r="I342" s="26" t="str">
        <f>IFERROR(IF(--MID($E342,2*COUNTIF($F342:H342,"&gt;"&amp;0)+2,1)=I$1,I$1,""),"")</f>
        <v/>
      </c>
      <c r="J342" s="26" t="str">
        <f>IFERROR(IF(--MID($E342,2*COUNTIF($F342:I342,"&gt;"&amp;0)+2,1)=J$1,J$1,""),"")</f>
        <v/>
      </c>
      <c r="K342" s="26" t="str">
        <f>IFERROR(IF(--MID($E342,2*COUNTIF($F342:J342,"&gt;"&amp;0)+2,1)=K$1,K$1,""),"")</f>
        <v/>
      </c>
      <c r="L342" s="39" t="str" cm="1">
        <f t="array" ref="L342">IFERROR(IF($A342="","",IF(F342="","",_xlfn.XLOOKUP($C342&amp;"_"&amp;$AG342,符文权重!$A:$A&amp;"_"&amp;符文权重!$C:$C,符文权重!$D:$D)*$X342/SUMIFS($X:$X,F:F,F342,$C:$C,$C342,$AG:$AG,$AG342)/SUMIF(符文权重!$A:$A,$C342,符文权重!$D:$D))),"")</f>
        <v/>
      </c>
      <c r="M342" s="39" t="str" cm="1">
        <f t="array" ref="M342">IFERROR(IF($A342="","",IF(G342="","",_xlfn.XLOOKUP($C342&amp;"_"&amp;$AG342,符文权重!$A:$A&amp;"_"&amp;符文权重!$C:$C,符文权重!$D:$D)*$X342/SUMIFS($X:$X,G:G,G342,$C:$C,$C342,$AG:$AG,$AG342)/SUMIF(符文权重!$A:$A,$C342,符文权重!$D:$D))),"")</f>
        <v/>
      </c>
      <c r="N342" s="39" t="str" cm="1">
        <f t="array" ref="N342">IFERROR(IF($A342="","",IF(H342="","",_xlfn.XLOOKUP($C342&amp;"_"&amp;$AG342,符文权重!$A:$A&amp;"_"&amp;符文权重!$C:$C,符文权重!$D:$D)*$X342/SUMIFS($X:$X,H:H,H342,$C:$C,$C342,$AG:$AG,$AG342)/SUMIF(符文权重!$A:$A,$C342,符文权重!$D:$D))),"")</f>
        <v/>
      </c>
      <c r="O342" s="39" t="str" cm="1">
        <f t="array" ref="O342">IFERROR(IF($A342="","",IF(I342="","",_xlfn.XLOOKUP($C342&amp;"_"&amp;$AG342,符文权重!$A:$A&amp;"_"&amp;符文权重!$C:$C,符文权重!$D:$D)*$X342/SUMIFS($X:$X,I:I,I342,$C:$C,$C342,$AG:$AG,$AG342)/SUMIF(符文权重!$A:$A,$C342,符文权重!$D:$D))),"")</f>
        <v/>
      </c>
      <c r="P342" s="39" t="str" cm="1">
        <f t="array" ref="P342">IFERROR(IF($A342="","",IF(J342="","",_xlfn.XLOOKUP($C342&amp;"_"&amp;$AG342,符文权重!$A:$A&amp;"_"&amp;符文权重!$C:$C,符文权重!$D:$D)*$X342/SUMIFS($X:$X,J:J,J342,$C:$C,$C342,$AG:$AG,$AG342)/SUMIF(符文权重!$A:$A,$C342,符文权重!$D:$D))),"")</f>
        <v/>
      </c>
      <c r="Q342" s="39" t="str" cm="1">
        <f t="array" ref="Q342">IFERROR(IF($A342="","",IF(K342="","",_xlfn.XLOOKUP($C342&amp;"_"&amp;$AG342,符文权重!$A:$A&amp;"_"&amp;符文权重!$C:$C,符文权重!$D:$D)*$X342/SUMIFS($X:$X,K:K,K342,$C:$C,$C342,$AG:$AG,$AG342)/SUMIF(符文权重!$A:$A,$C342,符文权重!$D:$D))),"")</f>
        <v/>
      </c>
      <c r="R342" s="46" t="s">
        <v>181</v>
      </c>
      <c r="S342" s="46" t="s">
        <v>191</v>
      </c>
      <c r="T342" s="46" t="s">
        <v>380</v>
      </c>
      <c r="U342" s="47" t="s">
        <v>401</v>
      </c>
      <c r="V342" s="52"/>
      <c r="W342" s="23"/>
      <c r="X342" s="25"/>
      <c r="Y342" s="23"/>
      <c r="Z342" s="45" t="s">
        <v>165</v>
      </c>
      <c r="AA342" s="32" t="str">
        <f t="shared" si="195"/>
        <v>战士攻击范围+1格,伤害+0%</v>
      </c>
      <c r="AB342" s="32"/>
      <c r="AC342" s="32" t="s">
        <v>166</v>
      </c>
      <c r="AD342" s="32">
        <f t="shared" si="193"/>
        <v>1337</v>
      </c>
      <c r="AE342" s="44" t="s">
        <v>400</v>
      </c>
      <c r="AF342" s="45" t="s">
        <v>402</v>
      </c>
      <c r="AG342" s="26">
        <v>100</v>
      </c>
      <c r="AH342" s="46"/>
      <c r="AI342" s="46">
        <v>1</v>
      </c>
      <c r="AJ342" s="25">
        <v>1</v>
      </c>
      <c r="AK342" s="48">
        <v>5505021</v>
      </c>
      <c r="AL342" s="55" t="s">
        <v>403</v>
      </c>
      <c r="AM342" s="46">
        <v>0</v>
      </c>
      <c r="AN342" s="25"/>
      <c r="AO342" s="26" t="s">
        <v>32</v>
      </c>
      <c r="AP342" s="20">
        <f t="shared" si="194"/>
        <v>337</v>
      </c>
    </row>
    <row r="343" s="23" customFormat="1" customHeight="1" spans="1:42">
      <c r="A343" s="44">
        <v>5505022</v>
      </c>
      <c r="B343" s="44" t="s">
        <v>400</v>
      </c>
      <c r="C343" s="45">
        <v>2</v>
      </c>
      <c r="D343" s="45"/>
      <c r="E343" s="46" t="s">
        <v>191</v>
      </c>
      <c r="F343" s="26">
        <f t="shared" si="190"/>
        <v>1</v>
      </c>
      <c r="G343" s="26" t="str">
        <f>IFERROR(IF(--MID($E343,2*COUNTIF($F343:F343,"&gt;"&amp;0)+2,1)=G$1,G$1,""),"")</f>
        <v/>
      </c>
      <c r="H343" s="26" t="str">
        <f>IFERROR(IF(--MID($E343,2*COUNTIF($F343:G343,"&gt;"&amp;0)+2,1)=H$1,H$1,""),"")</f>
        <v/>
      </c>
      <c r="I343" s="26" t="str">
        <f>IFERROR(IF(--MID($E343,2*COUNTIF($F343:H343,"&gt;"&amp;0)+2,1)=I$1,I$1,""),"")</f>
        <v/>
      </c>
      <c r="J343" s="26" t="str">
        <f>IFERROR(IF(--MID($E343,2*COUNTIF($F343:I343,"&gt;"&amp;0)+2,1)=J$1,J$1,""),"")</f>
        <v/>
      </c>
      <c r="K343" s="26" t="str">
        <f>IFERROR(IF(--MID($E343,2*COUNTIF($F343:J343,"&gt;"&amp;0)+2,1)=K$1,K$1,""),"")</f>
        <v/>
      </c>
      <c r="L343" s="39" t="str" cm="1">
        <f t="array" ref="L343">IFERROR(IF($A343="","",IF(F343="","",_xlfn.XLOOKUP($C343&amp;"_"&amp;$AG343,符文权重!$A:$A&amp;"_"&amp;符文权重!$C:$C,符文权重!$D:$D)*$X343/SUMIFS($X:$X,F:F,F343,$C:$C,$C343,$AG:$AG,$AG343)/SUMIF(符文权重!$A:$A,$C343,符文权重!$D:$D))),"")</f>
        <v/>
      </c>
      <c r="M343" s="39" t="str" cm="1">
        <f t="array" ref="M343">IFERROR(IF($A343="","",IF(G343="","",_xlfn.XLOOKUP($C343&amp;"_"&amp;$AG343,符文权重!$A:$A&amp;"_"&amp;符文权重!$C:$C,符文权重!$D:$D)*$X343/SUMIFS($X:$X,G:G,G343,$C:$C,$C343,$AG:$AG,$AG343)/SUMIF(符文权重!$A:$A,$C343,符文权重!$D:$D))),"")</f>
        <v/>
      </c>
      <c r="N343" s="39" t="str" cm="1">
        <f t="array" ref="N343">IFERROR(IF($A343="","",IF(H343="","",_xlfn.XLOOKUP($C343&amp;"_"&amp;$AG343,符文权重!$A:$A&amp;"_"&amp;符文权重!$C:$C,符文权重!$D:$D)*$X343/SUMIFS($X:$X,H:H,H343,$C:$C,$C343,$AG:$AG,$AG343)/SUMIF(符文权重!$A:$A,$C343,符文权重!$D:$D))),"")</f>
        <v/>
      </c>
      <c r="O343" s="39" t="str" cm="1">
        <f t="array" ref="O343">IFERROR(IF($A343="","",IF(I343="","",_xlfn.XLOOKUP($C343&amp;"_"&amp;$AG343,符文权重!$A:$A&amp;"_"&amp;符文权重!$C:$C,符文权重!$D:$D)*$X343/SUMIFS($X:$X,I:I,I343,$C:$C,$C343,$AG:$AG,$AG343)/SUMIF(符文权重!$A:$A,$C343,符文权重!$D:$D))),"")</f>
        <v/>
      </c>
      <c r="P343" s="39" t="str" cm="1">
        <f t="array" ref="P343">IFERROR(IF($A343="","",IF(J343="","",_xlfn.XLOOKUP($C343&amp;"_"&amp;$AG343,符文权重!$A:$A&amp;"_"&amp;符文权重!$C:$C,符文权重!$D:$D)*$X343/SUMIFS($X:$X,J:J,J343,$C:$C,$C343,$AG:$AG,$AG343)/SUMIF(符文权重!$A:$A,$C343,符文权重!$D:$D))),"")</f>
        <v/>
      </c>
      <c r="Q343" s="39" t="str" cm="1">
        <f t="array" ref="Q343">IFERROR(IF($A343="","",IF(K343="","",_xlfn.XLOOKUP($C343&amp;"_"&amp;$AG343,符文权重!$A:$A&amp;"_"&amp;符文权重!$C:$C,符文权重!$D:$D)*$X343/SUMIFS($X:$X,K:K,K343,$C:$C,$C343,$AG:$AG,$AG343)/SUMIF(符文权重!$A:$A,$C343,符文权重!$D:$D))),"")</f>
        <v/>
      </c>
      <c r="R343" s="46" t="s">
        <v>181</v>
      </c>
      <c r="S343" s="46" t="s">
        <v>191</v>
      </c>
      <c r="T343" s="46" t="s">
        <v>383</v>
      </c>
      <c r="U343" s="47" t="s">
        <v>404</v>
      </c>
      <c r="V343" s="46"/>
      <c r="X343" s="25">
        <v>100</v>
      </c>
      <c r="Z343" s="45" t="s">
        <v>170</v>
      </c>
      <c r="AA343" s="32" t="str">
        <f t="shared" si="195"/>
        <v>战士攻击范围+1格,伤害+0%</v>
      </c>
      <c r="AB343" s="32"/>
      <c r="AC343" s="32" t="s">
        <v>166</v>
      </c>
      <c r="AD343" s="32">
        <f t="shared" si="193"/>
        <v>1338</v>
      </c>
      <c r="AE343" s="44" t="s">
        <v>400</v>
      </c>
      <c r="AF343" s="45" t="s">
        <v>402</v>
      </c>
      <c r="AG343" s="26">
        <v>100</v>
      </c>
      <c r="AH343" s="46"/>
      <c r="AI343" s="46">
        <v>1</v>
      </c>
      <c r="AJ343" s="25">
        <v>1</v>
      </c>
      <c r="AK343" s="44">
        <v>5505022</v>
      </c>
      <c r="AL343" s="50" t="s">
        <v>403</v>
      </c>
      <c r="AM343" s="46">
        <v>0</v>
      </c>
      <c r="AN343" s="25"/>
      <c r="AO343" s="26" t="s">
        <v>32</v>
      </c>
      <c r="AP343" s="20">
        <f t="shared" si="194"/>
        <v>338</v>
      </c>
    </row>
    <row r="344" s="23" customFormat="1" customHeight="1" spans="1:42">
      <c r="A344" s="44">
        <v>5505023</v>
      </c>
      <c r="B344" s="44" t="s">
        <v>400</v>
      </c>
      <c r="C344" s="45">
        <v>3</v>
      </c>
      <c r="D344" s="45"/>
      <c r="E344" s="46" t="s">
        <v>191</v>
      </c>
      <c r="F344" s="26">
        <f t="shared" si="190"/>
        <v>1</v>
      </c>
      <c r="G344" s="26" t="str">
        <f>IFERROR(IF(--MID($E344,2*COUNTIF($F344:F344,"&gt;"&amp;0)+2,1)=G$1,G$1,""),"")</f>
        <v/>
      </c>
      <c r="H344" s="26" t="str">
        <f>IFERROR(IF(--MID($E344,2*COUNTIF($F344:G344,"&gt;"&amp;0)+2,1)=H$1,H$1,""),"")</f>
        <v/>
      </c>
      <c r="I344" s="26" t="str">
        <f>IFERROR(IF(--MID($E344,2*COUNTIF($F344:H344,"&gt;"&amp;0)+2,1)=I$1,I$1,""),"")</f>
        <v/>
      </c>
      <c r="J344" s="26" t="str">
        <f>IFERROR(IF(--MID($E344,2*COUNTIF($F344:I344,"&gt;"&amp;0)+2,1)=J$1,J$1,""),"")</f>
        <v/>
      </c>
      <c r="K344" s="26" t="str">
        <f>IFERROR(IF(--MID($E344,2*COUNTIF($F344:J344,"&gt;"&amp;0)+2,1)=K$1,K$1,""),"")</f>
        <v/>
      </c>
      <c r="L344" s="39" t="str" cm="1">
        <f t="array" ref="L344">IFERROR(IF($A344="","",IF(F344="","",_xlfn.XLOOKUP($C344&amp;"_"&amp;$AG344,符文权重!$A:$A&amp;"_"&amp;符文权重!$C:$C,符文权重!$D:$D)*$X344/SUMIFS($X:$X,F:F,F344,$C:$C,$C344,$AG:$AG,$AG344)/SUMIF(符文权重!$A:$A,$C344,符文权重!$D:$D))),"")</f>
        <v/>
      </c>
      <c r="M344" s="39" t="str" cm="1">
        <f t="array" ref="M344">IFERROR(IF($A344="","",IF(G344="","",_xlfn.XLOOKUP($C344&amp;"_"&amp;$AG344,符文权重!$A:$A&amp;"_"&amp;符文权重!$C:$C,符文权重!$D:$D)*$X344/SUMIFS($X:$X,G:G,G344,$C:$C,$C344,$AG:$AG,$AG344)/SUMIF(符文权重!$A:$A,$C344,符文权重!$D:$D))),"")</f>
        <v/>
      </c>
      <c r="N344" s="39" t="str" cm="1">
        <f t="array" ref="N344">IFERROR(IF($A344="","",IF(H344="","",_xlfn.XLOOKUP($C344&amp;"_"&amp;$AG344,符文权重!$A:$A&amp;"_"&amp;符文权重!$C:$C,符文权重!$D:$D)*$X344/SUMIFS($X:$X,H:H,H344,$C:$C,$C344,$AG:$AG,$AG344)/SUMIF(符文权重!$A:$A,$C344,符文权重!$D:$D))),"")</f>
        <v/>
      </c>
      <c r="O344" s="39" t="str" cm="1">
        <f t="array" ref="O344">IFERROR(IF($A344="","",IF(I344="","",_xlfn.XLOOKUP($C344&amp;"_"&amp;$AG344,符文权重!$A:$A&amp;"_"&amp;符文权重!$C:$C,符文权重!$D:$D)*$X344/SUMIFS($X:$X,I:I,I344,$C:$C,$C344,$AG:$AG,$AG344)/SUMIF(符文权重!$A:$A,$C344,符文权重!$D:$D))),"")</f>
        <v/>
      </c>
      <c r="P344" s="39" t="str" cm="1">
        <f t="array" ref="P344">IFERROR(IF($A344="","",IF(J344="","",_xlfn.XLOOKUP($C344&amp;"_"&amp;$AG344,符文权重!$A:$A&amp;"_"&amp;符文权重!$C:$C,符文权重!$D:$D)*$X344/SUMIFS($X:$X,J:J,J344,$C:$C,$C344,$AG:$AG,$AG344)/SUMIF(符文权重!$A:$A,$C344,符文权重!$D:$D))),"")</f>
        <v/>
      </c>
      <c r="Q344" s="39" t="str" cm="1">
        <f t="array" ref="Q344">IFERROR(IF($A344="","",IF(K344="","",_xlfn.XLOOKUP($C344&amp;"_"&amp;$AG344,符文权重!$A:$A&amp;"_"&amp;符文权重!$C:$C,符文权重!$D:$D)*$X344/SUMIFS($X:$X,K:K,K344,$C:$C,$C344,$AG:$AG,$AG344)/SUMIF(符文权重!$A:$A,$C344,符文权重!$D:$D))),"")</f>
        <v/>
      </c>
      <c r="R344" s="46" t="s">
        <v>181</v>
      </c>
      <c r="S344" s="46" t="s">
        <v>191</v>
      </c>
      <c r="T344" s="46" t="s">
        <v>385</v>
      </c>
      <c r="U344" s="47" t="s">
        <v>405</v>
      </c>
      <c r="V344" s="46"/>
      <c r="X344" s="25">
        <v>100</v>
      </c>
      <c r="Z344" s="45" t="s">
        <v>172</v>
      </c>
      <c r="AA344" s="32" t="str">
        <f t="shared" si="195"/>
        <v>战士攻击范围+1格,伤害+0%</v>
      </c>
      <c r="AB344" s="32"/>
      <c r="AC344" s="32" t="s">
        <v>166</v>
      </c>
      <c r="AD344" s="32">
        <f t="shared" si="193"/>
        <v>1339</v>
      </c>
      <c r="AE344" s="44" t="s">
        <v>400</v>
      </c>
      <c r="AF344" s="45" t="s">
        <v>402</v>
      </c>
      <c r="AG344" s="26">
        <v>100</v>
      </c>
      <c r="AH344" s="46"/>
      <c r="AI344" s="46">
        <v>1</v>
      </c>
      <c r="AJ344" s="25">
        <v>1</v>
      </c>
      <c r="AK344" s="44">
        <v>5505023</v>
      </c>
      <c r="AL344" s="50" t="s">
        <v>403</v>
      </c>
      <c r="AM344" s="46">
        <v>0</v>
      </c>
      <c r="AN344" s="25"/>
      <c r="AO344" s="26" t="s">
        <v>32</v>
      </c>
      <c r="AP344" s="20">
        <f t="shared" si="194"/>
        <v>339</v>
      </c>
    </row>
    <row r="345" customHeight="1" spans="1:42">
      <c r="A345" s="38">
        <v>5505024</v>
      </c>
      <c r="B345" s="38" t="s">
        <v>400</v>
      </c>
      <c r="C345" s="32">
        <v>4</v>
      </c>
      <c r="D345" s="32"/>
      <c r="E345" s="26" t="s">
        <v>191</v>
      </c>
      <c r="F345" s="26">
        <f t="shared" si="190"/>
        <v>1</v>
      </c>
      <c r="G345" s="26" t="str">
        <f>IFERROR(IF(--MID($E345,2*COUNTIF($F345:F345,"&gt;"&amp;0)+2,1)=G$1,G$1,""),"")</f>
        <v/>
      </c>
      <c r="H345" s="26" t="str">
        <f>IFERROR(IF(--MID($E345,2*COUNTIF($F345:G345,"&gt;"&amp;0)+2,1)=H$1,H$1,""),"")</f>
        <v/>
      </c>
      <c r="I345" s="26" t="str">
        <f>IFERROR(IF(--MID($E345,2*COUNTIF($F345:H345,"&gt;"&amp;0)+2,1)=I$1,I$1,""),"")</f>
        <v/>
      </c>
      <c r="J345" s="26" t="str">
        <f>IFERROR(IF(--MID($E345,2*COUNTIF($F345:I345,"&gt;"&amp;0)+2,1)=J$1,J$1,""),"")</f>
        <v/>
      </c>
      <c r="K345" s="26" t="str">
        <f>IFERROR(IF(--MID($E345,2*COUNTIF($F345:J345,"&gt;"&amp;0)+2,1)=K$1,K$1,""),"")</f>
        <v/>
      </c>
      <c r="L345" s="39" t="str" cm="1">
        <f t="array" ref="L345">IFERROR(IF($A345="","",IF(F345="","",_xlfn.XLOOKUP($C345&amp;"_"&amp;$AG345,符文权重!$A:$A&amp;"_"&amp;符文权重!$C:$C,符文权重!$D:$D)*$X345/SUMIFS($X:$X,F:F,F345,$C:$C,$C345,$AG:$AG,$AG345)/SUMIF(符文权重!$A:$A,$C345,符文权重!$D:$D))),"")</f>
        <v/>
      </c>
      <c r="M345" s="39" t="str" cm="1">
        <f t="array" ref="M345">IFERROR(IF($A345="","",IF(G345="","",_xlfn.XLOOKUP($C345&amp;"_"&amp;$AG345,符文权重!$A:$A&amp;"_"&amp;符文权重!$C:$C,符文权重!$D:$D)*$X345/SUMIFS($X:$X,G:G,G345,$C:$C,$C345,$AG:$AG,$AG345)/SUMIF(符文权重!$A:$A,$C345,符文权重!$D:$D))),"")</f>
        <v/>
      </c>
      <c r="N345" s="39" t="str" cm="1">
        <f t="array" ref="N345">IFERROR(IF($A345="","",IF(H345="","",_xlfn.XLOOKUP($C345&amp;"_"&amp;$AG345,符文权重!$A:$A&amp;"_"&amp;符文权重!$C:$C,符文权重!$D:$D)*$X345/SUMIFS($X:$X,H:H,H345,$C:$C,$C345,$AG:$AG,$AG345)/SUMIF(符文权重!$A:$A,$C345,符文权重!$D:$D))),"")</f>
        <v/>
      </c>
      <c r="O345" s="39" t="str" cm="1">
        <f t="array" ref="O345">IFERROR(IF($A345="","",IF(I345="","",_xlfn.XLOOKUP($C345&amp;"_"&amp;$AG345,符文权重!$A:$A&amp;"_"&amp;符文权重!$C:$C,符文权重!$D:$D)*$X345/SUMIFS($X:$X,I:I,I345,$C:$C,$C345,$AG:$AG,$AG345)/SUMIF(符文权重!$A:$A,$C345,符文权重!$D:$D))),"")</f>
        <v/>
      </c>
      <c r="P345" s="39" t="str" cm="1">
        <f t="array" ref="P345">IFERROR(IF($A345="","",IF(J345="","",_xlfn.XLOOKUP($C345&amp;"_"&amp;$AG345,符文权重!$A:$A&amp;"_"&amp;符文权重!$C:$C,符文权重!$D:$D)*$X345/SUMIFS($X:$X,J:J,J345,$C:$C,$C345,$AG:$AG,$AG345)/SUMIF(符文权重!$A:$A,$C345,符文权重!$D:$D))),"")</f>
        <v/>
      </c>
      <c r="Q345" s="39" t="str" cm="1">
        <f t="array" ref="Q345">IFERROR(IF($A345="","",IF(K345="","",_xlfn.XLOOKUP($C345&amp;"_"&amp;$AG345,符文权重!$A:$A&amp;"_"&amp;符文权重!$C:$C,符文权重!$D:$D)*$X345/SUMIFS($X:$X,K:K,K345,$C:$C,$C345,$AG:$AG,$AG345)/SUMIF(符文权重!$A:$A,$C345,符文权重!$D:$D))),"")</f>
        <v/>
      </c>
      <c r="R345" s="26" t="s">
        <v>181</v>
      </c>
      <c r="S345" s="26" t="s">
        <v>191</v>
      </c>
      <c r="T345" s="26" t="s">
        <v>388</v>
      </c>
      <c r="U345" s="40" t="s">
        <v>406</v>
      </c>
      <c r="X345" s="25">
        <v>4</v>
      </c>
      <c r="Z345" s="32" t="s">
        <v>174</v>
      </c>
      <c r="AA345" s="32" t="str">
        <f t="shared" si="195"/>
        <v>战士攻击范围+1格,伤害+0%</v>
      </c>
      <c r="AB345" s="32"/>
      <c r="AC345" s="32" t="s">
        <v>166</v>
      </c>
      <c r="AD345" s="32">
        <f t="shared" si="193"/>
        <v>1340</v>
      </c>
      <c r="AE345" s="38">
        <v>55050211</v>
      </c>
      <c r="AF345" s="32" t="s">
        <v>402</v>
      </c>
      <c r="AG345" s="26">
        <v>105</v>
      </c>
      <c r="AH345" s="26"/>
      <c r="AI345" s="26">
        <v>0</v>
      </c>
      <c r="AJ345" s="25">
        <v>1</v>
      </c>
      <c r="AK345" s="38">
        <v>5505024</v>
      </c>
      <c r="AL345" s="41" t="s">
        <v>403</v>
      </c>
      <c r="AM345" s="26">
        <v>0</v>
      </c>
      <c r="AN345" s="25">
        <v>5</v>
      </c>
      <c r="AO345" s="26" t="s">
        <v>32</v>
      </c>
      <c r="AP345" s="20">
        <f t="shared" si="194"/>
        <v>340</v>
      </c>
    </row>
    <row r="346" customHeight="1" spans="1:42">
      <c r="A346" s="38">
        <v>5505025</v>
      </c>
      <c r="B346" s="38" t="s">
        <v>400</v>
      </c>
      <c r="C346" s="32">
        <v>5</v>
      </c>
      <c r="D346" s="32"/>
      <c r="E346" s="26" t="s">
        <v>191</v>
      </c>
      <c r="F346" s="26">
        <f t="shared" si="190"/>
        <v>1</v>
      </c>
      <c r="G346" s="26" t="str">
        <f>IFERROR(IF(--MID($E346,2*COUNTIF($F346:F346,"&gt;"&amp;0)+2,1)=G$1,G$1,""),"")</f>
        <v/>
      </c>
      <c r="H346" s="26" t="str">
        <f>IFERROR(IF(--MID($E346,2*COUNTIF($F346:G346,"&gt;"&amp;0)+2,1)=H$1,H$1,""),"")</f>
        <v/>
      </c>
      <c r="I346" s="26" t="str">
        <f>IFERROR(IF(--MID($E346,2*COUNTIF($F346:H346,"&gt;"&amp;0)+2,1)=I$1,I$1,""),"")</f>
        <v/>
      </c>
      <c r="J346" s="26" t="str">
        <f>IFERROR(IF(--MID($E346,2*COUNTIF($F346:I346,"&gt;"&amp;0)+2,1)=J$1,J$1,""),"")</f>
        <v/>
      </c>
      <c r="K346" s="26" t="str">
        <f>IFERROR(IF(--MID($E346,2*COUNTIF($F346:J346,"&gt;"&amp;0)+2,1)=K$1,K$1,""),"")</f>
        <v/>
      </c>
      <c r="L346" s="39" cm="1">
        <f t="array" ref="L346">IFERROR(IF($A346="","",IF(F346="","",_xlfn.XLOOKUP($C346&amp;"_"&amp;$AG346,符文权重!$A:$A&amp;"_"&amp;符文权重!$C:$C,符文权重!$D:$D)*$X346/SUMIFS($X:$X,F:F,F346,$C:$C,$C346,$AG:$AG,$AG346)/SUMIF(符文权重!$A:$A,$C346,符文权重!$D:$D))),"")</f>
        <v>0.0075</v>
      </c>
      <c r="M346" s="39" t="str" cm="1">
        <f t="array" ref="M346">IFERROR(IF($A346="","",IF(G346="","",_xlfn.XLOOKUP($C346&amp;"_"&amp;$AG346,符文权重!$A:$A&amp;"_"&amp;符文权重!$C:$C,符文权重!$D:$D)*$X346/SUMIFS($X:$X,G:G,G346,$C:$C,$C346,$AG:$AG,$AG346)/SUMIF(符文权重!$A:$A,$C346,符文权重!$D:$D))),"")</f>
        <v/>
      </c>
      <c r="N346" s="39" t="str" cm="1">
        <f t="array" ref="N346">IFERROR(IF($A346="","",IF(H346="","",_xlfn.XLOOKUP($C346&amp;"_"&amp;$AG346,符文权重!$A:$A&amp;"_"&amp;符文权重!$C:$C,符文权重!$D:$D)*$X346/SUMIFS($X:$X,H:H,H346,$C:$C,$C346,$AG:$AG,$AG346)/SUMIF(符文权重!$A:$A,$C346,符文权重!$D:$D))),"")</f>
        <v/>
      </c>
      <c r="O346" s="39" t="str" cm="1">
        <f t="array" ref="O346">IFERROR(IF($A346="","",IF(I346="","",_xlfn.XLOOKUP($C346&amp;"_"&amp;$AG346,符文权重!$A:$A&amp;"_"&amp;符文权重!$C:$C,符文权重!$D:$D)*$X346/SUMIFS($X:$X,I:I,I346,$C:$C,$C346,$AG:$AG,$AG346)/SUMIF(符文权重!$A:$A,$C346,符文权重!$D:$D))),"")</f>
        <v/>
      </c>
      <c r="P346" s="39" t="str" cm="1">
        <f t="array" ref="P346">IFERROR(IF($A346="","",IF(J346="","",_xlfn.XLOOKUP($C346&amp;"_"&amp;$AG346,符文权重!$A:$A&amp;"_"&amp;符文权重!$C:$C,符文权重!$D:$D)*$X346/SUMIFS($X:$X,J:J,J346,$C:$C,$C346,$AG:$AG,$AG346)/SUMIF(符文权重!$A:$A,$C346,符文权重!$D:$D))),"")</f>
        <v/>
      </c>
      <c r="Q346" s="39" t="str" cm="1">
        <f t="array" ref="Q346">IFERROR(IF($A346="","",IF(K346="","",_xlfn.XLOOKUP($C346&amp;"_"&amp;$AG346,符文权重!$A:$A&amp;"_"&amp;符文权重!$C:$C,符文权重!$D:$D)*$X346/SUMIFS($X:$X,K:K,K346,$C:$C,$C346,$AG:$AG,$AG346)/SUMIF(符文权重!$A:$A,$C346,符文权重!$D:$D))),"")</f>
        <v/>
      </c>
      <c r="R346" s="26" t="s">
        <v>181</v>
      </c>
      <c r="S346" s="26" t="s">
        <v>191</v>
      </c>
      <c r="T346" s="26" t="s">
        <v>391</v>
      </c>
      <c r="U346" s="40" t="s">
        <v>407</v>
      </c>
      <c r="V346" s="26" t="s">
        <v>408</v>
      </c>
      <c r="X346" s="25">
        <v>100</v>
      </c>
      <c r="Z346" s="32" t="s">
        <v>176</v>
      </c>
      <c r="AA346" s="32" t="str">
        <f t="shared" si="195"/>
        <v>战士攻击范围+1格,伤害+15%</v>
      </c>
      <c r="AB346" s="32"/>
      <c r="AC346" s="32" t="s">
        <v>166</v>
      </c>
      <c r="AD346" s="32">
        <f t="shared" si="193"/>
        <v>1341</v>
      </c>
      <c r="AE346" s="38" t="s">
        <v>400</v>
      </c>
      <c r="AF346" s="32" t="s">
        <v>393</v>
      </c>
      <c r="AG346" s="26">
        <v>5</v>
      </c>
      <c r="AH346" s="26"/>
      <c r="AI346" s="26">
        <v>0</v>
      </c>
      <c r="AJ346" s="25">
        <v>1</v>
      </c>
      <c r="AK346" s="38">
        <v>5505025</v>
      </c>
      <c r="AL346" s="41" t="s">
        <v>403</v>
      </c>
      <c r="AM346" s="26">
        <v>15</v>
      </c>
      <c r="AN346" s="25">
        <v>5</v>
      </c>
      <c r="AO346" s="26" t="s">
        <v>32</v>
      </c>
      <c r="AP346" s="20">
        <f t="shared" si="194"/>
        <v>341</v>
      </c>
    </row>
    <row r="347" customHeight="1" spans="1:42">
      <c r="A347" s="38">
        <v>5505026</v>
      </c>
      <c r="B347" s="38" t="s">
        <v>400</v>
      </c>
      <c r="C347" s="32">
        <v>6</v>
      </c>
      <c r="D347" s="32"/>
      <c r="E347" s="26" t="s">
        <v>191</v>
      </c>
      <c r="F347" s="26">
        <f t="shared" si="190"/>
        <v>1</v>
      </c>
      <c r="G347" s="26" t="str">
        <f>IFERROR(IF(--MID($E347,2*COUNTIF($F347:F347,"&gt;"&amp;0)+2,1)=G$1,G$1,""),"")</f>
        <v/>
      </c>
      <c r="H347" s="26" t="str">
        <f>IFERROR(IF(--MID($E347,2*COUNTIF($F347:G347,"&gt;"&amp;0)+2,1)=H$1,H$1,""),"")</f>
        <v/>
      </c>
      <c r="I347" s="26" t="str">
        <f>IFERROR(IF(--MID($E347,2*COUNTIF($F347:H347,"&gt;"&amp;0)+2,1)=I$1,I$1,""),"")</f>
        <v/>
      </c>
      <c r="J347" s="26" t="str">
        <f>IFERROR(IF(--MID($E347,2*COUNTIF($F347:I347,"&gt;"&amp;0)+2,1)=J$1,J$1,""),"")</f>
        <v/>
      </c>
      <c r="K347" s="26" t="str">
        <f>IFERROR(IF(--MID($E347,2*COUNTIF($F347:J347,"&gt;"&amp;0)+2,1)=K$1,K$1,""),"")</f>
        <v/>
      </c>
      <c r="L347" s="39" cm="1">
        <f t="array" ref="L347">IFERROR(IF($A347="","",IF(F347="","",_xlfn.XLOOKUP($C347&amp;"_"&amp;$AG347,符文权重!$A:$A&amp;"_"&amp;符文权重!$C:$C,符文权重!$D:$D)*$X347/SUMIFS($X:$X,F:F,F347,$C:$C,$C347,$AG:$AG,$AG347)/SUMIF(符文权重!$A:$A,$C347,符文权重!$D:$D))),"")</f>
        <v>0.0075</v>
      </c>
      <c r="M347" s="39" t="str" cm="1">
        <f t="array" ref="M347">IFERROR(IF($A347="","",IF(G347="","",_xlfn.XLOOKUP($C347&amp;"_"&amp;$AG347,符文权重!$A:$A&amp;"_"&amp;符文权重!$C:$C,符文权重!$D:$D)*$X347/SUMIFS($X:$X,G:G,G347,$C:$C,$C347,$AG:$AG,$AG347)/SUMIF(符文权重!$A:$A,$C347,符文权重!$D:$D))),"")</f>
        <v/>
      </c>
      <c r="N347" s="39" t="str" cm="1">
        <f t="array" ref="N347">IFERROR(IF($A347="","",IF(H347="","",_xlfn.XLOOKUP($C347&amp;"_"&amp;$AG347,符文权重!$A:$A&amp;"_"&amp;符文权重!$C:$C,符文权重!$D:$D)*$X347/SUMIFS($X:$X,H:H,H347,$C:$C,$C347,$AG:$AG,$AG347)/SUMIF(符文权重!$A:$A,$C347,符文权重!$D:$D))),"")</f>
        <v/>
      </c>
      <c r="O347" s="39" t="str" cm="1">
        <f t="array" ref="O347">IFERROR(IF($A347="","",IF(I347="","",_xlfn.XLOOKUP($C347&amp;"_"&amp;$AG347,符文权重!$A:$A&amp;"_"&amp;符文权重!$C:$C,符文权重!$D:$D)*$X347/SUMIFS($X:$X,I:I,I347,$C:$C,$C347,$AG:$AG,$AG347)/SUMIF(符文权重!$A:$A,$C347,符文权重!$D:$D))),"")</f>
        <v/>
      </c>
      <c r="P347" s="39" t="str" cm="1">
        <f t="array" ref="P347">IFERROR(IF($A347="","",IF(J347="","",_xlfn.XLOOKUP($C347&amp;"_"&amp;$AG347,符文权重!$A:$A&amp;"_"&amp;符文权重!$C:$C,符文权重!$D:$D)*$X347/SUMIFS($X:$X,J:J,J347,$C:$C,$C347,$AG:$AG,$AG347)/SUMIF(符文权重!$A:$A,$C347,符文权重!$D:$D))),"")</f>
        <v/>
      </c>
      <c r="Q347" s="39" t="str" cm="1">
        <f t="array" ref="Q347">IFERROR(IF($A347="","",IF(K347="","",_xlfn.XLOOKUP($C347&amp;"_"&amp;$AG347,符文权重!$A:$A&amp;"_"&amp;符文权重!$C:$C,符文权重!$D:$D)*$X347/SUMIFS($X:$X,K:K,K347,$C:$C,$C347,$AG:$AG,$AG347)/SUMIF(符文权重!$A:$A,$C347,符文权重!$D:$D))),"")</f>
        <v/>
      </c>
      <c r="R347" s="26" t="s">
        <v>181</v>
      </c>
      <c r="S347" s="26" t="s">
        <v>191</v>
      </c>
      <c r="T347" s="26" t="s">
        <v>394</v>
      </c>
      <c r="U347" s="40" t="s">
        <v>409</v>
      </c>
      <c r="V347" s="26" t="s">
        <v>410</v>
      </c>
      <c r="X347" s="25">
        <v>100</v>
      </c>
      <c r="Z347" s="32" t="s">
        <v>178</v>
      </c>
      <c r="AA347" s="32" t="str">
        <f t="shared" si="195"/>
        <v>战士攻击范围+1格,伤害+35%</v>
      </c>
      <c r="AB347" s="32"/>
      <c r="AC347" s="32" t="s">
        <v>166</v>
      </c>
      <c r="AD347" s="32">
        <f t="shared" si="193"/>
        <v>1342</v>
      </c>
      <c r="AE347" s="38" t="s">
        <v>400</v>
      </c>
      <c r="AF347" s="32" t="s">
        <v>411</v>
      </c>
      <c r="AG347" s="26">
        <v>5</v>
      </c>
      <c r="AH347" s="26"/>
      <c r="AI347" s="26">
        <v>0</v>
      </c>
      <c r="AJ347" s="25">
        <v>1</v>
      </c>
      <c r="AK347" s="38">
        <v>5505026</v>
      </c>
      <c r="AL347" s="41" t="s">
        <v>403</v>
      </c>
      <c r="AM347" s="26">
        <v>35</v>
      </c>
      <c r="AN347" s="25">
        <v>5</v>
      </c>
      <c r="AO347" s="26" t="s">
        <v>32</v>
      </c>
      <c r="AP347" s="20">
        <f t="shared" si="194"/>
        <v>342</v>
      </c>
    </row>
    <row r="348" customHeight="1" spans="1:42">
      <c r="A348" s="38">
        <v>5505027</v>
      </c>
      <c r="B348" s="38" t="s">
        <v>400</v>
      </c>
      <c r="C348" s="32">
        <v>7</v>
      </c>
      <c r="D348" s="32"/>
      <c r="E348" s="26" t="s">
        <v>191</v>
      </c>
      <c r="F348" s="26">
        <f t="shared" si="190"/>
        <v>1</v>
      </c>
      <c r="G348" s="26" t="str">
        <f>IFERROR(IF(--MID($E348,2*COUNTIF($F348:F348,"&gt;"&amp;0)+2,1)=G$1,G$1,""),"")</f>
        <v/>
      </c>
      <c r="H348" s="26" t="str">
        <f>IFERROR(IF(--MID($E348,2*COUNTIF($F348:G348,"&gt;"&amp;0)+2,1)=H$1,H$1,""),"")</f>
        <v/>
      </c>
      <c r="I348" s="26" t="str">
        <f>IFERROR(IF(--MID($E348,2*COUNTIF($F348:H348,"&gt;"&amp;0)+2,1)=I$1,I$1,""),"")</f>
        <v/>
      </c>
      <c r="J348" s="26" t="str">
        <f>IFERROR(IF(--MID($E348,2*COUNTIF($F348:I348,"&gt;"&amp;0)+2,1)=J$1,J$1,""),"")</f>
        <v/>
      </c>
      <c r="K348" s="26" t="str">
        <f>IFERROR(IF(--MID($E348,2*COUNTIF($F348:J348,"&gt;"&amp;0)+2,1)=K$1,K$1,""),"")</f>
        <v/>
      </c>
      <c r="L348" s="39" cm="1">
        <f t="array" ref="L348">IFERROR(IF($A348="","",IF(F348="","",_xlfn.XLOOKUP($C348&amp;"_"&amp;$AG348,符文权重!$A:$A&amp;"_"&amp;符文权重!$C:$C,符文权重!$D:$D)*$X348/SUMIFS($X:$X,F:F,F348,$C:$C,$C348,$AG:$AG,$AG348)/SUMIF(符文权重!$A:$A,$C348,符文权重!$D:$D))),"")</f>
        <v>0.0075</v>
      </c>
      <c r="M348" s="39" t="str" cm="1">
        <f t="array" ref="M348">IFERROR(IF($A348="","",IF(G348="","",_xlfn.XLOOKUP($C348&amp;"_"&amp;$AG348,符文权重!$A:$A&amp;"_"&amp;符文权重!$C:$C,符文权重!$D:$D)*$X348/SUMIFS($X:$X,G:G,G348,$C:$C,$C348,$AG:$AG,$AG348)/SUMIF(符文权重!$A:$A,$C348,符文权重!$D:$D))),"")</f>
        <v/>
      </c>
      <c r="N348" s="39" t="str" cm="1">
        <f t="array" ref="N348">IFERROR(IF($A348="","",IF(H348="","",_xlfn.XLOOKUP($C348&amp;"_"&amp;$AG348,符文权重!$A:$A&amp;"_"&amp;符文权重!$C:$C,符文权重!$D:$D)*$X348/SUMIFS($X:$X,H:H,H348,$C:$C,$C348,$AG:$AG,$AG348)/SUMIF(符文权重!$A:$A,$C348,符文权重!$D:$D))),"")</f>
        <v/>
      </c>
      <c r="O348" s="39" t="str" cm="1">
        <f t="array" ref="O348">IFERROR(IF($A348="","",IF(I348="","",_xlfn.XLOOKUP($C348&amp;"_"&amp;$AG348,符文权重!$A:$A&amp;"_"&amp;符文权重!$C:$C,符文权重!$D:$D)*$X348/SUMIFS($X:$X,I:I,I348,$C:$C,$C348,$AG:$AG,$AG348)/SUMIF(符文权重!$A:$A,$C348,符文权重!$D:$D))),"")</f>
        <v/>
      </c>
      <c r="P348" s="39" t="str" cm="1">
        <f t="array" ref="P348">IFERROR(IF($A348="","",IF(J348="","",_xlfn.XLOOKUP($C348&amp;"_"&amp;$AG348,符文权重!$A:$A&amp;"_"&amp;符文权重!$C:$C,符文权重!$D:$D)*$X348/SUMIFS($X:$X,J:J,J348,$C:$C,$C348,$AG:$AG,$AG348)/SUMIF(符文权重!$A:$A,$C348,符文权重!$D:$D))),"")</f>
        <v/>
      </c>
      <c r="Q348" s="39" t="str" cm="1">
        <f t="array" ref="Q348">IFERROR(IF($A348="","",IF(K348="","",_xlfn.XLOOKUP($C348&amp;"_"&amp;$AG348,符文权重!$A:$A&amp;"_"&amp;符文权重!$C:$C,符文权重!$D:$D)*$X348/SUMIFS($X:$X,K:K,K348,$C:$C,$C348,$AG:$AG,$AG348)/SUMIF(符文权重!$A:$A,$C348,符文权重!$D:$D))),"")</f>
        <v/>
      </c>
      <c r="R348" s="26" t="s">
        <v>181</v>
      </c>
      <c r="S348" s="26" t="s">
        <v>191</v>
      </c>
      <c r="T348" s="26" t="s">
        <v>397</v>
      </c>
      <c r="U348" s="40" t="s">
        <v>412</v>
      </c>
      <c r="V348" s="26" t="s">
        <v>413</v>
      </c>
      <c r="X348" s="25">
        <v>100</v>
      </c>
      <c r="Z348" s="32" t="s">
        <v>180</v>
      </c>
      <c r="AA348" s="32" t="str">
        <f t="shared" si="195"/>
        <v>战士攻击范围+1格,伤害+55%</v>
      </c>
      <c r="AB348" s="32"/>
      <c r="AC348" s="32" t="s">
        <v>166</v>
      </c>
      <c r="AD348" s="32">
        <f t="shared" si="193"/>
        <v>1343</v>
      </c>
      <c r="AE348" s="38" t="s">
        <v>400</v>
      </c>
      <c r="AF348" s="32" t="s">
        <v>414</v>
      </c>
      <c r="AG348" s="26">
        <v>5</v>
      </c>
      <c r="AH348" s="26"/>
      <c r="AI348" s="26">
        <v>0</v>
      </c>
      <c r="AJ348" s="25">
        <v>1</v>
      </c>
      <c r="AK348" s="38">
        <v>5505027</v>
      </c>
      <c r="AL348" s="41" t="s">
        <v>403</v>
      </c>
      <c r="AM348" s="26">
        <v>55</v>
      </c>
      <c r="AN348" s="25">
        <v>5</v>
      </c>
      <c r="AO348" s="26" t="s">
        <v>32</v>
      </c>
      <c r="AP348" s="20">
        <f t="shared" si="194"/>
        <v>343</v>
      </c>
    </row>
    <row r="349" s="20" customFormat="1" customHeight="1" spans="1:42">
      <c r="A349" s="38" t="s">
        <v>167</v>
      </c>
      <c r="B349" s="38" t="s">
        <v>167</v>
      </c>
      <c r="C349" s="32" t="s">
        <v>167</v>
      </c>
      <c r="D349" s="32"/>
      <c r="E349" s="26"/>
      <c r="F349" s="26" t="str">
        <f t="shared" si="190"/>
        <v/>
      </c>
      <c r="G349" s="26" t="str">
        <f>IFERROR(IF(--MID($E349,2*COUNTIF($F349:F349,"&gt;"&amp;0)+2,1)=G$1,G$1,""),"")</f>
        <v/>
      </c>
      <c r="H349" s="26" t="str">
        <f>IFERROR(IF(--MID($E349,2*COUNTIF($F349:G349,"&gt;"&amp;0)+2,1)=H$1,H$1,""),"")</f>
        <v/>
      </c>
      <c r="I349" s="26" t="str">
        <f>IFERROR(IF(--MID($E349,2*COUNTIF($F349:H349,"&gt;"&amp;0)+2,1)=I$1,I$1,""),"")</f>
        <v/>
      </c>
      <c r="J349" s="26" t="str">
        <f>IFERROR(IF(--MID($E349,2*COUNTIF($F349:I349,"&gt;"&amp;0)+2,1)=J$1,J$1,""),"")</f>
        <v/>
      </c>
      <c r="K349" s="26" t="str">
        <f>IFERROR(IF(--MID($E349,2*COUNTIF($F349:J349,"&gt;"&amp;0)+2,1)=K$1,K$1,""),"")</f>
        <v/>
      </c>
      <c r="L349" s="39" t="str" cm="1">
        <f t="array" ref="L349">IFERROR(IF($A349="","",IF(F349="","",_xlfn.XLOOKUP($C349&amp;"_"&amp;$AG349,符文权重!$A:$A&amp;"_"&amp;符文权重!$C:$C,符文权重!$D:$D)*$X349/SUMIFS($X:$X,F:F,F349,$C:$C,$C349,$AG:$AG,$AG349)/SUMIF(符文权重!$A:$A,$C349,符文权重!$D:$D))),"")</f>
        <v/>
      </c>
      <c r="M349" s="39" t="str" cm="1">
        <f t="array" ref="M349">IFERROR(IF($A349="","",IF(G349="","",_xlfn.XLOOKUP($C349&amp;"_"&amp;$AG349,符文权重!$A:$A&amp;"_"&amp;符文权重!$C:$C,符文权重!$D:$D)*$X349/SUMIFS($X:$X,G:G,G349,$C:$C,$C349,$AG:$AG,$AG349)/SUMIF(符文权重!$A:$A,$C349,符文权重!$D:$D))),"")</f>
        <v/>
      </c>
      <c r="N349" s="39" t="str" cm="1">
        <f t="array" ref="N349">IFERROR(IF($A349="","",IF(H349="","",_xlfn.XLOOKUP($C349&amp;"_"&amp;$AG349,符文权重!$A:$A&amp;"_"&amp;符文权重!$C:$C,符文权重!$D:$D)*$X349/SUMIFS($X:$X,H:H,H349,$C:$C,$C349,$AG:$AG,$AG349)/SUMIF(符文权重!$A:$A,$C349,符文权重!$D:$D))),"")</f>
        <v/>
      </c>
      <c r="O349" s="39" t="str" cm="1">
        <f t="array" ref="O349">IFERROR(IF($A349="","",IF(I349="","",_xlfn.XLOOKUP($C349&amp;"_"&amp;$AG349,符文权重!$A:$A&amp;"_"&amp;符文权重!$C:$C,符文权重!$D:$D)*$X349/SUMIFS($X:$X,I:I,I349,$C:$C,$C349,$AG:$AG,$AG349)/SUMIF(符文权重!$A:$A,$C349,符文权重!$D:$D))),"")</f>
        <v/>
      </c>
      <c r="P349" s="39" t="str" cm="1">
        <f t="array" ref="P349">IFERROR(IF($A349="","",IF(J349="","",_xlfn.XLOOKUP($C349&amp;"_"&amp;$AG349,符文权重!$A:$A&amp;"_"&amp;符文权重!$C:$C,符文权重!$D:$D)*$X349/SUMIFS($X:$X,J:J,J349,$C:$C,$C349,$AG:$AG,$AG349)/SUMIF(符文权重!$A:$A,$C349,符文权重!$D:$D))),"")</f>
        <v/>
      </c>
      <c r="Q349" s="39" t="str" cm="1">
        <f t="array" ref="Q349">IFERROR(IF($A349="","",IF(K349="","",_xlfn.XLOOKUP($C349&amp;"_"&amp;$AG349,符文权重!$A:$A&amp;"_"&amp;符文权重!$C:$C,符文权重!$D:$D)*$X349/SUMIFS($X:$X,K:K,K349,$C:$C,$C349,$AG:$AG,$AG349)/SUMIF(符文权重!$A:$A,$C349,符文权重!$D:$D))),"")</f>
        <v/>
      </c>
      <c r="R349" s="26"/>
      <c r="S349" s="26"/>
      <c r="T349" s="26"/>
      <c r="V349" s="31"/>
      <c r="W349" s="25"/>
      <c r="X349" s="25"/>
      <c r="Y349" s="25"/>
      <c r="Z349" s="32" t="s">
        <v>167</v>
      </c>
      <c r="AA349" s="32" t="str">
        <f t="shared" si="195"/>
        <v/>
      </c>
      <c r="AB349" s="32"/>
      <c r="AC349" s="32" t="s">
        <v>166</v>
      </c>
      <c r="AD349" s="32">
        <f t="shared" si="193"/>
        <v>1344</v>
      </c>
      <c r="AE349" s="38" t="s">
        <v>167</v>
      </c>
      <c r="AF349" s="32" t="s">
        <v>167</v>
      </c>
      <c r="AG349" s="26"/>
      <c r="AH349" s="26"/>
      <c r="AI349" s="26"/>
      <c r="AJ349" s="25" t="s">
        <v>167</v>
      </c>
      <c r="AK349" s="24"/>
      <c r="AL349" s="43"/>
      <c r="AM349" s="26"/>
      <c r="AN349" s="25"/>
      <c r="AO349" s="25"/>
      <c r="AP349" s="20">
        <f t="shared" si="194"/>
        <v>344</v>
      </c>
    </row>
    <row r="350" s="22" customFormat="1" customHeight="1" spans="1:42">
      <c r="A350" s="44">
        <v>5505031</v>
      </c>
      <c r="B350" s="44" t="s">
        <v>415</v>
      </c>
      <c r="C350" s="45">
        <v>1</v>
      </c>
      <c r="D350" s="45"/>
      <c r="E350" s="46" t="s">
        <v>200</v>
      </c>
      <c r="F350" s="26" t="str">
        <f t="shared" si="190"/>
        <v/>
      </c>
      <c r="G350" s="26">
        <f>IFERROR(IF(--MID($E350,2*COUNTIF($F350:F350,"&gt;"&amp;0)+2,1)=G$1,G$1,""),"")</f>
        <v>2</v>
      </c>
      <c r="H350" s="26" t="str">
        <f>IFERROR(IF(--MID($E350,2*COUNTIF($F350:G350,"&gt;"&amp;0)+2,1)=H$1,H$1,""),"")</f>
        <v/>
      </c>
      <c r="I350" s="26" t="str">
        <f>IFERROR(IF(--MID($E350,2*COUNTIF($F350:H350,"&gt;"&amp;0)+2,1)=I$1,I$1,""),"")</f>
        <v/>
      </c>
      <c r="J350" s="26" t="str">
        <f>IFERROR(IF(--MID($E350,2*COUNTIF($F350:I350,"&gt;"&amp;0)+2,1)=J$1,J$1,""),"")</f>
        <v/>
      </c>
      <c r="K350" s="26" t="str">
        <f>IFERROR(IF(--MID($E350,2*COUNTIF($F350:J350,"&gt;"&amp;0)+2,1)=K$1,K$1,""),"")</f>
        <v/>
      </c>
      <c r="L350" s="39" t="str" cm="1">
        <f t="array" ref="L350">IFERROR(IF($A350="","",IF(F350="","",_xlfn.XLOOKUP($C350&amp;"_"&amp;$AG350,符文权重!$A:$A&amp;"_"&amp;符文权重!$C:$C,符文权重!$D:$D)*$X350/SUMIFS($X:$X,F:F,F350,$C:$C,$C350,$AG:$AG,$AG350)/SUMIF(符文权重!$A:$A,$C350,符文权重!$D:$D))),"")</f>
        <v/>
      </c>
      <c r="M350" s="39" t="str" cm="1">
        <f t="array" ref="M350">IFERROR(IF($A350="","",IF(G350="","",_xlfn.XLOOKUP($C350&amp;"_"&amp;$AG350,符文权重!$A:$A&amp;"_"&amp;符文权重!$C:$C,符文权重!$D:$D)*$X350/SUMIFS($X:$X,G:G,G350,$C:$C,$C350,$AG:$AG,$AG350)/SUMIF(符文权重!$A:$A,$C350,符文权重!$D:$D))),"")</f>
        <v/>
      </c>
      <c r="N350" s="39" t="str" cm="1">
        <f t="array" ref="N350">IFERROR(IF($A350="","",IF(H350="","",_xlfn.XLOOKUP($C350&amp;"_"&amp;$AG350,符文权重!$A:$A&amp;"_"&amp;符文权重!$C:$C,符文权重!$D:$D)*$X350/SUMIFS($X:$X,H:H,H350,$C:$C,$C350,$AG:$AG,$AG350)/SUMIF(符文权重!$A:$A,$C350,符文权重!$D:$D))),"")</f>
        <v/>
      </c>
      <c r="O350" s="39" t="str" cm="1">
        <f t="array" ref="O350">IFERROR(IF($A350="","",IF(I350="","",_xlfn.XLOOKUP($C350&amp;"_"&amp;$AG350,符文权重!$A:$A&amp;"_"&amp;符文权重!$C:$C,符文权重!$D:$D)*$X350/SUMIFS($X:$X,I:I,I350,$C:$C,$C350,$AG:$AG,$AG350)/SUMIF(符文权重!$A:$A,$C350,符文权重!$D:$D))),"")</f>
        <v/>
      </c>
      <c r="P350" s="39" t="str" cm="1">
        <f t="array" ref="P350">IFERROR(IF($A350="","",IF(J350="","",_xlfn.XLOOKUP($C350&amp;"_"&amp;$AG350,符文权重!$A:$A&amp;"_"&amp;符文权重!$C:$C,符文权重!$D:$D)*$X350/SUMIFS($X:$X,J:J,J350,$C:$C,$C350,$AG:$AG,$AG350)/SUMIF(符文权重!$A:$A,$C350,符文权重!$D:$D))),"")</f>
        <v/>
      </c>
      <c r="Q350" s="39" t="str" cm="1">
        <f t="array" ref="Q350">IFERROR(IF($A350="","",IF(K350="","",_xlfn.XLOOKUP($C350&amp;"_"&amp;$AG350,符文权重!$A:$A&amp;"_"&amp;符文权重!$C:$C,符文权重!$D:$D)*$X350/SUMIFS($X:$X,K:K,K350,$C:$C,$C350,$AG:$AG,$AG350)/SUMIF(符文权重!$A:$A,$C350,符文权重!$D:$D))),"")</f>
        <v/>
      </c>
      <c r="R350" s="46" t="s">
        <v>181</v>
      </c>
      <c r="S350" s="46" t="s">
        <v>191</v>
      </c>
      <c r="T350" s="46" t="s">
        <v>380</v>
      </c>
      <c r="U350" s="47" t="s">
        <v>416</v>
      </c>
      <c r="V350" s="52"/>
      <c r="W350" s="23"/>
      <c r="X350" s="25">
        <v>100</v>
      </c>
      <c r="Y350" s="23"/>
      <c r="Z350" s="45" t="s">
        <v>165</v>
      </c>
      <c r="AA350" s="32" t="str">
        <f t="shared" si="195"/>
        <v>战士充能后，首次伤害+0%
</v>
      </c>
      <c r="AB350" s="32"/>
      <c r="AC350" s="32" t="s">
        <v>166</v>
      </c>
      <c r="AD350" s="32">
        <f t="shared" si="193"/>
        <v>1345</v>
      </c>
      <c r="AE350" s="44" t="s">
        <v>415</v>
      </c>
      <c r="AF350" s="45" t="s">
        <v>402</v>
      </c>
      <c r="AG350" s="26">
        <v>100</v>
      </c>
      <c r="AH350" s="46"/>
      <c r="AI350" s="46">
        <v>1</v>
      </c>
      <c r="AJ350" s="25">
        <v>1</v>
      </c>
      <c r="AK350" s="48">
        <v>5505031</v>
      </c>
      <c r="AL350" s="57" t="s">
        <v>417</v>
      </c>
      <c r="AM350" s="46">
        <v>0</v>
      </c>
      <c r="AN350" s="25"/>
      <c r="AO350" s="26" t="s">
        <v>32</v>
      </c>
      <c r="AP350" s="20">
        <f t="shared" si="194"/>
        <v>345</v>
      </c>
    </row>
    <row r="351" s="23" customFormat="1" customHeight="1" spans="1:42">
      <c r="A351" s="44">
        <v>5505032</v>
      </c>
      <c r="B351" s="44" t="s">
        <v>415</v>
      </c>
      <c r="C351" s="45">
        <v>2</v>
      </c>
      <c r="D351" s="45"/>
      <c r="E351" s="46" t="s">
        <v>200</v>
      </c>
      <c r="F351" s="26" t="str">
        <f t="shared" si="190"/>
        <v/>
      </c>
      <c r="G351" s="26">
        <f>IFERROR(IF(--MID($E351,2*COUNTIF($F351:F351,"&gt;"&amp;0)+2,1)=G$1,G$1,""),"")</f>
        <v>2</v>
      </c>
      <c r="H351" s="26" t="str">
        <f>IFERROR(IF(--MID($E351,2*COUNTIF($F351:G351,"&gt;"&amp;0)+2,1)=H$1,H$1,""),"")</f>
        <v/>
      </c>
      <c r="I351" s="26" t="str">
        <f>IFERROR(IF(--MID($E351,2*COUNTIF($F351:H351,"&gt;"&amp;0)+2,1)=I$1,I$1,""),"")</f>
        <v/>
      </c>
      <c r="J351" s="26" t="str">
        <f>IFERROR(IF(--MID($E351,2*COUNTIF($F351:I351,"&gt;"&amp;0)+2,1)=J$1,J$1,""),"")</f>
        <v/>
      </c>
      <c r="K351" s="26" t="str">
        <f>IFERROR(IF(--MID($E351,2*COUNTIF($F351:J351,"&gt;"&amp;0)+2,1)=K$1,K$1,""),"")</f>
        <v/>
      </c>
      <c r="L351" s="39" t="str" cm="1">
        <f t="array" ref="L351">IFERROR(IF($A351="","",IF(F351="","",_xlfn.XLOOKUP($C351&amp;"_"&amp;$AG351,符文权重!$A:$A&amp;"_"&amp;符文权重!$C:$C,符文权重!$D:$D)*$X351/SUMIFS($X:$X,F:F,F351,$C:$C,$C351,$AG:$AG,$AG351)/SUMIF(符文权重!$A:$A,$C351,符文权重!$D:$D))),"")</f>
        <v/>
      </c>
      <c r="M351" s="39" t="str" cm="1">
        <f t="array" ref="M351">IFERROR(IF($A351="","",IF(G351="","",_xlfn.XLOOKUP($C351&amp;"_"&amp;$AG351,符文权重!$A:$A&amp;"_"&amp;符文权重!$C:$C,符文权重!$D:$D)*$X351/SUMIFS($X:$X,G:G,G351,$C:$C,$C351,$AG:$AG,$AG351)/SUMIF(符文权重!$A:$A,$C351,符文权重!$D:$D))),"")</f>
        <v/>
      </c>
      <c r="N351" s="39" t="str" cm="1">
        <f t="array" ref="N351">IFERROR(IF($A351="","",IF(H351="","",_xlfn.XLOOKUP($C351&amp;"_"&amp;$AG351,符文权重!$A:$A&amp;"_"&amp;符文权重!$C:$C,符文权重!$D:$D)*$X351/SUMIFS($X:$X,H:H,H351,$C:$C,$C351,$AG:$AG,$AG351)/SUMIF(符文权重!$A:$A,$C351,符文权重!$D:$D))),"")</f>
        <v/>
      </c>
      <c r="O351" s="39" t="str" cm="1">
        <f t="array" ref="O351">IFERROR(IF($A351="","",IF(I351="","",_xlfn.XLOOKUP($C351&amp;"_"&amp;$AG351,符文权重!$A:$A&amp;"_"&amp;符文权重!$C:$C,符文权重!$D:$D)*$X351/SUMIFS($X:$X,I:I,I351,$C:$C,$C351,$AG:$AG,$AG351)/SUMIF(符文权重!$A:$A,$C351,符文权重!$D:$D))),"")</f>
        <v/>
      </c>
      <c r="P351" s="39" t="str" cm="1">
        <f t="array" ref="P351">IFERROR(IF($A351="","",IF(J351="","",_xlfn.XLOOKUP($C351&amp;"_"&amp;$AG351,符文权重!$A:$A&amp;"_"&amp;符文权重!$C:$C,符文权重!$D:$D)*$X351/SUMIFS($X:$X,J:J,J351,$C:$C,$C351,$AG:$AG,$AG351)/SUMIF(符文权重!$A:$A,$C351,符文权重!$D:$D))),"")</f>
        <v/>
      </c>
      <c r="Q351" s="39" t="str" cm="1">
        <f t="array" ref="Q351">IFERROR(IF($A351="","",IF(K351="","",_xlfn.XLOOKUP($C351&amp;"_"&amp;$AG351,符文权重!$A:$A&amp;"_"&amp;符文权重!$C:$C,符文权重!$D:$D)*$X351/SUMIFS($X:$X,K:K,K351,$C:$C,$C351,$AG:$AG,$AG351)/SUMIF(符文权重!$A:$A,$C351,符文权重!$D:$D))),"")</f>
        <v/>
      </c>
      <c r="R351" s="46" t="s">
        <v>181</v>
      </c>
      <c r="S351" s="46" t="s">
        <v>191</v>
      </c>
      <c r="T351" s="46" t="s">
        <v>383</v>
      </c>
      <c r="U351" s="47" t="s">
        <v>418</v>
      </c>
      <c r="V351" s="46"/>
      <c r="X351" s="25">
        <v>100</v>
      </c>
      <c r="Z351" s="45" t="s">
        <v>170</v>
      </c>
      <c r="AA351" s="32" t="str">
        <f t="shared" si="195"/>
        <v>战士充能后，首次伤害+0%
</v>
      </c>
      <c r="AB351" s="32"/>
      <c r="AC351" s="32" t="s">
        <v>166</v>
      </c>
      <c r="AD351" s="32">
        <f t="shared" si="193"/>
        <v>1346</v>
      </c>
      <c r="AE351" s="44" t="s">
        <v>415</v>
      </c>
      <c r="AF351" s="45" t="s">
        <v>402</v>
      </c>
      <c r="AG351" s="26">
        <v>100</v>
      </c>
      <c r="AH351" s="46"/>
      <c r="AI351" s="46">
        <v>1</v>
      </c>
      <c r="AJ351" s="25">
        <v>1</v>
      </c>
      <c r="AK351" s="44">
        <v>5505032</v>
      </c>
      <c r="AL351" s="50" t="s">
        <v>417</v>
      </c>
      <c r="AM351" s="46">
        <v>0</v>
      </c>
      <c r="AN351" s="25"/>
      <c r="AO351" s="26" t="s">
        <v>32</v>
      </c>
      <c r="AP351" s="20">
        <f t="shared" si="194"/>
        <v>346</v>
      </c>
    </row>
    <row r="352" s="23" customFormat="1" customHeight="1" spans="1:42">
      <c r="A352" s="44">
        <v>5505033</v>
      </c>
      <c r="B352" s="44" t="s">
        <v>415</v>
      </c>
      <c r="C352" s="45">
        <v>3</v>
      </c>
      <c r="D352" s="45"/>
      <c r="E352" s="46" t="s">
        <v>200</v>
      </c>
      <c r="F352" s="26" t="str">
        <f t="shared" si="190"/>
        <v/>
      </c>
      <c r="G352" s="26">
        <f>IFERROR(IF(--MID($E352,2*COUNTIF($F352:F352,"&gt;"&amp;0)+2,1)=G$1,G$1,""),"")</f>
        <v>2</v>
      </c>
      <c r="H352" s="26" t="str">
        <f>IFERROR(IF(--MID($E352,2*COUNTIF($F352:G352,"&gt;"&amp;0)+2,1)=H$1,H$1,""),"")</f>
        <v/>
      </c>
      <c r="I352" s="26" t="str">
        <f>IFERROR(IF(--MID($E352,2*COUNTIF($F352:H352,"&gt;"&amp;0)+2,1)=I$1,I$1,""),"")</f>
        <v/>
      </c>
      <c r="J352" s="26" t="str">
        <f>IFERROR(IF(--MID($E352,2*COUNTIF($F352:I352,"&gt;"&amp;0)+2,1)=J$1,J$1,""),"")</f>
        <v/>
      </c>
      <c r="K352" s="26" t="str">
        <f>IFERROR(IF(--MID($E352,2*COUNTIF($F352:J352,"&gt;"&amp;0)+2,1)=K$1,K$1,""),"")</f>
        <v/>
      </c>
      <c r="L352" s="39" t="str" cm="1">
        <f t="array" ref="L352">IFERROR(IF($A352="","",IF(F352="","",_xlfn.XLOOKUP($C352&amp;"_"&amp;$AG352,符文权重!$A:$A&amp;"_"&amp;符文权重!$C:$C,符文权重!$D:$D)*$X352/SUMIFS($X:$X,F:F,F352,$C:$C,$C352,$AG:$AG,$AG352)/SUMIF(符文权重!$A:$A,$C352,符文权重!$D:$D))),"")</f>
        <v/>
      </c>
      <c r="M352" s="39" t="str" cm="1">
        <f t="array" ref="M352">IFERROR(IF($A352="","",IF(G352="","",_xlfn.XLOOKUP($C352&amp;"_"&amp;$AG352,符文权重!$A:$A&amp;"_"&amp;符文权重!$C:$C,符文权重!$D:$D)*$X352/SUMIFS($X:$X,G:G,G352,$C:$C,$C352,$AG:$AG,$AG352)/SUMIF(符文权重!$A:$A,$C352,符文权重!$D:$D))),"")</f>
        <v/>
      </c>
      <c r="N352" s="39" t="str" cm="1">
        <f t="array" ref="N352">IFERROR(IF($A352="","",IF(H352="","",_xlfn.XLOOKUP($C352&amp;"_"&amp;$AG352,符文权重!$A:$A&amp;"_"&amp;符文权重!$C:$C,符文权重!$D:$D)*$X352/SUMIFS($X:$X,H:H,H352,$C:$C,$C352,$AG:$AG,$AG352)/SUMIF(符文权重!$A:$A,$C352,符文权重!$D:$D))),"")</f>
        <v/>
      </c>
      <c r="O352" s="39" t="str" cm="1">
        <f t="array" ref="O352">IFERROR(IF($A352="","",IF(I352="","",_xlfn.XLOOKUP($C352&amp;"_"&amp;$AG352,符文权重!$A:$A&amp;"_"&amp;符文权重!$C:$C,符文权重!$D:$D)*$X352/SUMIFS($X:$X,I:I,I352,$C:$C,$C352,$AG:$AG,$AG352)/SUMIF(符文权重!$A:$A,$C352,符文权重!$D:$D))),"")</f>
        <v/>
      </c>
      <c r="P352" s="39" t="str" cm="1">
        <f t="array" ref="P352">IFERROR(IF($A352="","",IF(J352="","",_xlfn.XLOOKUP($C352&amp;"_"&amp;$AG352,符文权重!$A:$A&amp;"_"&amp;符文权重!$C:$C,符文权重!$D:$D)*$X352/SUMIFS($X:$X,J:J,J352,$C:$C,$C352,$AG:$AG,$AG352)/SUMIF(符文权重!$A:$A,$C352,符文权重!$D:$D))),"")</f>
        <v/>
      </c>
      <c r="Q352" s="39" t="str" cm="1">
        <f t="array" ref="Q352">IFERROR(IF($A352="","",IF(K352="","",_xlfn.XLOOKUP($C352&amp;"_"&amp;$AG352,符文权重!$A:$A&amp;"_"&amp;符文权重!$C:$C,符文权重!$D:$D)*$X352/SUMIFS($X:$X,K:K,K352,$C:$C,$C352,$AG:$AG,$AG352)/SUMIF(符文权重!$A:$A,$C352,符文权重!$D:$D))),"")</f>
        <v/>
      </c>
      <c r="R352" s="46" t="s">
        <v>181</v>
      </c>
      <c r="S352" s="46" t="s">
        <v>191</v>
      </c>
      <c r="T352" s="46" t="s">
        <v>385</v>
      </c>
      <c r="U352" s="47" t="s">
        <v>419</v>
      </c>
      <c r="V352" s="46"/>
      <c r="X352" s="25">
        <v>100</v>
      </c>
      <c r="Z352" s="45" t="s">
        <v>172</v>
      </c>
      <c r="AA352" s="32" t="str">
        <f t="shared" si="195"/>
        <v>战士充能后，首次伤害+0%
</v>
      </c>
      <c r="AB352" s="32"/>
      <c r="AC352" s="32" t="s">
        <v>166</v>
      </c>
      <c r="AD352" s="32">
        <f t="shared" si="193"/>
        <v>1347</v>
      </c>
      <c r="AE352" s="44" t="s">
        <v>415</v>
      </c>
      <c r="AF352" s="45" t="s">
        <v>402</v>
      </c>
      <c r="AG352" s="26">
        <v>100</v>
      </c>
      <c r="AH352" s="46"/>
      <c r="AI352" s="46">
        <v>1</v>
      </c>
      <c r="AJ352" s="25">
        <v>1</v>
      </c>
      <c r="AK352" s="44">
        <v>5505033</v>
      </c>
      <c r="AL352" s="50" t="s">
        <v>417</v>
      </c>
      <c r="AM352" s="46">
        <v>0</v>
      </c>
      <c r="AN352" s="25"/>
      <c r="AO352" s="26" t="s">
        <v>32</v>
      </c>
      <c r="AP352" s="20">
        <f t="shared" si="194"/>
        <v>347</v>
      </c>
    </row>
    <row r="353" customHeight="1" spans="1:42">
      <c r="A353" s="38">
        <v>5505034</v>
      </c>
      <c r="B353" s="38" t="s">
        <v>415</v>
      </c>
      <c r="C353" s="32">
        <v>4</v>
      </c>
      <c r="D353" s="32"/>
      <c r="E353" s="26" t="s">
        <v>200</v>
      </c>
      <c r="F353" s="26" t="str">
        <f t="shared" si="190"/>
        <v/>
      </c>
      <c r="G353" s="26">
        <f>IFERROR(IF(--MID($E353,2*COUNTIF($F353:F353,"&gt;"&amp;0)+2,1)=G$1,G$1,""),"")</f>
        <v>2</v>
      </c>
      <c r="H353" s="26" t="str">
        <f>IFERROR(IF(--MID($E353,2*COUNTIF($F353:G353,"&gt;"&amp;0)+2,1)=H$1,H$1,""),"")</f>
        <v/>
      </c>
      <c r="I353" s="26" t="str">
        <f>IFERROR(IF(--MID($E353,2*COUNTIF($F353:H353,"&gt;"&amp;0)+2,1)=I$1,I$1,""),"")</f>
        <v/>
      </c>
      <c r="J353" s="26" t="str">
        <f>IFERROR(IF(--MID($E353,2*COUNTIF($F353:I353,"&gt;"&amp;0)+2,1)=J$1,J$1,""),"")</f>
        <v/>
      </c>
      <c r="K353" s="26" t="str">
        <f>IFERROR(IF(--MID($E353,2*COUNTIF($F353:J353,"&gt;"&amp;0)+2,1)=K$1,K$1,""),"")</f>
        <v/>
      </c>
      <c r="L353" s="39" t="str" cm="1">
        <f t="array" ref="L353">IFERROR(IF($A353="","",IF(F353="","",_xlfn.XLOOKUP($C353&amp;"_"&amp;$AG353,符文权重!$A:$A&amp;"_"&amp;符文权重!$C:$C,符文权重!$D:$D)*$X353/SUMIFS($X:$X,F:F,F353,$C:$C,$C353,$AG:$AG,$AG353)/SUMIF(符文权重!$A:$A,$C353,符文权重!$D:$D))),"")</f>
        <v/>
      </c>
      <c r="M353" s="58" t="str" cm="1">
        <f t="array" ref="M353">IFERROR(IF($A353="","",IF(G353="","",_xlfn.XLOOKUP($C353&amp;"_"&amp;$AG353,符文权重!$A:$A&amp;"_"&amp;符文权重!$C:$C,符文权重!$D:$D)*$X353/SUMIFS($X:$X,G:G,G353,$C:$C,$C353,$AG:$AG,$AG353)/SUMIF(符文权重!$A:$A,$C353,符文权重!$D:$D))),"")</f>
        <v/>
      </c>
      <c r="N353" s="39" t="str" cm="1">
        <f t="array" ref="N353">IFERROR(IF($A353="","",IF(H353="","",_xlfn.XLOOKUP($C353&amp;"_"&amp;$AG353,符文权重!$A:$A&amp;"_"&amp;符文权重!$C:$C,符文权重!$D:$D)*$X353/SUMIFS($X:$X,H:H,H353,$C:$C,$C353,$AG:$AG,$AG353)/SUMIF(符文权重!$A:$A,$C353,符文权重!$D:$D))),"")</f>
        <v/>
      </c>
      <c r="O353" s="39" t="str" cm="1">
        <f t="array" ref="O353">IFERROR(IF($A353="","",IF(I353="","",_xlfn.XLOOKUP($C353&amp;"_"&amp;$AG353,符文权重!$A:$A&amp;"_"&amp;符文权重!$C:$C,符文权重!$D:$D)*$X353/SUMIFS($X:$X,I:I,I353,$C:$C,$C353,$AG:$AG,$AG353)/SUMIF(符文权重!$A:$A,$C353,符文权重!$D:$D))),"")</f>
        <v/>
      </c>
      <c r="P353" s="39" t="str" cm="1">
        <f t="array" ref="P353">IFERROR(IF($A353="","",IF(J353="","",_xlfn.XLOOKUP($C353&amp;"_"&amp;$AG353,符文权重!$A:$A&amp;"_"&amp;符文权重!$C:$C,符文权重!$D:$D)*$X353/SUMIFS($X:$X,J:J,J353,$C:$C,$C353,$AG:$AG,$AG353)/SUMIF(符文权重!$A:$A,$C353,符文权重!$D:$D))),"")</f>
        <v/>
      </c>
      <c r="Q353" s="39" t="str" cm="1">
        <f t="array" ref="Q353">IFERROR(IF($A353="","",IF(K353="","",_xlfn.XLOOKUP($C353&amp;"_"&amp;$AG353,符文权重!$A:$A&amp;"_"&amp;符文权重!$C:$C,符文权重!$D:$D)*$X353/SUMIFS($X:$X,K:K,K353,$C:$C,$C353,$AG:$AG,$AG353)/SUMIF(符文权重!$A:$A,$C353,符文权重!$D:$D))),"")</f>
        <v/>
      </c>
      <c r="R353" s="26" t="s">
        <v>181</v>
      </c>
      <c r="S353" s="26" t="s">
        <v>191</v>
      </c>
      <c r="T353" s="26" t="s">
        <v>388</v>
      </c>
      <c r="U353" s="40" t="s">
        <v>420</v>
      </c>
      <c r="X353" s="25">
        <v>4</v>
      </c>
      <c r="Z353" s="32" t="s">
        <v>174</v>
      </c>
      <c r="AA353" s="32" t="str">
        <f t="shared" si="195"/>
        <v>战士充能后，首次伤害+80%
</v>
      </c>
      <c r="AB353" s="32"/>
      <c r="AC353" s="32" t="s">
        <v>166</v>
      </c>
      <c r="AD353" s="32">
        <f t="shared" si="193"/>
        <v>1348</v>
      </c>
      <c r="AE353" s="38" t="s">
        <v>415</v>
      </c>
      <c r="AF353" s="32" t="s">
        <v>421</v>
      </c>
      <c r="AG353" s="26">
        <v>105</v>
      </c>
      <c r="AH353" s="26"/>
      <c r="AI353" s="26">
        <v>0</v>
      </c>
      <c r="AJ353" s="25">
        <v>1</v>
      </c>
      <c r="AK353" s="38">
        <v>5505034</v>
      </c>
      <c r="AL353" s="41" t="s">
        <v>417</v>
      </c>
      <c r="AM353" s="26">
        <v>80</v>
      </c>
      <c r="AN353" s="25">
        <v>5</v>
      </c>
      <c r="AO353" s="26" t="s">
        <v>32</v>
      </c>
      <c r="AP353" s="20">
        <f t="shared" si="194"/>
        <v>348</v>
      </c>
    </row>
    <row r="354" customHeight="1" spans="1:42">
      <c r="A354" s="38">
        <v>5505035</v>
      </c>
      <c r="B354" s="38" t="s">
        <v>415</v>
      </c>
      <c r="C354" s="32">
        <v>5</v>
      </c>
      <c r="D354" s="32"/>
      <c r="E354" s="26" t="s">
        <v>200</v>
      </c>
      <c r="F354" s="26" t="str">
        <f t="shared" si="190"/>
        <v/>
      </c>
      <c r="G354" s="26">
        <f>IFERROR(IF(--MID($E354,2*COUNTIF($F354:F354,"&gt;"&amp;0)+2,1)=G$1,G$1,""),"")</f>
        <v>2</v>
      </c>
      <c r="H354" s="26" t="str">
        <f>IFERROR(IF(--MID($E354,2*COUNTIF($F354:G354,"&gt;"&amp;0)+2,1)=H$1,H$1,""),"")</f>
        <v/>
      </c>
      <c r="I354" s="26" t="str">
        <f>IFERROR(IF(--MID($E354,2*COUNTIF($F354:H354,"&gt;"&amp;0)+2,1)=I$1,I$1,""),"")</f>
        <v/>
      </c>
      <c r="J354" s="26" t="str">
        <f>IFERROR(IF(--MID($E354,2*COUNTIF($F354:I354,"&gt;"&amp;0)+2,1)=J$1,J$1,""),"")</f>
        <v/>
      </c>
      <c r="K354" s="26" t="str">
        <f>IFERROR(IF(--MID($E354,2*COUNTIF($F354:J354,"&gt;"&amp;0)+2,1)=K$1,K$1,""),"")</f>
        <v/>
      </c>
      <c r="L354" s="39" t="str" cm="1">
        <f t="array" ref="L354">IFERROR(IF($A354="","",IF(F354="","",_xlfn.XLOOKUP($C354&amp;"_"&amp;$AG354,符文权重!$A:$A&amp;"_"&amp;符文权重!$C:$C,符文权重!$D:$D)*$X354/SUMIFS($X:$X,F:F,F354,$C:$C,$C354,$AG:$AG,$AG354)/SUMIF(符文权重!$A:$A,$C354,符文权重!$D:$D))),"")</f>
        <v/>
      </c>
      <c r="M354" s="39" cm="1">
        <f t="array" ref="M354">IFERROR(IF($A354="","",IF(G354="","",_xlfn.XLOOKUP($C354&amp;"_"&amp;$AG354,符文权重!$A:$A&amp;"_"&amp;符文权重!$C:$C,符文权重!$D:$D)*$X354/SUMIFS($X:$X,G:G,G354,$C:$C,$C354,$AG:$AG,$AG354)/SUMIF(符文权重!$A:$A,$C354,符文权重!$D:$D))),"")</f>
        <v>0.005625</v>
      </c>
      <c r="N354" s="39" t="str" cm="1">
        <f t="array" ref="N354">IFERROR(IF($A354="","",IF(H354="","",_xlfn.XLOOKUP($C354&amp;"_"&amp;$AG354,符文权重!$A:$A&amp;"_"&amp;符文权重!$C:$C,符文权重!$D:$D)*$X354/SUMIFS($X:$X,H:H,H354,$C:$C,$C354,$AG:$AG,$AG354)/SUMIF(符文权重!$A:$A,$C354,符文权重!$D:$D))),"")</f>
        <v/>
      </c>
      <c r="O354" s="39" t="str" cm="1">
        <f t="array" ref="O354">IFERROR(IF($A354="","",IF(I354="","",_xlfn.XLOOKUP($C354&amp;"_"&amp;$AG354,符文权重!$A:$A&amp;"_"&amp;符文权重!$C:$C,符文权重!$D:$D)*$X354/SUMIFS($X:$X,I:I,I354,$C:$C,$C354,$AG:$AG,$AG354)/SUMIF(符文权重!$A:$A,$C354,符文权重!$D:$D))),"")</f>
        <v/>
      </c>
      <c r="P354" s="39" t="str" cm="1">
        <f t="array" ref="P354">IFERROR(IF($A354="","",IF(J354="","",_xlfn.XLOOKUP($C354&amp;"_"&amp;$AG354,符文权重!$A:$A&amp;"_"&amp;符文权重!$C:$C,符文权重!$D:$D)*$X354/SUMIFS($X:$X,J:J,J354,$C:$C,$C354,$AG:$AG,$AG354)/SUMIF(符文权重!$A:$A,$C354,符文权重!$D:$D))),"")</f>
        <v/>
      </c>
      <c r="Q354" s="39" t="str" cm="1">
        <f t="array" ref="Q354">IFERROR(IF($A354="","",IF(K354="","",_xlfn.XLOOKUP($C354&amp;"_"&amp;$AG354,符文权重!$A:$A&amp;"_"&amp;符文权重!$C:$C,符文权重!$D:$D)*$X354/SUMIFS($X:$X,K:K,K354,$C:$C,$C354,$AG:$AG,$AG354)/SUMIF(符文权重!$A:$A,$C354,符文权重!$D:$D))),"")</f>
        <v/>
      </c>
      <c r="R354" s="26" t="s">
        <v>181</v>
      </c>
      <c r="S354" s="26" t="s">
        <v>191</v>
      </c>
      <c r="T354" s="26" t="s">
        <v>391</v>
      </c>
      <c r="U354" s="40" t="s">
        <v>422</v>
      </c>
      <c r="X354" s="25">
        <v>100</v>
      </c>
      <c r="Z354" s="32" t="s">
        <v>176</v>
      </c>
      <c r="AA354" s="32" t="str">
        <f t="shared" si="195"/>
        <v>战士充能后，首次伤害+140%
</v>
      </c>
      <c r="AB354" s="32"/>
      <c r="AC354" s="32" t="s">
        <v>166</v>
      </c>
      <c r="AD354" s="32">
        <f t="shared" si="193"/>
        <v>1349</v>
      </c>
      <c r="AE354" s="38" t="s">
        <v>415</v>
      </c>
      <c r="AF354" s="32" t="s">
        <v>423</v>
      </c>
      <c r="AG354" s="26">
        <v>5</v>
      </c>
      <c r="AH354" s="26"/>
      <c r="AI354" s="26">
        <v>0</v>
      </c>
      <c r="AJ354" s="25">
        <v>1</v>
      </c>
      <c r="AK354" s="38">
        <v>5505035</v>
      </c>
      <c r="AL354" s="41" t="s">
        <v>417</v>
      </c>
      <c r="AM354" s="26">
        <v>140</v>
      </c>
      <c r="AN354" s="25">
        <v>5</v>
      </c>
      <c r="AO354" s="26" t="s">
        <v>32</v>
      </c>
      <c r="AP354" s="20">
        <f t="shared" si="194"/>
        <v>349</v>
      </c>
    </row>
    <row r="355" customHeight="1" spans="1:42">
      <c r="A355" s="38">
        <v>5505036</v>
      </c>
      <c r="B355" s="38" t="s">
        <v>415</v>
      </c>
      <c r="C355" s="32">
        <v>6</v>
      </c>
      <c r="D355" s="32"/>
      <c r="E355" s="26" t="s">
        <v>200</v>
      </c>
      <c r="F355" s="26" t="str">
        <f t="shared" si="190"/>
        <v/>
      </c>
      <c r="G355" s="26">
        <f>IFERROR(IF(--MID($E355,2*COUNTIF($F355:F355,"&gt;"&amp;0)+2,1)=G$1,G$1,""),"")</f>
        <v>2</v>
      </c>
      <c r="H355" s="26" t="str">
        <f>IFERROR(IF(--MID($E355,2*COUNTIF($F355:G355,"&gt;"&amp;0)+2,1)=H$1,H$1,""),"")</f>
        <v/>
      </c>
      <c r="I355" s="26" t="str">
        <f>IFERROR(IF(--MID($E355,2*COUNTIF($F355:H355,"&gt;"&amp;0)+2,1)=I$1,I$1,""),"")</f>
        <v/>
      </c>
      <c r="J355" s="26" t="str">
        <f>IFERROR(IF(--MID($E355,2*COUNTIF($F355:I355,"&gt;"&amp;0)+2,1)=J$1,J$1,""),"")</f>
        <v/>
      </c>
      <c r="K355" s="26" t="str">
        <f>IFERROR(IF(--MID($E355,2*COUNTIF($F355:J355,"&gt;"&amp;0)+2,1)=K$1,K$1,""),"")</f>
        <v/>
      </c>
      <c r="L355" s="39" t="str" cm="1">
        <f t="array" ref="L355">IFERROR(IF($A355="","",IF(F355="","",_xlfn.XLOOKUP($C355&amp;"_"&amp;$AG355,符文权重!$A:$A&amp;"_"&amp;符文权重!$C:$C,符文权重!$D:$D)*$X355/SUMIFS($X:$X,F:F,F355,$C:$C,$C355,$AG:$AG,$AG355)/SUMIF(符文权重!$A:$A,$C355,符文权重!$D:$D))),"")</f>
        <v/>
      </c>
      <c r="M355" s="39" cm="1">
        <f t="array" ref="M355">IFERROR(IF($A355="","",IF(G355="","",_xlfn.XLOOKUP($C355&amp;"_"&amp;$AG355,符文权重!$A:$A&amp;"_"&amp;符文权重!$C:$C,符文权重!$D:$D)*$X355/SUMIFS($X:$X,G:G,G355,$C:$C,$C355,$AG:$AG,$AG355)/SUMIF(符文权重!$A:$A,$C355,符文权重!$D:$D))),"")</f>
        <v>0.005625</v>
      </c>
      <c r="N355" s="39" t="str" cm="1">
        <f t="array" ref="N355">IFERROR(IF($A355="","",IF(H355="","",_xlfn.XLOOKUP($C355&amp;"_"&amp;$AG355,符文权重!$A:$A&amp;"_"&amp;符文权重!$C:$C,符文权重!$D:$D)*$X355/SUMIFS($X:$X,H:H,H355,$C:$C,$C355,$AG:$AG,$AG355)/SUMIF(符文权重!$A:$A,$C355,符文权重!$D:$D))),"")</f>
        <v/>
      </c>
      <c r="O355" s="39" t="str" cm="1">
        <f t="array" ref="O355">IFERROR(IF($A355="","",IF(I355="","",_xlfn.XLOOKUP($C355&amp;"_"&amp;$AG355,符文权重!$A:$A&amp;"_"&amp;符文权重!$C:$C,符文权重!$D:$D)*$X355/SUMIFS($X:$X,I:I,I355,$C:$C,$C355,$AG:$AG,$AG355)/SUMIF(符文权重!$A:$A,$C355,符文权重!$D:$D))),"")</f>
        <v/>
      </c>
      <c r="P355" s="39" t="str" cm="1">
        <f t="array" ref="P355">IFERROR(IF($A355="","",IF(J355="","",_xlfn.XLOOKUP($C355&amp;"_"&amp;$AG355,符文权重!$A:$A&amp;"_"&amp;符文权重!$C:$C,符文权重!$D:$D)*$X355/SUMIFS($X:$X,J:J,J355,$C:$C,$C355,$AG:$AG,$AG355)/SUMIF(符文权重!$A:$A,$C355,符文权重!$D:$D))),"")</f>
        <v/>
      </c>
      <c r="Q355" s="39" t="str" cm="1">
        <f t="array" ref="Q355">IFERROR(IF($A355="","",IF(K355="","",_xlfn.XLOOKUP($C355&amp;"_"&amp;$AG355,符文权重!$A:$A&amp;"_"&amp;符文权重!$C:$C,符文权重!$D:$D)*$X355/SUMIFS($X:$X,K:K,K355,$C:$C,$C355,$AG:$AG,$AG355)/SUMIF(符文权重!$A:$A,$C355,符文权重!$D:$D))),"")</f>
        <v/>
      </c>
      <c r="R355" s="26" t="s">
        <v>181</v>
      </c>
      <c r="S355" s="26" t="s">
        <v>191</v>
      </c>
      <c r="T355" s="26" t="s">
        <v>394</v>
      </c>
      <c r="U355" s="40" t="s">
        <v>424</v>
      </c>
      <c r="X355" s="25">
        <v>100</v>
      </c>
      <c r="Z355" s="32" t="s">
        <v>178</v>
      </c>
      <c r="AA355" s="32" t="str">
        <f t="shared" si="195"/>
        <v>战士充能后，首次伤害+200%
</v>
      </c>
      <c r="AB355" s="32"/>
      <c r="AC355" s="32" t="s">
        <v>166</v>
      </c>
      <c r="AD355" s="32">
        <f t="shared" si="193"/>
        <v>1350</v>
      </c>
      <c r="AE355" s="38" t="s">
        <v>415</v>
      </c>
      <c r="AF355" s="32" t="s">
        <v>425</v>
      </c>
      <c r="AG355" s="26">
        <v>5</v>
      </c>
      <c r="AH355" s="26"/>
      <c r="AI355" s="26">
        <v>0</v>
      </c>
      <c r="AJ355" s="25">
        <v>1</v>
      </c>
      <c r="AK355" s="38">
        <v>5505036</v>
      </c>
      <c r="AL355" s="41" t="s">
        <v>417</v>
      </c>
      <c r="AM355" s="26">
        <v>200</v>
      </c>
      <c r="AN355" s="25">
        <v>5</v>
      </c>
      <c r="AO355" s="26" t="s">
        <v>32</v>
      </c>
      <c r="AP355" s="20">
        <f t="shared" si="194"/>
        <v>350</v>
      </c>
    </row>
    <row r="356" customHeight="1" spans="1:42">
      <c r="A356" s="38">
        <v>5505037</v>
      </c>
      <c r="B356" s="38" t="s">
        <v>415</v>
      </c>
      <c r="C356" s="32">
        <v>7</v>
      </c>
      <c r="D356" s="32"/>
      <c r="E356" s="26" t="s">
        <v>200</v>
      </c>
      <c r="F356" s="26" t="str">
        <f t="shared" si="190"/>
        <v/>
      </c>
      <c r="G356" s="26">
        <f>IFERROR(IF(--MID($E356,2*COUNTIF($F356:F356,"&gt;"&amp;0)+2,1)=G$1,G$1,""),"")</f>
        <v>2</v>
      </c>
      <c r="H356" s="26" t="str">
        <f>IFERROR(IF(--MID($E356,2*COUNTIF($F356:G356,"&gt;"&amp;0)+2,1)=H$1,H$1,""),"")</f>
        <v/>
      </c>
      <c r="I356" s="26" t="str">
        <f>IFERROR(IF(--MID($E356,2*COUNTIF($F356:H356,"&gt;"&amp;0)+2,1)=I$1,I$1,""),"")</f>
        <v/>
      </c>
      <c r="J356" s="26" t="str">
        <f>IFERROR(IF(--MID($E356,2*COUNTIF($F356:I356,"&gt;"&amp;0)+2,1)=J$1,J$1,""),"")</f>
        <v/>
      </c>
      <c r="K356" s="26" t="str">
        <f>IFERROR(IF(--MID($E356,2*COUNTIF($F356:J356,"&gt;"&amp;0)+2,1)=K$1,K$1,""),"")</f>
        <v/>
      </c>
      <c r="L356" s="39" t="str" cm="1">
        <f t="array" ref="L356">IFERROR(IF($A356="","",IF(F356="","",_xlfn.XLOOKUP($C356&amp;"_"&amp;$AG356,符文权重!$A:$A&amp;"_"&amp;符文权重!$C:$C,符文权重!$D:$D)*$X356/SUMIFS($X:$X,F:F,F356,$C:$C,$C356,$AG:$AG,$AG356)/SUMIF(符文权重!$A:$A,$C356,符文权重!$D:$D))),"")</f>
        <v/>
      </c>
      <c r="M356" s="39" cm="1">
        <f t="array" ref="M356">IFERROR(IF($A356="","",IF(G356="","",_xlfn.XLOOKUP($C356&amp;"_"&amp;$AG356,符文权重!$A:$A&amp;"_"&amp;符文权重!$C:$C,符文权重!$D:$D)*$X356/SUMIFS($X:$X,G:G,G356,$C:$C,$C356,$AG:$AG,$AG356)/SUMIF(符文权重!$A:$A,$C356,符文权重!$D:$D))),"")</f>
        <v>0.005625</v>
      </c>
      <c r="N356" s="39" t="str" cm="1">
        <f t="array" ref="N356">IFERROR(IF($A356="","",IF(H356="","",_xlfn.XLOOKUP($C356&amp;"_"&amp;$AG356,符文权重!$A:$A&amp;"_"&amp;符文权重!$C:$C,符文权重!$D:$D)*$X356/SUMIFS($X:$X,H:H,H356,$C:$C,$C356,$AG:$AG,$AG356)/SUMIF(符文权重!$A:$A,$C356,符文权重!$D:$D))),"")</f>
        <v/>
      </c>
      <c r="O356" s="39" t="str" cm="1">
        <f t="array" ref="O356">IFERROR(IF($A356="","",IF(I356="","",_xlfn.XLOOKUP($C356&amp;"_"&amp;$AG356,符文权重!$A:$A&amp;"_"&amp;符文权重!$C:$C,符文权重!$D:$D)*$X356/SUMIFS($X:$X,I:I,I356,$C:$C,$C356,$AG:$AG,$AG356)/SUMIF(符文权重!$A:$A,$C356,符文权重!$D:$D))),"")</f>
        <v/>
      </c>
      <c r="P356" s="39" t="str" cm="1">
        <f t="array" ref="P356">IFERROR(IF($A356="","",IF(J356="","",_xlfn.XLOOKUP($C356&amp;"_"&amp;$AG356,符文权重!$A:$A&amp;"_"&amp;符文权重!$C:$C,符文权重!$D:$D)*$X356/SUMIFS($X:$X,J:J,J356,$C:$C,$C356,$AG:$AG,$AG356)/SUMIF(符文权重!$A:$A,$C356,符文权重!$D:$D))),"")</f>
        <v/>
      </c>
      <c r="Q356" s="39" t="str" cm="1">
        <f t="array" ref="Q356">IFERROR(IF($A356="","",IF(K356="","",_xlfn.XLOOKUP($C356&amp;"_"&amp;$AG356,符文权重!$A:$A&amp;"_"&amp;符文权重!$C:$C,符文权重!$D:$D)*$X356/SUMIFS($X:$X,K:K,K356,$C:$C,$C356,$AG:$AG,$AG356)/SUMIF(符文权重!$A:$A,$C356,符文权重!$D:$D))),"")</f>
        <v/>
      </c>
      <c r="R356" s="26" t="s">
        <v>181</v>
      </c>
      <c r="S356" s="26" t="s">
        <v>191</v>
      </c>
      <c r="T356" s="26" t="s">
        <v>397</v>
      </c>
      <c r="U356" s="40" t="s">
        <v>426</v>
      </c>
      <c r="X356" s="25">
        <v>100</v>
      </c>
      <c r="Z356" s="32" t="s">
        <v>180</v>
      </c>
      <c r="AA356" s="32" t="str">
        <f t="shared" si="195"/>
        <v>战士充能后，首次伤害+260%
</v>
      </c>
      <c r="AB356" s="32"/>
      <c r="AC356" s="32" t="s">
        <v>166</v>
      </c>
      <c r="AD356" s="32">
        <f t="shared" si="193"/>
        <v>1351</v>
      </c>
      <c r="AE356" s="38" t="s">
        <v>415</v>
      </c>
      <c r="AF356" s="32" t="s">
        <v>427</v>
      </c>
      <c r="AG356" s="26">
        <v>5</v>
      </c>
      <c r="AH356" s="26"/>
      <c r="AI356" s="26">
        <v>0</v>
      </c>
      <c r="AJ356" s="25">
        <v>1</v>
      </c>
      <c r="AK356" s="38">
        <v>5505037</v>
      </c>
      <c r="AL356" s="41" t="s">
        <v>417</v>
      </c>
      <c r="AM356" s="26">
        <v>260</v>
      </c>
      <c r="AN356" s="25">
        <v>5</v>
      </c>
      <c r="AO356" s="26" t="s">
        <v>32</v>
      </c>
      <c r="AP356" s="20">
        <f t="shared" si="194"/>
        <v>351</v>
      </c>
    </row>
    <row r="357" s="20" customFormat="1" customHeight="1" spans="1:42">
      <c r="A357" s="38" t="s">
        <v>167</v>
      </c>
      <c r="B357" s="38" t="s">
        <v>167</v>
      </c>
      <c r="C357" s="32" t="s">
        <v>167</v>
      </c>
      <c r="D357" s="32"/>
      <c r="E357" s="26"/>
      <c r="F357" s="26" t="str">
        <f t="shared" si="190"/>
        <v/>
      </c>
      <c r="G357" s="26" t="str">
        <f>IFERROR(IF(--MID($E357,2*COUNTIF($F357:F357,"&gt;"&amp;0)+2,1)=G$1,G$1,""),"")</f>
        <v/>
      </c>
      <c r="H357" s="26" t="str">
        <f>IFERROR(IF(--MID($E357,2*COUNTIF($F357:G357,"&gt;"&amp;0)+2,1)=H$1,H$1,""),"")</f>
        <v/>
      </c>
      <c r="I357" s="26" t="str">
        <f>IFERROR(IF(--MID($E357,2*COUNTIF($F357:H357,"&gt;"&amp;0)+2,1)=I$1,I$1,""),"")</f>
        <v/>
      </c>
      <c r="J357" s="26" t="str">
        <f>IFERROR(IF(--MID($E357,2*COUNTIF($F357:I357,"&gt;"&amp;0)+2,1)=J$1,J$1,""),"")</f>
        <v/>
      </c>
      <c r="K357" s="26" t="str">
        <f>IFERROR(IF(--MID($E357,2*COUNTIF($F357:J357,"&gt;"&amp;0)+2,1)=K$1,K$1,""),"")</f>
        <v/>
      </c>
      <c r="L357" s="39" t="str" cm="1">
        <f t="array" ref="L357">IFERROR(IF($A357="","",IF(F357="","",_xlfn.XLOOKUP($C357&amp;"_"&amp;$AG357,符文权重!$A:$A&amp;"_"&amp;符文权重!$C:$C,符文权重!$D:$D)*$X357/SUMIFS($X:$X,F:F,F357,$C:$C,$C357,$AG:$AG,$AG357)/SUMIF(符文权重!$A:$A,$C357,符文权重!$D:$D))),"")</f>
        <v/>
      </c>
      <c r="M357" s="39" t="str" cm="1">
        <f t="array" ref="M357">IFERROR(IF($A357="","",IF(G357="","",_xlfn.XLOOKUP($C357&amp;"_"&amp;$AG357,符文权重!$A:$A&amp;"_"&amp;符文权重!$C:$C,符文权重!$D:$D)*$X357/SUMIFS($X:$X,G:G,G357,$C:$C,$C357,$AG:$AG,$AG357)/SUMIF(符文权重!$A:$A,$C357,符文权重!$D:$D))),"")</f>
        <v/>
      </c>
      <c r="N357" s="39" t="str" cm="1">
        <f t="array" ref="N357">IFERROR(IF($A357="","",IF(H357="","",_xlfn.XLOOKUP($C357&amp;"_"&amp;$AG357,符文权重!$A:$A&amp;"_"&amp;符文权重!$C:$C,符文权重!$D:$D)*$X357/SUMIFS($X:$X,H:H,H357,$C:$C,$C357,$AG:$AG,$AG357)/SUMIF(符文权重!$A:$A,$C357,符文权重!$D:$D))),"")</f>
        <v/>
      </c>
      <c r="O357" s="39" t="str" cm="1">
        <f t="array" ref="O357">IFERROR(IF($A357="","",IF(I357="","",_xlfn.XLOOKUP($C357&amp;"_"&amp;$AG357,符文权重!$A:$A&amp;"_"&amp;符文权重!$C:$C,符文权重!$D:$D)*$X357/SUMIFS($X:$X,I:I,I357,$C:$C,$C357,$AG:$AG,$AG357)/SUMIF(符文权重!$A:$A,$C357,符文权重!$D:$D))),"")</f>
        <v/>
      </c>
      <c r="P357" s="39" t="str" cm="1">
        <f t="array" ref="P357">IFERROR(IF($A357="","",IF(J357="","",_xlfn.XLOOKUP($C357&amp;"_"&amp;$AG357,符文权重!$A:$A&amp;"_"&amp;符文权重!$C:$C,符文权重!$D:$D)*$X357/SUMIFS($X:$X,J:J,J357,$C:$C,$C357,$AG:$AG,$AG357)/SUMIF(符文权重!$A:$A,$C357,符文权重!$D:$D))),"")</f>
        <v/>
      </c>
      <c r="Q357" s="39" t="str" cm="1">
        <f t="array" ref="Q357">IFERROR(IF($A357="","",IF(K357="","",_xlfn.XLOOKUP($C357&amp;"_"&amp;$AG357,符文权重!$A:$A&amp;"_"&amp;符文权重!$C:$C,符文权重!$D:$D)*$X357/SUMIFS($X:$X,K:K,K357,$C:$C,$C357,$AG:$AG,$AG357)/SUMIF(符文权重!$A:$A,$C357,符文权重!$D:$D))),"")</f>
        <v/>
      </c>
      <c r="R357" s="26"/>
      <c r="S357" s="26"/>
      <c r="T357" s="26"/>
      <c r="V357" s="31"/>
      <c r="W357" s="25"/>
      <c r="X357" s="25"/>
      <c r="Y357" s="25"/>
      <c r="Z357" s="32" t="s">
        <v>167</v>
      </c>
      <c r="AA357" s="32" t="str">
        <f t="shared" si="195"/>
        <v/>
      </c>
      <c r="AB357" s="32"/>
      <c r="AC357" s="32" t="s">
        <v>166</v>
      </c>
      <c r="AD357" s="32">
        <f t="shared" si="193"/>
        <v>1352</v>
      </c>
      <c r="AE357" s="38" t="s">
        <v>167</v>
      </c>
      <c r="AF357" s="32" t="s">
        <v>167</v>
      </c>
      <c r="AG357" s="26"/>
      <c r="AH357" s="26"/>
      <c r="AI357" s="26"/>
      <c r="AJ357" s="25" t="s">
        <v>167</v>
      </c>
      <c r="AK357" s="24"/>
      <c r="AL357" s="59"/>
      <c r="AM357" s="26"/>
      <c r="AN357" s="25"/>
      <c r="AO357" s="25"/>
      <c r="AP357" s="20">
        <f t="shared" si="194"/>
        <v>352</v>
      </c>
    </row>
    <row r="358" s="22" customFormat="1" customHeight="1" spans="1:42">
      <c r="A358" s="44">
        <v>5505041</v>
      </c>
      <c r="B358" s="44" t="s">
        <v>428</v>
      </c>
      <c r="C358" s="45">
        <v>1</v>
      </c>
      <c r="D358" s="45"/>
      <c r="E358" s="46" t="s">
        <v>182</v>
      </c>
      <c r="F358" s="26" t="str">
        <f t="shared" si="190"/>
        <v/>
      </c>
      <c r="G358" s="26" t="str">
        <f>IFERROR(IF(--MID($E358,2*COUNTIF($F358:F358,"&gt;"&amp;0)+2,1)=G$1,G$1,""),"")</f>
        <v/>
      </c>
      <c r="H358" s="26">
        <f>IFERROR(IF(--MID($E358,2*COUNTIF($F358:G358,"&gt;"&amp;0)+2,1)=H$1,H$1,""),"")</f>
        <v>3</v>
      </c>
      <c r="I358" s="26" t="str">
        <f>IFERROR(IF(--MID($E358,2*COUNTIF($F358:H358,"&gt;"&amp;0)+2,1)=I$1,I$1,""),"")</f>
        <v/>
      </c>
      <c r="J358" s="26" t="str">
        <f>IFERROR(IF(--MID($E358,2*COUNTIF($F358:I358,"&gt;"&amp;0)+2,1)=J$1,J$1,""),"")</f>
        <v/>
      </c>
      <c r="K358" s="26" t="str">
        <f>IFERROR(IF(--MID($E358,2*COUNTIF($F358:J358,"&gt;"&amp;0)+2,1)=K$1,K$1,""),"")</f>
        <v/>
      </c>
      <c r="L358" s="39" t="str" cm="1">
        <f t="array" ref="L358">IFERROR(IF($A358="","",IF(F358="","",_xlfn.XLOOKUP($C358&amp;"_"&amp;$AG358,符文权重!$A:$A&amp;"_"&amp;符文权重!$C:$C,符文权重!$D:$D)*$X358/SUMIFS($X:$X,F:F,F358,$C:$C,$C358,$AG:$AG,$AG358)/SUMIF(符文权重!$A:$A,$C358,符文权重!$D:$D))),"")</f>
        <v/>
      </c>
      <c r="M358" s="39" t="str" cm="1">
        <f t="array" ref="M358">IFERROR(IF($A358="","",IF(G358="","",_xlfn.XLOOKUP($C358&amp;"_"&amp;$AG358,符文权重!$A:$A&amp;"_"&amp;符文权重!$C:$C,符文权重!$D:$D)*$X358/SUMIFS($X:$X,G:G,G358,$C:$C,$C358,$AG:$AG,$AG358)/SUMIF(符文权重!$A:$A,$C358,符文权重!$D:$D))),"")</f>
        <v/>
      </c>
      <c r="N358" s="39" t="str" cm="1">
        <f t="array" ref="N358">IFERROR(IF($A358="","",IF(H358="","",_xlfn.XLOOKUP($C358&amp;"_"&amp;$AG358,符文权重!$A:$A&amp;"_"&amp;符文权重!$C:$C,符文权重!$D:$D)*$X358/SUMIFS($X:$X,H:H,H358,$C:$C,$C358,$AG:$AG,$AG358)/SUMIF(符文权重!$A:$A,$C358,符文权重!$D:$D))),"")</f>
        <v/>
      </c>
      <c r="O358" s="39" t="str" cm="1">
        <f t="array" ref="O358">IFERROR(IF($A358="","",IF(I358="","",_xlfn.XLOOKUP($C358&amp;"_"&amp;$AG358,符文权重!$A:$A&amp;"_"&amp;符文权重!$C:$C,符文权重!$D:$D)*$X358/SUMIFS($X:$X,I:I,I358,$C:$C,$C358,$AG:$AG,$AG358)/SUMIF(符文权重!$A:$A,$C358,符文权重!$D:$D))),"")</f>
        <v/>
      </c>
      <c r="P358" s="39" t="str" cm="1">
        <f t="array" ref="P358">IFERROR(IF($A358="","",IF(J358="","",_xlfn.XLOOKUP($C358&amp;"_"&amp;$AG358,符文权重!$A:$A&amp;"_"&amp;符文权重!$C:$C,符文权重!$D:$D)*$X358/SUMIFS($X:$X,J:J,J358,$C:$C,$C358,$AG:$AG,$AG358)/SUMIF(符文权重!$A:$A,$C358,符文权重!$D:$D))),"")</f>
        <v/>
      </c>
      <c r="Q358" s="39" t="str" cm="1">
        <f t="array" ref="Q358">IFERROR(IF($A358="","",IF(K358="","",_xlfn.XLOOKUP($C358&amp;"_"&amp;$AG358,符文权重!$A:$A&amp;"_"&amp;符文权重!$C:$C,符文权重!$D:$D)*$X358/SUMIFS($X:$X,K:K,K358,$C:$C,$C358,$AG:$AG,$AG358)/SUMIF(符文权重!$A:$A,$C358,符文权重!$D:$D))),"")</f>
        <v/>
      </c>
      <c r="R358" s="46" t="s">
        <v>181</v>
      </c>
      <c r="S358" s="46" t="s">
        <v>191</v>
      </c>
      <c r="T358" s="46" t="s">
        <v>380</v>
      </c>
      <c r="U358" s="47" t="s">
        <v>429</v>
      </c>
      <c r="V358" s="52"/>
      <c r="W358" s="23"/>
      <c r="X358" s="25">
        <v>100</v>
      </c>
      <c r="Y358" s="23"/>
      <c r="Z358" s="45" t="s">
        <v>165</v>
      </c>
      <c r="AA358" s="32" t="str">
        <f t="shared" si="195"/>
        <v>战士能量耗尽后0%概率立刻快速充能</v>
      </c>
      <c r="AB358" s="32"/>
      <c r="AC358" s="32" t="s">
        <v>166</v>
      </c>
      <c r="AD358" s="32">
        <f t="shared" si="193"/>
        <v>1353</v>
      </c>
      <c r="AE358" s="44" t="s">
        <v>428</v>
      </c>
      <c r="AF358" s="45" t="s">
        <v>402</v>
      </c>
      <c r="AG358" s="26">
        <v>100</v>
      </c>
      <c r="AH358" s="46"/>
      <c r="AI358" s="46">
        <v>1</v>
      </c>
      <c r="AJ358" s="25">
        <v>1</v>
      </c>
      <c r="AK358" s="48">
        <v>5505041</v>
      </c>
      <c r="AL358" s="57" t="s">
        <v>430</v>
      </c>
      <c r="AM358" s="46">
        <v>0</v>
      </c>
      <c r="AN358" s="25"/>
      <c r="AO358" s="26" t="s">
        <v>32</v>
      </c>
      <c r="AP358" s="20">
        <f t="shared" si="194"/>
        <v>353</v>
      </c>
    </row>
    <row r="359" s="23" customFormat="1" customHeight="1" spans="1:42">
      <c r="A359" s="44">
        <v>5505042</v>
      </c>
      <c r="B359" s="44" t="s">
        <v>428</v>
      </c>
      <c r="C359" s="45">
        <v>2</v>
      </c>
      <c r="D359" s="45"/>
      <c r="E359" s="46" t="s">
        <v>182</v>
      </c>
      <c r="F359" s="26" t="str">
        <f t="shared" si="190"/>
        <v/>
      </c>
      <c r="G359" s="26" t="str">
        <f>IFERROR(IF(--MID($E359,2*COUNTIF($F359:F359,"&gt;"&amp;0)+2,1)=G$1,G$1,""),"")</f>
        <v/>
      </c>
      <c r="H359" s="26">
        <f>IFERROR(IF(--MID($E359,2*COUNTIF($F359:G359,"&gt;"&amp;0)+2,1)=H$1,H$1,""),"")</f>
        <v>3</v>
      </c>
      <c r="I359" s="26" t="str">
        <f>IFERROR(IF(--MID($E359,2*COUNTIF($F359:H359,"&gt;"&amp;0)+2,1)=I$1,I$1,""),"")</f>
        <v/>
      </c>
      <c r="J359" s="26" t="str">
        <f>IFERROR(IF(--MID($E359,2*COUNTIF($F359:I359,"&gt;"&amp;0)+2,1)=J$1,J$1,""),"")</f>
        <v/>
      </c>
      <c r="K359" s="26" t="str">
        <f>IFERROR(IF(--MID($E359,2*COUNTIF($F359:J359,"&gt;"&amp;0)+2,1)=K$1,K$1,""),"")</f>
        <v/>
      </c>
      <c r="L359" s="39" t="str" cm="1">
        <f t="array" ref="L359">IFERROR(IF($A359="","",IF(F359="","",_xlfn.XLOOKUP($C359&amp;"_"&amp;$AG359,符文权重!$A:$A&amp;"_"&amp;符文权重!$C:$C,符文权重!$D:$D)*$X359/SUMIFS($X:$X,F:F,F359,$C:$C,$C359,$AG:$AG,$AG359)/SUMIF(符文权重!$A:$A,$C359,符文权重!$D:$D))),"")</f>
        <v/>
      </c>
      <c r="M359" s="39" t="str" cm="1">
        <f t="array" ref="M359">IFERROR(IF($A359="","",IF(G359="","",_xlfn.XLOOKUP($C359&amp;"_"&amp;$AG359,符文权重!$A:$A&amp;"_"&amp;符文权重!$C:$C,符文权重!$D:$D)*$X359/SUMIFS($X:$X,G:G,G359,$C:$C,$C359,$AG:$AG,$AG359)/SUMIF(符文权重!$A:$A,$C359,符文权重!$D:$D))),"")</f>
        <v/>
      </c>
      <c r="N359" s="39" t="str" cm="1">
        <f t="array" ref="N359">IFERROR(IF($A359="","",IF(H359="","",_xlfn.XLOOKUP($C359&amp;"_"&amp;$AG359,符文权重!$A:$A&amp;"_"&amp;符文权重!$C:$C,符文权重!$D:$D)*$X359/SUMIFS($X:$X,H:H,H359,$C:$C,$C359,$AG:$AG,$AG359)/SUMIF(符文权重!$A:$A,$C359,符文权重!$D:$D))),"")</f>
        <v/>
      </c>
      <c r="O359" s="39" t="str" cm="1">
        <f t="array" ref="O359">IFERROR(IF($A359="","",IF(I359="","",_xlfn.XLOOKUP($C359&amp;"_"&amp;$AG359,符文权重!$A:$A&amp;"_"&amp;符文权重!$C:$C,符文权重!$D:$D)*$X359/SUMIFS($X:$X,I:I,I359,$C:$C,$C359,$AG:$AG,$AG359)/SUMIF(符文权重!$A:$A,$C359,符文权重!$D:$D))),"")</f>
        <v/>
      </c>
      <c r="P359" s="39" t="str" cm="1">
        <f t="array" ref="P359">IFERROR(IF($A359="","",IF(J359="","",_xlfn.XLOOKUP($C359&amp;"_"&amp;$AG359,符文权重!$A:$A&amp;"_"&amp;符文权重!$C:$C,符文权重!$D:$D)*$X359/SUMIFS($X:$X,J:J,J359,$C:$C,$C359,$AG:$AG,$AG359)/SUMIF(符文权重!$A:$A,$C359,符文权重!$D:$D))),"")</f>
        <v/>
      </c>
      <c r="Q359" s="39" t="str" cm="1">
        <f t="array" ref="Q359">IFERROR(IF($A359="","",IF(K359="","",_xlfn.XLOOKUP($C359&amp;"_"&amp;$AG359,符文权重!$A:$A&amp;"_"&amp;符文权重!$C:$C,符文权重!$D:$D)*$X359/SUMIFS($X:$X,K:K,K359,$C:$C,$C359,$AG:$AG,$AG359)/SUMIF(符文权重!$A:$A,$C359,符文权重!$D:$D))),"")</f>
        <v/>
      </c>
      <c r="R359" s="46" t="s">
        <v>181</v>
      </c>
      <c r="S359" s="46" t="s">
        <v>191</v>
      </c>
      <c r="T359" s="46" t="s">
        <v>383</v>
      </c>
      <c r="U359" s="47" t="s">
        <v>431</v>
      </c>
      <c r="V359" s="46"/>
      <c r="X359" s="25">
        <v>100</v>
      </c>
      <c r="Z359" s="45" t="s">
        <v>170</v>
      </c>
      <c r="AA359" s="32" t="str">
        <f t="shared" si="195"/>
        <v>战士能量耗尽后0%概率立刻快速充能</v>
      </c>
      <c r="AB359" s="32"/>
      <c r="AC359" s="32" t="s">
        <v>166</v>
      </c>
      <c r="AD359" s="32">
        <f t="shared" si="193"/>
        <v>1354</v>
      </c>
      <c r="AE359" s="44" t="s">
        <v>428</v>
      </c>
      <c r="AF359" s="45" t="s">
        <v>402</v>
      </c>
      <c r="AG359" s="26">
        <v>100</v>
      </c>
      <c r="AH359" s="46"/>
      <c r="AI359" s="46">
        <v>1</v>
      </c>
      <c r="AJ359" s="25">
        <v>1</v>
      </c>
      <c r="AK359" s="44">
        <v>5505042</v>
      </c>
      <c r="AL359" s="50" t="s">
        <v>430</v>
      </c>
      <c r="AM359" s="46">
        <v>0</v>
      </c>
      <c r="AN359" s="25"/>
      <c r="AO359" s="26" t="s">
        <v>32</v>
      </c>
      <c r="AP359" s="20">
        <f t="shared" si="194"/>
        <v>354</v>
      </c>
    </row>
    <row r="360" s="23" customFormat="1" customHeight="1" spans="1:42">
      <c r="A360" s="44">
        <v>5505043</v>
      </c>
      <c r="B360" s="44" t="s">
        <v>428</v>
      </c>
      <c r="C360" s="45">
        <v>3</v>
      </c>
      <c r="D360" s="45"/>
      <c r="E360" s="46" t="s">
        <v>182</v>
      </c>
      <c r="F360" s="26" t="str">
        <f t="shared" si="190"/>
        <v/>
      </c>
      <c r="G360" s="26" t="str">
        <f>IFERROR(IF(--MID($E360,2*COUNTIF($F360:F360,"&gt;"&amp;0)+2,1)=G$1,G$1,""),"")</f>
        <v/>
      </c>
      <c r="H360" s="26">
        <f>IFERROR(IF(--MID($E360,2*COUNTIF($F360:G360,"&gt;"&amp;0)+2,1)=H$1,H$1,""),"")</f>
        <v>3</v>
      </c>
      <c r="I360" s="26" t="str">
        <f>IFERROR(IF(--MID($E360,2*COUNTIF($F360:H360,"&gt;"&amp;0)+2,1)=I$1,I$1,""),"")</f>
        <v/>
      </c>
      <c r="J360" s="26" t="str">
        <f>IFERROR(IF(--MID($E360,2*COUNTIF($F360:I360,"&gt;"&amp;0)+2,1)=J$1,J$1,""),"")</f>
        <v/>
      </c>
      <c r="K360" s="26" t="str">
        <f>IFERROR(IF(--MID($E360,2*COUNTIF($F360:J360,"&gt;"&amp;0)+2,1)=K$1,K$1,""),"")</f>
        <v/>
      </c>
      <c r="L360" s="39" t="str" cm="1">
        <f t="array" ref="L360">IFERROR(IF($A360="","",IF(F360="","",_xlfn.XLOOKUP($C360&amp;"_"&amp;$AG360,符文权重!$A:$A&amp;"_"&amp;符文权重!$C:$C,符文权重!$D:$D)*$X360/SUMIFS($X:$X,F:F,F360,$C:$C,$C360,$AG:$AG,$AG360)/SUMIF(符文权重!$A:$A,$C360,符文权重!$D:$D))),"")</f>
        <v/>
      </c>
      <c r="M360" s="39" t="str" cm="1">
        <f t="array" ref="M360">IFERROR(IF($A360="","",IF(G360="","",_xlfn.XLOOKUP($C360&amp;"_"&amp;$AG360,符文权重!$A:$A&amp;"_"&amp;符文权重!$C:$C,符文权重!$D:$D)*$X360/SUMIFS($X:$X,G:G,G360,$C:$C,$C360,$AG:$AG,$AG360)/SUMIF(符文权重!$A:$A,$C360,符文权重!$D:$D))),"")</f>
        <v/>
      </c>
      <c r="N360" s="39" t="str" cm="1">
        <f t="array" ref="N360">IFERROR(IF($A360="","",IF(H360="","",_xlfn.XLOOKUP($C360&amp;"_"&amp;$AG360,符文权重!$A:$A&amp;"_"&amp;符文权重!$C:$C,符文权重!$D:$D)*$X360/SUMIFS($X:$X,H:H,H360,$C:$C,$C360,$AG:$AG,$AG360)/SUMIF(符文权重!$A:$A,$C360,符文权重!$D:$D))),"")</f>
        <v/>
      </c>
      <c r="O360" s="39" t="str" cm="1">
        <f t="array" ref="O360">IFERROR(IF($A360="","",IF(I360="","",_xlfn.XLOOKUP($C360&amp;"_"&amp;$AG360,符文权重!$A:$A&amp;"_"&amp;符文权重!$C:$C,符文权重!$D:$D)*$X360/SUMIFS($X:$X,I:I,I360,$C:$C,$C360,$AG:$AG,$AG360)/SUMIF(符文权重!$A:$A,$C360,符文权重!$D:$D))),"")</f>
        <v/>
      </c>
      <c r="P360" s="39" t="str" cm="1">
        <f t="array" ref="P360">IFERROR(IF($A360="","",IF(J360="","",_xlfn.XLOOKUP($C360&amp;"_"&amp;$AG360,符文权重!$A:$A&amp;"_"&amp;符文权重!$C:$C,符文权重!$D:$D)*$X360/SUMIFS($X:$X,J:J,J360,$C:$C,$C360,$AG:$AG,$AG360)/SUMIF(符文权重!$A:$A,$C360,符文权重!$D:$D))),"")</f>
        <v/>
      </c>
      <c r="Q360" s="39" t="str" cm="1">
        <f t="array" ref="Q360">IFERROR(IF($A360="","",IF(K360="","",_xlfn.XLOOKUP($C360&amp;"_"&amp;$AG360,符文权重!$A:$A&amp;"_"&amp;符文权重!$C:$C,符文权重!$D:$D)*$X360/SUMIFS($X:$X,K:K,K360,$C:$C,$C360,$AG:$AG,$AG360)/SUMIF(符文权重!$A:$A,$C360,符文权重!$D:$D))),"")</f>
        <v/>
      </c>
      <c r="R360" s="46" t="s">
        <v>181</v>
      </c>
      <c r="S360" s="46" t="s">
        <v>191</v>
      </c>
      <c r="T360" s="46" t="s">
        <v>385</v>
      </c>
      <c r="U360" s="47" t="s">
        <v>432</v>
      </c>
      <c r="V360" s="46"/>
      <c r="X360" s="25">
        <v>100</v>
      </c>
      <c r="Z360" s="45" t="s">
        <v>172</v>
      </c>
      <c r="AA360" s="32" t="str">
        <f t="shared" si="195"/>
        <v>战士能量耗尽后0%概率立刻快速充能</v>
      </c>
      <c r="AB360" s="32"/>
      <c r="AC360" s="32" t="s">
        <v>166</v>
      </c>
      <c r="AD360" s="32">
        <f t="shared" si="193"/>
        <v>1355</v>
      </c>
      <c r="AE360" s="44" t="s">
        <v>428</v>
      </c>
      <c r="AF360" s="45" t="s">
        <v>402</v>
      </c>
      <c r="AG360" s="26">
        <v>100</v>
      </c>
      <c r="AH360" s="46"/>
      <c r="AI360" s="46">
        <v>1</v>
      </c>
      <c r="AJ360" s="25">
        <v>1</v>
      </c>
      <c r="AK360" s="44">
        <v>5505043</v>
      </c>
      <c r="AL360" s="50" t="s">
        <v>430</v>
      </c>
      <c r="AM360" s="46">
        <v>0</v>
      </c>
      <c r="AN360" s="25"/>
      <c r="AO360" s="26" t="s">
        <v>32</v>
      </c>
      <c r="AP360" s="20">
        <f t="shared" si="194"/>
        <v>355</v>
      </c>
    </row>
    <row r="361" customHeight="1" spans="1:42">
      <c r="A361" s="38">
        <v>5505044</v>
      </c>
      <c r="B361" s="38" t="s">
        <v>428</v>
      </c>
      <c r="C361" s="32">
        <v>4</v>
      </c>
      <c r="D361" s="32"/>
      <c r="E361" s="26" t="s">
        <v>182</v>
      </c>
      <c r="F361" s="26" t="str">
        <f t="shared" si="190"/>
        <v/>
      </c>
      <c r="G361" s="26" t="str">
        <f>IFERROR(IF(--MID($E361,2*COUNTIF($F361:F361,"&gt;"&amp;0)+2,1)=G$1,G$1,""),"")</f>
        <v/>
      </c>
      <c r="H361" s="26">
        <f>IFERROR(IF(--MID($E361,2*COUNTIF($F361:G361,"&gt;"&amp;0)+2,1)=H$1,H$1,""),"")</f>
        <v>3</v>
      </c>
      <c r="I361" s="26" t="str">
        <f>IFERROR(IF(--MID($E361,2*COUNTIF($F361:H361,"&gt;"&amp;0)+2,1)=I$1,I$1,""),"")</f>
        <v/>
      </c>
      <c r="J361" s="26" t="str">
        <f>IFERROR(IF(--MID($E361,2*COUNTIF($F361:I361,"&gt;"&amp;0)+2,1)=J$1,J$1,""),"")</f>
        <v/>
      </c>
      <c r="K361" s="26" t="str">
        <f>IFERROR(IF(--MID($E361,2*COUNTIF($F361:J361,"&gt;"&amp;0)+2,1)=K$1,K$1,""),"")</f>
        <v/>
      </c>
      <c r="L361" s="39" t="str" cm="1">
        <f t="array" ref="L361">IFERROR(IF($A361="","",IF(F361="","",_xlfn.XLOOKUP($C361&amp;"_"&amp;$AG361,符文权重!$A:$A&amp;"_"&amp;符文权重!$C:$C,符文权重!$D:$D)*$X361/SUMIFS($X:$X,F:F,F361,$C:$C,$C361,$AG:$AG,$AG361)/SUMIF(符文权重!$A:$A,$C361,符文权重!$D:$D))),"")</f>
        <v/>
      </c>
      <c r="M361" s="39" t="str" cm="1">
        <f t="array" ref="M361">IFERROR(IF($A361="","",IF(G361="","",_xlfn.XLOOKUP($C361&amp;"_"&amp;$AG361,符文权重!$A:$A&amp;"_"&amp;符文权重!$C:$C,符文权重!$D:$D)*$X361/SUMIFS($X:$X,G:G,G361,$C:$C,$C361,$AG:$AG,$AG361)/SUMIF(符文权重!$A:$A,$C361,符文权重!$D:$D))),"")</f>
        <v/>
      </c>
      <c r="N361" s="60" cm="1">
        <f t="array" ref="N361">IFERROR(IF($A361="","",IF(H361="","",_xlfn.XLOOKUP($C361&amp;"_"&amp;$AG361,符文权重!$A:$A&amp;"_"&amp;符文权重!$C:$C,符文权重!$D:$D)*$X361/SUMIFS($X:$X,H:H,H361,$C:$C,$C361,$AG:$AG,$AG361)/SUMIF(符文权重!$A:$A,$C361,符文权重!$D:$D))),"")</f>
        <v>0.00504838709677419</v>
      </c>
      <c r="O361" s="39" t="str" cm="1">
        <f t="array" ref="O361">IFERROR(IF($A361="","",IF(I361="","",_xlfn.XLOOKUP($C361&amp;"_"&amp;$AG361,符文权重!$A:$A&amp;"_"&amp;符文权重!$C:$C,符文权重!$D:$D)*$X361/SUMIFS($X:$X,I:I,I361,$C:$C,$C361,$AG:$AG,$AG361)/SUMIF(符文权重!$A:$A,$C361,符文权重!$D:$D))),"")</f>
        <v/>
      </c>
      <c r="P361" s="39" t="str" cm="1">
        <f t="array" ref="P361">IFERROR(IF($A361="","",IF(J361="","",_xlfn.XLOOKUP($C361&amp;"_"&amp;$AG361,符文权重!$A:$A&amp;"_"&amp;符文权重!$C:$C,符文权重!$D:$D)*$X361/SUMIFS($X:$X,J:J,J361,$C:$C,$C361,$AG:$AG,$AG361)/SUMIF(符文权重!$A:$A,$C361,符文权重!$D:$D))),"")</f>
        <v/>
      </c>
      <c r="Q361" s="39" t="str" cm="1">
        <f t="array" ref="Q361">IFERROR(IF($A361="","",IF(K361="","",_xlfn.XLOOKUP($C361&amp;"_"&amp;$AG361,符文权重!$A:$A&amp;"_"&amp;符文权重!$C:$C,符文权重!$D:$D)*$X361/SUMIFS($X:$X,K:K,K361,$C:$C,$C361,$AG:$AG,$AG361)/SUMIF(符文权重!$A:$A,$C361,符文权重!$D:$D))),"")</f>
        <v/>
      </c>
      <c r="R361" s="26" t="s">
        <v>181</v>
      </c>
      <c r="S361" s="26" t="s">
        <v>191</v>
      </c>
      <c r="T361" s="26" t="s">
        <v>388</v>
      </c>
      <c r="U361" s="40" t="s">
        <v>433</v>
      </c>
      <c r="X361" s="25">
        <v>4</v>
      </c>
      <c r="Z361" s="32" t="s">
        <v>174</v>
      </c>
      <c r="AA361" s="32" t="str">
        <f t="shared" si="195"/>
        <v>战士能量耗尽后20%概率立刻快速充能</v>
      </c>
      <c r="AB361" s="32"/>
      <c r="AC361" s="32" t="s">
        <v>166</v>
      </c>
      <c r="AD361" s="32">
        <f t="shared" si="193"/>
        <v>1356</v>
      </c>
      <c r="AE361" s="38" t="s">
        <v>428</v>
      </c>
      <c r="AF361" s="32" t="s">
        <v>396</v>
      </c>
      <c r="AG361" s="26">
        <v>3</v>
      </c>
      <c r="AH361" s="26"/>
      <c r="AI361" s="26">
        <v>0</v>
      </c>
      <c r="AJ361" s="25">
        <v>1</v>
      </c>
      <c r="AK361" s="38">
        <v>5505044</v>
      </c>
      <c r="AL361" s="41" t="s">
        <v>430</v>
      </c>
      <c r="AM361" s="26">
        <v>20</v>
      </c>
      <c r="AN361" s="25">
        <v>5</v>
      </c>
      <c r="AO361" s="26" t="s">
        <v>32</v>
      </c>
      <c r="AP361" s="20">
        <f t="shared" si="194"/>
        <v>356</v>
      </c>
    </row>
    <row r="362" customHeight="1" spans="1:42">
      <c r="A362" s="38">
        <v>5505045</v>
      </c>
      <c r="B362" s="38" t="s">
        <v>428</v>
      </c>
      <c r="C362" s="32">
        <v>5</v>
      </c>
      <c r="D362" s="32"/>
      <c r="E362" s="26" t="s">
        <v>182</v>
      </c>
      <c r="F362" s="26" t="str">
        <f t="shared" si="190"/>
        <v/>
      </c>
      <c r="G362" s="26" t="str">
        <f>IFERROR(IF(--MID($E362,2*COUNTIF($F362:F362,"&gt;"&amp;0)+2,1)=G$1,G$1,""),"")</f>
        <v/>
      </c>
      <c r="H362" s="26">
        <f>IFERROR(IF(--MID($E362,2*COUNTIF($F362:G362,"&gt;"&amp;0)+2,1)=H$1,H$1,""),"")</f>
        <v>3</v>
      </c>
      <c r="I362" s="26" t="str">
        <f>IFERROR(IF(--MID($E362,2*COUNTIF($F362:H362,"&gt;"&amp;0)+2,1)=I$1,I$1,""),"")</f>
        <v/>
      </c>
      <c r="J362" s="26" t="str">
        <f>IFERROR(IF(--MID($E362,2*COUNTIF($F362:I362,"&gt;"&amp;0)+2,1)=J$1,J$1,""),"")</f>
        <v/>
      </c>
      <c r="K362" s="26" t="str">
        <f>IFERROR(IF(--MID($E362,2*COUNTIF($F362:J362,"&gt;"&amp;0)+2,1)=K$1,K$1,""),"")</f>
        <v/>
      </c>
      <c r="L362" s="39" t="str" cm="1">
        <f t="array" ref="L362">IFERROR(IF($A362="","",IF(F362="","",_xlfn.XLOOKUP($C362&amp;"_"&amp;$AG362,符文权重!$A:$A&amp;"_"&amp;符文权重!$C:$C,符文权重!$D:$D)*$X362/SUMIFS($X:$X,F:F,F362,$C:$C,$C362,$AG:$AG,$AG362)/SUMIF(符文权重!$A:$A,$C362,符文权重!$D:$D))),"")</f>
        <v/>
      </c>
      <c r="M362" s="39" t="str" cm="1">
        <f t="array" ref="M362">IFERROR(IF($A362="","",IF(G362="","",_xlfn.XLOOKUP($C362&amp;"_"&amp;$AG362,符文权重!$A:$A&amp;"_"&amp;符文权重!$C:$C,符文权重!$D:$D)*$X362/SUMIFS($X:$X,G:G,G362,$C:$C,$C362,$AG:$AG,$AG362)/SUMIF(符文权重!$A:$A,$C362,符文权重!$D:$D))),"")</f>
        <v/>
      </c>
      <c r="N362" s="39" cm="1">
        <f t="array" ref="N362">IFERROR(IF($A362="","",IF(H362="","",_xlfn.XLOOKUP($C362&amp;"_"&amp;$AG362,符文权重!$A:$A&amp;"_"&amp;符文权重!$C:$C,符文权重!$D:$D)*$X362/SUMIFS($X:$X,H:H,H362,$C:$C,$C362,$AG:$AG,$AG362)/SUMIF(符文权重!$A:$A,$C362,符文权重!$D:$D))),"")</f>
        <v>0.01125</v>
      </c>
      <c r="O362" s="39" t="str" cm="1">
        <f t="array" ref="O362">IFERROR(IF($A362="","",IF(I362="","",_xlfn.XLOOKUP($C362&amp;"_"&amp;$AG362,符文权重!$A:$A&amp;"_"&amp;符文权重!$C:$C,符文权重!$D:$D)*$X362/SUMIFS($X:$X,I:I,I362,$C:$C,$C362,$AG:$AG,$AG362)/SUMIF(符文权重!$A:$A,$C362,符文权重!$D:$D))),"")</f>
        <v/>
      </c>
      <c r="P362" s="39" t="str" cm="1">
        <f t="array" ref="P362">IFERROR(IF($A362="","",IF(J362="","",_xlfn.XLOOKUP($C362&amp;"_"&amp;$AG362,符文权重!$A:$A&amp;"_"&amp;符文权重!$C:$C,符文权重!$D:$D)*$X362/SUMIFS($X:$X,J:J,J362,$C:$C,$C362,$AG:$AG,$AG362)/SUMIF(符文权重!$A:$A,$C362,符文权重!$D:$D))),"")</f>
        <v/>
      </c>
      <c r="Q362" s="39" t="str" cm="1">
        <f t="array" ref="Q362">IFERROR(IF($A362="","",IF(K362="","",_xlfn.XLOOKUP($C362&amp;"_"&amp;$AG362,符文权重!$A:$A&amp;"_"&amp;符文权重!$C:$C,符文权重!$D:$D)*$X362/SUMIFS($X:$X,K:K,K362,$C:$C,$C362,$AG:$AG,$AG362)/SUMIF(符文权重!$A:$A,$C362,符文权重!$D:$D))),"")</f>
        <v/>
      </c>
      <c r="R362" s="26" t="s">
        <v>181</v>
      </c>
      <c r="S362" s="26" t="s">
        <v>191</v>
      </c>
      <c r="T362" s="26" t="s">
        <v>391</v>
      </c>
      <c r="U362" s="40" t="s">
        <v>434</v>
      </c>
      <c r="X362" s="25">
        <v>100</v>
      </c>
      <c r="Z362" s="32" t="s">
        <v>176</v>
      </c>
      <c r="AA362" s="32" t="str">
        <f t="shared" si="195"/>
        <v>战士能量耗尽后32%概率立刻快速充能</v>
      </c>
      <c r="AB362" s="32"/>
      <c r="AC362" s="32" t="s">
        <v>166</v>
      </c>
      <c r="AD362" s="32">
        <f t="shared" si="193"/>
        <v>1357</v>
      </c>
      <c r="AE362" s="38" t="s">
        <v>428</v>
      </c>
      <c r="AF362" s="32" t="s">
        <v>435</v>
      </c>
      <c r="AG362" s="26">
        <v>5</v>
      </c>
      <c r="AH362" s="26"/>
      <c r="AI362" s="26">
        <v>0</v>
      </c>
      <c r="AJ362" s="25">
        <v>1</v>
      </c>
      <c r="AK362" s="38">
        <v>5505045</v>
      </c>
      <c r="AL362" s="41" t="s">
        <v>430</v>
      </c>
      <c r="AM362" s="26">
        <v>32</v>
      </c>
      <c r="AN362" s="25">
        <v>5</v>
      </c>
      <c r="AO362" s="26" t="s">
        <v>32</v>
      </c>
      <c r="AP362" s="20">
        <f t="shared" si="194"/>
        <v>357</v>
      </c>
    </row>
    <row r="363" customHeight="1" spans="1:42">
      <c r="A363" s="38">
        <v>5505046</v>
      </c>
      <c r="B363" s="38" t="s">
        <v>428</v>
      </c>
      <c r="C363" s="32">
        <v>6</v>
      </c>
      <c r="D363" s="32"/>
      <c r="E363" s="26" t="s">
        <v>182</v>
      </c>
      <c r="F363" s="26" t="str">
        <f t="shared" si="190"/>
        <v/>
      </c>
      <c r="G363" s="26" t="str">
        <f>IFERROR(IF(--MID($E363,2*COUNTIF($F363:F363,"&gt;"&amp;0)+2,1)=G$1,G$1,""),"")</f>
        <v/>
      </c>
      <c r="H363" s="26">
        <f>IFERROR(IF(--MID($E363,2*COUNTIF($F363:G363,"&gt;"&amp;0)+2,1)=H$1,H$1,""),"")</f>
        <v>3</v>
      </c>
      <c r="I363" s="26" t="str">
        <f>IFERROR(IF(--MID($E363,2*COUNTIF($F363:H363,"&gt;"&amp;0)+2,1)=I$1,I$1,""),"")</f>
        <v/>
      </c>
      <c r="J363" s="26" t="str">
        <f>IFERROR(IF(--MID($E363,2*COUNTIF($F363:I363,"&gt;"&amp;0)+2,1)=J$1,J$1,""),"")</f>
        <v/>
      </c>
      <c r="K363" s="26" t="str">
        <f>IFERROR(IF(--MID($E363,2*COUNTIF($F363:J363,"&gt;"&amp;0)+2,1)=K$1,K$1,""),"")</f>
        <v/>
      </c>
      <c r="L363" s="39" t="str" cm="1">
        <f t="array" ref="L363">IFERROR(IF($A363="","",IF(F363="","",_xlfn.XLOOKUP($C363&amp;"_"&amp;$AG363,符文权重!$A:$A&amp;"_"&amp;符文权重!$C:$C,符文权重!$D:$D)*$X363/SUMIFS($X:$X,F:F,F363,$C:$C,$C363,$AG:$AG,$AG363)/SUMIF(符文权重!$A:$A,$C363,符文权重!$D:$D))),"")</f>
        <v/>
      </c>
      <c r="M363" s="39" t="str" cm="1">
        <f t="array" ref="M363">IFERROR(IF($A363="","",IF(G363="","",_xlfn.XLOOKUP($C363&amp;"_"&amp;$AG363,符文权重!$A:$A&amp;"_"&amp;符文权重!$C:$C,符文权重!$D:$D)*$X363/SUMIFS($X:$X,G:G,G363,$C:$C,$C363,$AG:$AG,$AG363)/SUMIF(符文权重!$A:$A,$C363,符文权重!$D:$D))),"")</f>
        <v/>
      </c>
      <c r="N363" s="39" cm="1">
        <f t="array" ref="N363">IFERROR(IF($A363="","",IF(H363="","",_xlfn.XLOOKUP($C363&amp;"_"&amp;$AG363,符文权重!$A:$A&amp;"_"&amp;符文权重!$C:$C,符文权重!$D:$D)*$X363/SUMIFS($X:$X,H:H,H363,$C:$C,$C363,$AG:$AG,$AG363)/SUMIF(符文权重!$A:$A,$C363,符文权重!$D:$D))),"")</f>
        <v>0.01125</v>
      </c>
      <c r="O363" s="39" t="str" cm="1">
        <f t="array" ref="O363">IFERROR(IF($A363="","",IF(I363="","",_xlfn.XLOOKUP($C363&amp;"_"&amp;$AG363,符文权重!$A:$A&amp;"_"&amp;符文权重!$C:$C,符文权重!$D:$D)*$X363/SUMIFS($X:$X,I:I,I363,$C:$C,$C363,$AG:$AG,$AG363)/SUMIF(符文权重!$A:$A,$C363,符文权重!$D:$D))),"")</f>
        <v/>
      </c>
      <c r="P363" s="39" t="str" cm="1">
        <f t="array" ref="P363">IFERROR(IF($A363="","",IF(J363="","",_xlfn.XLOOKUP($C363&amp;"_"&amp;$AG363,符文权重!$A:$A&amp;"_"&amp;符文权重!$C:$C,符文权重!$D:$D)*$X363/SUMIFS($X:$X,J:J,J363,$C:$C,$C363,$AG:$AG,$AG363)/SUMIF(符文权重!$A:$A,$C363,符文权重!$D:$D))),"")</f>
        <v/>
      </c>
      <c r="Q363" s="39" t="str" cm="1">
        <f t="array" ref="Q363">IFERROR(IF($A363="","",IF(K363="","",_xlfn.XLOOKUP($C363&amp;"_"&amp;$AG363,符文权重!$A:$A&amp;"_"&amp;符文权重!$C:$C,符文权重!$D:$D)*$X363/SUMIFS($X:$X,K:K,K363,$C:$C,$C363,$AG:$AG,$AG363)/SUMIF(符文权重!$A:$A,$C363,符文权重!$D:$D))),"")</f>
        <v/>
      </c>
      <c r="R363" s="26" t="s">
        <v>181</v>
      </c>
      <c r="S363" s="26" t="s">
        <v>191</v>
      </c>
      <c r="T363" s="26" t="s">
        <v>394</v>
      </c>
      <c r="U363" s="40" t="s">
        <v>436</v>
      </c>
      <c r="X363" s="25">
        <v>100</v>
      </c>
      <c r="Z363" s="32" t="s">
        <v>178</v>
      </c>
      <c r="AA363" s="32" t="str">
        <f t="shared" si="195"/>
        <v>战士能量耗尽后45%概率立刻快速充能</v>
      </c>
      <c r="AB363" s="32"/>
      <c r="AC363" s="32" t="s">
        <v>166</v>
      </c>
      <c r="AD363" s="32">
        <f t="shared" si="193"/>
        <v>1358</v>
      </c>
      <c r="AE363" s="38" t="s">
        <v>428</v>
      </c>
      <c r="AF363" s="32" t="s">
        <v>437</v>
      </c>
      <c r="AG363" s="26">
        <v>5</v>
      </c>
      <c r="AH363" s="26"/>
      <c r="AI363" s="26">
        <v>0</v>
      </c>
      <c r="AJ363" s="25">
        <v>1</v>
      </c>
      <c r="AK363" s="38">
        <v>5505046</v>
      </c>
      <c r="AL363" s="41" t="s">
        <v>430</v>
      </c>
      <c r="AM363" s="26">
        <v>45</v>
      </c>
      <c r="AN363" s="25">
        <v>5</v>
      </c>
      <c r="AO363" s="26" t="s">
        <v>32</v>
      </c>
      <c r="AP363" s="20">
        <f t="shared" si="194"/>
        <v>358</v>
      </c>
    </row>
    <row r="364" customHeight="1" spans="1:42">
      <c r="A364" s="38">
        <v>5505047</v>
      </c>
      <c r="B364" s="38" t="s">
        <v>428</v>
      </c>
      <c r="C364" s="32">
        <v>7</v>
      </c>
      <c r="D364" s="32"/>
      <c r="E364" s="26" t="s">
        <v>182</v>
      </c>
      <c r="F364" s="26" t="str">
        <f t="shared" si="190"/>
        <v/>
      </c>
      <c r="G364" s="26" t="str">
        <f>IFERROR(IF(--MID($E364,2*COUNTIF($F364:F364,"&gt;"&amp;0)+2,1)=G$1,G$1,""),"")</f>
        <v/>
      </c>
      <c r="H364" s="26">
        <f>IFERROR(IF(--MID($E364,2*COUNTIF($F364:G364,"&gt;"&amp;0)+2,1)=H$1,H$1,""),"")</f>
        <v>3</v>
      </c>
      <c r="I364" s="26" t="str">
        <f>IFERROR(IF(--MID($E364,2*COUNTIF($F364:H364,"&gt;"&amp;0)+2,1)=I$1,I$1,""),"")</f>
        <v/>
      </c>
      <c r="J364" s="26" t="str">
        <f>IFERROR(IF(--MID($E364,2*COUNTIF($F364:I364,"&gt;"&amp;0)+2,1)=J$1,J$1,""),"")</f>
        <v/>
      </c>
      <c r="K364" s="26" t="str">
        <f>IFERROR(IF(--MID($E364,2*COUNTIF($F364:J364,"&gt;"&amp;0)+2,1)=K$1,K$1,""),"")</f>
        <v/>
      </c>
      <c r="L364" s="39" t="str" cm="1">
        <f t="array" ref="L364">IFERROR(IF($A364="","",IF(F364="","",_xlfn.XLOOKUP($C364&amp;"_"&amp;$AG364,符文权重!$A:$A&amp;"_"&amp;符文权重!$C:$C,符文权重!$D:$D)*$X364/SUMIFS($X:$X,F:F,F364,$C:$C,$C364,$AG:$AG,$AG364)/SUMIF(符文权重!$A:$A,$C364,符文权重!$D:$D))),"")</f>
        <v/>
      </c>
      <c r="M364" s="39" t="str" cm="1">
        <f t="array" ref="M364">IFERROR(IF($A364="","",IF(G364="","",_xlfn.XLOOKUP($C364&amp;"_"&amp;$AG364,符文权重!$A:$A&amp;"_"&amp;符文权重!$C:$C,符文权重!$D:$D)*$X364/SUMIFS($X:$X,G:G,G364,$C:$C,$C364,$AG:$AG,$AG364)/SUMIF(符文权重!$A:$A,$C364,符文权重!$D:$D))),"")</f>
        <v/>
      </c>
      <c r="N364" s="39" cm="1">
        <f t="array" ref="N364">IFERROR(IF($A364="","",IF(H364="","",_xlfn.XLOOKUP($C364&amp;"_"&amp;$AG364,符文权重!$A:$A&amp;"_"&amp;符文权重!$C:$C,符文权重!$D:$D)*$X364/SUMIFS($X:$X,H:H,H364,$C:$C,$C364,$AG:$AG,$AG364)/SUMIF(符文权重!$A:$A,$C364,符文权重!$D:$D))),"")</f>
        <v>0.01125</v>
      </c>
      <c r="O364" s="39" t="str" cm="1">
        <f t="array" ref="O364">IFERROR(IF($A364="","",IF(I364="","",_xlfn.XLOOKUP($C364&amp;"_"&amp;$AG364,符文权重!$A:$A&amp;"_"&amp;符文权重!$C:$C,符文权重!$D:$D)*$X364/SUMIFS($X:$X,I:I,I364,$C:$C,$C364,$AG:$AG,$AG364)/SUMIF(符文权重!$A:$A,$C364,符文权重!$D:$D))),"")</f>
        <v/>
      </c>
      <c r="P364" s="39" t="str" cm="1">
        <f t="array" ref="P364">IFERROR(IF($A364="","",IF(J364="","",_xlfn.XLOOKUP($C364&amp;"_"&amp;$AG364,符文权重!$A:$A&amp;"_"&amp;符文权重!$C:$C,符文权重!$D:$D)*$X364/SUMIFS($X:$X,J:J,J364,$C:$C,$C364,$AG:$AG,$AG364)/SUMIF(符文权重!$A:$A,$C364,符文权重!$D:$D))),"")</f>
        <v/>
      </c>
      <c r="Q364" s="39" t="str" cm="1">
        <f t="array" ref="Q364">IFERROR(IF($A364="","",IF(K364="","",_xlfn.XLOOKUP($C364&amp;"_"&amp;$AG364,符文权重!$A:$A&amp;"_"&amp;符文权重!$C:$C,符文权重!$D:$D)*$X364/SUMIFS($X:$X,K:K,K364,$C:$C,$C364,$AG:$AG,$AG364)/SUMIF(符文权重!$A:$A,$C364,符文权重!$D:$D))),"")</f>
        <v/>
      </c>
      <c r="R364" s="26" t="s">
        <v>181</v>
      </c>
      <c r="S364" s="26" t="s">
        <v>191</v>
      </c>
      <c r="T364" s="26" t="s">
        <v>397</v>
      </c>
      <c r="U364" s="40" t="s">
        <v>438</v>
      </c>
      <c r="X364" s="25">
        <v>100</v>
      </c>
      <c r="Z364" s="32" t="s">
        <v>180</v>
      </c>
      <c r="AA364" s="32" t="str">
        <f t="shared" si="195"/>
        <v>战士能量耗尽后60%概率立刻快速充能</v>
      </c>
      <c r="AB364" s="32"/>
      <c r="AC364" s="32" t="s">
        <v>166</v>
      </c>
      <c r="AD364" s="32">
        <f t="shared" si="193"/>
        <v>1359</v>
      </c>
      <c r="AE364" s="38" t="s">
        <v>428</v>
      </c>
      <c r="AF364" s="32" t="s">
        <v>439</v>
      </c>
      <c r="AG364" s="26">
        <v>5</v>
      </c>
      <c r="AH364" s="26"/>
      <c r="AI364" s="26">
        <v>0</v>
      </c>
      <c r="AJ364" s="25">
        <v>1</v>
      </c>
      <c r="AK364" s="38">
        <v>5505047</v>
      </c>
      <c r="AL364" s="41" t="s">
        <v>430</v>
      </c>
      <c r="AM364" s="26">
        <v>60</v>
      </c>
      <c r="AN364" s="25">
        <v>5</v>
      </c>
      <c r="AO364" s="26" t="s">
        <v>32</v>
      </c>
      <c r="AP364" s="20">
        <f t="shared" si="194"/>
        <v>359</v>
      </c>
    </row>
    <row r="365" s="20" customFormat="1" customHeight="1" spans="1:42">
      <c r="A365" s="38" t="s">
        <v>167</v>
      </c>
      <c r="B365" s="38" t="s">
        <v>167</v>
      </c>
      <c r="C365" s="32" t="s">
        <v>167</v>
      </c>
      <c r="D365" s="32"/>
      <c r="E365" s="26"/>
      <c r="F365" s="26" t="str">
        <f t="shared" si="190"/>
        <v/>
      </c>
      <c r="G365" s="26" t="str">
        <f>IFERROR(IF(--MID($E365,2*COUNTIF($F365:F365,"&gt;"&amp;0)+2,1)=G$1,G$1,""),"")</f>
        <v/>
      </c>
      <c r="H365" s="26" t="str">
        <f>IFERROR(IF(--MID($E365,2*COUNTIF($F365:G365,"&gt;"&amp;0)+2,1)=H$1,H$1,""),"")</f>
        <v/>
      </c>
      <c r="I365" s="26" t="str">
        <f>IFERROR(IF(--MID($E365,2*COUNTIF($F365:H365,"&gt;"&amp;0)+2,1)=I$1,I$1,""),"")</f>
        <v/>
      </c>
      <c r="J365" s="26" t="str">
        <f>IFERROR(IF(--MID($E365,2*COUNTIF($F365:I365,"&gt;"&amp;0)+2,1)=J$1,J$1,""),"")</f>
        <v/>
      </c>
      <c r="K365" s="26" t="str">
        <f>IFERROR(IF(--MID($E365,2*COUNTIF($F365:J365,"&gt;"&amp;0)+2,1)=K$1,K$1,""),"")</f>
        <v/>
      </c>
      <c r="L365" s="39" t="str" cm="1">
        <f t="array" ref="L365">IFERROR(IF($A365="","",IF(F365="","",_xlfn.XLOOKUP($C365&amp;"_"&amp;$AG365,符文权重!$A:$A&amp;"_"&amp;符文权重!$C:$C,符文权重!$D:$D)*$X365/SUMIFS($X:$X,F:F,F365,$C:$C,$C365,$AG:$AG,$AG365)/SUMIF(符文权重!$A:$A,$C365,符文权重!$D:$D))),"")</f>
        <v/>
      </c>
      <c r="M365" s="39" t="str" cm="1">
        <f t="array" ref="M365">IFERROR(IF($A365="","",IF(G365="","",_xlfn.XLOOKUP($C365&amp;"_"&amp;$AG365,符文权重!$A:$A&amp;"_"&amp;符文权重!$C:$C,符文权重!$D:$D)*$X365/SUMIFS($X:$X,G:G,G365,$C:$C,$C365,$AG:$AG,$AG365)/SUMIF(符文权重!$A:$A,$C365,符文权重!$D:$D))),"")</f>
        <v/>
      </c>
      <c r="N365" s="39" t="str" cm="1">
        <f t="array" ref="N365">IFERROR(IF($A365="","",IF(H365="","",_xlfn.XLOOKUP($C365&amp;"_"&amp;$AG365,符文权重!$A:$A&amp;"_"&amp;符文权重!$C:$C,符文权重!$D:$D)*$X365/SUMIFS($X:$X,H:H,H365,$C:$C,$C365,$AG:$AG,$AG365)/SUMIF(符文权重!$A:$A,$C365,符文权重!$D:$D))),"")</f>
        <v/>
      </c>
      <c r="O365" s="39" t="str" cm="1">
        <f t="array" ref="O365">IFERROR(IF($A365="","",IF(I365="","",_xlfn.XLOOKUP($C365&amp;"_"&amp;$AG365,符文权重!$A:$A&amp;"_"&amp;符文权重!$C:$C,符文权重!$D:$D)*$X365/SUMIFS($X:$X,I:I,I365,$C:$C,$C365,$AG:$AG,$AG365)/SUMIF(符文权重!$A:$A,$C365,符文权重!$D:$D))),"")</f>
        <v/>
      </c>
      <c r="P365" s="39" t="str" cm="1">
        <f t="array" ref="P365">IFERROR(IF($A365="","",IF(J365="","",_xlfn.XLOOKUP($C365&amp;"_"&amp;$AG365,符文权重!$A:$A&amp;"_"&amp;符文权重!$C:$C,符文权重!$D:$D)*$X365/SUMIFS($X:$X,J:J,J365,$C:$C,$C365,$AG:$AG,$AG365)/SUMIF(符文权重!$A:$A,$C365,符文权重!$D:$D))),"")</f>
        <v/>
      </c>
      <c r="Q365" s="39" t="str" cm="1">
        <f t="array" ref="Q365">IFERROR(IF($A365="","",IF(K365="","",_xlfn.XLOOKUP($C365&amp;"_"&amp;$AG365,符文权重!$A:$A&amp;"_"&amp;符文权重!$C:$C,符文权重!$D:$D)*$X365/SUMIFS($X:$X,K:K,K365,$C:$C,$C365,$AG:$AG,$AG365)/SUMIF(符文权重!$A:$A,$C365,符文权重!$D:$D))),"")</f>
        <v/>
      </c>
      <c r="R365" s="26"/>
      <c r="S365" s="26"/>
      <c r="T365" s="26"/>
      <c r="V365" s="31"/>
      <c r="W365" s="25"/>
      <c r="X365" s="25"/>
      <c r="Y365" s="25"/>
      <c r="Z365" s="32" t="s">
        <v>167</v>
      </c>
      <c r="AA365" s="32" t="str">
        <f t="shared" si="195"/>
        <v/>
      </c>
      <c r="AB365" s="32"/>
      <c r="AC365" s="32" t="s">
        <v>166</v>
      </c>
      <c r="AD365" s="32">
        <f t="shared" si="193"/>
        <v>1360</v>
      </c>
      <c r="AE365" s="38" t="s">
        <v>167</v>
      </c>
      <c r="AF365" s="32" t="s">
        <v>167</v>
      </c>
      <c r="AG365" s="26"/>
      <c r="AH365" s="26"/>
      <c r="AI365" s="26"/>
      <c r="AJ365" s="25" t="s">
        <v>167</v>
      </c>
      <c r="AK365" s="24"/>
      <c r="AL365" s="59"/>
      <c r="AM365" s="26"/>
      <c r="AN365" s="25"/>
      <c r="AO365" s="25"/>
      <c r="AP365" s="20">
        <f t="shared" si="194"/>
        <v>360</v>
      </c>
    </row>
    <row r="366" s="23" customFormat="1" customHeight="1" spans="1:42">
      <c r="A366" s="44">
        <v>5505051</v>
      </c>
      <c r="B366" s="44" t="s">
        <v>440</v>
      </c>
      <c r="C366" s="45">
        <v>1</v>
      </c>
      <c r="D366" s="45"/>
      <c r="E366" s="46" t="s">
        <v>182</v>
      </c>
      <c r="F366" s="26" t="str">
        <f t="shared" si="190"/>
        <v/>
      </c>
      <c r="G366" s="26" t="str">
        <f>IFERROR(IF(--MID($E366,2*COUNTIF($F366:F366,"&gt;"&amp;0)+2,1)=G$1,G$1,""),"")</f>
        <v/>
      </c>
      <c r="H366" s="26">
        <f>IFERROR(IF(--MID($E366,2*COUNTIF($F366:G366,"&gt;"&amp;0)+2,1)=H$1,H$1,""),"")</f>
        <v>3</v>
      </c>
      <c r="I366" s="26" t="str">
        <f>IFERROR(IF(--MID($E366,2*COUNTIF($F366:H366,"&gt;"&amp;0)+2,1)=I$1,I$1,""),"")</f>
        <v/>
      </c>
      <c r="J366" s="26" t="str">
        <f>IFERROR(IF(--MID($E366,2*COUNTIF($F366:I366,"&gt;"&amp;0)+2,1)=J$1,J$1,""),"")</f>
        <v/>
      </c>
      <c r="K366" s="26" t="str">
        <f>IFERROR(IF(--MID($E366,2*COUNTIF($F366:J366,"&gt;"&amp;0)+2,1)=K$1,K$1,""),"")</f>
        <v/>
      </c>
      <c r="L366" s="39" t="str" cm="1">
        <f t="array" ref="L366">IFERROR(IF($A366="","",IF(F366="","",_xlfn.XLOOKUP($C366&amp;"_"&amp;$AG366,符文权重!$A:$A&amp;"_"&amp;符文权重!$C:$C,符文权重!$D:$D)*$X366/SUMIFS($X:$X,F:F,F366,$C:$C,$C366,$AG:$AG,$AG366)/SUMIF(符文权重!$A:$A,$C366,符文权重!$D:$D))),"")</f>
        <v/>
      </c>
      <c r="M366" s="39" t="str" cm="1">
        <f t="array" ref="M366">IFERROR(IF($A366="","",IF(G366="","",_xlfn.XLOOKUP($C366&amp;"_"&amp;$AG366,符文权重!$A:$A&amp;"_"&amp;符文权重!$C:$C,符文权重!$D:$D)*$X366/SUMIFS($X:$X,G:G,G366,$C:$C,$C366,$AG:$AG,$AG366)/SUMIF(符文权重!$A:$A,$C366,符文权重!$D:$D))),"")</f>
        <v/>
      </c>
      <c r="N366" s="39" t="str" cm="1">
        <f t="array" ref="N366">IFERROR(IF($A366="","",IF(H366="","",_xlfn.XLOOKUP($C366&amp;"_"&amp;$AG366,符文权重!$A:$A&amp;"_"&amp;符文权重!$C:$C,符文权重!$D:$D)*$X366/SUMIFS($X:$X,H:H,H366,$C:$C,$C366,$AG:$AG,$AG366)/SUMIF(符文权重!$A:$A,$C366,符文权重!$D:$D))),"")</f>
        <v/>
      </c>
      <c r="O366" s="39" t="str" cm="1">
        <f t="array" ref="O366">IFERROR(IF($A366="","",IF(I366="","",_xlfn.XLOOKUP($C366&amp;"_"&amp;$AG366,符文权重!$A:$A&amp;"_"&amp;符文权重!$C:$C,符文权重!$D:$D)*$X366/SUMIFS($X:$X,I:I,I366,$C:$C,$C366,$AG:$AG,$AG366)/SUMIF(符文权重!$A:$A,$C366,符文权重!$D:$D))),"")</f>
        <v/>
      </c>
      <c r="P366" s="39" t="str" cm="1">
        <f t="array" ref="P366">IFERROR(IF($A366="","",IF(J366="","",_xlfn.XLOOKUP($C366&amp;"_"&amp;$AG366,符文权重!$A:$A&amp;"_"&amp;符文权重!$C:$C,符文权重!$D:$D)*$X366/SUMIFS($X:$X,J:J,J366,$C:$C,$C366,$AG:$AG,$AG366)/SUMIF(符文权重!$A:$A,$C366,符文权重!$D:$D))),"")</f>
        <v/>
      </c>
      <c r="Q366" s="39" t="str" cm="1">
        <f t="array" ref="Q366">IFERROR(IF($A366="","",IF(K366="","",_xlfn.XLOOKUP($C366&amp;"_"&amp;$AG366,符文权重!$A:$A&amp;"_"&amp;符文权重!$C:$C,符文权重!$D:$D)*$X366/SUMIFS($X:$X,K:K,K366,$C:$C,$C366,$AG:$AG,$AG366)/SUMIF(符文权重!$A:$A,$C366,符文权重!$D:$D))),"")</f>
        <v/>
      </c>
      <c r="R366" s="46" t="s">
        <v>181</v>
      </c>
      <c r="S366" s="46" t="s">
        <v>182</v>
      </c>
      <c r="T366" s="46" t="s">
        <v>380</v>
      </c>
      <c r="U366" s="47" t="s">
        <v>441</v>
      </c>
      <c r="V366" s="46"/>
      <c r="X366" s="25">
        <v>100</v>
      </c>
      <c r="Z366" s="45" t="s">
        <v>165</v>
      </c>
      <c r="AA366" s="32" t="str">
        <f t="shared" si="195"/>
        <v>射手的每次攻击提高4%伤害，充能时重置</v>
      </c>
      <c r="AB366" s="32"/>
      <c r="AC366" s="32" t="s">
        <v>166</v>
      </c>
      <c r="AD366" s="32">
        <f t="shared" si="193"/>
        <v>1361</v>
      </c>
      <c r="AE366" s="44" t="s">
        <v>440</v>
      </c>
      <c r="AF366" s="45" t="s">
        <v>375</v>
      </c>
      <c r="AG366" s="26">
        <v>100</v>
      </c>
      <c r="AH366" s="46"/>
      <c r="AI366" s="46">
        <v>1</v>
      </c>
      <c r="AJ366" s="25">
        <v>1</v>
      </c>
      <c r="AK366" s="48">
        <v>5505051</v>
      </c>
      <c r="AL366" s="49" t="s">
        <v>442</v>
      </c>
      <c r="AM366" s="46">
        <v>4</v>
      </c>
      <c r="AN366" s="25"/>
      <c r="AO366" s="26" t="s">
        <v>31</v>
      </c>
      <c r="AP366" s="20">
        <f t="shared" si="194"/>
        <v>361</v>
      </c>
    </row>
    <row r="367" s="23" customFormat="1" customHeight="1" spans="1:42">
      <c r="A367" s="44">
        <v>5505052</v>
      </c>
      <c r="B367" s="44" t="s">
        <v>440</v>
      </c>
      <c r="C367" s="45">
        <v>2</v>
      </c>
      <c r="D367" s="45"/>
      <c r="E367" s="46" t="s">
        <v>182</v>
      </c>
      <c r="F367" s="26" t="str">
        <f t="shared" si="190"/>
        <v/>
      </c>
      <c r="G367" s="26" t="str">
        <f>IFERROR(IF(--MID($E367,2*COUNTIF($F367:F367,"&gt;"&amp;0)+2,1)=G$1,G$1,""),"")</f>
        <v/>
      </c>
      <c r="H367" s="26">
        <f>IFERROR(IF(--MID($E367,2*COUNTIF($F367:G367,"&gt;"&amp;0)+2,1)=H$1,H$1,""),"")</f>
        <v>3</v>
      </c>
      <c r="I367" s="26" t="str">
        <f>IFERROR(IF(--MID($E367,2*COUNTIF($F367:H367,"&gt;"&amp;0)+2,1)=I$1,I$1,""),"")</f>
        <v/>
      </c>
      <c r="J367" s="26" t="str">
        <f>IFERROR(IF(--MID($E367,2*COUNTIF($F367:I367,"&gt;"&amp;0)+2,1)=J$1,J$1,""),"")</f>
        <v/>
      </c>
      <c r="K367" s="26" t="str">
        <f>IFERROR(IF(--MID($E367,2*COUNTIF($F367:J367,"&gt;"&amp;0)+2,1)=K$1,K$1,""),"")</f>
        <v/>
      </c>
      <c r="L367" s="39" t="str" cm="1">
        <f t="array" ref="L367">IFERROR(IF($A367="","",IF(F367="","",_xlfn.XLOOKUP($C367&amp;"_"&amp;$AG367,符文权重!$A:$A&amp;"_"&amp;符文权重!$C:$C,符文权重!$D:$D)*$X367/SUMIFS($X:$X,F:F,F367,$C:$C,$C367,$AG:$AG,$AG367)/SUMIF(符文权重!$A:$A,$C367,符文权重!$D:$D))),"")</f>
        <v/>
      </c>
      <c r="M367" s="39" t="str" cm="1">
        <f t="array" ref="M367">IFERROR(IF($A367="","",IF(G367="","",_xlfn.XLOOKUP($C367&amp;"_"&amp;$AG367,符文权重!$A:$A&amp;"_"&amp;符文权重!$C:$C,符文权重!$D:$D)*$X367/SUMIFS($X:$X,G:G,G367,$C:$C,$C367,$AG:$AG,$AG367)/SUMIF(符文权重!$A:$A,$C367,符文权重!$D:$D))),"")</f>
        <v/>
      </c>
      <c r="N367" s="39" t="str" cm="1">
        <f t="array" ref="N367">IFERROR(IF($A367="","",IF(H367="","",_xlfn.XLOOKUP($C367&amp;"_"&amp;$AG367,符文权重!$A:$A&amp;"_"&amp;符文权重!$C:$C,符文权重!$D:$D)*$X367/SUMIFS($X:$X,H:H,H367,$C:$C,$C367,$AG:$AG,$AG367)/SUMIF(符文权重!$A:$A,$C367,符文权重!$D:$D))),"")</f>
        <v/>
      </c>
      <c r="O367" s="39" t="str" cm="1">
        <f t="array" ref="O367">IFERROR(IF($A367="","",IF(I367="","",_xlfn.XLOOKUP($C367&amp;"_"&amp;$AG367,符文权重!$A:$A&amp;"_"&amp;符文权重!$C:$C,符文权重!$D:$D)*$X367/SUMIFS($X:$X,I:I,I367,$C:$C,$C367,$AG:$AG,$AG367)/SUMIF(符文权重!$A:$A,$C367,符文权重!$D:$D))),"")</f>
        <v/>
      </c>
      <c r="P367" s="39" t="str" cm="1">
        <f t="array" ref="P367">IFERROR(IF($A367="","",IF(J367="","",_xlfn.XLOOKUP($C367&amp;"_"&amp;$AG367,符文权重!$A:$A&amp;"_"&amp;符文权重!$C:$C,符文权重!$D:$D)*$X367/SUMIFS($X:$X,J:J,J367,$C:$C,$C367,$AG:$AG,$AG367)/SUMIF(符文权重!$A:$A,$C367,符文权重!$D:$D))),"")</f>
        <v/>
      </c>
      <c r="Q367" s="39" t="str" cm="1">
        <f t="array" ref="Q367">IFERROR(IF($A367="","",IF(K367="","",_xlfn.XLOOKUP($C367&amp;"_"&amp;$AG367,符文权重!$A:$A&amp;"_"&amp;符文权重!$C:$C,符文权重!$D:$D)*$X367/SUMIFS($X:$X,K:K,K367,$C:$C,$C367,$AG:$AG,$AG367)/SUMIF(符文权重!$A:$A,$C367,符文权重!$D:$D))),"")</f>
        <v/>
      </c>
      <c r="R367" s="46" t="s">
        <v>181</v>
      </c>
      <c r="S367" s="46" t="s">
        <v>182</v>
      </c>
      <c r="T367" s="46" t="s">
        <v>383</v>
      </c>
      <c r="U367" s="47" t="s">
        <v>443</v>
      </c>
      <c r="V367" s="46"/>
      <c r="X367" s="25">
        <v>100</v>
      </c>
      <c r="Z367" s="45" t="s">
        <v>170</v>
      </c>
      <c r="AA367" s="32" t="str">
        <f t="shared" si="195"/>
        <v>射手的每次攻击提高6%伤害，充能时重置</v>
      </c>
      <c r="AB367" s="32"/>
      <c r="AC367" s="32" t="s">
        <v>166</v>
      </c>
      <c r="AD367" s="32">
        <f t="shared" si="193"/>
        <v>1362</v>
      </c>
      <c r="AE367" s="44" t="s">
        <v>440</v>
      </c>
      <c r="AF367" s="45" t="s">
        <v>209</v>
      </c>
      <c r="AG367" s="26">
        <v>100</v>
      </c>
      <c r="AH367" s="46"/>
      <c r="AI367" s="46">
        <v>1</v>
      </c>
      <c r="AJ367" s="25">
        <v>1</v>
      </c>
      <c r="AK367" s="44">
        <v>5505052</v>
      </c>
      <c r="AL367" s="50" t="s">
        <v>442</v>
      </c>
      <c r="AM367" s="46">
        <v>6</v>
      </c>
      <c r="AN367" s="25"/>
      <c r="AO367" s="26" t="s">
        <v>31</v>
      </c>
      <c r="AP367" s="20">
        <f t="shared" si="194"/>
        <v>362</v>
      </c>
    </row>
    <row r="368" s="23" customFormat="1" customHeight="1" spans="1:42">
      <c r="A368" s="44">
        <v>5505053</v>
      </c>
      <c r="B368" s="44" t="s">
        <v>440</v>
      </c>
      <c r="C368" s="45">
        <v>3</v>
      </c>
      <c r="D368" s="45"/>
      <c r="E368" s="46" t="s">
        <v>182</v>
      </c>
      <c r="F368" s="26" t="str">
        <f t="shared" si="190"/>
        <v/>
      </c>
      <c r="G368" s="26" t="str">
        <f>IFERROR(IF(--MID($E368,2*COUNTIF($F368:F368,"&gt;"&amp;0)+2,1)=G$1,G$1,""),"")</f>
        <v/>
      </c>
      <c r="H368" s="26">
        <f>IFERROR(IF(--MID($E368,2*COUNTIF($F368:G368,"&gt;"&amp;0)+2,1)=H$1,H$1,""),"")</f>
        <v>3</v>
      </c>
      <c r="I368" s="26" t="str">
        <f>IFERROR(IF(--MID($E368,2*COUNTIF($F368:H368,"&gt;"&amp;0)+2,1)=I$1,I$1,""),"")</f>
        <v/>
      </c>
      <c r="J368" s="26" t="str">
        <f>IFERROR(IF(--MID($E368,2*COUNTIF($F368:I368,"&gt;"&amp;0)+2,1)=J$1,J$1,""),"")</f>
        <v/>
      </c>
      <c r="K368" s="26" t="str">
        <f>IFERROR(IF(--MID($E368,2*COUNTIF($F368:J368,"&gt;"&amp;0)+2,1)=K$1,K$1,""),"")</f>
        <v/>
      </c>
      <c r="L368" s="39" t="str" cm="1">
        <f t="array" ref="L368">IFERROR(IF($A368="","",IF(F368="","",_xlfn.XLOOKUP($C368&amp;"_"&amp;$AG368,符文权重!$A:$A&amp;"_"&amp;符文权重!$C:$C,符文权重!$D:$D)*$X368/SUMIFS($X:$X,F:F,F368,$C:$C,$C368,$AG:$AG,$AG368)/SUMIF(符文权重!$A:$A,$C368,符文权重!$D:$D))),"")</f>
        <v/>
      </c>
      <c r="M368" s="39" t="str" cm="1">
        <f t="array" ref="M368">IFERROR(IF($A368="","",IF(G368="","",_xlfn.XLOOKUP($C368&amp;"_"&amp;$AG368,符文权重!$A:$A&amp;"_"&amp;符文权重!$C:$C,符文权重!$D:$D)*$X368/SUMIFS($X:$X,G:G,G368,$C:$C,$C368,$AG:$AG,$AG368)/SUMIF(符文权重!$A:$A,$C368,符文权重!$D:$D))),"")</f>
        <v/>
      </c>
      <c r="N368" s="39" t="str" cm="1">
        <f t="array" ref="N368">IFERROR(IF($A368="","",IF(H368="","",_xlfn.XLOOKUP($C368&amp;"_"&amp;$AG368,符文权重!$A:$A&amp;"_"&amp;符文权重!$C:$C,符文权重!$D:$D)*$X368/SUMIFS($X:$X,H:H,H368,$C:$C,$C368,$AG:$AG,$AG368)/SUMIF(符文权重!$A:$A,$C368,符文权重!$D:$D))),"")</f>
        <v/>
      </c>
      <c r="O368" s="39" t="str" cm="1">
        <f t="array" ref="O368">IFERROR(IF($A368="","",IF(I368="","",_xlfn.XLOOKUP($C368&amp;"_"&amp;$AG368,符文权重!$A:$A&amp;"_"&amp;符文权重!$C:$C,符文权重!$D:$D)*$X368/SUMIFS($X:$X,I:I,I368,$C:$C,$C368,$AG:$AG,$AG368)/SUMIF(符文权重!$A:$A,$C368,符文权重!$D:$D))),"")</f>
        <v/>
      </c>
      <c r="P368" s="39" t="str" cm="1">
        <f t="array" ref="P368">IFERROR(IF($A368="","",IF(J368="","",_xlfn.XLOOKUP($C368&amp;"_"&amp;$AG368,符文权重!$A:$A&amp;"_"&amp;符文权重!$C:$C,符文权重!$D:$D)*$X368/SUMIFS($X:$X,J:J,J368,$C:$C,$C368,$AG:$AG,$AG368)/SUMIF(符文权重!$A:$A,$C368,符文权重!$D:$D))),"")</f>
        <v/>
      </c>
      <c r="Q368" s="39" t="str" cm="1">
        <f t="array" ref="Q368">IFERROR(IF($A368="","",IF(K368="","",_xlfn.XLOOKUP($C368&amp;"_"&amp;$AG368,符文权重!$A:$A&amp;"_"&amp;符文权重!$C:$C,符文权重!$D:$D)*$X368/SUMIFS($X:$X,K:K,K368,$C:$C,$C368,$AG:$AG,$AG368)/SUMIF(符文权重!$A:$A,$C368,符文权重!$D:$D))),"")</f>
        <v/>
      </c>
      <c r="R368" s="46" t="s">
        <v>181</v>
      </c>
      <c r="S368" s="46" t="s">
        <v>182</v>
      </c>
      <c r="T368" s="46" t="s">
        <v>385</v>
      </c>
      <c r="U368" s="47" t="s">
        <v>444</v>
      </c>
      <c r="V368" s="46"/>
      <c r="X368" s="25">
        <v>100</v>
      </c>
      <c r="Z368" s="45" t="s">
        <v>172</v>
      </c>
      <c r="AA368" s="32" t="str">
        <f t="shared" si="195"/>
        <v>射手的每次攻击提高8%伤害，充能时重置</v>
      </c>
      <c r="AB368" s="32"/>
      <c r="AC368" s="32" t="s">
        <v>166</v>
      </c>
      <c r="AD368" s="32">
        <f t="shared" si="193"/>
        <v>1363</v>
      </c>
      <c r="AE368" s="44" t="s">
        <v>440</v>
      </c>
      <c r="AF368" s="45" t="s">
        <v>387</v>
      </c>
      <c r="AG368" s="26">
        <v>100</v>
      </c>
      <c r="AH368" s="46"/>
      <c r="AI368" s="46">
        <v>1</v>
      </c>
      <c r="AJ368" s="25">
        <v>1</v>
      </c>
      <c r="AK368" s="44">
        <v>5505053</v>
      </c>
      <c r="AL368" s="50" t="s">
        <v>442</v>
      </c>
      <c r="AM368" s="46">
        <v>8</v>
      </c>
      <c r="AN368" s="25"/>
      <c r="AO368" s="26" t="s">
        <v>31</v>
      </c>
      <c r="AP368" s="20">
        <f t="shared" si="194"/>
        <v>363</v>
      </c>
    </row>
    <row r="369" customHeight="1" spans="1:42">
      <c r="A369" s="38">
        <v>5505054</v>
      </c>
      <c r="B369" s="38" t="s">
        <v>440</v>
      </c>
      <c r="C369" s="32">
        <v>4</v>
      </c>
      <c r="D369" s="32"/>
      <c r="E369" s="26" t="s">
        <v>182</v>
      </c>
      <c r="F369" s="26" t="str">
        <f t="shared" si="190"/>
        <v/>
      </c>
      <c r="G369" s="26" t="str">
        <f>IFERROR(IF(--MID($E369,2*COUNTIF($F369:F369,"&gt;"&amp;0)+2,1)=G$1,G$1,""),"")</f>
        <v/>
      </c>
      <c r="H369" s="26">
        <f>IFERROR(IF(--MID($E369,2*COUNTIF($F369:G369,"&gt;"&amp;0)+2,1)=H$1,H$1,""),"")</f>
        <v>3</v>
      </c>
      <c r="I369" s="26" t="str">
        <f>IFERROR(IF(--MID($E369,2*COUNTIF($F369:H369,"&gt;"&amp;0)+2,1)=I$1,I$1,""),"")</f>
        <v/>
      </c>
      <c r="J369" s="26" t="str">
        <f>IFERROR(IF(--MID($E369,2*COUNTIF($F369:I369,"&gt;"&amp;0)+2,1)=J$1,J$1,""),"")</f>
        <v/>
      </c>
      <c r="K369" s="26" t="str">
        <f>IFERROR(IF(--MID($E369,2*COUNTIF($F369:J369,"&gt;"&amp;0)+2,1)=K$1,K$1,""),"")</f>
        <v/>
      </c>
      <c r="L369" s="39" t="str" cm="1">
        <f t="array" ref="L369">IFERROR(IF($A369="","",IF(F369="","",_xlfn.XLOOKUP($C369&amp;"_"&amp;$AG369,符文权重!$A:$A&amp;"_"&amp;符文权重!$C:$C,符文权重!$D:$D)*$X369/SUMIFS($X:$X,F:F,F369,$C:$C,$C369,$AG:$AG,$AG369)/SUMIF(符文权重!$A:$A,$C369,符文权重!$D:$D))),"")</f>
        <v/>
      </c>
      <c r="M369" s="39" t="str" cm="1">
        <f t="array" ref="M369">IFERROR(IF($A369="","",IF(G369="","",_xlfn.XLOOKUP($C369&amp;"_"&amp;$AG369,符文权重!$A:$A&amp;"_"&amp;符文权重!$C:$C,符文权重!$D:$D)*$X369/SUMIFS($X:$X,G:G,G369,$C:$C,$C369,$AG:$AG,$AG369)/SUMIF(符文权重!$A:$A,$C369,符文权重!$D:$D))),"")</f>
        <v/>
      </c>
      <c r="N369" s="58" t="str" cm="1">
        <f t="array" ref="N369">IFERROR(IF($A369="","",IF(H369="","",_xlfn.XLOOKUP($C369&amp;"_"&amp;$AG369,符文权重!$A:$A&amp;"_"&amp;符文权重!$C:$C,符文权重!$D:$D)*$X369/SUMIFS($X:$X,H:H,H369,$C:$C,$C369,$AG:$AG,$AG369)/SUMIF(符文权重!$A:$A,$C369,符文权重!$D:$D))),"")</f>
        <v/>
      </c>
      <c r="O369" s="39" t="str" cm="1">
        <f t="array" ref="O369">IFERROR(IF($A369="","",IF(I369="","",_xlfn.XLOOKUP($C369&amp;"_"&amp;$AG369,符文权重!$A:$A&amp;"_"&amp;符文权重!$C:$C,符文权重!$D:$D)*$X369/SUMIFS($X:$X,I:I,I369,$C:$C,$C369,$AG:$AG,$AG369)/SUMIF(符文权重!$A:$A,$C369,符文权重!$D:$D))),"")</f>
        <v/>
      </c>
      <c r="P369" s="39" t="str" cm="1">
        <f t="array" ref="P369">IFERROR(IF($A369="","",IF(J369="","",_xlfn.XLOOKUP($C369&amp;"_"&amp;$AG369,符文权重!$A:$A&amp;"_"&amp;符文权重!$C:$C,符文权重!$D:$D)*$X369/SUMIFS($X:$X,J:J,J369,$C:$C,$C369,$AG:$AG,$AG369)/SUMIF(符文权重!$A:$A,$C369,符文权重!$D:$D))),"")</f>
        <v/>
      </c>
      <c r="Q369" s="39" t="str" cm="1">
        <f t="array" ref="Q369">IFERROR(IF($A369="","",IF(K369="","",_xlfn.XLOOKUP($C369&amp;"_"&amp;$AG369,符文权重!$A:$A&amp;"_"&amp;符文权重!$C:$C,符文权重!$D:$D)*$X369/SUMIFS($X:$X,K:K,K369,$C:$C,$C369,$AG:$AG,$AG369)/SUMIF(符文权重!$A:$A,$C369,符文权重!$D:$D))),"")</f>
        <v/>
      </c>
      <c r="R369" s="26" t="s">
        <v>181</v>
      </c>
      <c r="S369" s="26" t="s">
        <v>182</v>
      </c>
      <c r="T369" s="26" t="s">
        <v>388</v>
      </c>
      <c r="U369" s="40" t="s">
        <v>445</v>
      </c>
      <c r="X369" s="25">
        <v>4</v>
      </c>
      <c r="Z369" s="32" t="s">
        <v>174</v>
      </c>
      <c r="AA369" s="32" t="str">
        <f t="shared" si="195"/>
        <v>射手的每次攻击提高10%伤害，充能时重置</v>
      </c>
      <c r="AB369" s="32"/>
      <c r="AC369" s="32" t="s">
        <v>166</v>
      </c>
      <c r="AD369" s="32">
        <f t="shared" si="193"/>
        <v>1364</v>
      </c>
      <c r="AE369" s="38" t="s">
        <v>440</v>
      </c>
      <c r="AF369" s="32" t="s">
        <v>390</v>
      </c>
      <c r="AG369" s="26">
        <v>105</v>
      </c>
      <c r="AH369" s="26"/>
      <c r="AI369" s="26">
        <v>0</v>
      </c>
      <c r="AJ369" s="25">
        <v>1</v>
      </c>
      <c r="AK369" s="38">
        <v>5505054</v>
      </c>
      <c r="AL369" s="41" t="s">
        <v>442</v>
      </c>
      <c r="AM369" s="26">
        <v>10</v>
      </c>
      <c r="AN369" s="25">
        <v>5</v>
      </c>
      <c r="AO369" s="26" t="s">
        <v>31</v>
      </c>
      <c r="AP369" s="20">
        <f t="shared" si="194"/>
        <v>364</v>
      </c>
    </row>
    <row r="370" customHeight="1" spans="1:42">
      <c r="A370" s="38">
        <v>5505055</v>
      </c>
      <c r="B370" s="38" t="s">
        <v>440</v>
      </c>
      <c r="C370" s="32">
        <v>5</v>
      </c>
      <c r="D370" s="32"/>
      <c r="E370" s="26" t="s">
        <v>182</v>
      </c>
      <c r="F370" s="26" t="str">
        <f t="shared" si="190"/>
        <v/>
      </c>
      <c r="G370" s="26" t="str">
        <f>IFERROR(IF(--MID($E370,2*COUNTIF($F370:F370,"&gt;"&amp;0)+2,1)=G$1,G$1,""),"")</f>
        <v/>
      </c>
      <c r="H370" s="26">
        <f>IFERROR(IF(--MID($E370,2*COUNTIF($F370:G370,"&gt;"&amp;0)+2,1)=H$1,H$1,""),"")</f>
        <v>3</v>
      </c>
      <c r="I370" s="26" t="str">
        <f>IFERROR(IF(--MID($E370,2*COUNTIF($F370:H370,"&gt;"&amp;0)+2,1)=I$1,I$1,""),"")</f>
        <v/>
      </c>
      <c r="J370" s="26" t="str">
        <f>IFERROR(IF(--MID($E370,2*COUNTIF($F370:I370,"&gt;"&amp;0)+2,1)=J$1,J$1,""),"")</f>
        <v/>
      </c>
      <c r="K370" s="26" t="str">
        <f>IFERROR(IF(--MID($E370,2*COUNTIF($F370:J370,"&gt;"&amp;0)+2,1)=K$1,K$1,""),"")</f>
        <v/>
      </c>
      <c r="L370" s="39" t="str" cm="1">
        <f t="array" ref="L370">IFERROR(IF($A370="","",IF(F370="","",_xlfn.XLOOKUP($C370&amp;"_"&amp;$AG370,符文权重!$A:$A&amp;"_"&amp;符文权重!$C:$C,符文权重!$D:$D)*$X370/SUMIFS($X:$X,F:F,F370,$C:$C,$C370,$AG:$AG,$AG370)/SUMIF(符文权重!$A:$A,$C370,符文权重!$D:$D))),"")</f>
        <v/>
      </c>
      <c r="M370" s="39" t="str" cm="1">
        <f t="array" ref="M370">IFERROR(IF($A370="","",IF(G370="","",_xlfn.XLOOKUP($C370&amp;"_"&amp;$AG370,符文权重!$A:$A&amp;"_"&amp;符文权重!$C:$C,符文权重!$D:$D)*$X370/SUMIFS($X:$X,G:G,G370,$C:$C,$C370,$AG:$AG,$AG370)/SUMIF(符文权重!$A:$A,$C370,符文权重!$D:$D))),"")</f>
        <v/>
      </c>
      <c r="N370" s="39" cm="1">
        <f t="array" ref="N370">IFERROR(IF($A370="","",IF(H370="","",_xlfn.XLOOKUP($C370&amp;"_"&amp;$AG370,符文权重!$A:$A&amp;"_"&amp;符文权重!$C:$C,符文权重!$D:$D)*$X370/SUMIFS($X:$X,H:H,H370,$C:$C,$C370,$AG:$AG,$AG370)/SUMIF(符文权重!$A:$A,$C370,符文权重!$D:$D))),"")</f>
        <v>0.01125</v>
      </c>
      <c r="O370" s="39" t="str" cm="1">
        <f t="array" ref="O370">IFERROR(IF($A370="","",IF(I370="","",_xlfn.XLOOKUP($C370&amp;"_"&amp;$AG370,符文权重!$A:$A&amp;"_"&amp;符文权重!$C:$C,符文权重!$D:$D)*$X370/SUMIFS($X:$X,I:I,I370,$C:$C,$C370,$AG:$AG,$AG370)/SUMIF(符文权重!$A:$A,$C370,符文权重!$D:$D))),"")</f>
        <v/>
      </c>
      <c r="P370" s="39" t="str" cm="1">
        <f t="array" ref="P370">IFERROR(IF($A370="","",IF(J370="","",_xlfn.XLOOKUP($C370&amp;"_"&amp;$AG370,符文权重!$A:$A&amp;"_"&amp;符文权重!$C:$C,符文权重!$D:$D)*$X370/SUMIFS($X:$X,J:J,J370,$C:$C,$C370,$AG:$AG,$AG370)/SUMIF(符文权重!$A:$A,$C370,符文权重!$D:$D))),"")</f>
        <v/>
      </c>
      <c r="Q370" s="39" t="str" cm="1">
        <f t="array" ref="Q370">IFERROR(IF($A370="","",IF(K370="","",_xlfn.XLOOKUP($C370&amp;"_"&amp;$AG370,符文权重!$A:$A&amp;"_"&amp;符文权重!$C:$C,符文权重!$D:$D)*$X370/SUMIFS($X:$X,K:K,K370,$C:$C,$C370,$AG:$AG,$AG370)/SUMIF(符文权重!$A:$A,$C370,符文权重!$D:$D))),"")</f>
        <v/>
      </c>
      <c r="R370" s="26" t="s">
        <v>181</v>
      </c>
      <c r="S370" s="26" t="s">
        <v>182</v>
      </c>
      <c r="T370" s="26" t="s">
        <v>391</v>
      </c>
      <c r="U370" s="40" t="s">
        <v>446</v>
      </c>
      <c r="X370" s="25">
        <v>100</v>
      </c>
      <c r="Z370" s="32" t="s">
        <v>176</v>
      </c>
      <c r="AA370" s="32" t="str">
        <f t="shared" si="195"/>
        <v>射手的每次攻击提高15%伤害，充能时重置</v>
      </c>
      <c r="AB370" s="32"/>
      <c r="AC370" s="32" t="s">
        <v>166</v>
      </c>
      <c r="AD370" s="32">
        <f t="shared" si="193"/>
        <v>1365</v>
      </c>
      <c r="AE370" s="38" t="s">
        <v>440</v>
      </c>
      <c r="AF370" s="32" t="s">
        <v>393</v>
      </c>
      <c r="AG370" s="26">
        <v>5</v>
      </c>
      <c r="AH370" s="26"/>
      <c r="AI370" s="26">
        <v>0</v>
      </c>
      <c r="AJ370" s="25">
        <v>1</v>
      </c>
      <c r="AK370" s="38">
        <v>5505055</v>
      </c>
      <c r="AL370" s="41" t="s">
        <v>442</v>
      </c>
      <c r="AM370" s="26">
        <v>15</v>
      </c>
      <c r="AN370" s="25">
        <v>5</v>
      </c>
      <c r="AO370" s="26" t="s">
        <v>31</v>
      </c>
      <c r="AP370" s="20">
        <f t="shared" si="194"/>
        <v>365</v>
      </c>
    </row>
    <row r="371" customHeight="1" spans="1:42">
      <c r="A371" s="38">
        <v>5505056</v>
      </c>
      <c r="B371" s="38" t="s">
        <v>440</v>
      </c>
      <c r="C371" s="32">
        <v>6</v>
      </c>
      <c r="D371" s="32"/>
      <c r="E371" s="26" t="s">
        <v>182</v>
      </c>
      <c r="F371" s="26" t="str">
        <f t="shared" si="190"/>
        <v/>
      </c>
      <c r="G371" s="26" t="str">
        <f>IFERROR(IF(--MID($E371,2*COUNTIF($F371:F371,"&gt;"&amp;0)+2,1)=G$1,G$1,""),"")</f>
        <v/>
      </c>
      <c r="H371" s="26">
        <f>IFERROR(IF(--MID($E371,2*COUNTIF($F371:G371,"&gt;"&amp;0)+2,1)=H$1,H$1,""),"")</f>
        <v>3</v>
      </c>
      <c r="I371" s="26" t="str">
        <f>IFERROR(IF(--MID($E371,2*COUNTIF($F371:H371,"&gt;"&amp;0)+2,1)=I$1,I$1,""),"")</f>
        <v/>
      </c>
      <c r="J371" s="26" t="str">
        <f>IFERROR(IF(--MID($E371,2*COUNTIF($F371:I371,"&gt;"&amp;0)+2,1)=J$1,J$1,""),"")</f>
        <v/>
      </c>
      <c r="K371" s="26" t="str">
        <f>IFERROR(IF(--MID($E371,2*COUNTIF($F371:J371,"&gt;"&amp;0)+2,1)=K$1,K$1,""),"")</f>
        <v/>
      </c>
      <c r="L371" s="39" t="str" cm="1">
        <f t="array" ref="L371">IFERROR(IF($A371="","",IF(F371="","",_xlfn.XLOOKUP($C371&amp;"_"&amp;$AG371,符文权重!$A:$A&amp;"_"&amp;符文权重!$C:$C,符文权重!$D:$D)*$X371/SUMIFS($X:$X,F:F,F371,$C:$C,$C371,$AG:$AG,$AG371)/SUMIF(符文权重!$A:$A,$C371,符文权重!$D:$D))),"")</f>
        <v/>
      </c>
      <c r="M371" s="39" t="str" cm="1">
        <f t="array" ref="M371">IFERROR(IF($A371="","",IF(G371="","",_xlfn.XLOOKUP($C371&amp;"_"&amp;$AG371,符文权重!$A:$A&amp;"_"&amp;符文权重!$C:$C,符文权重!$D:$D)*$X371/SUMIFS($X:$X,G:G,G371,$C:$C,$C371,$AG:$AG,$AG371)/SUMIF(符文权重!$A:$A,$C371,符文权重!$D:$D))),"")</f>
        <v/>
      </c>
      <c r="N371" s="39" cm="1">
        <f t="array" ref="N371">IFERROR(IF($A371="","",IF(H371="","",_xlfn.XLOOKUP($C371&amp;"_"&amp;$AG371,符文权重!$A:$A&amp;"_"&amp;符文权重!$C:$C,符文权重!$D:$D)*$X371/SUMIFS($X:$X,H:H,H371,$C:$C,$C371,$AG:$AG,$AG371)/SUMIF(符文权重!$A:$A,$C371,符文权重!$D:$D))),"")</f>
        <v>0.01125</v>
      </c>
      <c r="O371" s="39" t="str" cm="1">
        <f t="array" ref="O371">IFERROR(IF($A371="","",IF(I371="","",_xlfn.XLOOKUP($C371&amp;"_"&amp;$AG371,符文权重!$A:$A&amp;"_"&amp;符文权重!$C:$C,符文权重!$D:$D)*$X371/SUMIFS($X:$X,I:I,I371,$C:$C,$C371,$AG:$AG,$AG371)/SUMIF(符文权重!$A:$A,$C371,符文权重!$D:$D))),"")</f>
        <v/>
      </c>
      <c r="P371" s="39" t="str" cm="1">
        <f t="array" ref="P371">IFERROR(IF($A371="","",IF(J371="","",_xlfn.XLOOKUP($C371&amp;"_"&amp;$AG371,符文权重!$A:$A&amp;"_"&amp;符文权重!$C:$C,符文权重!$D:$D)*$X371/SUMIFS($X:$X,J:J,J371,$C:$C,$C371,$AG:$AG,$AG371)/SUMIF(符文权重!$A:$A,$C371,符文权重!$D:$D))),"")</f>
        <v/>
      </c>
      <c r="Q371" s="39" t="str" cm="1">
        <f t="array" ref="Q371">IFERROR(IF($A371="","",IF(K371="","",_xlfn.XLOOKUP($C371&amp;"_"&amp;$AG371,符文权重!$A:$A&amp;"_"&amp;符文权重!$C:$C,符文权重!$D:$D)*$X371/SUMIFS($X:$X,K:K,K371,$C:$C,$C371,$AG:$AG,$AG371)/SUMIF(符文权重!$A:$A,$C371,符文权重!$D:$D))),"")</f>
        <v/>
      </c>
      <c r="R371" s="26" t="s">
        <v>181</v>
      </c>
      <c r="S371" s="26" t="s">
        <v>182</v>
      </c>
      <c r="T371" s="26" t="s">
        <v>394</v>
      </c>
      <c r="U371" s="40" t="s">
        <v>447</v>
      </c>
      <c r="X371" s="25">
        <v>100</v>
      </c>
      <c r="Z371" s="32" t="s">
        <v>178</v>
      </c>
      <c r="AA371" s="32" t="str">
        <f t="shared" si="195"/>
        <v>射手的每次攻击提高20%伤害，充能时重置</v>
      </c>
      <c r="AB371" s="32"/>
      <c r="AC371" s="32" t="s">
        <v>166</v>
      </c>
      <c r="AD371" s="32">
        <f t="shared" si="193"/>
        <v>1366</v>
      </c>
      <c r="AE371" s="38" t="s">
        <v>440</v>
      </c>
      <c r="AF371" s="32" t="s">
        <v>396</v>
      </c>
      <c r="AG371" s="26">
        <v>5</v>
      </c>
      <c r="AH371" s="26"/>
      <c r="AI371" s="26">
        <v>0</v>
      </c>
      <c r="AJ371" s="25">
        <v>1</v>
      </c>
      <c r="AK371" s="38">
        <v>5505056</v>
      </c>
      <c r="AL371" s="41" t="s">
        <v>442</v>
      </c>
      <c r="AM371" s="26">
        <v>20</v>
      </c>
      <c r="AN371" s="25">
        <v>5</v>
      </c>
      <c r="AO371" s="26" t="s">
        <v>31</v>
      </c>
      <c r="AP371" s="20">
        <f t="shared" si="194"/>
        <v>366</v>
      </c>
    </row>
    <row r="372" customHeight="1" spans="1:42">
      <c r="A372" s="38">
        <v>5505057</v>
      </c>
      <c r="B372" s="38" t="s">
        <v>440</v>
      </c>
      <c r="C372" s="32">
        <v>7</v>
      </c>
      <c r="D372" s="32"/>
      <c r="E372" s="26" t="s">
        <v>182</v>
      </c>
      <c r="F372" s="26" t="str">
        <f t="shared" si="190"/>
        <v/>
      </c>
      <c r="G372" s="26" t="str">
        <f>IFERROR(IF(--MID($E372,2*COUNTIF($F372:F372,"&gt;"&amp;0)+2,1)=G$1,G$1,""),"")</f>
        <v/>
      </c>
      <c r="H372" s="26">
        <f>IFERROR(IF(--MID($E372,2*COUNTIF($F372:G372,"&gt;"&amp;0)+2,1)=H$1,H$1,""),"")</f>
        <v>3</v>
      </c>
      <c r="I372" s="26" t="str">
        <f>IFERROR(IF(--MID($E372,2*COUNTIF($F372:H372,"&gt;"&amp;0)+2,1)=I$1,I$1,""),"")</f>
        <v/>
      </c>
      <c r="J372" s="26" t="str">
        <f>IFERROR(IF(--MID($E372,2*COUNTIF($F372:I372,"&gt;"&amp;0)+2,1)=J$1,J$1,""),"")</f>
        <v/>
      </c>
      <c r="K372" s="26" t="str">
        <f>IFERROR(IF(--MID($E372,2*COUNTIF($F372:J372,"&gt;"&amp;0)+2,1)=K$1,K$1,""),"")</f>
        <v/>
      </c>
      <c r="L372" s="39" t="str" cm="1">
        <f t="array" ref="L372">IFERROR(IF($A372="","",IF(F372="","",_xlfn.XLOOKUP($C372&amp;"_"&amp;$AG372,符文权重!$A:$A&amp;"_"&amp;符文权重!$C:$C,符文权重!$D:$D)*$X372/SUMIFS($X:$X,F:F,F372,$C:$C,$C372,$AG:$AG,$AG372)/SUMIF(符文权重!$A:$A,$C372,符文权重!$D:$D))),"")</f>
        <v/>
      </c>
      <c r="M372" s="39" t="str" cm="1">
        <f t="array" ref="M372">IFERROR(IF($A372="","",IF(G372="","",_xlfn.XLOOKUP($C372&amp;"_"&amp;$AG372,符文权重!$A:$A&amp;"_"&amp;符文权重!$C:$C,符文权重!$D:$D)*$X372/SUMIFS($X:$X,G:G,G372,$C:$C,$C372,$AG:$AG,$AG372)/SUMIF(符文权重!$A:$A,$C372,符文权重!$D:$D))),"")</f>
        <v/>
      </c>
      <c r="N372" s="39" cm="1">
        <f t="array" ref="N372">IFERROR(IF($A372="","",IF(H372="","",_xlfn.XLOOKUP($C372&amp;"_"&amp;$AG372,符文权重!$A:$A&amp;"_"&amp;符文权重!$C:$C,符文权重!$D:$D)*$X372/SUMIFS($X:$X,H:H,H372,$C:$C,$C372,$AG:$AG,$AG372)/SUMIF(符文权重!$A:$A,$C372,符文权重!$D:$D))),"")</f>
        <v>0.01125</v>
      </c>
      <c r="O372" s="39" t="str" cm="1">
        <f t="array" ref="O372">IFERROR(IF($A372="","",IF(I372="","",_xlfn.XLOOKUP($C372&amp;"_"&amp;$AG372,符文权重!$A:$A&amp;"_"&amp;符文权重!$C:$C,符文权重!$D:$D)*$X372/SUMIFS($X:$X,I:I,I372,$C:$C,$C372,$AG:$AG,$AG372)/SUMIF(符文权重!$A:$A,$C372,符文权重!$D:$D))),"")</f>
        <v/>
      </c>
      <c r="P372" s="39" t="str" cm="1">
        <f t="array" ref="P372">IFERROR(IF($A372="","",IF(J372="","",_xlfn.XLOOKUP($C372&amp;"_"&amp;$AG372,符文权重!$A:$A&amp;"_"&amp;符文权重!$C:$C,符文权重!$D:$D)*$X372/SUMIFS($X:$X,J:J,J372,$C:$C,$C372,$AG:$AG,$AG372)/SUMIF(符文权重!$A:$A,$C372,符文权重!$D:$D))),"")</f>
        <v/>
      </c>
      <c r="Q372" s="39" t="str" cm="1">
        <f t="array" ref="Q372">IFERROR(IF($A372="","",IF(K372="","",_xlfn.XLOOKUP($C372&amp;"_"&amp;$AG372,符文权重!$A:$A&amp;"_"&amp;符文权重!$C:$C,符文权重!$D:$D)*$X372/SUMIFS($X:$X,K:K,K372,$C:$C,$C372,$AG:$AG,$AG372)/SUMIF(符文权重!$A:$A,$C372,符文权重!$D:$D))),"")</f>
        <v/>
      </c>
      <c r="R372" s="26" t="s">
        <v>181</v>
      </c>
      <c r="S372" s="26" t="s">
        <v>182</v>
      </c>
      <c r="T372" s="26" t="s">
        <v>397</v>
      </c>
      <c r="U372" s="40" t="s">
        <v>448</v>
      </c>
      <c r="X372" s="26">
        <v>100</v>
      </c>
      <c r="Z372" s="32" t="s">
        <v>180</v>
      </c>
      <c r="AA372" s="32" t="str">
        <f t="shared" si="195"/>
        <v>射手的每次攻击提高30%伤害，充能时重置</v>
      </c>
      <c r="AB372" s="32"/>
      <c r="AC372" s="32" t="s">
        <v>166</v>
      </c>
      <c r="AD372" s="32">
        <f t="shared" si="193"/>
        <v>1367</v>
      </c>
      <c r="AE372" s="38" t="s">
        <v>440</v>
      </c>
      <c r="AF372" s="32" t="s">
        <v>449</v>
      </c>
      <c r="AG372" s="26">
        <v>5</v>
      </c>
      <c r="AH372" s="26"/>
      <c r="AI372" s="26">
        <v>0</v>
      </c>
      <c r="AJ372" s="25">
        <v>1</v>
      </c>
      <c r="AK372" s="38">
        <v>5505057</v>
      </c>
      <c r="AL372" s="41" t="s">
        <v>442</v>
      </c>
      <c r="AM372" s="26">
        <v>30</v>
      </c>
      <c r="AN372" s="26">
        <v>5</v>
      </c>
      <c r="AO372" s="26" t="s">
        <v>31</v>
      </c>
      <c r="AP372" s="20">
        <f t="shared" si="194"/>
        <v>367</v>
      </c>
    </row>
    <row r="373" s="20" customFormat="1" customHeight="1" spans="1:42">
      <c r="A373" s="38" t="s">
        <v>167</v>
      </c>
      <c r="B373" s="38" t="s">
        <v>167</v>
      </c>
      <c r="C373" s="32" t="s">
        <v>167</v>
      </c>
      <c r="D373" s="32"/>
      <c r="E373" s="26"/>
      <c r="F373" s="26" t="str">
        <f t="shared" si="190"/>
        <v/>
      </c>
      <c r="G373" s="26" t="str">
        <f>IFERROR(IF(--MID($E373,2*COUNTIF($F373:F373,"&gt;"&amp;0)+2,1)=G$1,G$1,""),"")</f>
        <v/>
      </c>
      <c r="H373" s="26" t="str">
        <f>IFERROR(IF(--MID($E373,2*COUNTIF($F373:G373,"&gt;"&amp;0)+2,1)=H$1,H$1,""),"")</f>
        <v/>
      </c>
      <c r="I373" s="26" t="str">
        <f>IFERROR(IF(--MID($E373,2*COUNTIF($F373:H373,"&gt;"&amp;0)+2,1)=I$1,I$1,""),"")</f>
        <v/>
      </c>
      <c r="J373" s="26" t="str">
        <f>IFERROR(IF(--MID($E373,2*COUNTIF($F373:I373,"&gt;"&amp;0)+2,1)=J$1,J$1,""),"")</f>
        <v/>
      </c>
      <c r="K373" s="26" t="str">
        <f>IFERROR(IF(--MID($E373,2*COUNTIF($F373:J373,"&gt;"&amp;0)+2,1)=K$1,K$1,""),"")</f>
        <v/>
      </c>
      <c r="L373" s="39" t="str" cm="1">
        <f t="array" ref="L373">IFERROR(IF($A373="","",IF(F373="","",_xlfn.XLOOKUP($C373&amp;"_"&amp;$AG373,符文权重!$A:$A&amp;"_"&amp;符文权重!$C:$C,符文权重!$D:$D)*$X373/SUMIFS($X:$X,F:F,F373,$C:$C,$C373,$AG:$AG,$AG373)/SUMIF(符文权重!$A:$A,$C373,符文权重!$D:$D))),"")</f>
        <v/>
      </c>
      <c r="M373" s="39" t="str" cm="1">
        <f t="array" ref="M373">IFERROR(IF($A373="","",IF(G373="","",_xlfn.XLOOKUP($C373&amp;"_"&amp;$AG373,符文权重!$A:$A&amp;"_"&amp;符文权重!$C:$C,符文权重!$D:$D)*$X373/SUMIFS($X:$X,G:G,G373,$C:$C,$C373,$AG:$AG,$AG373)/SUMIF(符文权重!$A:$A,$C373,符文权重!$D:$D))),"")</f>
        <v/>
      </c>
      <c r="N373" s="39" t="str" cm="1">
        <f t="array" ref="N373">IFERROR(IF($A373="","",IF(H373="","",_xlfn.XLOOKUP($C373&amp;"_"&amp;$AG373,符文权重!$A:$A&amp;"_"&amp;符文权重!$C:$C,符文权重!$D:$D)*$X373/SUMIFS($X:$X,H:H,H373,$C:$C,$C373,$AG:$AG,$AG373)/SUMIF(符文权重!$A:$A,$C373,符文权重!$D:$D))),"")</f>
        <v/>
      </c>
      <c r="O373" s="39" t="str" cm="1">
        <f t="array" ref="O373">IFERROR(IF($A373="","",IF(I373="","",_xlfn.XLOOKUP($C373&amp;"_"&amp;$AG373,符文权重!$A:$A&amp;"_"&amp;符文权重!$C:$C,符文权重!$D:$D)*$X373/SUMIFS($X:$X,I:I,I373,$C:$C,$C373,$AG:$AG,$AG373)/SUMIF(符文权重!$A:$A,$C373,符文权重!$D:$D))),"")</f>
        <v/>
      </c>
      <c r="P373" s="39" t="str" cm="1">
        <f t="array" ref="P373">IFERROR(IF($A373="","",IF(J373="","",_xlfn.XLOOKUP($C373&amp;"_"&amp;$AG373,符文权重!$A:$A&amp;"_"&amp;符文权重!$C:$C,符文权重!$D:$D)*$X373/SUMIFS($X:$X,J:J,J373,$C:$C,$C373,$AG:$AG,$AG373)/SUMIF(符文权重!$A:$A,$C373,符文权重!$D:$D))),"")</f>
        <v/>
      </c>
      <c r="Q373" s="39" t="str" cm="1">
        <f t="array" ref="Q373">IFERROR(IF($A373="","",IF(K373="","",_xlfn.XLOOKUP($C373&amp;"_"&amp;$AG373,符文权重!$A:$A&amp;"_"&amp;符文权重!$C:$C,符文权重!$D:$D)*$X373/SUMIFS($X:$X,K:K,K373,$C:$C,$C373,$AG:$AG,$AG373)/SUMIF(符文权重!$A:$A,$C373,符文权重!$D:$D))),"")</f>
        <v/>
      </c>
      <c r="R373" s="26"/>
      <c r="S373" s="26"/>
      <c r="T373" s="26"/>
      <c r="V373" s="31"/>
      <c r="W373" s="25"/>
      <c r="X373" s="25"/>
      <c r="Y373" s="25"/>
      <c r="Z373" s="32" t="s">
        <v>167</v>
      </c>
      <c r="AA373" s="32" t="str">
        <f t="shared" si="195"/>
        <v/>
      </c>
      <c r="AB373" s="32"/>
      <c r="AC373" s="32" t="s">
        <v>166</v>
      </c>
      <c r="AD373" s="32">
        <f t="shared" si="193"/>
        <v>1368</v>
      </c>
      <c r="AE373" s="38" t="s">
        <v>167</v>
      </c>
      <c r="AF373" s="32" t="s">
        <v>167</v>
      </c>
      <c r="AG373" s="26"/>
      <c r="AH373" s="26"/>
      <c r="AI373" s="26"/>
      <c r="AJ373" s="25" t="s">
        <v>167</v>
      </c>
      <c r="AK373" s="24"/>
      <c r="AL373" s="59"/>
      <c r="AM373" s="26"/>
      <c r="AN373" s="25"/>
      <c r="AO373" s="25"/>
      <c r="AP373" s="20">
        <f t="shared" si="194"/>
        <v>368</v>
      </c>
    </row>
    <row r="374" s="22" customFormat="1" customHeight="1" spans="1:42">
      <c r="A374" s="44">
        <v>5505061</v>
      </c>
      <c r="B374" s="44" t="s">
        <v>450</v>
      </c>
      <c r="C374" s="45">
        <v>1</v>
      </c>
      <c r="D374" s="45"/>
      <c r="E374" s="46" t="s">
        <v>375</v>
      </c>
      <c r="F374" s="26" t="str">
        <f t="shared" si="190"/>
        <v/>
      </c>
      <c r="G374" s="26" t="str">
        <f>IFERROR(IF(--MID($E374,2*COUNTIF($F374:F374,"&gt;"&amp;0)+2,1)=G$1,G$1,""),"")</f>
        <v/>
      </c>
      <c r="H374" s="26" t="str">
        <f>IFERROR(IF(--MID($E374,2*COUNTIF($F374:G374,"&gt;"&amp;0)+2,1)=H$1,H$1,""),"")</f>
        <v/>
      </c>
      <c r="I374" s="26">
        <f>IFERROR(IF(--MID($E374,2*COUNTIF($F374:H374,"&gt;"&amp;0)+2,1)=I$1,I$1,""),"")</f>
        <v>4</v>
      </c>
      <c r="J374" s="26" t="str">
        <f>IFERROR(IF(--MID($E374,2*COUNTIF($F374:I374,"&gt;"&amp;0)+2,1)=J$1,J$1,""),"")</f>
        <v/>
      </c>
      <c r="K374" s="26" t="str">
        <f>IFERROR(IF(--MID($E374,2*COUNTIF($F374:J374,"&gt;"&amp;0)+2,1)=K$1,K$1,""),"")</f>
        <v/>
      </c>
      <c r="L374" s="39" t="str" cm="1">
        <f t="array" ref="L374">IFERROR(IF($A374="","",IF(F374="","",_xlfn.XLOOKUP($C374&amp;"_"&amp;$AG374,符文权重!$A:$A&amp;"_"&amp;符文权重!$C:$C,符文权重!$D:$D)*$X374/SUMIFS($X:$X,F:F,F374,$C:$C,$C374,$AG:$AG,$AG374)/SUMIF(符文权重!$A:$A,$C374,符文权重!$D:$D))),"")</f>
        <v/>
      </c>
      <c r="M374" s="39" t="str" cm="1">
        <f t="array" ref="M374">IFERROR(IF($A374="","",IF(G374="","",_xlfn.XLOOKUP($C374&amp;"_"&amp;$AG374,符文权重!$A:$A&amp;"_"&amp;符文权重!$C:$C,符文权重!$D:$D)*$X374/SUMIFS($X:$X,G:G,G374,$C:$C,$C374,$AG:$AG,$AG374)/SUMIF(符文权重!$A:$A,$C374,符文权重!$D:$D))),"")</f>
        <v/>
      </c>
      <c r="N374" s="39" t="str" cm="1">
        <f t="array" ref="N374">IFERROR(IF($A374="","",IF(H374="","",_xlfn.XLOOKUP($C374&amp;"_"&amp;$AG374,符文权重!$A:$A&amp;"_"&amp;符文权重!$C:$C,符文权重!$D:$D)*$X374/SUMIFS($X:$X,H:H,H374,$C:$C,$C374,$AG:$AG,$AG374)/SUMIF(符文权重!$A:$A,$C374,符文权重!$D:$D))),"")</f>
        <v/>
      </c>
      <c r="O374" s="39" t="str" cm="1">
        <f t="array" ref="O374">IFERROR(IF($A374="","",IF(I374="","",_xlfn.XLOOKUP($C374&amp;"_"&amp;$AG374,符文权重!$A:$A&amp;"_"&amp;符文权重!$C:$C,符文权重!$D:$D)*$X374/SUMIFS($X:$X,I:I,I374,$C:$C,$C374,$AG:$AG,$AG374)/SUMIF(符文权重!$A:$A,$C374,符文权重!$D:$D))),"")</f>
        <v/>
      </c>
      <c r="P374" s="39" t="str" cm="1">
        <f t="array" ref="P374">IFERROR(IF($A374="","",IF(J374="","",_xlfn.XLOOKUP($C374&amp;"_"&amp;$AG374,符文权重!$A:$A&amp;"_"&amp;符文权重!$C:$C,符文权重!$D:$D)*$X374/SUMIFS($X:$X,J:J,J374,$C:$C,$C374,$AG:$AG,$AG374)/SUMIF(符文权重!$A:$A,$C374,符文权重!$D:$D))),"")</f>
        <v/>
      </c>
      <c r="Q374" s="39" t="str" cm="1">
        <f t="array" ref="Q374">IFERROR(IF($A374="","",IF(K374="","",_xlfn.XLOOKUP($C374&amp;"_"&amp;$AG374,符文权重!$A:$A&amp;"_"&amp;符文权重!$C:$C,符文权重!$D:$D)*$X374/SUMIFS($X:$X,K:K,K374,$C:$C,$C374,$AG:$AG,$AG374)/SUMIF(符文权重!$A:$A,$C374,符文权重!$D:$D))),"")</f>
        <v/>
      </c>
      <c r="R374" s="46" t="s">
        <v>181</v>
      </c>
      <c r="S374" s="46" t="s">
        <v>182</v>
      </c>
      <c r="T374" s="46" t="s">
        <v>380</v>
      </c>
      <c r="U374" s="47" t="s">
        <v>451</v>
      </c>
      <c r="V374" s="52"/>
      <c r="W374" s="23"/>
      <c r="X374" s="25">
        <v>100</v>
      </c>
      <c r="Y374" s="23"/>
      <c r="Z374" s="45" t="s">
        <v>165</v>
      </c>
      <c r="AA374" s="32" t="str">
        <f t="shared" si="195"/>
        <v>射手穿透或弹射时，有5%概率不消耗次数</v>
      </c>
      <c r="AB374" s="32"/>
      <c r="AC374" s="32" t="s">
        <v>166</v>
      </c>
      <c r="AD374" s="32">
        <f t="shared" si="193"/>
        <v>1369</v>
      </c>
      <c r="AE374" s="44" t="s">
        <v>450</v>
      </c>
      <c r="AF374" s="45" t="s">
        <v>218</v>
      </c>
      <c r="AG374" s="26">
        <v>100</v>
      </c>
      <c r="AH374" s="46"/>
      <c r="AI374" s="46">
        <v>1</v>
      </c>
      <c r="AJ374" s="25">
        <v>1</v>
      </c>
      <c r="AK374" s="48">
        <v>5505061</v>
      </c>
      <c r="AL374" s="57" t="s">
        <v>452</v>
      </c>
      <c r="AM374" s="46">
        <v>5</v>
      </c>
      <c r="AN374" s="25"/>
      <c r="AO374" s="26" t="s">
        <v>31</v>
      </c>
      <c r="AP374" s="20">
        <f t="shared" si="194"/>
        <v>369</v>
      </c>
    </row>
    <row r="375" s="23" customFormat="1" customHeight="1" spans="1:42">
      <c r="A375" s="44">
        <v>5505062</v>
      </c>
      <c r="B375" s="44" t="s">
        <v>450</v>
      </c>
      <c r="C375" s="45">
        <v>2</v>
      </c>
      <c r="D375" s="45"/>
      <c r="E375" s="46" t="s">
        <v>375</v>
      </c>
      <c r="F375" s="26" t="str">
        <f t="shared" si="190"/>
        <v/>
      </c>
      <c r="G375" s="26" t="str">
        <f>IFERROR(IF(--MID($E375,2*COUNTIF($F375:F375,"&gt;"&amp;0)+2,1)=G$1,G$1,""),"")</f>
        <v/>
      </c>
      <c r="H375" s="26" t="str">
        <f>IFERROR(IF(--MID($E375,2*COUNTIF($F375:G375,"&gt;"&amp;0)+2,1)=H$1,H$1,""),"")</f>
        <v/>
      </c>
      <c r="I375" s="26">
        <f>IFERROR(IF(--MID($E375,2*COUNTIF($F375:H375,"&gt;"&amp;0)+2,1)=I$1,I$1,""),"")</f>
        <v>4</v>
      </c>
      <c r="J375" s="26" t="str">
        <f>IFERROR(IF(--MID($E375,2*COUNTIF($F375:I375,"&gt;"&amp;0)+2,1)=J$1,J$1,""),"")</f>
        <v/>
      </c>
      <c r="K375" s="26" t="str">
        <f>IFERROR(IF(--MID($E375,2*COUNTIF($F375:J375,"&gt;"&amp;0)+2,1)=K$1,K$1,""),"")</f>
        <v/>
      </c>
      <c r="L375" s="39" t="str" cm="1">
        <f t="array" ref="L375">IFERROR(IF($A375="","",IF(F375="","",_xlfn.XLOOKUP($C375&amp;"_"&amp;$AG375,符文权重!$A:$A&amp;"_"&amp;符文权重!$C:$C,符文权重!$D:$D)*$X375/SUMIFS($X:$X,F:F,F375,$C:$C,$C375,$AG:$AG,$AG375)/SUMIF(符文权重!$A:$A,$C375,符文权重!$D:$D))),"")</f>
        <v/>
      </c>
      <c r="M375" s="39" t="str" cm="1">
        <f t="array" ref="M375">IFERROR(IF($A375="","",IF(G375="","",_xlfn.XLOOKUP($C375&amp;"_"&amp;$AG375,符文权重!$A:$A&amp;"_"&amp;符文权重!$C:$C,符文权重!$D:$D)*$X375/SUMIFS($X:$X,G:G,G375,$C:$C,$C375,$AG:$AG,$AG375)/SUMIF(符文权重!$A:$A,$C375,符文权重!$D:$D))),"")</f>
        <v/>
      </c>
      <c r="N375" s="39" t="str" cm="1">
        <f t="array" ref="N375">IFERROR(IF($A375="","",IF(H375="","",_xlfn.XLOOKUP($C375&amp;"_"&amp;$AG375,符文权重!$A:$A&amp;"_"&amp;符文权重!$C:$C,符文权重!$D:$D)*$X375/SUMIFS($X:$X,H:H,H375,$C:$C,$C375,$AG:$AG,$AG375)/SUMIF(符文权重!$A:$A,$C375,符文权重!$D:$D))),"")</f>
        <v/>
      </c>
      <c r="O375" s="39" t="str" cm="1">
        <f t="array" ref="O375">IFERROR(IF($A375="","",IF(I375="","",_xlfn.XLOOKUP($C375&amp;"_"&amp;$AG375,符文权重!$A:$A&amp;"_"&amp;符文权重!$C:$C,符文权重!$D:$D)*$X375/SUMIFS($X:$X,I:I,I375,$C:$C,$C375,$AG:$AG,$AG375)/SUMIF(符文权重!$A:$A,$C375,符文权重!$D:$D))),"")</f>
        <v/>
      </c>
      <c r="P375" s="39" t="str" cm="1">
        <f t="array" ref="P375">IFERROR(IF($A375="","",IF(J375="","",_xlfn.XLOOKUP($C375&amp;"_"&amp;$AG375,符文权重!$A:$A&amp;"_"&amp;符文权重!$C:$C,符文权重!$D:$D)*$X375/SUMIFS($X:$X,J:J,J375,$C:$C,$C375,$AG:$AG,$AG375)/SUMIF(符文权重!$A:$A,$C375,符文权重!$D:$D))),"")</f>
        <v/>
      </c>
      <c r="Q375" s="39" t="str" cm="1">
        <f t="array" ref="Q375">IFERROR(IF($A375="","",IF(K375="","",_xlfn.XLOOKUP($C375&amp;"_"&amp;$AG375,符文权重!$A:$A&amp;"_"&amp;符文权重!$C:$C,符文权重!$D:$D)*$X375/SUMIFS($X:$X,K:K,K375,$C:$C,$C375,$AG:$AG,$AG375)/SUMIF(符文权重!$A:$A,$C375,符文权重!$D:$D))),"")</f>
        <v/>
      </c>
      <c r="R375" s="46" t="s">
        <v>181</v>
      </c>
      <c r="S375" s="46" t="s">
        <v>182</v>
      </c>
      <c r="T375" s="46" t="s">
        <v>383</v>
      </c>
      <c r="U375" s="47" t="s">
        <v>453</v>
      </c>
      <c r="V375" s="46"/>
      <c r="X375" s="25">
        <v>100</v>
      </c>
      <c r="Z375" s="45" t="s">
        <v>170</v>
      </c>
      <c r="AA375" s="32" t="str">
        <f t="shared" si="195"/>
        <v>射手穿透或弹射时，有12%概率不消耗次数</v>
      </c>
      <c r="AB375" s="32"/>
      <c r="AC375" s="32" t="s">
        <v>166</v>
      </c>
      <c r="AD375" s="32">
        <f t="shared" si="193"/>
        <v>1370</v>
      </c>
      <c r="AE375" s="44" t="s">
        <v>450</v>
      </c>
      <c r="AF375" s="45" t="s">
        <v>454</v>
      </c>
      <c r="AG375" s="26">
        <v>100</v>
      </c>
      <c r="AH375" s="46"/>
      <c r="AI375" s="46">
        <v>1</v>
      </c>
      <c r="AJ375" s="25">
        <v>1</v>
      </c>
      <c r="AK375" s="44">
        <v>5505062</v>
      </c>
      <c r="AL375" s="50" t="s">
        <v>452</v>
      </c>
      <c r="AM375" s="46">
        <v>12</v>
      </c>
      <c r="AN375" s="25"/>
      <c r="AO375" s="26" t="s">
        <v>31</v>
      </c>
      <c r="AP375" s="20">
        <f t="shared" si="194"/>
        <v>370</v>
      </c>
    </row>
    <row r="376" s="23" customFormat="1" customHeight="1" spans="1:42">
      <c r="A376" s="44">
        <v>5505063</v>
      </c>
      <c r="B376" s="44" t="s">
        <v>450</v>
      </c>
      <c r="C376" s="45">
        <v>3</v>
      </c>
      <c r="D376" s="45"/>
      <c r="E376" s="46" t="s">
        <v>375</v>
      </c>
      <c r="F376" s="26" t="str">
        <f t="shared" si="190"/>
        <v/>
      </c>
      <c r="G376" s="26" t="str">
        <f>IFERROR(IF(--MID($E376,2*COUNTIF($F376:F376,"&gt;"&amp;0)+2,1)=G$1,G$1,""),"")</f>
        <v/>
      </c>
      <c r="H376" s="26" t="str">
        <f>IFERROR(IF(--MID($E376,2*COUNTIF($F376:G376,"&gt;"&amp;0)+2,1)=H$1,H$1,""),"")</f>
        <v/>
      </c>
      <c r="I376" s="26">
        <f>IFERROR(IF(--MID($E376,2*COUNTIF($F376:H376,"&gt;"&amp;0)+2,1)=I$1,I$1,""),"")</f>
        <v>4</v>
      </c>
      <c r="J376" s="26" t="str">
        <f>IFERROR(IF(--MID($E376,2*COUNTIF($F376:I376,"&gt;"&amp;0)+2,1)=J$1,J$1,""),"")</f>
        <v/>
      </c>
      <c r="K376" s="26" t="str">
        <f>IFERROR(IF(--MID($E376,2*COUNTIF($F376:J376,"&gt;"&amp;0)+2,1)=K$1,K$1,""),"")</f>
        <v/>
      </c>
      <c r="L376" s="39" t="str" cm="1">
        <f t="array" ref="L376">IFERROR(IF($A376="","",IF(F376="","",_xlfn.XLOOKUP($C376&amp;"_"&amp;$AG376,符文权重!$A:$A&amp;"_"&amp;符文权重!$C:$C,符文权重!$D:$D)*$X376/SUMIFS($X:$X,F:F,F376,$C:$C,$C376,$AG:$AG,$AG376)/SUMIF(符文权重!$A:$A,$C376,符文权重!$D:$D))),"")</f>
        <v/>
      </c>
      <c r="M376" s="39" t="str" cm="1">
        <f t="array" ref="M376">IFERROR(IF($A376="","",IF(G376="","",_xlfn.XLOOKUP($C376&amp;"_"&amp;$AG376,符文权重!$A:$A&amp;"_"&amp;符文权重!$C:$C,符文权重!$D:$D)*$X376/SUMIFS($X:$X,G:G,G376,$C:$C,$C376,$AG:$AG,$AG376)/SUMIF(符文权重!$A:$A,$C376,符文权重!$D:$D))),"")</f>
        <v/>
      </c>
      <c r="N376" s="39" t="str" cm="1">
        <f t="array" ref="N376">IFERROR(IF($A376="","",IF(H376="","",_xlfn.XLOOKUP($C376&amp;"_"&amp;$AG376,符文权重!$A:$A&amp;"_"&amp;符文权重!$C:$C,符文权重!$D:$D)*$X376/SUMIFS($X:$X,H:H,H376,$C:$C,$C376,$AG:$AG,$AG376)/SUMIF(符文权重!$A:$A,$C376,符文权重!$D:$D))),"")</f>
        <v/>
      </c>
      <c r="O376" s="39" t="str" cm="1">
        <f t="array" ref="O376">IFERROR(IF($A376="","",IF(I376="","",_xlfn.XLOOKUP($C376&amp;"_"&amp;$AG376,符文权重!$A:$A&amp;"_"&amp;符文权重!$C:$C,符文权重!$D:$D)*$X376/SUMIFS($X:$X,I:I,I376,$C:$C,$C376,$AG:$AG,$AG376)/SUMIF(符文权重!$A:$A,$C376,符文权重!$D:$D))),"")</f>
        <v/>
      </c>
      <c r="P376" s="39" t="str" cm="1">
        <f t="array" ref="P376">IFERROR(IF($A376="","",IF(J376="","",_xlfn.XLOOKUP($C376&amp;"_"&amp;$AG376,符文权重!$A:$A&amp;"_"&amp;符文权重!$C:$C,符文权重!$D:$D)*$X376/SUMIFS($X:$X,J:J,J376,$C:$C,$C376,$AG:$AG,$AG376)/SUMIF(符文权重!$A:$A,$C376,符文权重!$D:$D))),"")</f>
        <v/>
      </c>
      <c r="Q376" s="39" t="str" cm="1">
        <f t="array" ref="Q376">IFERROR(IF($A376="","",IF(K376="","",_xlfn.XLOOKUP($C376&amp;"_"&amp;$AG376,符文权重!$A:$A&amp;"_"&amp;符文权重!$C:$C,符文权重!$D:$D)*$X376/SUMIFS($X:$X,K:K,K376,$C:$C,$C376,$AG:$AG,$AG376)/SUMIF(符文权重!$A:$A,$C376,符文权重!$D:$D))),"")</f>
        <v/>
      </c>
      <c r="R376" s="46" t="s">
        <v>181</v>
      </c>
      <c r="S376" s="46" t="s">
        <v>182</v>
      </c>
      <c r="T376" s="46" t="s">
        <v>385</v>
      </c>
      <c r="U376" s="47" t="s">
        <v>455</v>
      </c>
      <c r="V376" s="46"/>
      <c r="X376" s="26">
        <v>100</v>
      </c>
      <c r="Z376" s="45" t="s">
        <v>172</v>
      </c>
      <c r="AA376" s="32" t="str">
        <f t="shared" si="195"/>
        <v>射手穿透或弹射时，有18%概率不消耗次数</v>
      </c>
      <c r="AB376" s="32"/>
      <c r="AC376" s="32" t="s">
        <v>166</v>
      </c>
      <c r="AD376" s="32">
        <f t="shared" si="193"/>
        <v>1371</v>
      </c>
      <c r="AE376" s="44" t="s">
        <v>450</v>
      </c>
      <c r="AF376" s="45" t="s">
        <v>456</v>
      </c>
      <c r="AG376" s="26">
        <v>100</v>
      </c>
      <c r="AH376" s="46"/>
      <c r="AI376" s="46">
        <v>1</v>
      </c>
      <c r="AJ376" s="25">
        <v>1</v>
      </c>
      <c r="AK376" s="44">
        <v>5505063</v>
      </c>
      <c r="AL376" s="50" t="s">
        <v>452</v>
      </c>
      <c r="AM376" s="46">
        <v>18</v>
      </c>
      <c r="AN376" s="26"/>
      <c r="AO376" s="26" t="s">
        <v>31</v>
      </c>
      <c r="AP376" s="20">
        <f t="shared" si="194"/>
        <v>371</v>
      </c>
    </row>
    <row r="377" customHeight="1" spans="1:42">
      <c r="A377" s="38">
        <v>5505064</v>
      </c>
      <c r="B377" s="38" t="s">
        <v>450</v>
      </c>
      <c r="C377" s="32">
        <v>4</v>
      </c>
      <c r="D377" s="32"/>
      <c r="E377" s="26" t="s">
        <v>375</v>
      </c>
      <c r="F377" s="26" t="str">
        <f t="shared" si="190"/>
        <v/>
      </c>
      <c r="G377" s="26" t="str">
        <f>IFERROR(IF(--MID($E377,2*COUNTIF($F377:F377,"&gt;"&amp;0)+2,1)=G$1,G$1,""),"")</f>
        <v/>
      </c>
      <c r="H377" s="26" t="str">
        <f>IFERROR(IF(--MID($E377,2*COUNTIF($F377:G377,"&gt;"&amp;0)+2,1)=H$1,H$1,""),"")</f>
        <v/>
      </c>
      <c r="I377" s="26">
        <f>IFERROR(IF(--MID($E377,2*COUNTIF($F377:H377,"&gt;"&amp;0)+2,1)=I$1,I$1,""),"")</f>
        <v>4</v>
      </c>
      <c r="J377" s="26" t="str">
        <f>IFERROR(IF(--MID($E377,2*COUNTIF($F377:I377,"&gt;"&amp;0)+2,1)=J$1,J$1,""),"")</f>
        <v/>
      </c>
      <c r="K377" s="26" t="str">
        <f>IFERROR(IF(--MID($E377,2*COUNTIF($F377:J377,"&gt;"&amp;0)+2,1)=K$1,K$1,""),"")</f>
        <v/>
      </c>
      <c r="L377" s="39" t="str" cm="1">
        <f t="array" ref="L377">IFERROR(IF($A377="","",IF(F377="","",_xlfn.XLOOKUP($C377&amp;"_"&amp;$AG377,符文权重!$A:$A&amp;"_"&amp;符文权重!$C:$C,符文权重!$D:$D)*$X377/SUMIFS($X:$X,F:F,F377,$C:$C,$C377,$AG:$AG,$AG377)/SUMIF(符文权重!$A:$A,$C377,符文权重!$D:$D))),"")</f>
        <v/>
      </c>
      <c r="M377" s="39" t="str" cm="1">
        <f t="array" ref="M377">IFERROR(IF($A377="","",IF(G377="","",_xlfn.XLOOKUP($C377&amp;"_"&amp;$AG377,符文权重!$A:$A&amp;"_"&amp;符文权重!$C:$C,符文权重!$D:$D)*$X377/SUMIFS($X:$X,G:G,G377,$C:$C,$C377,$AG:$AG,$AG377)/SUMIF(符文权重!$A:$A,$C377,符文权重!$D:$D))),"")</f>
        <v/>
      </c>
      <c r="N377" s="39" t="str" cm="1">
        <f t="array" ref="N377">IFERROR(IF($A377="","",IF(H377="","",_xlfn.XLOOKUP($C377&amp;"_"&amp;$AG377,符文权重!$A:$A&amp;"_"&amp;符文权重!$C:$C,符文权重!$D:$D)*$X377/SUMIFS($X:$X,H:H,H377,$C:$C,$C377,$AG:$AG,$AG377)/SUMIF(符文权重!$A:$A,$C377,符文权重!$D:$D))),"")</f>
        <v/>
      </c>
      <c r="O377" s="60" cm="1">
        <f t="array" ref="O377">IFERROR(IF($A377="","",IF(I377="","",_xlfn.XLOOKUP($C377&amp;"_"&amp;$AG377,符文权重!$A:$A&amp;"_"&amp;符文权重!$C:$C,符文权重!$D:$D)*$X377/SUMIFS($X:$X,I:I,I377,$C:$C,$C377,$AG:$AG,$AG377)/SUMIF(符文权重!$A:$A,$C377,符文权重!$D:$D))),"")</f>
        <v>0.00474242424242424</v>
      </c>
      <c r="P377" s="39" t="str" cm="1">
        <f t="array" ref="P377">IFERROR(IF($A377="","",IF(J377="","",_xlfn.XLOOKUP($C377&amp;"_"&amp;$AG377,符文权重!$A:$A&amp;"_"&amp;符文权重!$C:$C,符文权重!$D:$D)*$X377/SUMIFS($X:$X,J:J,J377,$C:$C,$C377,$AG:$AG,$AG377)/SUMIF(符文权重!$A:$A,$C377,符文权重!$D:$D))),"")</f>
        <v/>
      </c>
      <c r="Q377" s="39" t="str" cm="1">
        <f t="array" ref="Q377">IFERROR(IF($A377="","",IF(K377="","",_xlfn.XLOOKUP($C377&amp;"_"&amp;$AG377,符文权重!$A:$A&amp;"_"&amp;符文权重!$C:$C,符文权重!$D:$D)*$X377/SUMIFS($X:$X,K:K,K377,$C:$C,$C377,$AG:$AG,$AG377)/SUMIF(符文权重!$A:$A,$C377,符文权重!$D:$D))),"")</f>
        <v/>
      </c>
      <c r="R377" s="26" t="s">
        <v>181</v>
      </c>
      <c r="S377" s="26" t="s">
        <v>182</v>
      </c>
      <c r="T377" s="26" t="s">
        <v>388</v>
      </c>
      <c r="U377" s="40" t="s">
        <v>457</v>
      </c>
      <c r="X377" s="25">
        <v>4</v>
      </c>
      <c r="Z377" s="32" t="s">
        <v>174</v>
      </c>
      <c r="AA377" s="32" t="str">
        <f t="shared" si="195"/>
        <v>射手穿透或弹射时，有25%概率不消耗次数</v>
      </c>
      <c r="AB377" s="32"/>
      <c r="AC377" s="32" t="s">
        <v>166</v>
      </c>
      <c r="AD377" s="32">
        <f t="shared" si="193"/>
        <v>1372</v>
      </c>
      <c r="AE377" s="38" t="s">
        <v>450</v>
      </c>
      <c r="AF377" s="32" t="s">
        <v>399</v>
      </c>
      <c r="AG377" s="26">
        <v>3</v>
      </c>
      <c r="AH377" s="26"/>
      <c r="AI377" s="26">
        <v>0</v>
      </c>
      <c r="AJ377" s="25">
        <v>1</v>
      </c>
      <c r="AK377" s="38">
        <v>5505064</v>
      </c>
      <c r="AL377" s="41" t="s">
        <v>452</v>
      </c>
      <c r="AM377" s="26">
        <v>25</v>
      </c>
      <c r="AN377" s="25">
        <v>5</v>
      </c>
      <c r="AO377" s="26" t="s">
        <v>31</v>
      </c>
      <c r="AP377" s="20">
        <f t="shared" si="194"/>
        <v>372</v>
      </c>
    </row>
    <row r="378" customHeight="1" spans="1:42">
      <c r="A378" s="38">
        <v>5505065</v>
      </c>
      <c r="B378" s="38" t="s">
        <v>450</v>
      </c>
      <c r="C378" s="32">
        <v>5</v>
      </c>
      <c r="D378" s="32"/>
      <c r="E378" s="26" t="s">
        <v>375</v>
      </c>
      <c r="F378" s="26" t="str">
        <f t="shared" si="190"/>
        <v/>
      </c>
      <c r="G378" s="26" t="str">
        <f>IFERROR(IF(--MID($E378,2*COUNTIF($F378:F378,"&gt;"&amp;0)+2,1)=G$1,G$1,""),"")</f>
        <v/>
      </c>
      <c r="H378" s="26" t="str">
        <f>IFERROR(IF(--MID($E378,2*COUNTIF($F378:G378,"&gt;"&amp;0)+2,1)=H$1,H$1,""),"")</f>
        <v/>
      </c>
      <c r="I378" s="26">
        <f>IFERROR(IF(--MID($E378,2*COUNTIF($F378:H378,"&gt;"&amp;0)+2,1)=I$1,I$1,""),"")</f>
        <v>4</v>
      </c>
      <c r="J378" s="26" t="str">
        <f>IFERROR(IF(--MID($E378,2*COUNTIF($F378:I378,"&gt;"&amp;0)+2,1)=J$1,J$1,""),"")</f>
        <v/>
      </c>
      <c r="K378" s="26" t="str">
        <f>IFERROR(IF(--MID($E378,2*COUNTIF($F378:J378,"&gt;"&amp;0)+2,1)=K$1,K$1,""),"")</f>
        <v/>
      </c>
      <c r="L378" s="39" t="str" cm="1">
        <f t="array" ref="L378">IFERROR(IF($A378="","",IF(F378="","",_xlfn.XLOOKUP($C378&amp;"_"&amp;$AG378,符文权重!$A:$A&amp;"_"&amp;符文权重!$C:$C,符文权重!$D:$D)*$X378/SUMIFS($X:$X,F:F,F378,$C:$C,$C378,$AG:$AG,$AG378)/SUMIF(符文权重!$A:$A,$C378,符文权重!$D:$D))),"")</f>
        <v/>
      </c>
      <c r="M378" s="39" t="str" cm="1">
        <f t="array" ref="M378">IFERROR(IF($A378="","",IF(G378="","",_xlfn.XLOOKUP($C378&amp;"_"&amp;$AG378,符文权重!$A:$A&amp;"_"&amp;符文权重!$C:$C,符文权重!$D:$D)*$X378/SUMIFS($X:$X,G:G,G378,$C:$C,$C378,$AG:$AG,$AG378)/SUMIF(符文权重!$A:$A,$C378,符文权重!$D:$D))),"")</f>
        <v/>
      </c>
      <c r="N378" s="39" t="str" cm="1">
        <f t="array" ref="N378">IFERROR(IF($A378="","",IF(H378="","",_xlfn.XLOOKUP($C378&amp;"_"&amp;$AG378,符文权重!$A:$A&amp;"_"&amp;符文权重!$C:$C,符文权重!$D:$D)*$X378/SUMIFS($X:$X,H:H,H378,$C:$C,$C378,$AG:$AG,$AG378)/SUMIF(符文权重!$A:$A,$C378,符文权重!$D:$D))),"")</f>
        <v/>
      </c>
      <c r="O378" s="39" cm="1">
        <f t="array" ref="O378">IFERROR(IF($A378="","",IF(I378="","",_xlfn.XLOOKUP($C378&amp;"_"&amp;$AG378,符文权重!$A:$A&amp;"_"&amp;符文权重!$C:$C,符文权重!$D:$D)*$X378/SUMIFS($X:$X,I:I,I378,$C:$C,$C378,$AG:$AG,$AG378)/SUMIF(符文权重!$A:$A,$C378,符文权重!$D:$D))),"")</f>
        <v>0.0075</v>
      </c>
      <c r="P378" s="39" t="str" cm="1">
        <f t="array" ref="P378">IFERROR(IF($A378="","",IF(J378="","",_xlfn.XLOOKUP($C378&amp;"_"&amp;$AG378,符文权重!$A:$A&amp;"_"&amp;符文权重!$C:$C,符文权重!$D:$D)*$X378/SUMIFS($X:$X,J:J,J378,$C:$C,$C378,$AG:$AG,$AG378)/SUMIF(符文权重!$A:$A,$C378,符文权重!$D:$D))),"")</f>
        <v/>
      </c>
      <c r="Q378" s="39" t="str" cm="1">
        <f t="array" ref="Q378">IFERROR(IF($A378="","",IF(K378="","",_xlfn.XLOOKUP($C378&amp;"_"&amp;$AG378,符文权重!$A:$A&amp;"_"&amp;符文权重!$C:$C,符文权重!$D:$D)*$X378/SUMIFS($X:$X,K:K,K378,$C:$C,$C378,$AG:$AG,$AG378)/SUMIF(符文权重!$A:$A,$C378,符文权重!$D:$D))),"")</f>
        <v/>
      </c>
      <c r="R378" s="26" t="s">
        <v>181</v>
      </c>
      <c r="S378" s="26" t="s">
        <v>182</v>
      </c>
      <c r="T378" s="26" t="s">
        <v>391</v>
      </c>
      <c r="U378" s="40" t="s">
        <v>458</v>
      </c>
      <c r="X378" s="25">
        <v>100</v>
      </c>
      <c r="Z378" s="32" t="s">
        <v>176</v>
      </c>
      <c r="AA378" s="32" t="str">
        <f t="shared" si="195"/>
        <v>射手穿透或弹射时，有40%概率不消耗次数</v>
      </c>
      <c r="AB378" s="32"/>
      <c r="AC378" s="32" t="s">
        <v>166</v>
      </c>
      <c r="AD378" s="32">
        <f t="shared" si="193"/>
        <v>1373</v>
      </c>
      <c r="AE378" s="38" t="s">
        <v>450</v>
      </c>
      <c r="AF378" s="32" t="s">
        <v>459</v>
      </c>
      <c r="AG378" s="26">
        <v>5</v>
      </c>
      <c r="AH378" s="26"/>
      <c r="AI378" s="26">
        <v>0</v>
      </c>
      <c r="AJ378" s="25">
        <v>1</v>
      </c>
      <c r="AK378" s="38">
        <v>5505065</v>
      </c>
      <c r="AL378" s="41" t="s">
        <v>452</v>
      </c>
      <c r="AM378" s="26">
        <v>40</v>
      </c>
      <c r="AN378" s="25">
        <v>5</v>
      </c>
      <c r="AO378" s="26" t="s">
        <v>31</v>
      </c>
      <c r="AP378" s="20">
        <f t="shared" si="194"/>
        <v>373</v>
      </c>
    </row>
    <row r="379" customHeight="1" spans="1:42">
      <c r="A379" s="38">
        <v>5505066</v>
      </c>
      <c r="B379" s="38" t="s">
        <v>450</v>
      </c>
      <c r="C379" s="32">
        <v>6</v>
      </c>
      <c r="D379" s="32"/>
      <c r="E379" s="26" t="s">
        <v>375</v>
      </c>
      <c r="F379" s="26" t="str">
        <f t="shared" si="190"/>
        <v/>
      </c>
      <c r="G379" s="26" t="str">
        <f>IFERROR(IF(--MID($E379,2*COUNTIF($F379:F379,"&gt;"&amp;0)+2,1)=G$1,G$1,""),"")</f>
        <v/>
      </c>
      <c r="H379" s="26" t="str">
        <f>IFERROR(IF(--MID($E379,2*COUNTIF($F379:G379,"&gt;"&amp;0)+2,1)=H$1,H$1,""),"")</f>
        <v/>
      </c>
      <c r="I379" s="26">
        <f>IFERROR(IF(--MID($E379,2*COUNTIF($F379:H379,"&gt;"&amp;0)+2,1)=I$1,I$1,""),"")</f>
        <v>4</v>
      </c>
      <c r="J379" s="26" t="str">
        <f>IFERROR(IF(--MID($E379,2*COUNTIF($F379:I379,"&gt;"&amp;0)+2,1)=J$1,J$1,""),"")</f>
        <v/>
      </c>
      <c r="K379" s="26" t="str">
        <f>IFERROR(IF(--MID($E379,2*COUNTIF($F379:J379,"&gt;"&amp;0)+2,1)=K$1,K$1,""),"")</f>
        <v/>
      </c>
      <c r="L379" s="39" t="str" cm="1">
        <f t="array" ref="L379">IFERROR(IF($A379="","",IF(F379="","",_xlfn.XLOOKUP($C379&amp;"_"&amp;$AG379,符文权重!$A:$A&amp;"_"&amp;符文权重!$C:$C,符文权重!$D:$D)*$X379/SUMIFS($X:$X,F:F,F379,$C:$C,$C379,$AG:$AG,$AG379)/SUMIF(符文权重!$A:$A,$C379,符文权重!$D:$D))),"")</f>
        <v/>
      </c>
      <c r="M379" s="39" t="str" cm="1">
        <f t="array" ref="M379">IFERROR(IF($A379="","",IF(G379="","",_xlfn.XLOOKUP($C379&amp;"_"&amp;$AG379,符文权重!$A:$A&amp;"_"&amp;符文权重!$C:$C,符文权重!$D:$D)*$X379/SUMIFS($X:$X,G:G,G379,$C:$C,$C379,$AG:$AG,$AG379)/SUMIF(符文权重!$A:$A,$C379,符文权重!$D:$D))),"")</f>
        <v/>
      </c>
      <c r="N379" s="39" t="str" cm="1">
        <f t="array" ref="N379">IFERROR(IF($A379="","",IF(H379="","",_xlfn.XLOOKUP($C379&amp;"_"&amp;$AG379,符文权重!$A:$A&amp;"_"&amp;符文权重!$C:$C,符文权重!$D:$D)*$X379/SUMIFS($X:$X,H:H,H379,$C:$C,$C379,$AG:$AG,$AG379)/SUMIF(符文权重!$A:$A,$C379,符文权重!$D:$D))),"")</f>
        <v/>
      </c>
      <c r="O379" s="39" cm="1">
        <f t="array" ref="O379">IFERROR(IF($A379="","",IF(I379="","",_xlfn.XLOOKUP($C379&amp;"_"&amp;$AG379,符文权重!$A:$A&amp;"_"&amp;符文权重!$C:$C,符文权重!$D:$D)*$X379/SUMIFS($X:$X,I:I,I379,$C:$C,$C379,$AG:$AG,$AG379)/SUMIF(符文权重!$A:$A,$C379,符文权重!$D:$D))),"")</f>
        <v>0.0075</v>
      </c>
      <c r="P379" s="39" t="str" cm="1">
        <f t="array" ref="P379">IFERROR(IF($A379="","",IF(J379="","",_xlfn.XLOOKUP($C379&amp;"_"&amp;$AG379,符文权重!$A:$A&amp;"_"&amp;符文权重!$C:$C,符文权重!$D:$D)*$X379/SUMIFS($X:$X,J:J,J379,$C:$C,$C379,$AG:$AG,$AG379)/SUMIF(符文权重!$A:$A,$C379,符文权重!$D:$D))),"")</f>
        <v/>
      </c>
      <c r="Q379" s="39" t="str" cm="1">
        <f t="array" ref="Q379">IFERROR(IF($A379="","",IF(K379="","",_xlfn.XLOOKUP($C379&amp;"_"&amp;$AG379,符文权重!$A:$A&amp;"_"&amp;符文权重!$C:$C,符文权重!$D:$D)*$X379/SUMIFS($X:$X,K:K,K379,$C:$C,$C379,$AG:$AG,$AG379)/SUMIF(符文权重!$A:$A,$C379,符文权重!$D:$D))),"")</f>
        <v/>
      </c>
      <c r="R379" s="26" t="s">
        <v>181</v>
      </c>
      <c r="S379" s="26" t="s">
        <v>182</v>
      </c>
      <c r="T379" s="26" t="s">
        <v>394</v>
      </c>
      <c r="U379" s="40" t="s">
        <v>460</v>
      </c>
      <c r="X379" s="25">
        <v>100</v>
      </c>
      <c r="Z379" s="32" t="s">
        <v>178</v>
      </c>
      <c r="AA379" s="32" t="str">
        <f t="shared" si="195"/>
        <v>射手穿透或弹射时，有55%概率不消耗次数</v>
      </c>
      <c r="AB379" s="32"/>
      <c r="AC379" s="32" t="s">
        <v>166</v>
      </c>
      <c r="AD379" s="32">
        <f t="shared" si="193"/>
        <v>1374</v>
      </c>
      <c r="AE379" s="38" t="s">
        <v>450</v>
      </c>
      <c r="AF379" s="32" t="s">
        <v>414</v>
      </c>
      <c r="AG379" s="26">
        <v>5</v>
      </c>
      <c r="AH379" s="26"/>
      <c r="AI379" s="26">
        <v>0</v>
      </c>
      <c r="AJ379" s="25">
        <v>1</v>
      </c>
      <c r="AK379" s="38">
        <v>5505066</v>
      </c>
      <c r="AL379" s="41" t="s">
        <v>452</v>
      </c>
      <c r="AM379" s="26">
        <v>55</v>
      </c>
      <c r="AN379" s="25">
        <v>5</v>
      </c>
      <c r="AO379" s="26" t="s">
        <v>31</v>
      </c>
      <c r="AP379" s="20">
        <f t="shared" si="194"/>
        <v>374</v>
      </c>
    </row>
    <row r="380" customHeight="1" spans="1:42">
      <c r="A380" s="38">
        <v>5505067</v>
      </c>
      <c r="B380" s="38" t="s">
        <v>450</v>
      </c>
      <c r="C380" s="32">
        <v>7</v>
      </c>
      <c r="D380" s="32"/>
      <c r="E380" s="26" t="s">
        <v>375</v>
      </c>
      <c r="F380" s="26" t="str">
        <f t="shared" si="190"/>
        <v/>
      </c>
      <c r="G380" s="26" t="str">
        <f>IFERROR(IF(--MID($E380,2*COUNTIF($F380:F380,"&gt;"&amp;0)+2,1)=G$1,G$1,""),"")</f>
        <v/>
      </c>
      <c r="H380" s="26" t="str">
        <f>IFERROR(IF(--MID($E380,2*COUNTIF($F380:G380,"&gt;"&amp;0)+2,1)=H$1,H$1,""),"")</f>
        <v/>
      </c>
      <c r="I380" s="26">
        <f>IFERROR(IF(--MID($E380,2*COUNTIF($F380:H380,"&gt;"&amp;0)+2,1)=I$1,I$1,""),"")</f>
        <v>4</v>
      </c>
      <c r="J380" s="26" t="str">
        <f>IFERROR(IF(--MID($E380,2*COUNTIF($F380:I380,"&gt;"&amp;0)+2,1)=J$1,J$1,""),"")</f>
        <v/>
      </c>
      <c r="K380" s="26" t="str">
        <f>IFERROR(IF(--MID($E380,2*COUNTIF($F380:J380,"&gt;"&amp;0)+2,1)=K$1,K$1,""),"")</f>
        <v/>
      </c>
      <c r="L380" s="39" t="str" cm="1">
        <f t="array" ref="L380">IFERROR(IF($A380="","",IF(F380="","",_xlfn.XLOOKUP($C380&amp;"_"&amp;$AG380,符文权重!$A:$A&amp;"_"&amp;符文权重!$C:$C,符文权重!$D:$D)*$X380/SUMIFS($X:$X,F:F,F380,$C:$C,$C380,$AG:$AG,$AG380)/SUMIF(符文权重!$A:$A,$C380,符文权重!$D:$D))),"")</f>
        <v/>
      </c>
      <c r="M380" s="39" t="str" cm="1">
        <f t="array" ref="M380">IFERROR(IF($A380="","",IF(G380="","",_xlfn.XLOOKUP($C380&amp;"_"&amp;$AG380,符文权重!$A:$A&amp;"_"&amp;符文权重!$C:$C,符文权重!$D:$D)*$X380/SUMIFS($X:$X,G:G,G380,$C:$C,$C380,$AG:$AG,$AG380)/SUMIF(符文权重!$A:$A,$C380,符文权重!$D:$D))),"")</f>
        <v/>
      </c>
      <c r="N380" s="39" t="str" cm="1">
        <f t="array" ref="N380">IFERROR(IF($A380="","",IF(H380="","",_xlfn.XLOOKUP($C380&amp;"_"&amp;$AG380,符文权重!$A:$A&amp;"_"&amp;符文权重!$C:$C,符文权重!$D:$D)*$X380/SUMIFS($X:$X,H:H,H380,$C:$C,$C380,$AG:$AG,$AG380)/SUMIF(符文权重!$A:$A,$C380,符文权重!$D:$D))),"")</f>
        <v/>
      </c>
      <c r="O380" s="39" cm="1">
        <f t="array" ref="O380">IFERROR(IF($A380="","",IF(I380="","",_xlfn.XLOOKUP($C380&amp;"_"&amp;$AG380,符文权重!$A:$A&amp;"_"&amp;符文权重!$C:$C,符文权重!$D:$D)*$X380/SUMIFS($X:$X,I:I,I380,$C:$C,$C380,$AG:$AG,$AG380)/SUMIF(符文权重!$A:$A,$C380,符文权重!$D:$D))),"")</f>
        <v>0.0075</v>
      </c>
      <c r="P380" s="39" t="str" cm="1">
        <f t="array" ref="P380">IFERROR(IF($A380="","",IF(J380="","",_xlfn.XLOOKUP($C380&amp;"_"&amp;$AG380,符文权重!$A:$A&amp;"_"&amp;符文权重!$C:$C,符文权重!$D:$D)*$X380/SUMIFS($X:$X,J:J,J380,$C:$C,$C380,$AG:$AG,$AG380)/SUMIF(符文权重!$A:$A,$C380,符文权重!$D:$D))),"")</f>
        <v/>
      </c>
      <c r="Q380" s="39" t="str" cm="1">
        <f t="array" ref="Q380">IFERROR(IF($A380="","",IF(K380="","",_xlfn.XLOOKUP($C380&amp;"_"&amp;$AG380,符文权重!$A:$A&amp;"_"&amp;符文权重!$C:$C,符文权重!$D:$D)*$X380/SUMIFS($X:$X,K:K,K380,$C:$C,$C380,$AG:$AG,$AG380)/SUMIF(符文权重!$A:$A,$C380,符文权重!$D:$D))),"")</f>
        <v/>
      </c>
      <c r="R380" s="26" t="s">
        <v>181</v>
      </c>
      <c r="S380" s="26" t="s">
        <v>182</v>
      </c>
      <c r="T380" s="26" t="s">
        <v>397</v>
      </c>
      <c r="U380" s="40" t="s">
        <v>461</v>
      </c>
      <c r="X380" s="26">
        <v>100</v>
      </c>
      <c r="Z380" s="32" t="s">
        <v>180</v>
      </c>
      <c r="AA380" s="32" t="str">
        <f t="shared" si="195"/>
        <v>射手穿透或弹射时，有75%概率不消耗次数</v>
      </c>
      <c r="AB380" s="32"/>
      <c r="AC380" s="32" t="s">
        <v>166</v>
      </c>
      <c r="AD380" s="32">
        <f t="shared" si="193"/>
        <v>1375</v>
      </c>
      <c r="AE380" s="38" t="s">
        <v>450</v>
      </c>
      <c r="AF380" s="32" t="s">
        <v>462</v>
      </c>
      <c r="AG380" s="26">
        <v>5</v>
      </c>
      <c r="AH380" s="26"/>
      <c r="AI380" s="26">
        <v>0</v>
      </c>
      <c r="AJ380" s="25">
        <v>1</v>
      </c>
      <c r="AK380" s="38">
        <v>5505067</v>
      </c>
      <c r="AL380" s="41" t="s">
        <v>452</v>
      </c>
      <c r="AM380" s="26">
        <v>75</v>
      </c>
      <c r="AN380" s="26">
        <v>5</v>
      </c>
      <c r="AO380" s="26" t="s">
        <v>31</v>
      </c>
      <c r="AP380" s="20">
        <f t="shared" si="194"/>
        <v>375</v>
      </c>
    </row>
    <row r="381" s="20" customFormat="1" customHeight="1" spans="1:42">
      <c r="A381" s="38" t="s">
        <v>167</v>
      </c>
      <c r="B381" s="38" t="s">
        <v>167</v>
      </c>
      <c r="C381" s="32" t="s">
        <v>167</v>
      </c>
      <c r="D381" s="32"/>
      <c r="E381" s="26"/>
      <c r="F381" s="26" t="str">
        <f t="shared" si="190"/>
        <v/>
      </c>
      <c r="G381" s="26" t="str">
        <f>IFERROR(IF(--MID($E381,2*COUNTIF($F381:F381,"&gt;"&amp;0)+2,1)=G$1,G$1,""),"")</f>
        <v/>
      </c>
      <c r="H381" s="26" t="str">
        <f>IFERROR(IF(--MID($E381,2*COUNTIF($F381:G381,"&gt;"&amp;0)+2,1)=H$1,H$1,""),"")</f>
        <v/>
      </c>
      <c r="I381" s="26" t="str">
        <f>IFERROR(IF(--MID($E381,2*COUNTIF($F381:H381,"&gt;"&amp;0)+2,1)=I$1,I$1,""),"")</f>
        <v/>
      </c>
      <c r="J381" s="26" t="str">
        <f>IFERROR(IF(--MID($E381,2*COUNTIF($F381:I381,"&gt;"&amp;0)+2,1)=J$1,J$1,""),"")</f>
        <v/>
      </c>
      <c r="K381" s="26" t="str">
        <f>IFERROR(IF(--MID($E381,2*COUNTIF($F381:J381,"&gt;"&amp;0)+2,1)=K$1,K$1,""),"")</f>
        <v/>
      </c>
      <c r="L381" s="39" t="str" cm="1">
        <f t="array" ref="L381">IFERROR(IF($A381="","",IF(F381="","",_xlfn.XLOOKUP($C381&amp;"_"&amp;$AG381,符文权重!$A:$A&amp;"_"&amp;符文权重!$C:$C,符文权重!$D:$D)*$X381/SUMIFS($X:$X,F:F,F381,$C:$C,$C381,$AG:$AG,$AG381)/SUMIF(符文权重!$A:$A,$C381,符文权重!$D:$D))),"")</f>
        <v/>
      </c>
      <c r="M381" s="39" t="str" cm="1">
        <f t="array" ref="M381">IFERROR(IF($A381="","",IF(G381="","",_xlfn.XLOOKUP($C381&amp;"_"&amp;$AG381,符文权重!$A:$A&amp;"_"&amp;符文权重!$C:$C,符文权重!$D:$D)*$X381/SUMIFS($X:$X,G:G,G381,$C:$C,$C381,$AG:$AG,$AG381)/SUMIF(符文权重!$A:$A,$C381,符文权重!$D:$D))),"")</f>
        <v/>
      </c>
      <c r="N381" s="39" t="str" cm="1">
        <f t="array" ref="N381">IFERROR(IF($A381="","",IF(H381="","",_xlfn.XLOOKUP($C381&amp;"_"&amp;$AG381,符文权重!$A:$A&amp;"_"&amp;符文权重!$C:$C,符文权重!$D:$D)*$X381/SUMIFS($X:$X,H:H,H381,$C:$C,$C381,$AG:$AG,$AG381)/SUMIF(符文权重!$A:$A,$C381,符文权重!$D:$D))),"")</f>
        <v/>
      </c>
      <c r="O381" s="39" t="str" cm="1">
        <f t="array" ref="O381">IFERROR(IF($A381="","",IF(I381="","",_xlfn.XLOOKUP($C381&amp;"_"&amp;$AG381,符文权重!$A:$A&amp;"_"&amp;符文权重!$C:$C,符文权重!$D:$D)*$X381/SUMIFS($X:$X,I:I,I381,$C:$C,$C381,$AG:$AG,$AG381)/SUMIF(符文权重!$A:$A,$C381,符文权重!$D:$D))),"")</f>
        <v/>
      </c>
      <c r="P381" s="39" t="str" cm="1">
        <f t="array" ref="P381">IFERROR(IF($A381="","",IF(J381="","",_xlfn.XLOOKUP($C381&amp;"_"&amp;$AG381,符文权重!$A:$A&amp;"_"&amp;符文权重!$C:$C,符文权重!$D:$D)*$X381/SUMIFS($X:$X,J:J,J381,$C:$C,$C381,$AG:$AG,$AG381)/SUMIF(符文权重!$A:$A,$C381,符文权重!$D:$D))),"")</f>
        <v/>
      </c>
      <c r="Q381" s="39" t="str" cm="1">
        <f t="array" ref="Q381">IFERROR(IF($A381="","",IF(K381="","",_xlfn.XLOOKUP($C381&amp;"_"&amp;$AG381,符文权重!$A:$A&amp;"_"&amp;符文权重!$C:$C,符文权重!$D:$D)*$X381/SUMIFS($X:$X,K:K,K381,$C:$C,$C381,$AG:$AG,$AG381)/SUMIF(符文权重!$A:$A,$C381,符文权重!$D:$D))),"")</f>
        <v/>
      </c>
      <c r="R381" s="26"/>
      <c r="S381" s="26"/>
      <c r="T381" s="26"/>
      <c r="V381" s="31"/>
      <c r="W381" s="25"/>
      <c r="X381" s="25"/>
      <c r="Y381" s="25"/>
      <c r="Z381" s="32" t="s">
        <v>167</v>
      </c>
      <c r="AA381" s="32" t="str">
        <f t="shared" si="195"/>
        <v/>
      </c>
      <c r="AB381" s="32"/>
      <c r="AC381" s="32" t="s">
        <v>166</v>
      </c>
      <c r="AD381" s="32">
        <f t="shared" si="193"/>
        <v>1376</v>
      </c>
      <c r="AE381" s="38" t="s">
        <v>167</v>
      </c>
      <c r="AF381" s="32" t="s">
        <v>167</v>
      </c>
      <c r="AG381" s="26"/>
      <c r="AH381" s="26"/>
      <c r="AI381" s="26"/>
      <c r="AJ381" s="25" t="s">
        <v>167</v>
      </c>
      <c r="AK381" s="24"/>
      <c r="AL381" s="59"/>
      <c r="AM381" s="26"/>
      <c r="AN381" s="25"/>
      <c r="AO381" s="25"/>
      <c r="AP381" s="20">
        <f t="shared" si="194"/>
        <v>376</v>
      </c>
    </row>
    <row r="382" s="22" customFormat="1" customHeight="1" spans="1:42">
      <c r="A382" s="44">
        <v>5505071</v>
      </c>
      <c r="B382" s="44" t="s">
        <v>463</v>
      </c>
      <c r="C382" s="45">
        <v>1</v>
      </c>
      <c r="D382" s="45"/>
      <c r="E382" s="46" t="s">
        <v>200</v>
      </c>
      <c r="F382" s="26" t="str">
        <f t="shared" si="190"/>
        <v/>
      </c>
      <c r="G382" s="26">
        <f>IFERROR(IF(--MID($E382,2*COUNTIF($F382:F382,"&gt;"&amp;0)+2,1)=G$1,G$1,""),"")</f>
        <v>2</v>
      </c>
      <c r="H382" s="26" t="str">
        <f>IFERROR(IF(--MID($E382,2*COUNTIF($F382:G382,"&gt;"&amp;0)+2,1)=H$1,H$1,""),"")</f>
        <v/>
      </c>
      <c r="I382" s="26" t="str">
        <f>IFERROR(IF(--MID($E382,2*COUNTIF($F382:H382,"&gt;"&amp;0)+2,1)=I$1,I$1,""),"")</f>
        <v/>
      </c>
      <c r="J382" s="26" t="str">
        <f>IFERROR(IF(--MID($E382,2*COUNTIF($F382:I382,"&gt;"&amp;0)+2,1)=J$1,J$1,""),"")</f>
        <v/>
      </c>
      <c r="K382" s="26" t="str">
        <f>IFERROR(IF(--MID($E382,2*COUNTIF($F382:J382,"&gt;"&amp;0)+2,1)=K$1,K$1,""),"")</f>
        <v/>
      </c>
      <c r="L382" s="39" t="str" cm="1">
        <f t="array" ref="L382">IFERROR(IF($A382="","",IF(F382="","",_xlfn.XLOOKUP($C382&amp;"_"&amp;$AG382,符文权重!$A:$A&amp;"_"&amp;符文权重!$C:$C,符文权重!$D:$D)*$X382/SUMIFS($X:$X,F:F,F382,$C:$C,$C382,$AG:$AG,$AG382)/SUMIF(符文权重!$A:$A,$C382,符文权重!$D:$D))),"")</f>
        <v/>
      </c>
      <c r="M382" s="39" t="str" cm="1">
        <f t="array" ref="M382">IFERROR(IF($A382="","",IF(G382="","",_xlfn.XLOOKUP($C382&amp;"_"&amp;$AG382,符文权重!$A:$A&amp;"_"&amp;符文权重!$C:$C,符文权重!$D:$D)*$X382/SUMIFS($X:$X,G:G,G382,$C:$C,$C382,$AG:$AG,$AG382)/SUMIF(符文权重!$A:$A,$C382,符文权重!$D:$D))),"")</f>
        <v/>
      </c>
      <c r="N382" s="39" t="str" cm="1">
        <f t="array" ref="N382">IFERROR(IF($A382="","",IF(H382="","",_xlfn.XLOOKUP($C382&amp;"_"&amp;$AG382,符文权重!$A:$A&amp;"_"&amp;符文权重!$C:$C,符文权重!$D:$D)*$X382/SUMIFS($X:$X,H:H,H382,$C:$C,$C382,$AG:$AG,$AG382)/SUMIF(符文权重!$A:$A,$C382,符文权重!$D:$D))),"")</f>
        <v/>
      </c>
      <c r="O382" s="39" t="str" cm="1">
        <f t="array" ref="O382">IFERROR(IF($A382="","",IF(I382="","",_xlfn.XLOOKUP($C382&amp;"_"&amp;$AG382,符文权重!$A:$A&amp;"_"&amp;符文权重!$C:$C,符文权重!$D:$D)*$X382/SUMIFS($X:$X,I:I,I382,$C:$C,$C382,$AG:$AG,$AG382)/SUMIF(符文权重!$A:$A,$C382,符文权重!$D:$D))),"")</f>
        <v/>
      </c>
      <c r="P382" s="39" t="str" cm="1">
        <f t="array" ref="P382">IFERROR(IF($A382="","",IF(J382="","",_xlfn.XLOOKUP($C382&amp;"_"&amp;$AG382,符文权重!$A:$A&amp;"_"&amp;符文权重!$C:$C,符文权重!$D:$D)*$X382/SUMIFS($X:$X,J:J,J382,$C:$C,$C382,$AG:$AG,$AG382)/SUMIF(符文权重!$A:$A,$C382,符文权重!$D:$D))),"")</f>
        <v/>
      </c>
      <c r="Q382" s="39" t="str" cm="1">
        <f t="array" ref="Q382">IFERROR(IF($A382="","",IF(K382="","",_xlfn.XLOOKUP($C382&amp;"_"&amp;$AG382,符文权重!$A:$A&amp;"_"&amp;符文权重!$C:$C,符文权重!$D:$D)*$X382/SUMIFS($X:$X,K:K,K382,$C:$C,$C382,$AG:$AG,$AG382)/SUMIF(符文权重!$A:$A,$C382,符文权重!$D:$D))),"")</f>
        <v/>
      </c>
      <c r="R382" s="46" t="s">
        <v>181</v>
      </c>
      <c r="S382" s="46" t="s">
        <v>182</v>
      </c>
      <c r="T382" s="46" t="s">
        <v>380</v>
      </c>
      <c r="U382" s="47" t="s">
        <v>464</v>
      </c>
      <c r="V382" s="52"/>
      <c r="W382" s="23"/>
      <c r="X382" s="25">
        <v>100</v>
      </c>
      <c r="Y382" s="23"/>
      <c r="Z382" s="45" t="s">
        <v>165</v>
      </c>
      <c r="AA382" s="32" t="str">
        <f t="shared" si="195"/>
        <v>射手普攻时有5%概率额外攻击1次</v>
      </c>
      <c r="AB382" s="32"/>
      <c r="AC382" s="32" t="s">
        <v>166</v>
      </c>
      <c r="AD382" s="32">
        <f t="shared" si="193"/>
        <v>1377</v>
      </c>
      <c r="AE382" s="44" t="s">
        <v>463</v>
      </c>
      <c r="AF382" s="45" t="s">
        <v>218</v>
      </c>
      <c r="AG382" s="26">
        <v>100</v>
      </c>
      <c r="AH382" s="46"/>
      <c r="AI382" s="46">
        <v>1</v>
      </c>
      <c r="AJ382" s="25">
        <v>1</v>
      </c>
      <c r="AK382" s="48">
        <v>5505071</v>
      </c>
      <c r="AL382" s="57" t="s">
        <v>465</v>
      </c>
      <c r="AM382" s="46">
        <v>5</v>
      </c>
      <c r="AN382" s="25"/>
      <c r="AO382" s="26" t="s">
        <v>31</v>
      </c>
      <c r="AP382" s="20">
        <f t="shared" si="194"/>
        <v>377</v>
      </c>
    </row>
    <row r="383" s="23" customFormat="1" customHeight="1" spans="1:42">
      <c r="A383" s="44">
        <v>5505072</v>
      </c>
      <c r="B383" s="44" t="s">
        <v>463</v>
      </c>
      <c r="C383" s="45">
        <v>2</v>
      </c>
      <c r="D383" s="45"/>
      <c r="E383" s="46" t="s">
        <v>200</v>
      </c>
      <c r="F383" s="26" t="str">
        <f t="shared" si="190"/>
        <v/>
      </c>
      <c r="G383" s="26">
        <f>IFERROR(IF(--MID($E383,2*COUNTIF($F383:F383,"&gt;"&amp;0)+2,1)=G$1,G$1,""),"")</f>
        <v>2</v>
      </c>
      <c r="H383" s="26" t="str">
        <f>IFERROR(IF(--MID($E383,2*COUNTIF($F383:G383,"&gt;"&amp;0)+2,1)=H$1,H$1,""),"")</f>
        <v/>
      </c>
      <c r="I383" s="26" t="str">
        <f>IFERROR(IF(--MID($E383,2*COUNTIF($F383:H383,"&gt;"&amp;0)+2,1)=I$1,I$1,""),"")</f>
        <v/>
      </c>
      <c r="J383" s="26" t="str">
        <f>IFERROR(IF(--MID($E383,2*COUNTIF($F383:I383,"&gt;"&amp;0)+2,1)=J$1,J$1,""),"")</f>
        <v/>
      </c>
      <c r="K383" s="26" t="str">
        <f>IFERROR(IF(--MID($E383,2*COUNTIF($F383:J383,"&gt;"&amp;0)+2,1)=K$1,K$1,""),"")</f>
        <v/>
      </c>
      <c r="L383" s="39" t="str" cm="1">
        <f t="array" ref="L383">IFERROR(IF($A383="","",IF(F383="","",_xlfn.XLOOKUP($C383&amp;"_"&amp;$AG383,符文权重!$A:$A&amp;"_"&amp;符文权重!$C:$C,符文权重!$D:$D)*$X383/SUMIFS($X:$X,F:F,F383,$C:$C,$C383,$AG:$AG,$AG383)/SUMIF(符文权重!$A:$A,$C383,符文权重!$D:$D))),"")</f>
        <v/>
      </c>
      <c r="M383" s="39" t="str" cm="1">
        <f t="array" ref="M383">IFERROR(IF($A383="","",IF(G383="","",_xlfn.XLOOKUP($C383&amp;"_"&amp;$AG383,符文权重!$A:$A&amp;"_"&amp;符文权重!$C:$C,符文权重!$D:$D)*$X383/SUMIFS($X:$X,G:G,G383,$C:$C,$C383,$AG:$AG,$AG383)/SUMIF(符文权重!$A:$A,$C383,符文权重!$D:$D))),"")</f>
        <v/>
      </c>
      <c r="N383" s="39" t="str" cm="1">
        <f t="array" ref="N383">IFERROR(IF($A383="","",IF(H383="","",_xlfn.XLOOKUP($C383&amp;"_"&amp;$AG383,符文权重!$A:$A&amp;"_"&amp;符文权重!$C:$C,符文权重!$D:$D)*$X383/SUMIFS($X:$X,H:H,H383,$C:$C,$C383,$AG:$AG,$AG383)/SUMIF(符文权重!$A:$A,$C383,符文权重!$D:$D))),"")</f>
        <v/>
      </c>
      <c r="O383" s="39" t="str" cm="1">
        <f t="array" ref="O383">IFERROR(IF($A383="","",IF(I383="","",_xlfn.XLOOKUP($C383&amp;"_"&amp;$AG383,符文权重!$A:$A&amp;"_"&amp;符文权重!$C:$C,符文权重!$D:$D)*$X383/SUMIFS($X:$X,I:I,I383,$C:$C,$C383,$AG:$AG,$AG383)/SUMIF(符文权重!$A:$A,$C383,符文权重!$D:$D))),"")</f>
        <v/>
      </c>
      <c r="P383" s="39" t="str" cm="1">
        <f t="array" ref="P383">IFERROR(IF($A383="","",IF(J383="","",_xlfn.XLOOKUP($C383&amp;"_"&amp;$AG383,符文权重!$A:$A&amp;"_"&amp;符文权重!$C:$C,符文权重!$D:$D)*$X383/SUMIFS($X:$X,J:J,J383,$C:$C,$C383,$AG:$AG,$AG383)/SUMIF(符文权重!$A:$A,$C383,符文权重!$D:$D))),"")</f>
        <v/>
      </c>
      <c r="Q383" s="39" t="str" cm="1">
        <f t="array" ref="Q383">IFERROR(IF($A383="","",IF(K383="","",_xlfn.XLOOKUP($C383&amp;"_"&amp;$AG383,符文权重!$A:$A&amp;"_"&amp;符文权重!$C:$C,符文权重!$D:$D)*$X383/SUMIFS($X:$X,K:K,K383,$C:$C,$C383,$AG:$AG,$AG383)/SUMIF(符文权重!$A:$A,$C383,符文权重!$D:$D))),"")</f>
        <v/>
      </c>
      <c r="R383" s="46" t="s">
        <v>181</v>
      </c>
      <c r="S383" s="46" t="s">
        <v>182</v>
      </c>
      <c r="T383" s="46" t="s">
        <v>383</v>
      </c>
      <c r="U383" s="47" t="s">
        <v>466</v>
      </c>
      <c r="V383" s="46"/>
      <c r="X383" s="25">
        <v>100</v>
      </c>
      <c r="Z383" s="45" t="s">
        <v>170</v>
      </c>
      <c r="AA383" s="32" t="str">
        <f t="shared" si="195"/>
        <v>射手普攻时有8%概率额外攻击1次</v>
      </c>
      <c r="AB383" s="32"/>
      <c r="AC383" s="32" t="s">
        <v>166</v>
      </c>
      <c r="AD383" s="32">
        <f t="shared" si="193"/>
        <v>1378</v>
      </c>
      <c r="AE383" s="44" t="s">
        <v>463</v>
      </c>
      <c r="AF383" s="45" t="s">
        <v>387</v>
      </c>
      <c r="AG383" s="26">
        <v>100</v>
      </c>
      <c r="AH383" s="46"/>
      <c r="AI383" s="46">
        <v>1</v>
      </c>
      <c r="AJ383" s="25">
        <v>1</v>
      </c>
      <c r="AK383" s="44">
        <v>5505072</v>
      </c>
      <c r="AL383" s="50" t="s">
        <v>465</v>
      </c>
      <c r="AM383" s="46">
        <v>8</v>
      </c>
      <c r="AN383" s="25"/>
      <c r="AO383" s="26" t="s">
        <v>31</v>
      </c>
      <c r="AP383" s="20">
        <f t="shared" si="194"/>
        <v>378</v>
      </c>
    </row>
    <row r="384" s="23" customFormat="1" customHeight="1" spans="1:42">
      <c r="A384" s="44">
        <v>5505073</v>
      </c>
      <c r="B384" s="44" t="s">
        <v>463</v>
      </c>
      <c r="C384" s="45">
        <v>3</v>
      </c>
      <c r="D384" s="45"/>
      <c r="E384" s="46" t="s">
        <v>200</v>
      </c>
      <c r="F384" s="26" t="str">
        <f t="shared" si="190"/>
        <v/>
      </c>
      <c r="G384" s="26">
        <f>IFERROR(IF(--MID($E384,2*COUNTIF($F384:F384,"&gt;"&amp;0)+2,1)=G$1,G$1,""),"")</f>
        <v>2</v>
      </c>
      <c r="H384" s="26" t="str">
        <f>IFERROR(IF(--MID($E384,2*COUNTIF($F384:G384,"&gt;"&amp;0)+2,1)=H$1,H$1,""),"")</f>
        <v/>
      </c>
      <c r="I384" s="26" t="str">
        <f>IFERROR(IF(--MID($E384,2*COUNTIF($F384:H384,"&gt;"&amp;0)+2,1)=I$1,I$1,""),"")</f>
        <v/>
      </c>
      <c r="J384" s="26" t="str">
        <f>IFERROR(IF(--MID($E384,2*COUNTIF($F384:I384,"&gt;"&amp;0)+2,1)=J$1,J$1,""),"")</f>
        <v/>
      </c>
      <c r="K384" s="26" t="str">
        <f>IFERROR(IF(--MID($E384,2*COUNTIF($F384:J384,"&gt;"&amp;0)+2,1)=K$1,K$1,""),"")</f>
        <v/>
      </c>
      <c r="L384" s="39" t="str" cm="1">
        <f t="array" ref="L384">IFERROR(IF($A384="","",IF(F384="","",_xlfn.XLOOKUP($C384&amp;"_"&amp;$AG384,符文权重!$A:$A&amp;"_"&amp;符文权重!$C:$C,符文权重!$D:$D)*$X384/SUMIFS($X:$X,F:F,F384,$C:$C,$C384,$AG:$AG,$AG384)/SUMIF(符文权重!$A:$A,$C384,符文权重!$D:$D))),"")</f>
        <v/>
      </c>
      <c r="M384" s="39" t="str" cm="1">
        <f t="array" ref="M384">IFERROR(IF($A384="","",IF(G384="","",_xlfn.XLOOKUP($C384&amp;"_"&amp;$AG384,符文权重!$A:$A&amp;"_"&amp;符文权重!$C:$C,符文权重!$D:$D)*$X384/SUMIFS($X:$X,G:G,G384,$C:$C,$C384,$AG:$AG,$AG384)/SUMIF(符文权重!$A:$A,$C384,符文权重!$D:$D))),"")</f>
        <v/>
      </c>
      <c r="N384" s="39" t="str" cm="1">
        <f t="array" ref="N384">IFERROR(IF($A384="","",IF(H384="","",_xlfn.XLOOKUP($C384&amp;"_"&amp;$AG384,符文权重!$A:$A&amp;"_"&amp;符文权重!$C:$C,符文权重!$D:$D)*$X384/SUMIFS($X:$X,H:H,H384,$C:$C,$C384,$AG:$AG,$AG384)/SUMIF(符文权重!$A:$A,$C384,符文权重!$D:$D))),"")</f>
        <v/>
      </c>
      <c r="O384" s="39" t="str" cm="1">
        <f t="array" ref="O384">IFERROR(IF($A384="","",IF(I384="","",_xlfn.XLOOKUP($C384&amp;"_"&amp;$AG384,符文权重!$A:$A&amp;"_"&amp;符文权重!$C:$C,符文权重!$D:$D)*$X384/SUMIFS($X:$X,I:I,I384,$C:$C,$C384,$AG:$AG,$AG384)/SUMIF(符文权重!$A:$A,$C384,符文权重!$D:$D))),"")</f>
        <v/>
      </c>
      <c r="P384" s="39" t="str" cm="1">
        <f t="array" ref="P384">IFERROR(IF($A384="","",IF(J384="","",_xlfn.XLOOKUP($C384&amp;"_"&amp;$AG384,符文权重!$A:$A&amp;"_"&amp;符文权重!$C:$C,符文权重!$D:$D)*$X384/SUMIFS($X:$X,J:J,J384,$C:$C,$C384,$AG:$AG,$AG384)/SUMIF(符文权重!$A:$A,$C384,符文权重!$D:$D))),"")</f>
        <v/>
      </c>
      <c r="Q384" s="39" t="str" cm="1">
        <f t="array" ref="Q384">IFERROR(IF($A384="","",IF(K384="","",_xlfn.XLOOKUP($C384&amp;"_"&amp;$AG384,符文权重!$A:$A&amp;"_"&amp;符文权重!$C:$C,符文权重!$D:$D)*$X384/SUMIFS($X:$X,K:K,K384,$C:$C,$C384,$AG:$AG,$AG384)/SUMIF(符文权重!$A:$A,$C384,符文权重!$D:$D))),"")</f>
        <v/>
      </c>
      <c r="R384" s="46" t="s">
        <v>181</v>
      </c>
      <c r="S384" s="46" t="s">
        <v>182</v>
      </c>
      <c r="T384" s="46" t="s">
        <v>385</v>
      </c>
      <c r="U384" s="47" t="s">
        <v>467</v>
      </c>
      <c r="V384" s="46"/>
      <c r="X384" s="26">
        <v>100</v>
      </c>
      <c r="Z384" s="45" t="s">
        <v>172</v>
      </c>
      <c r="AA384" s="32" t="str">
        <f t="shared" si="195"/>
        <v>射手普攻时有10%概率额外攻击1次</v>
      </c>
      <c r="AB384" s="32"/>
      <c r="AC384" s="32" t="s">
        <v>166</v>
      </c>
      <c r="AD384" s="32">
        <f t="shared" si="193"/>
        <v>1379</v>
      </c>
      <c r="AE384" s="44" t="s">
        <v>463</v>
      </c>
      <c r="AF384" s="45" t="s">
        <v>390</v>
      </c>
      <c r="AG384" s="26">
        <v>100</v>
      </c>
      <c r="AH384" s="46"/>
      <c r="AI384" s="46">
        <v>1</v>
      </c>
      <c r="AJ384" s="25">
        <v>1</v>
      </c>
      <c r="AK384" s="44">
        <v>5505073</v>
      </c>
      <c r="AL384" s="50" t="s">
        <v>465</v>
      </c>
      <c r="AM384" s="46">
        <v>10</v>
      </c>
      <c r="AN384" s="26"/>
      <c r="AO384" s="26" t="s">
        <v>31</v>
      </c>
      <c r="AP384" s="20">
        <f t="shared" si="194"/>
        <v>379</v>
      </c>
    </row>
    <row r="385" customHeight="1" spans="1:42">
      <c r="A385" s="38">
        <v>5505074</v>
      </c>
      <c r="B385" s="38" t="s">
        <v>463</v>
      </c>
      <c r="C385" s="32">
        <v>4</v>
      </c>
      <c r="D385" s="32"/>
      <c r="E385" s="26" t="s">
        <v>200</v>
      </c>
      <c r="F385" s="26" t="str">
        <f t="shared" si="190"/>
        <v/>
      </c>
      <c r="G385" s="26">
        <f>IFERROR(IF(--MID($E385,2*COUNTIF($F385:F385,"&gt;"&amp;0)+2,1)=G$1,G$1,""),"")</f>
        <v>2</v>
      </c>
      <c r="H385" s="26" t="str">
        <f>IFERROR(IF(--MID($E385,2*COUNTIF($F385:G385,"&gt;"&amp;0)+2,1)=H$1,H$1,""),"")</f>
        <v/>
      </c>
      <c r="I385" s="26" t="str">
        <f>IFERROR(IF(--MID($E385,2*COUNTIF($F385:H385,"&gt;"&amp;0)+2,1)=I$1,I$1,""),"")</f>
        <v/>
      </c>
      <c r="J385" s="26" t="str">
        <f>IFERROR(IF(--MID($E385,2*COUNTIF($F385:I385,"&gt;"&amp;0)+2,1)=J$1,J$1,""),"")</f>
        <v/>
      </c>
      <c r="K385" s="26" t="str">
        <f>IFERROR(IF(--MID($E385,2*COUNTIF($F385:J385,"&gt;"&amp;0)+2,1)=K$1,K$1,""),"")</f>
        <v/>
      </c>
      <c r="L385" s="39" t="str" cm="1">
        <f t="array" ref="L385">IFERROR(IF($A385="","",IF(F385="","",_xlfn.XLOOKUP($C385&amp;"_"&amp;$AG385,符文权重!$A:$A&amp;"_"&amp;符文权重!$C:$C,符文权重!$D:$D)*$X385/SUMIFS($X:$X,F:F,F385,$C:$C,$C385,$AG:$AG,$AG385)/SUMIF(符文权重!$A:$A,$C385,符文权重!$D:$D))),"")</f>
        <v/>
      </c>
      <c r="M385" s="39" t="str" cm="1">
        <f t="array" ref="M385">IFERROR(IF($A385="","",IF(G385="","",_xlfn.XLOOKUP($C385&amp;"_"&amp;$AG385,符文权重!$A:$A&amp;"_"&amp;符文权重!$C:$C,符文权重!$D:$D)*$X385/SUMIFS($X:$X,G:G,G385,$C:$C,$C385,$AG:$AG,$AG385)/SUMIF(符文权重!$A:$A,$C385,符文权重!$D:$D))),"")</f>
        <v/>
      </c>
      <c r="N385" s="39" t="str" cm="1">
        <f t="array" ref="N385">IFERROR(IF($A385="","",IF(H385="","",_xlfn.XLOOKUP($C385&amp;"_"&amp;$AG385,符文权重!$A:$A&amp;"_"&amp;符文权重!$C:$C,符文权重!$D:$D)*$X385/SUMIFS($X:$X,H:H,H385,$C:$C,$C385,$AG:$AG,$AG385)/SUMIF(符文权重!$A:$A,$C385,符文权重!$D:$D))),"")</f>
        <v/>
      </c>
      <c r="O385" s="39" t="str" cm="1">
        <f t="array" ref="O385">IFERROR(IF($A385="","",IF(I385="","",_xlfn.XLOOKUP($C385&amp;"_"&amp;$AG385,符文权重!$A:$A&amp;"_"&amp;符文权重!$C:$C,符文权重!$D:$D)*$X385/SUMIFS($X:$X,I:I,I385,$C:$C,$C385,$AG:$AG,$AG385)/SUMIF(符文权重!$A:$A,$C385,符文权重!$D:$D))),"")</f>
        <v/>
      </c>
      <c r="P385" s="39" t="str" cm="1">
        <f t="array" ref="P385">IFERROR(IF($A385="","",IF(J385="","",_xlfn.XLOOKUP($C385&amp;"_"&amp;$AG385,符文权重!$A:$A&amp;"_"&amp;符文权重!$C:$C,符文权重!$D:$D)*$X385/SUMIFS($X:$X,J:J,J385,$C:$C,$C385,$AG:$AG,$AG385)/SUMIF(符文权重!$A:$A,$C385,符文权重!$D:$D))),"")</f>
        <v/>
      </c>
      <c r="Q385" s="39" t="str" cm="1">
        <f t="array" ref="Q385">IFERROR(IF($A385="","",IF(K385="","",_xlfn.XLOOKUP($C385&amp;"_"&amp;$AG385,符文权重!$A:$A&amp;"_"&amp;符文权重!$C:$C,符文权重!$D:$D)*$X385/SUMIFS($X:$X,K:K,K385,$C:$C,$C385,$AG:$AG,$AG385)/SUMIF(符文权重!$A:$A,$C385,符文权重!$D:$D))),"")</f>
        <v/>
      </c>
      <c r="R385" s="26" t="s">
        <v>181</v>
      </c>
      <c r="S385" s="26" t="s">
        <v>182</v>
      </c>
      <c r="T385" s="26" t="s">
        <v>388</v>
      </c>
      <c r="U385" s="40" t="s">
        <v>468</v>
      </c>
      <c r="X385" s="25">
        <v>4</v>
      </c>
      <c r="Z385" s="32" t="s">
        <v>174</v>
      </c>
      <c r="AA385" s="32" t="str">
        <f t="shared" si="195"/>
        <v>射手普攻时有15%概率额外攻击1次</v>
      </c>
      <c r="AB385" s="32"/>
      <c r="AC385" s="32" t="s">
        <v>166</v>
      </c>
      <c r="AD385" s="32">
        <f t="shared" si="193"/>
        <v>1380</v>
      </c>
      <c r="AE385" s="38" t="s">
        <v>463</v>
      </c>
      <c r="AF385" s="32" t="s">
        <v>393</v>
      </c>
      <c r="AG385" s="26">
        <v>105</v>
      </c>
      <c r="AH385" s="26"/>
      <c r="AI385" s="26">
        <v>0</v>
      </c>
      <c r="AJ385" s="25">
        <v>1</v>
      </c>
      <c r="AK385" s="38">
        <v>5505074</v>
      </c>
      <c r="AL385" s="41" t="s">
        <v>465</v>
      </c>
      <c r="AM385" s="26">
        <v>15</v>
      </c>
      <c r="AN385" s="25">
        <v>5</v>
      </c>
      <c r="AO385" s="26" t="s">
        <v>31</v>
      </c>
      <c r="AP385" s="20">
        <f t="shared" si="194"/>
        <v>380</v>
      </c>
    </row>
    <row r="386" customHeight="1" spans="1:42">
      <c r="A386" s="38">
        <v>5505075</v>
      </c>
      <c r="B386" s="38" t="s">
        <v>463</v>
      </c>
      <c r="C386" s="32">
        <v>5</v>
      </c>
      <c r="D386" s="32"/>
      <c r="E386" s="26" t="s">
        <v>200</v>
      </c>
      <c r="F386" s="26" t="str">
        <f t="shared" si="190"/>
        <v/>
      </c>
      <c r="G386" s="26">
        <f>IFERROR(IF(--MID($E386,2*COUNTIF($F386:F386,"&gt;"&amp;0)+2,1)=G$1,G$1,""),"")</f>
        <v>2</v>
      </c>
      <c r="H386" s="26" t="str">
        <f>IFERROR(IF(--MID($E386,2*COUNTIF($F386:G386,"&gt;"&amp;0)+2,1)=H$1,H$1,""),"")</f>
        <v/>
      </c>
      <c r="I386" s="26" t="str">
        <f>IFERROR(IF(--MID($E386,2*COUNTIF($F386:H386,"&gt;"&amp;0)+2,1)=I$1,I$1,""),"")</f>
        <v/>
      </c>
      <c r="J386" s="26" t="str">
        <f>IFERROR(IF(--MID($E386,2*COUNTIF($F386:I386,"&gt;"&amp;0)+2,1)=J$1,J$1,""),"")</f>
        <v/>
      </c>
      <c r="K386" s="26" t="str">
        <f>IFERROR(IF(--MID($E386,2*COUNTIF($F386:J386,"&gt;"&amp;0)+2,1)=K$1,K$1,""),"")</f>
        <v/>
      </c>
      <c r="L386" s="39" t="str" cm="1">
        <f t="array" ref="L386">IFERROR(IF($A386="","",IF(F386="","",_xlfn.XLOOKUP($C386&amp;"_"&amp;$AG386,符文权重!$A:$A&amp;"_"&amp;符文权重!$C:$C,符文权重!$D:$D)*$X386/SUMIFS($X:$X,F:F,F386,$C:$C,$C386,$AG:$AG,$AG386)/SUMIF(符文权重!$A:$A,$C386,符文权重!$D:$D))),"")</f>
        <v/>
      </c>
      <c r="M386" s="39" cm="1">
        <f t="array" ref="M386">IFERROR(IF($A386="","",IF(G386="","",_xlfn.XLOOKUP($C386&amp;"_"&amp;$AG386,符文权重!$A:$A&amp;"_"&amp;符文权重!$C:$C,符文权重!$D:$D)*$X386/SUMIFS($X:$X,G:G,G386,$C:$C,$C386,$AG:$AG,$AG386)/SUMIF(符文权重!$A:$A,$C386,符文权重!$D:$D))),"")</f>
        <v>0.005625</v>
      </c>
      <c r="N386" s="39" t="str" cm="1">
        <f t="array" ref="N386">IFERROR(IF($A386="","",IF(H386="","",_xlfn.XLOOKUP($C386&amp;"_"&amp;$AG386,符文权重!$A:$A&amp;"_"&amp;符文权重!$C:$C,符文权重!$D:$D)*$X386/SUMIFS($X:$X,H:H,H386,$C:$C,$C386,$AG:$AG,$AG386)/SUMIF(符文权重!$A:$A,$C386,符文权重!$D:$D))),"")</f>
        <v/>
      </c>
      <c r="O386" s="39" t="str" cm="1">
        <f t="array" ref="O386">IFERROR(IF($A386="","",IF(I386="","",_xlfn.XLOOKUP($C386&amp;"_"&amp;$AG386,符文权重!$A:$A&amp;"_"&amp;符文权重!$C:$C,符文权重!$D:$D)*$X386/SUMIFS($X:$X,I:I,I386,$C:$C,$C386,$AG:$AG,$AG386)/SUMIF(符文权重!$A:$A,$C386,符文权重!$D:$D))),"")</f>
        <v/>
      </c>
      <c r="P386" s="39" t="str" cm="1">
        <f t="array" ref="P386">IFERROR(IF($A386="","",IF(J386="","",_xlfn.XLOOKUP($C386&amp;"_"&amp;$AG386,符文权重!$A:$A&amp;"_"&amp;符文权重!$C:$C,符文权重!$D:$D)*$X386/SUMIFS($X:$X,J:J,J386,$C:$C,$C386,$AG:$AG,$AG386)/SUMIF(符文权重!$A:$A,$C386,符文权重!$D:$D))),"")</f>
        <v/>
      </c>
      <c r="Q386" s="39" t="str" cm="1">
        <f t="array" ref="Q386">IFERROR(IF($A386="","",IF(K386="","",_xlfn.XLOOKUP($C386&amp;"_"&amp;$AG386,符文权重!$A:$A&amp;"_"&amp;符文权重!$C:$C,符文权重!$D:$D)*$X386/SUMIFS($X:$X,K:K,K386,$C:$C,$C386,$AG:$AG,$AG386)/SUMIF(符文权重!$A:$A,$C386,符文权重!$D:$D))),"")</f>
        <v/>
      </c>
      <c r="R386" s="26" t="s">
        <v>181</v>
      </c>
      <c r="S386" s="26" t="s">
        <v>182</v>
      </c>
      <c r="T386" s="26" t="s">
        <v>391</v>
      </c>
      <c r="U386" s="40" t="s">
        <v>469</v>
      </c>
      <c r="X386" s="25">
        <v>100</v>
      </c>
      <c r="Z386" s="32" t="s">
        <v>176</v>
      </c>
      <c r="AA386" s="32" t="str">
        <f t="shared" si="195"/>
        <v>射手普攻时有25%概率额外攻击1次</v>
      </c>
      <c r="AB386" s="32"/>
      <c r="AC386" s="32" t="s">
        <v>166</v>
      </c>
      <c r="AD386" s="32">
        <f t="shared" si="193"/>
        <v>1381</v>
      </c>
      <c r="AE386" s="38" t="s">
        <v>463</v>
      </c>
      <c r="AF386" s="32" t="s">
        <v>399</v>
      </c>
      <c r="AG386" s="26">
        <v>5</v>
      </c>
      <c r="AH386" s="26"/>
      <c r="AI386" s="26">
        <v>0</v>
      </c>
      <c r="AJ386" s="25">
        <v>1</v>
      </c>
      <c r="AK386" s="38">
        <v>5505075</v>
      </c>
      <c r="AL386" s="41" t="s">
        <v>465</v>
      </c>
      <c r="AM386" s="26">
        <v>25</v>
      </c>
      <c r="AN386" s="25">
        <v>5</v>
      </c>
      <c r="AO386" s="26" t="s">
        <v>31</v>
      </c>
      <c r="AP386" s="20">
        <f t="shared" si="194"/>
        <v>381</v>
      </c>
    </row>
    <row r="387" customHeight="1" spans="1:42">
      <c r="A387" s="38">
        <v>5505076</v>
      </c>
      <c r="B387" s="38" t="s">
        <v>463</v>
      </c>
      <c r="C387" s="32">
        <v>6</v>
      </c>
      <c r="D387" s="32"/>
      <c r="E387" s="26" t="s">
        <v>200</v>
      </c>
      <c r="F387" s="26" t="str">
        <f t="shared" si="190"/>
        <v/>
      </c>
      <c r="G387" s="26">
        <f>IFERROR(IF(--MID($E387,2*COUNTIF($F387:F387,"&gt;"&amp;0)+2,1)=G$1,G$1,""),"")</f>
        <v>2</v>
      </c>
      <c r="H387" s="26" t="str">
        <f>IFERROR(IF(--MID($E387,2*COUNTIF($F387:G387,"&gt;"&amp;0)+2,1)=H$1,H$1,""),"")</f>
        <v/>
      </c>
      <c r="I387" s="26" t="str">
        <f>IFERROR(IF(--MID($E387,2*COUNTIF($F387:H387,"&gt;"&amp;0)+2,1)=I$1,I$1,""),"")</f>
        <v/>
      </c>
      <c r="J387" s="26" t="str">
        <f>IFERROR(IF(--MID($E387,2*COUNTIF($F387:I387,"&gt;"&amp;0)+2,1)=J$1,J$1,""),"")</f>
        <v/>
      </c>
      <c r="K387" s="26" t="str">
        <f>IFERROR(IF(--MID($E387,2*COUNTIF($F387:J387,"&gt;"&amp;0)+2,1)=K$1,K$1,""),"")</f>
        <v/>
      </c>
      <c r="L387" s="39" t="str" cm="1">
        <f t="array" ref="L387">IFERROR(IF($A387="","",IF(F387="","",_xlfn.XLOOKUP($C387&amp;"_"&amp;$AG387,符文权重!$A:$A&amp;"_"&amp;符文权重!$C:$C,符文权重!$D:$D)*$X387/SUMIFS($X:$X,F:F,F387,$C:$C,$C387,$AG:$AG,$AG387)/SUMIF(符文权重!$A:$A,$C387,符文权重!$D:$D))),"")</f>
        <v/>
      </c>
      <c r="M387" s="39" cm="1">
        <f t="array" ref="M387">IFERROR(IF($A387="","",IF(G387="","",_xlfn.XLOOKUP($C387&amp;"_"&amp;$AG387,符文权重!$A:$A&amp;"_"&amp;符文权重!$C:$C,符文权重!$D:$D)*$X387/SUMIFS($X:$X,G:G,G387,$C:$C,$C387,$AG:$AG,$AG387)/SUMIF(符文权重!$A:$A,$C387,符文权重!$D:$D))),"")</f>
        <v>0.005625</v>
      </c>
      <c r="N387" s="39" t="str" cm="1">
        <f t="array" ref="N387">IFERROR(IF($A387="","",IF(H387="","",_xlfn.XLOOKUP($C387&amp;"_"&amp;$AG387,符文权重!$A:$A&amp;"_"&amp;符文权重!$C:$C,符文权重!$D:$D)*$X387/SUMIFS($X:$X,H:H,H387,$C:$C,$C387,$AG:$AG,$AG387)/SUMIF(符文权重!$A:$A,$C387,符文权重!$D:$D))),"")</f>
        <v/>
      </c>
      <c r="O387" s="39" t="str" cm="1">
        <f t="array" ref="O387">IFERROR(IF($A387="","",IF(I387="","",_xlfn.XLOOKUP($C387&amp;"_"&amp;$AG387,符文权重!$A:$A&amp;"_"&amp;符文权重!$C:$C,符文权重!$D:$D)*$X387/SUMIFS($X:$X,I:I,I387,$C:$C,$C387,$AG:$AG,$AG387)/SUMIF(符文权重!$A:$A,$C387,符文权重!$D:$D))),"")</f>
        <v/>
      </c>
      <c r="P387" s="39" t="str" cm="1">
        <f t="array" ref="P387">IFERROR(IF($A387="","",IF(J387="","",_xlfn.XLOOKUP($C387&amp;"_"&amp;$AG387,符文权重!$A:$A&amp;"_"&amp;符文权重!$C:$C,符文权重!$D:$D)*$X387/SUMIFS($X:$X,J:J,J387,$C:$C,$C387,$AG:$AG,$AG387)/SUMIF(符文权重!$A:$A,$C387,符文权重!$D:$D))),"")</f>
        <v/>
      </c>
      <c r="Q387" s="39" t="str" cm="1">
        <f t="array" ref="Q387">IFERROR(IF($A387="","",IF(K387="","",_xlfn.XLOOKUP($C387&amp;"_"&amp;$AG387,符文权重!$A:$A&amp;"_"&amp;符文权重!$C:$C,符文权重!$D:$D)*$X387/SUMIFS($X:$X,K:K,K387,$C:$C,$C387,$AG:$AG,$AG387)/SUMIF(符文权重!$A:$A,$C387,符文权重!$D:$D))),"")</f>
        <v/>
      </c>
      <c r="R387" s="26" t="s">
        <v>181</v>
      </c>
      <c r="S387" s="26" t="s">
        <v>182</v>
      </c>
      <c r="T387" s="26" t="s">
        <v>394</v>
      </c>
      <c r="U387" s="40" t="s">
        <v>470</v>
      </c>
      <c r="X387" s="25">
        <v>100</v>
      </c>
      <c r="Z387" s="32" t="s">
        <v>178</v>
      </c>
      <c r="AA387" s="32" t="str">
        <f t="shared" si="195"/>
        <v>射手普攻时有35%概率额外攻击1次</v>
      </c>
      <c r="AB387" s="32"/>
      <c r="AC387" s="32" t="s">
        <v>166</v>
      </c>
      <c r="AD387" s="32">
        <f t="shared" si="193"/>
        <v>1382</v>
      </c>
      <c r="AE387" s="38" t="s">
        <v>463</v>
      </c>
      <c r="AF387" s="32" t="s">
        <v>411</v>
      </c>
      <c r="AG387" s="26">
        <v>5</v>
      </c>
      <c r="AH387" s="26"/>
      <c r="AI387" s="26">
        <v>0</v>
      </c>
      <c r="AJ387" s="25">
        <v>1</v>
      </c>
      <c r="AK387" s="38">
        <v>5505076</v>
      </c>
      <c r="AL387" s="41" t="s">
        <v>465</v>
      </c>
      <c r="AM387" s="26">
        <v>35</v>
      </c>
      <c r="AN387" s="25">
        <v>5</v>
      </c>
      <c r="AO387" s="26" t="s">
        <v>31</v>
      </c>
      <c r="AP387" s="20">
        <f t="shared" si="194"/>
        <v>382</v>
      </c>
    </row>
    <row r="388" customHeight="1" spans="1:42">
      <c r="A388" s="38">
        <v>5505077</v>
      </c>
      <c r="B388" s="38" t="s">
        <v>463</v>
      </c>
      <c r="C388" s="32">
        <v>7</v>
      </c>
      <c r="D388" s="32"/>
      <c r="E388" s="26" t="s">
        <v>200</v>
      </c>
      <c r="F388" s="26" t="str">
        <f t="shared" si="190"/>
        <v/>
      </c>
      <c r="G388" s="26">
        <f>IFERROR(IF(--MID($E388,2*COUNTIF($F388:F388,"&gt;"&amp;0)+2,1)=G$1,G$1,""),"")</f>
        <v>2</v>
      </c>
      <c r="H388" s="26" t="str">
        <f>IFERROR(IF(--MID($E388,2*COUNTIF($F388:G388,"&gt;"&amp;0)+2,1)=H$1,H$1,""),"")</f>
        <v/>
      </c>
      <c r="I388" s="26" t="str">
        <f>IFERROR(IF(--MID($E388,2*COUNTIF($F388:H388,"&gt;"&amp;0)+2,1)=I$1,I$1,""),"")</f>
        <v/>
      </c>
      <c r="J388" s="26" t="str">
        <f>IFERROR(IF(--MID($E388,2*COUNTIF($F388:I388,"&gt;"&amp;0)+2,1)=J$1,J$1,""),"")</f>
        <v/>
      </c>
      <c r="K388" s="26" t="str">
        <f>IFERROR(IF(--MID($E388,2*COUNTIF($F388:J388,"&gt;"&amp;0)+2,1)=K$1,K$1,""),"")</f>
        <v/>
      </c>
      <c r="L388" s="39" t="str" cm="1">
        <f t="array" ref="L388">IFERROR(IF($A388="","",IF(F388="","",_xlfn.XLOOKUP($C388&amp;"_"&amp;$AG388,符文权重!$A:$A&amp;"_"&amp;符文权重!$C:$C,符文权重!$D:$D)*$X388/SUMIFS($X:$X,F:F,F388,$C:$C,$C388,$AG:$AG,$AG388)/SUMIF(符文权重!$A:$A,$C388,符文权重!$D:$D))),"")</f>
        <v/>
      </c>
      <c r="M388" s="39" cm="1">
        <f t="array" ref="M388">IFERROR(IF($A388="","",IF(G388="","",_xlfn.XLOOKUP($C388&amp;"_"&amp;$AG388,符文权重!$A:$A&amp;"_"&amp;符文权重!$C:$C,符文权重!$D:$D)*$X388/SUMIFS($X:$X,G:G,G388,$C:$C,$C388,$AG:$AG,$AG388)/SUMIF(符文权重!$A:$A,$C388,符文权重!$D:$D))),"")</f>
        <v>0.005625</v>
      </c>
      <c r="N388" s="39" t="str" cm="1">
        <f t="array" ref="N388">IFERROR(IF($A388="","",IF(H388="","",_xlfn.XLOOKUP($C388&amp;"_"&amp;$AG388,符文权重!$A:$A&amp;"_"&amp;符文权重!$C:$C,符文权重!$D:$D)*$X388/SUMIFS($X:$X,H:H,H388,$C:$C,$C388,$AG:$AG,$AG388)/SUMIF(符文权重!$A:$A,$C388,符文权重!$D:$D))),"")</f>
        <v/>
      </c>
      <c r="O388" s="39" t="str" cm="1">
        <f t="array" ref="O388">IFERROR(IF($A388="","",IF(I388="","",_xlfn.XLOOKUP($C388&amp;"_"&amp;$AG388,符文权重!$A:$A&amp;"_"&amp;符文权重!$C:$C,符文权重!$D:$D)*$X388/SUMIFS($X:$X,I:I,I388,$C:$C,$C388,$AG:$AG,$AG388)/SUMIF(符文权重!$A:$A,$C388,符文权重!$D:$D))),"")</f>
        <v/>
      </c>
      <c r="P388" s="39" t="str" cm="1">
        <f t="array" ref="P388">IFERROR(IF($A388="","",IF(J388="","",_xlfn.XLOOKUP($C388&amp;"_"&amp;$AG388,符文权重!$A:$A&amp;"_"&amp;符文权重!$C:$C,符文权重!$D:$D)*$X388/SUMIFS($X:$X,J:J,J388,$C:$C,$C388,$AG:$AG,$AG388)/SUMIF(符文权重!$A:$A,$C388,符文权重!$D:$D))),"")</f>
        <v/>
      </c>
      <c r="Q388" s="39" t="str" cm="1">
        <f t="array" ref="Q388">IFERROR(IF($A388="","",IF(K388="","",_xlfn.XLOOKUP($C388&amp;"_"&amp;$AG388,符文权重!$A:$A&amp;"_"&amp;符文权重!$C:$C,符文权重!$D:$D)*$X388/SUMIFS($X:$X,K:K,K388,$C:$C,$C388,$AG:$AG,$AG388)/SUMIF(符文权重!$A:$A,$C388,符文权重!$D:$D))),"")</f>
        <v/>
      </c>
      <c r="R388" s="26" t="s">
        <v>181</v>
      </c>
      <c r="S388" s="26" t="s">
        <v>182</v>
      </c>
      <c r="T388" s="26" t="s">
        <v>397</v>
      </c>
      <c r="U388" s="40" t="s">
        <v>471</v>
      </c>
      <c r="X388" s="26">
        <v>100</v>
      </c>
      <c r="Z388" s="32" t="s">
        <v>180</v>
      </c>
      <c r="AA388" s="32" t="str">
        <f t="shared" si="195"/>
        <v>射手普攻时有45%概率额外攻击1次</v>
      </c>
      <c r="AB388" s="32"/>
      <c r="AC388" s="32" t="s">
        <v>166</v>
      </c>
      <c r="AD388" s="32">
        <f t="shared" si="193"/>
        <v>1383</v>
      </c>
      <c r="AE388" s="38" t="s">
        <v>463</v>
      </c>
      <c r="AF388" s="32" t="s">
        <v>437</v>
      </c>
      <c r="AG388" s="26">
        <v>5</v>
      </c>
      <c r="AH388" s="26"/>
      <c r="AI388" s="26">
        <v>0</v>
      </c>
      <c r="AJ388" s="25">
        <v>1</v>
      </c>
      <c r="AK388" s="38">
        <v>5505077</v>
      </c>
      <c r="AL388" s="41" t="s">
        <v>465</v>
      </c>
      <c r="AM388" s="26">
        <v>45</v>
      </c>
      <c r="AN388" s="26">
        <v>5</v>
      </c>
      <c r="AO388" s="26" t="s">
        <v>31</v>
      </c>
      <c r="AP388" s="20">
        <f t="shared" si="194"/>
        <v>383</v>
      </c>
    </row>
    <row r="389" s="20" customFormat="1" customHeight="1" spans="1:42">
      <c r="A389" s="38" t="s">
        <v>167</v>
      </c>
      <c r="B389" s="38" t="s">
        <v>167</v>
      </c>
      <c r="C389" s="32" t="s">
        <v>167</v>
      </c>
      <c r="D389" s="32"/>
      <c r="E389" s="26"/>
      <c r="F389" s="26" t="str">
        <f t="shared" si="190"/>
        <v/>
      </c>
      <c r="G389" s="26" t="str">
        <f>IFERROR(IF(--MID($E389,2*COUNTIF($F389:F389,"&gt;"&amp;0)+2,1)=G$1,G$1,""),"")</f>
        <v/>
      </c>
      <c r="H389" s="26" t="str">
        <f>IFERROR(IF(--MID($E389,2*COUNTIF($F389:G389,"&gt;"&amp;0)+2,1)=H$1,H$1,""),"")</f>
        <v/>
      </c>
      <c r="I389" s="26" t="str">
        <f>IFERROR(IF(--MID($E389,2*COUNTIF($F389:H389,"&gt;"&amp;0)+2,1)=I$1,I$1,""),"")</f>
        <v/>
      </c>
      <c r="J389" s="26" t="str">
        <f>IFERROR(IF(--MID($E389,2*COUNTIF($F389:I389,"&gt;"&amp;0)+2,1)=J$1,J$1,""),"")</f>
        <v/>
      </c>
      <c r="K389" s="26" t="str">
        <f>IFERROR(IF(--MID($E389,2*COUNTIF($F389:J389,"&gt;"&amp;0)+2,1)=K$1,K$1,""),"")</f>
        <v/>
      </c>
      <c r="L389" s="39" t="str" cm="1">
        <f t="array" ref="L389">IFERROR(IF($A389="","",IF(F389="","",_xlfn.XLOOKUP($C389&amp;"_"&amp;$AG389,符文权重!$A:$A&amp;"_"&amp;符文权重!$C:$C,符文权重!$D:$D)*$X389/SUMIFS($X:$X,F:F,F389,$C:$C,$C389,$AG:$AG,$AG389)/SUMIF(符文权重!$A:$A,$C389,符文权重!$D:$D))),"")</f>
        <v/>
      </c>
      <c r="M389" s="39" t="str" cm="1">
        <f t="array" ref="M389">IFERROR(IF($A389="","",IF(G389="","",_xlfn.XLOOKUP($C389&amp;"_"&amp;$AG389,符文权重!$A:$A&amp;"_"&amp;符文权重!$C:$C,符文权重!$D:$D)*$X389/SUMIFS($X:$X,G:G,G389,$C:$C,$C389,$AG:$AG,$AG389)/SUMIF(符文权重!$A:$A,$C389,符文权重!$D:$D))),"")</f>
        <v/>
      </c>
      <c r="N389" s="39" t="str" cm="1">
        <f t="array" ref="N389">IFERROR(IF($A389="","",IF(H389="","",_xlfn.XLOOKUP($C389&amp;"_"&amp;$AG389,符文权重!$A:$A&amp;"_"&amp;符文权重!$C:$C,符文权重!$D:$D)*$X389/SUMIFS($X:$X,H:H,H389,$C:$C,$C389,$AG:$AG,$AG389)/SUMIF(符文权重!$A:$A,$C389,符文权重!$D:$D))),"")</f>
        <v/>
      </c>
      <c r="O389" s="39" t="str" cm="1">
        <f t="array" ref="O389">IFERROR(IF($A389="","",IF(I389="","",_xlfn.XLOOKUP($C389&amp;"_"&amp;$AG389,符文权重!$A:$A&amp;"_"&amp;符文权重!$C:$C,符文权重!$D:$D)*$X389/SUMIFS($X:$X,I:I,I389,$C:$C,$C389,$AG:$AG,$AG389)/SUMIF(符文权重!$A:$A,$C389,符文权重!$D:$D))),"")</f>
        <v/>
      </c>
      <c r="P389" s="39" t="str" cm="1">
        <f t="array" ref="P389">IFERROR(IF($A389="","",IF(J389="","",_xlfn.XLOOKUP($C389&amp;"_"&amp;$AG389,符文权重!$A:$A&amp;"_"&amp;符文权重!$C:$C,符文权重!$D:$D)*$X389/SUMIFS($X:$X,J:J,J389,$C:$C,$C389,$AG:$AG,$AG389)/SUMIF(符文权重!$A:$A,$C389,符文权重!$D:$D))),"")</f>
        <v/>
      </c>
      <c r="Q389" s="39" t="str" cm="1">
        <f t="array" ref="Q389">IFERROR(IF($A389="","",IF(K389="","",_xlfn.XLOOKUP($C389&amp;"_"&amp;$AG389,符文权重!$A:$A&amp;"_"&amp;符文权重!$C:$C,符文权重!$D:$D)*$X389/SUMIFS($X:$X,K:K,K389,$C:$C,$C389,$AG:$AG,$AG389)/SUMIF(符文权重!$A:$A,$C389,符文权重!$D:$D))),"")</f>
        <v/>
      </c>
      <c r="R389" s="26"/>
      <c r="S389" s="26"/>
      <c r="T389" s="26"/>
      <c r="V389" s="31"/>
      <c r="W389" s="25"/>
      <c r="X389" s="25"/>
      <c r="Y389" s="25"/>
      <c r="Z389" s="32" t="s">
        <v>167</v>
      </c>
      <c r="AA389" s="32" t="str">
        <f t="shared" si="195"/>
        <v/>
      </c>
      <c r="AB389" s="32"/>
      <c r="AC389" s="32" t="s">
        <v>166</v>
      </c>
      <c r="AD389" s="32">
        <f t="shared" si="193"/>
        <v>1384</v>
      </c>
      <c r="AE389" s="38" t="s">
        <v>167</v>
      </c>
      <c r="AF389" s="32" t="s">
        <v>167</v>
      </c>
      <c r="AG389" s="26"/>
      <c r="AH389" s="26"/>
      <c r="AI389" s="26"/>
      <c r="AJ389" s="25" t="s">
        <v>167</v>
      </c>
      <c r="AK389" s="24"/>
      <c r="AL389" s="59"/>
      <c r="AM389" s="26"/>
      <c r="AN389" s="25"/>
      <c r="AO389" s="25"/>
      <c r="AP389" s="20">
        <f t="shared" si="194"/>
        <v>384</v>
      </c>
    </row>
    <row r="390" s="23" customFormat="1" customHeight="1" spans="1:42">
      <c r="A390" s="44">
        <v>5505081</v>
      </c>
      <c r="B390" s="44" t="s">
        <v>472</v>
      </c>
      <c r="C390" s="45">
        <v>1</v>
      </c>
      <c r="D390" s="45"/>
      <c r="E390" s="46" t="s">
        <v>218</v>
      </c>
      <c r="F390" s="26" t="str">
        <f t="shared" si="190"/>
        <v/>
      </c>
      <c r="G390" s="26" t="str">
        <f>IFERROR(IF(--MID($E390,2*COUNTIF($F390:F390,"&gt;"&amp;0)+2,1)=G$1,G$1,""),"")</f>
        <v/>
      </c>
      <c r="H390" s="26" t="str">
        <f>IFERROR(IF(--MID($E390,2*COUNTIF($F390:G390,"&gt;"&amp;0)+2,1)=H$1,H$1,""),"")</f>
        <v/>
      </c>
      <c r="I390" s="26" t="str">
        <f>IFERROR(IF(--MID($E390,2*COUNTIF($F390:H390,"&gt;"&amp;0)+2,1)=I$1,I$1,""),"")</f>
        <v/>
      </c>
      <c r="J390" s="26">
        <f>IFERROR(IF(--MID($E390,2*COUNTIF($F390:I390,"&gt;"&amp;0)+2,1)=J$1,J$1,""),"")</f>
        <v>5</v>
      </c>
      <c r="K390" s="26" t="str">
        <f>IFERROR(IF(--MID($E390,2*COUNTIF($F390:J390,"&gt;"&amp;0)+2,1)=K$1,K$1,""),"")</f>
        <v/>
      </c>
      <c r="L390" s="39" t="str" cm="1">
        <f t="array" ref="L390">IFERROR(IF($A390="","",IF(F390="","",_xlfn.XLOOKUP($C390&amp;"_"&amp;$AG390,符文权重!$A:$A&amp;"_"&amp;符文权重!$C:$C,符文权重!$D:$D)*$X390/SUMIFS($X:$X,F:F,F390,$C:$C,$C390,$AG:$AG,$AG390)/SUMIF(符文权重!$A:$A,$C390,符文权重!$D:$D))),"")</f>
        <v/>
      </c>
      <c r="M390" s="39" t="str" cm="1">
        <f t="array" ref="M390">IFERROR(IF($A390="","",IF(G390="","",_xlfn.XLOOKUP($C390&amp;"_"&amp;$AG390,符文权重!$A:$A&amp;"_"&amp;符文权重!$C:$C,符文权重!$D:$D)*$X390/SUMIFS($X:$X,G:G,G390,$C:$C,$C390,$AG:$AG,$AG390)/SUMIF(符文权重!$A:$A,$C390,符文权重!$D:$D))),"")</f>
        <v/>
      </c>
      <c r="N390" s="39" t="str" cm="1">
        <f t="array" ref="N390">IFERROR(IF($A390="","",IF(H390="","",_xlfn.XLOOKUP($C390&amp;"_"&amp;$AG390,符文权重!$A:$A&amp;"_"&amp;符文权重!$C:$C,符文权重!$D:$D)*$X390/SUMIFS($X:$X,H:H,H390,$C:$C,$C390,$AG:$AG,$AG390)/SUMIF(符文权重!$A:$A,$C390,符文权重!$D:$D))),"")</f>
        <v/>
      </c>
      <c r="O390" s="39" t="str" cm="1">
        <f t="array" ref="O390">IFERROR(IF($A390="","",IF(I390="","",_xlfn.XLOOKUP($C390&amp;"_"&amp;$AG390,符文权重!$A:$A&amp;"_"&amp;符文权重!$C:$C,符文权重!$D:$D)*$X390/SUMIFS($X:$X,I:I,I390,$C:$C,$C390,$AG:$AG,$AG390)/SUMIF(符文权重!$A:$A,$C390,符文权重!$D:$D))),"")</f>
        <v/>
      </c>
      <c r="P390" s="39" t="str" cm="1">
        <f t="array" ref="P390">IFERROR(IF($A390="","",IF(J390="","",_xlfn.XLOOKUP($C390&amp;"_"&amp;$AG390,符文权重!$A:$A&amp;"_"&amp;符文权重!$C:$C,符文权重!$D:$D)*$X390/SUMIFS($X:$X,J:J,J390,$C:$C,$C390,$AG:$AG,$AG390)/SUMIF(符文权重!$A:$A,$C390,符文权重!$D:$D))),"")</f>
        <v/>
      </c>
      <c r="Q390" s="39" t="str" cm="1">
        <f t="array" ref="Q390">IFERROR(IF($A390="","",IF(K390="","",_xlfn.XLOOKUP($C390&amp;"_"&amp;$AG390,符文权重!$A:$A&amp;"_"&amp;符文权重!$C:$C,符文权重!$D:$D)*$X390/SUMIFS($X:$X,K:K,K390,$C:$C,$C390,$AG:$AG,$AG390)/SUMIF(符文权重!$A:$A,$C390,符文权重!$D:$D))),"")</f>
        <v/>
      </c>
      <c r="R390" s="46" t="s">
        <v>181</v>
      </c>
      <c r="S390" s="46" t="s">
        <v>200</v>
      </c>
      <c r="T390" s="46" t="s">
        <v>380</v>
      </c>
      <c r="U390" s="47" t="s">
        <v>473</v>
      </c>
      <c r="V390" s="46"/>
      <c r="X390" s="25">
        <v>100</v>
      </c>
      <c r="Z390" s="45" t="s">
        <v>165</v>
      </c>
      <c r="AA390" s="32" t="str">
        <f t="shared" si="195"/>
        <v>法师职业暴击时，最终暴击伤害将在80%~110%之间波动</v>
      </c>
      <c r="AB390" s="32"/>
      <c r="AC390" s="32" t="s">
        <v>166</v>
      </c>
      <c r="AD390" s="32">
        <f t="shared" si="193"/>
        <v>1385</v>
      </c>
      <c r="AE390" s="44" t="s">
        <v>472</v>
      </c>
      <c r="AF390" s="45" t="s">
        <v>474</v>
      </c>
      <c r="AG390" s="26">
        <v>100</v>
      </c>
      <c r="AH390" s="46"/>
      <c r="AI390" s="46">
        <v>1</v>
      </c>
      <c r="AJ390" s="25">
        <v>1</v>
      </c>
      <c r="AK390" s="48">
        <v>5505081</v>
      </c>
      <c r="AL390" s="49" t="s">
        <v>475</v>
      </c>
      <c r="AM390" s="46">
        <v>110</v>
      </c>
      <c r="AN390" s="25"/>
      <c r="AO390" s="26" t="s">
        <v>32</v>
      </c>
      <c r="AP390" s="20">
        <f t="shared" si="194"/>
        <v>385</v>
      </c>
    </row>
    <row r="391" s="23" customFormat="1" customHeight="1" spans="1:42">
      <c r="A391" s="44">
        <v>5505082</v>
      </c>
      <c r="B391" s="44" t="s">
        <v>472</v>
      </c>
      <c r="C391" s="45">
        <v>2</v>
      </c>
      <c r="D391" s="45"/>
      <c r="E391" s="46" t="s">
        <v>218</v>
      </c>
      <c r="F391" s="26" t="str">
        <f t="shared" ref="F391:F454" si="196">IF(LEFT(E391,2)="[1",1,"")</f>
        <v/>
      </c>
      <c r="G391" s="26" t="str">
        <f>IFERROR(IF(--MID($E391,2*COUNTIF($F391:F391,"&gt;"&amp;0)+2,1)=G$1,G$1,""),"")</f>
        <v/>
      </c>
      <c r="H391" s="26" t="str">
        <f>IFERROR(IF(--MID($E391,2*COUNTIF($F391:G391,"&gt;"&amp;0)+2,1)=H$1,H$1,""),"")</f>
        <v/>
      </c>
      <c r="I391" s="26" t="str">
        <f>IFERROR(IF(--MID($E391,2*COUNTIF($F391:H391,"&gt;"&amp;0)+2,1)=I$1,I$1,""),"")</f>
        <v/>
      </c>
      <c r="J391" s="26">
        <f>IFERROR(IF(--MID($E391,2*COUNTIF($F391:I391,"&gt;"&amp;0)+2,1)=J$1,J$1,""),"")</f>
        <v>5</v>
      </c>
      <c r="K391" s="26" t="str">
        <f>IFERROR(IF(--MID($E391,2*COUNTIF($F391:J391,"&gt;"&amp;0)+2,1)=K$1,K$1,""),"")</f>
        <v/>
      </c>
      <c r="L391" s="39" t="str" cm="1">
        <f t="array" ref="L391">IFERROR(IF($A391="","",IF(F391="","",_xlfn.XLOOKUP($C391&amp;"_"&amp;$AG391,符文权重!$A:$A&amp;"_"&amp;符文权重!$C:$C,符文权重!$D:$D)*$X391/SUMIFS($X:$X,F:F,F391,$C:$C,$C391,$AG:$AG,$AG391)/SUMIF(符文权重!$A:$A,$C391,符文权重!$D:$D))),"")</f>
        <v/>
      </c>
      <c r="M391" s="39" t="str" cm="1">
        <f t="array" ref="M391">IFERROR(IF($A391="","",IF(G391="","",_xlfn.XLOOKUP($C391&amp;"_"&amp;$AG391,符文权重!$A:$A&amp;"_"&amp;符文权重!$C:$C,符文权重!$D:$D)*$X391/SUMIFS($X:$X,G:G,G391,$C:$C,$C391,$AG:$AG,$AG391)/SUMIF(符文权重!$A:$A,$C391,符文权重!$D:$D))),"")</f>
        <v/>
      </c>
      <c r="N391" s="39" t="str" cm="1">
        <f t="array" ref="N391">IFERROR(IF($A391="","",IF(H391="","",_xlfn.XLOOKUP($C391&amp;"_"&amp;$AG391,符文权重!$A:$A&amp;"_"&amp;符文权重!$C:$C,符文权重!$D:$D)*$X391/SUMIFS($X:$X,H:H,H391,$C:$C,$C391,$AG:$AG,$AG391)/SUMIF(符文权重!$A:$A,$C391,符文权重!$D:$D))),"")</f>
        <v/>
      </c>
      <c r="O391" s="39" t="str" cm="1">
        <f t="array" ref="O391">IFERROR(IF($A391="","",IF(I391="","",_xlfn.XLOOKUP($C391&amp;"_"&amp;$AG391,符文权重!$A:$A&amp;"_"&amp;符文权重!$C:$C,符文权重!$D:$D)*$X391/SUMIFS($X:$X,I:I,I391,$C:$C,$C391,$AG:$AG,$AG391)/SUMIF(符文权重!$A:$A,$C391,符文权重!$D:$D))),"")</f>
        <v/>
      </c>
      <c r="P391" s="39" t="str" cm="1">
        <f t="array" ref="P391">IFERROR(IF($A391="","",IF(J391="","",_xlfn.XLOOKUP($C391&amp;"_"&amp;$AG391,符文权重!$A:$A&amp;"_"&amp;符文权重!$C:$C,符文权重!$D:$D)*$X391/SUMIFS($X:$X,J:J,J391,$C:$C,$C391,$AG:$AG,$AG391)/SUMIF(符文权重!$A:$A,$C391,符文权重!$D:$D))),"")</f>
        <v/>
      </c>
      <c r="Q391" s="39" t="str" cm="1">
        <f t="array" ref="Q391">IFERROR(IF($A391="","",IF(K391="","",_xlfn.XLOOKUP($C391&amp;"_"&amp;$AG391,符文权重!$A:$A&amp;"_"&amp;符文权重!$C:$C,符文权重!$D:$D)*$X391/SUMIFS($X:$X,K:K,K391,$C:$C,$C391,$AG:$AG,$AG391)/SUMIF(符文权重!$A:$A,$C391,符文权重!$D:$D))),"")</f>
        <v/>
      </c>
      <c r="R391" s="46" t="s">
        <v>181</v>
      </c>
      <c r="S391" s="46" t="s">
        <v>200</v>
      </c>
      <c r="T391" s="46" t="s">
        <v>383</v>
      </c>
      <c r="U391" s="47" t="s">
        <v>476</v>
      </c>
      <c r="V391" s="46"/>
      <c r="X391" s="25">
        <v>100</v>
      </c>
      <c r="Z391" s="45" t="s">
        <v>170</v>
      </c>
      <c r="AA391" s="32" t="str">
        <f t="shared" si="195"/>
        <v>法师职业暴击时，最终暴击伤害将在80%~115%之间波动</v>
      </c>
      <c r="AB391" s="32"/>
      <c r="AC391" s="32" t="s">
        <v>166</v>
      </c>
      <c r="AD391" s="32">
        <f t="shared" si="193"/>
        <v>1386</v>
      </c>
      <c r="AE391" s="44" t="s">
        <v>472</v>
      </c>
      <c r="AF391" s="45" t="s">
        <v>477</v>
      </c>
      <c r="AG391" s="26">
        <v>100</v>
      </c>
      <c r="AH391" s="46"/>
      <c r="AI391" s="46">
        <v>1</v>
      </c>
      <c r="AJ391" s="25">
        <v>1</v>
      </c>
      <c r="AK391" s="44">
        <v>5505082</v>
      </c>
      <c r="AL391" s="50" t="s">
        <v>475</v>
      </c>
      <c r="AM391" s="46">
        <v>115</v>
      </c>
      <c r="AN391" s="25"/>
      <c r="AO391" s="26" t="s">
        <v>32</v>
      </c>
      <c r="AP391" s="20">
        <f t="shared" si="194"/>
        <v>386</v>
      </c>
    </row>
    <row r="392" s="23" customFormat="1" customHeight="1" spans="1:42">
      <c r="A392" s="44">
        <v>5505083</v>
      </c>
      <c r="B392" s="44" t="s">
        <v>472</v>
      </c>
      <c r="C392" s="45">
        <v>3</v>
      </c>
      <c r="D392" s="45"/>
      <c r="E392" s="46" t="s">
        <v>218</v>
      </c>
      <c r="F392" s="26" t="str">
        <f t="shared" si="196"/>
        <v/>
      </c>
      <c r="G392" s="26" t="str">
        <f>IFERROR(IF(--MID($E392,2*COUNTIF($F392:F392,"&gt;"&amp;0)+2,1)=G$1,G$1,""),"")</f>
        <v/>
      </c>
      <c r="H392" s="26" t="str">
        <f>IFERROR(IF(--MID($E392,2*COUNTIF($F392:G392,"&gt;"&amp;0)+2,1)=H$1,H$1,""),"")</f>
        <v/>
      </c>
      <c r="I392" s="26" t="str">
        <f>IFERROR(IF(--MID($E392,2*COUNTIF($F392:H392,"&gt;"&amp;0)+2,1)=I$1,I$1,""),"")</f>
        <v/>
      </c>
      <c r="J392" s="26">
        <f>IFERROR(IF(--MID($E392,2*COUNTIF($F392:I392,"&gt;"&amp;0)+2,1)=J$1,J$1,""),"")</f>
        <v>5</v>
      </c>
      <c r="K392" s="26" t="str">
        <f>IFERROR(IF(--MID($E392,2*COUNTIF($F392:J392,"&gt;"&amp;0)+2,1)=K$1,K$1,""),"")</f>
        <v/>
      </c>
      <c r="L392" s="39" t="str" cm="1">
        <f t="array" ref="L392">IFERROR(IF($A392="","",IF(F392="","",_xlfn.XLOOKUP($C392&amp;"_"&amp;$AG392,符文权重!$A:$A&amp;"_"&amp;符文权重!$C:$C,符文权重!$D:$D)*$X392/SUMIFS($X:$X,F:F,F392,$C:$C,$C392,$AG:$AG,$AG392)/SUMIF(符文权重!$A:$A,$C392,符文权重!$D:$D))),"")</f>
        <v/>
      </c>
      <c r="M392" s="39" t="str" cm="1">
        <f t="array" ref="M392">IFERROR(IF($A392="","",IF(G392="","",_xlfn.XLOOKUP($C392&amp;"_"&amp;$AG392,符文权重!$A:$A&amp;"_"&amp;符文权重!$C:$C,符文权重!$D:$D)*$X392/SUMIFS($X:$X,G:G,G392,$C:$C,$C392,$AG:$AG,$AG392)/SUMIF(符文权重!$A:$A,$C392,符文权重!$D:$D))),"")</f>
        <v/>
      </c>
      <c r="N392" s="39" t="str" cm="1">
        <f t="array" ref="N392">IFERROR(IF($A392="","",IF(H392="","",_xlfn.XLOOKUP($C392&amp;"_"&amp;$AG392,符文权重!$A:$A&amp;"_"&amp;符文权重!$C:$C,符文权重!$D:$D)*$X392/SUMIFS($X:$X,H:H,H392,$C:$C,$C392,$AG:$AG,$AG392)/SUMIF(符文权重!$A:$A,$C392,符文权重!$D:$D))),"")</f>
        <v/>
      </c>
      <c r="O392" s="39" t="str" cm="1">
        <f t="array" ref="O392">IFERROR(IF($A392="","",IF(I392="","",_xlfn.XLOOKUP($C392&amp;"_"&amp;$AG392,符文权重!$A:$A&amp;"_"&amp;符文权重!$C:$C,符文权重!$D:$D)*$X392/SUMIFS($X:$X,I:I,I392,$C:$C,$C392,$AG:$AG,$AG392)/SUMIF(符文权重!$A:$A,$C392,符文权重!$D:$D))),"")</f>
        <v/>
      </c>
      <c r="P392" s="39" t="str" cm="1">
        <f t="array" ref="P392">IFERROR(IF($A392="","",IF(J392="","",_xlfn.XLOOKUP($C392&amp;"_"&amp;$AG392,符文权重!$A:$A&amp;"_"&amp;符文权重!$C:$C,符文权重!$D:$D)*$X392/SUMIFS($X:$X,J:J,J392,$C:$C,$C392,$AG:$AG,$AG392)/SUMIF(符文权重!$A:$A,$C392,符文权重!$D:$D))),"")</f>
        <v/>
      </c>
      <c r="Q392" s="39" t="str" cm="1">
        <f t="array" ref="Q392">IFERROR(IF($A392="","",IF(K392="","",_xlfn.XLOOKUP($C392&amp;"_"&amp;$AG392,符文权重!$A:$A&amp;"_"&amp;符文权重!$C:$C,符文权重!$D:$D)*$X392/SUMIFS($X:$X,K:K,K392,$C:$C,$C392,$AG:$AG,$AG392)/SUMIF(符文权重!$A:$A,$C392,符文权重!$D:$D))),"")</f>
        <v/>
      </c>
      <c r="R392" s="46" t="s">
        <v>181</v>
      </c>
      <c r="S392" s="46" t="s">
        <v>200</v>
      </c>
      <c r="T392" s="46" t="s">
        <v>385</v>
      </c>
      <c r="U392" s="47" t="s">
        <v>478</v>
      </c>
      <c r="V392" s="46"/>
      <c r="X392" s="26">
        <v>100</v>
      </c>
      <c r="Z392" s="45" t="s">
        <v>172</v>
      </c>
      <c r="AA392" s="32" t="str">
        <f t="shared" si="195"/>
        <v>法师职业暴击时，最终暴击伤害将在80%~120%之间波动</v>
      </c>
      <c r="AB392" s="32"/>
      <c r="AC392" s="32" t="s">
        <v>166</v>
      </c>
      <c r="AD392" s="32">
        <f t="shared" ref="AD392:AD455" si="197">AD391+1</f>
        <v>1387</v>
      </c>
      <c r="AE392" s="44" t="s">
        <v>472</v>
      </c>
      <c r="AF392" s="45" t="s">
        <v>479</v>
      </c>
      <c r="AG392" s="26">
        <v>100</v>
      </c>
      <c r="AH392" s="46"/>
      <c r="AI392" s="46">
        <v>1</v>
      </c>
      <c r="AJ392" s="25">
        <v>1</v>
      </c>
      <c r="AK392" s="44">
        <v>5505083</v>
      </c>
      <c r="AL392" s="50" t="s">
        <v>475</v>
      </c>
      <c r="AM392" s="46">
        <v>120</v>
      </c>
      <c r="AN392" s="26"/>
      <c r="AO392" s="26" t="s">
        <v>32</v>
      </c>
      <c r="AP392" s="20">
        <f t="shared" ref="AP392:AP455" si="198">AP391+1</f>
        <v>387</v>
      </c>
    </row>
    <row r="393" customHeight="1" spans="1:42">
      <c r="A393" s="38">
        <v>5505084</v>
      </c>
      <c r="B393" s="38" t="s">
        <v>472</v>
      </c>
      <c r="C393" s="32">
        <v>4</v>
      </c>
      <c r="D393" s="32"/>
      <c r="E393" s="26" t="s">
        <v>218</v>
      </c>
      <c r="F393" s="26" t="str">
        <f t="shared" si="196"/>
        <v/>
      </c>
      <c r="G393" s="26" t="str">
        <f>IFERROR(IF(--MID($E393,2*COUNTIF($F393:F393,"&gt;"&amp;0)+2,1)=G$1,G$1,""),"")</f>
        <v/>
      </c>
      <c r="H393" s="26" t="str">
        <f>IFERROR(IF(--MID($E393,2*COUNTIF($F393:G393,"&gt;"&amp;0)+2,1)=H$1,H$1,""),"")</f>
        <v/>
      </c>
      <c r="I393" s="26" t="str">
        <f>IFERROR(IF(--MID($E393,2*COUNTIF($F393:H393,"&gt;"&amp;0)+2,1)=I$1,I$1,""),"")</f>
        <v/>
      </c>
      <c r="J393" s="26">
        <f>IFERROR(IF(--MID($E393,2*COUNTIF($F393:I393,"&gt;"&amp;0)+2,1)=J$1,J$1,""),"")</f>
        <v>5</v>
      </c>
      <c r="K393" s="26" t="str">
        <f>IFERROR(IF(--MID($E393,2*COUNTIF($F393:J393,"&gt;"&amp;0)+2,1)=K$1,K$1,""),"")</f>
        <v/>
      </c>
      <c r="L393" s="39" t="str" cm="1">
        <f t="array" ref="L393">IFERROR(IF($A393="","",IF(F393="","",_xlfn.XLOOKUP($C393&amp;"_"&amp;$AG393,符文权重!$A:$A&amp;"_"&amp;符文权重!$C:$C,符文权重!$D:$D)*$X393/SUMIFS($X:$X,F:F,F393,$C:$C,$C393,$AG:$AG,$AG393)/SUMIF(符文权重!$A:$A,$C393,符文权重!$D:$D))),"")</f>
        <v/>
      </c>
      <c r="M393" s="39" t="str" cm="1">
        <f t="array" ref="M393">IFERROR(IF($A393="","",IF(G393="","",_xlfn.XLOOKUP($C393&amp;"_"&amp;$AG393,符文权重!$A:$A&amp;"_"&amp;符文权重!$C:$C,符文权重!$D:$D)*$X393/SUMIFS($X:$X,G:G,G393,$C:$C,$C393,$AG:$AG,$AG393)/SUMIF(符文权重!$A:$A,$C393,符文权重!$D:$D))),"")</f>
        <v/>
      </c>
      <c r="N393" s="39" t="str" cm="1">
        <f t="array" ref="N393">IFERROR(IF($A393="","",IF(H393="","",_xlfn.XLOOKUP($C393&amp;"_"&amp;$AG393,符文权重!$A:$A&amp;"_"&amp;符文权重!$C:$C,符文权重!$D:$D)*$X393/SUMIFS($X:$X,H:H,H393,$C:$C,$C393,$AG:$AG,$AG393)/SUMIF(符文权重!$A:$A,$C393,符文权重!$D:$D))),"")</f>
        <v/>
      </c>
      <c r="O393" s="39" t="str" cm="1">
        <f t="array" ref="O393">IFERROR(IF($A393="","",IF(I393="","",_xlfn.XLOOKUP($C393&amp;"_"&amp;$AG393,符文权重!$A:$A&amp;"_"&amp;符文权重!$C:$C,符文权重!$D:$D)*$X393/SUMIFS($X:$X,I:I,I393,$C:$C,$C393,$AG:$AG,$AG393)/SUMIF(符文权重!$A:$A,$C393,符文权重!$D:$D))),"")</f>
        <v/>
      </c>
      <c r="P393" s="60" cm="1">
        <f t="array" ref="P393">IFERROR(IF($A393="","",IF(J393="","",_xlfn.XLOOKUP($C393&amp;"_"&amp;$AG393,符文权重!$A:$A&amp;"_"&amp;符文权重!$C:$C,符文权重!$D:$D)*$X393/SUMIFS($X:$X,J:J,J393,$C:$C,$C393,$AG:$AG,$AG393)/SUMIF(符文权重!$A:$A,$C393,符文权重!$D:$D))),"")</f>
        <v>0.00504838709677419</v>
      </c>
      <c r="Q393" s="39" t="str" cm="1">
        <f t="array" ref="Q393">IFERROR(IF($A393="","",IF(K393="","",_xlfn.XLOOKUP($C393&amp;"_"&amp;$AG393,符文权重!$A:$A&amp;"_"&amp;符文权重!$C:$C,符文权重!$D:$D)*$X393/SUMIFS($X:$X,K:K,K393,$C:$C,$C393,$AG:$AG,$AG393)/SUMIF(符文权重!$A:$A,$C393,符文权重!$D:$D))),"")</f>
        <v/>
      </c>
      <c r="R393" s="26" t="s">
        <v>181</v>
      </c>
      <c r="S393" s="26" t="s">
        <v>200</v>
      </c>
      <c r="T393" s="26" t="s">
        <v>388</v>
      </c>
      <c r="U393" s="40" t="s">
        <v>480</v>
      </c>
      <c r="X393" s="25">
        <v>4</v>
      </c>
      <c r="Z393" s="32" t="s">
        <v>174</v>
      </c>
      <c r="AA393" s="32" t="str">
        <f t="shared" si="195"/>
        <v>法师职业暴击时，最终暴击伤害将在80%~130%之间波动</v>
      </c>
      <c r="AB393" s="32"/>
      <c r="AC393" s="32" t="s">
        <v>166</v>
      </c>
      <c r="AD393" s="32">
        <f t="shared" si="197"/>
        <v>1388</v>
      </c>
      <c r="AE393" s="38" t="s">
        <v>472</v>
      </c>
      <c r="AF393" s="32" t="s">
        <v>481</v>
      </c>
      <c r="AG393" s="26">
        <v>3</v>
      </c>
      <c r="AH393" s="26"/>
      <c r="AI393" s="26">
        <v>0</v>
      </c>
      <c r="AJ393" s="25">
        <v>1</v>
      </c>
      <c r="AK393" s="38">
        <v>5505084</v>
      </c>
      <c r="AL393" s="41" t="s">
        <v>475</v>
      </c>
      <c r="AM393" s="26">
        <v>130</v>
      </c>
      <c r="AN393" s="25">
        <v>5</v>
      </c>
      <c r="AO393" s="26" t="s">
        <v>32</v>
      </c>
      <c r="AP393" s="20">
        <f t="shared" si="198"/>
        <v>388</v>
      </c>
    </row>
    <row r="394" customHeight="1" spans="1:42">
      <c r="A394" s="38">
        <v>5505085</v>
      </c>
      <c r="B394" s="38" t="s">
        <v>472</v>
      </c>
      <c r="C394" s="32">
        <v>5</v>
      </c>
      <c r="D394" s="32"/>
      <c r="E394" s="26" t="s">
        <v>218</v>
      </c>
      <c r="F394" s="26" t="str">
        <f t="shared" si="196"/>
        <v/>
      </c>
      <c r="G394" s="26" t="str">
        <f>IFERROR(IF(--MID($E394,2*COUNTIF($F394:F394,"&gt;"&amp;0)+2,1)=G$1,G$1,""),"")</f>
        <v/>
      </c>
      <c r="H394" s="26" t="str">
        <f>IFERROR(IF(--MID($E394,2*COUNTIF($F394:G394,"&gt;"&amp;0)+2,1)=H$1,H$1,""),"")</f>
        <v/>
      </c>
      <c r="I394" s="26" t="str">
        <f>IFERROR(IF(--MID($E394,2*COUNTIF($F394:H394,"&gt;"&amp;0)+2,1)=I$1,I$1,""),"")</f>
        <v/>
      </c>
      <c r="J394" s="26">
        <f>IFERROR(IF(--MID($E394,2*COUNTIF($F394:I394,"&gt;"&amp;0)+2,1)=J$1,J$1,""),"")</f>
        <v>5</v>
      </c>
      <c r="K394" s="26" t="str">
        <f>IFERROR(IF(--MID($E394,2*COUNTIF($F394:J394,"&gt;"&amp;0)+2,1)=K$1,K$1,""),"")</f>
        <v/>
      </c>
      <c r="L394" s="39" t="str" cm="1">
        <f t="array" ref="L394">IFERROR(IF($A394="","",IF(F394="","",_xlfn.XLOOKUP($C394&amp;"_"&amp;$AG394,符文权重!$A:$A&amp;"_"&amp;符文权重!$C:$C,符文权重!$D:$D)*$X394/SUMIFS($X:$X,F:F,F394,$C:$C,$C394,$AG:$AG,$AG394)/SUMIF(符文权重!$A:$A,$C394,符文权重!$D:$D))),"")</f>
        <v/>
      </c>
      <c r="M394" s="39" t="str" cm="1">
        <f t="array" ref="M394">IFERROR(IF($A394="","",IF(G394="","",_xlfn.XLOOKUP($C394&amp;"_"&amp;$AG394,符文权重!$A:$A&amp;"_"&amp;符文权重!$C:$C,符文权重!$D:$D)*$X394/SUMIFS($X:$X,G:G,G394,$C:$C,$C394,$AG:$AG,$AG394)/SUMIF(符文权重!$A:$A,$C394,符文权重!$D:$D))),"")</f>
        <v/>
      </c>
      <c r="N394" s="39" t="str" cm="1">
        <f t="array" ref="N394">IFERROR(IF($A394="","",IF(H394="","",_xlfn.XLOOKUP($C394&amp;"_"&amp;$AG394,符文权重!$A:$A&amp;"_"&amp;符文权重!$C:$C,符文权重!$D:$D)*$X394/SUMIFS($X:$X,H:H,H394,$C:$C,$C394,$AG:$AG,$AG394)/SUMIF(符文权重!$A:$A,$C394,符文权重!$D:$D))),"")</f>
        <v/>
      </c>
      <c r="O394" s="39" t="str" cm="1">
        <f t="array" ref="O394">IFERROR(IF($A394="","",IF(I394="","",_xlfn.XLOOKUP($C394&amp;"_"&amp;$AG394,符文权重!$A:$A&amp;"_"&amp;符文权重!$C:$C,符文权重!$D:$D)*$X394/SUMIFS($X:$X,I:I,I394,$C:$C,$C394,$AG:$AG,$AG394)/SUMIF(符文权重!$A:$A,$C394,符文权重!$D:$D))),"")</f>
        <v/>
      </c>
      <c r="P394" s="39" cm="1">
        <f t="array" ref="P394">IFERROR(IF($A394="","",IF(J394="","",_xlfn.XLOOKUP($C394&amp;"_"&amp;$AG394,符文权重!$A:$A&amp;"_"&amp;符文权重!$C:$C,符文权重!$D:$D)*$X394/SUMIFS($X:$X,J:J,J394,$C:$C,$C394,$AG:$AG,$AG394)/SUMIF(符文权重!$A:$A,$C394,符文权重!$D:$D))),"")</f>
        <v>0.005625</v>
      </c>
      <c r="Q394" s="39" t="str" cm="1">
        <f t="array" ref="Q394">IFERROR(IF($A394="","",IF(K394="","",_xlfn.XLOOKUP($C394&amp;"_"&amp;$AG394,符文权重!$A:$A&amp;"_"&amp;符文权重!$C:$C,符文权重!$D:$D)*$X394/SUMIFS($X:$X,K:K,K394,$C:$C,$C394,$AG:$AG,$AG394)/SUMIF(符文权重!$A:$A,$C394,符文权重!$D:$D))),"")</f>
        <v/>
      </c>
      <c r="R394" s="26" t="s">
        <v>181</v>
      </c>
      <c r="S394" s="26" t="s">
        <v>200</v>
      </c>
      <c r="T394" s="26" t="s">
        <v>391</v>
      </c>
      <c r="U394" s="40" t="s">
        <v>482</v>
      </c>
      <c r="X394" s="25">
        <v>100</v>
      </c>
      <c r="Z394" s="32" t="s">
        <v>176</v>
      </c>
      <c r="AA394" s="32" t="str">
        <f t="shared" si="195"/>
        <v>法师职业暴击时，最终暴击伤害将在80%~150%之间波动</v>
      </c>
      <c r="AB394" s="32"/>
      <c r="AC394" s="32" t="s">
        <v>166</v>
      </c>
      <c r="AD394" s="32">
        <f t="shared" si="197"/>
        <v>1389</v>
      </c>
      <c r="AE394" s="38" t="s">
        <v>472</v>
      </c>
      <c r="AF394" s="32" t="s">
        <v>483</v>
      </c>
      <c r="AG394" s="26">
        <v>5</v>
      </c>
      <c r="AH394" s="26"/>
      <c r="AI394" s="26">
        <v>0</v>
      </c>
      <c r="AJ394" s="25">
        <v>1</v>
      </c>
      <c r="AK394" s="38">
        <v>5505085</v>
      </c>
      <c r="AL394" s="41" t="s">
        <v>475</v>
      </c>
      <c r="AM394" s="26">
        <v>150</v>
      </c>
      <c r="AN394" s="25">
        <v>5</v>
      </c>
      <c r="AO394" s="26" t="s">
        <v>32</v>
      </c>
      <c r="AP394" s="20">
        <f t="shared" si="198"/>
        <v>389</v>
      </c>
    </row>
    <row r="395" customHeight="1" spans="1:42">
      <c r="A395" s="38">
        <v>5505086</v>
      </c>
      <c r="B395" s="38" t="s">
        <v>472</v>
      </c>
      <c r="C395" s="32">
        <v>6</v>
      </c>
      <c r="D395" s="32"/>
      <c r="E395" s="26" t="s">
        <v>218</v>
      </c>
      <c r="F395" s="26" t="str">
        <f t="shared" si="196"/>
        <v/>
      </c>
      <c r="G395" s="26" t="str">
        <f>IFERROR(IF(--MID($E395,2*COUNTIF($F395:F395,"&gt;"&amp;0)+2,1)=G$1,G$1,""),"")</f>
        <v/>
      </c>
      <c r="H395" s="26" t="str">
        <f>IFERROR(IF(--MID($E395,2*COUNTIF($F395:G395,"&gt;"&amp;0)+2,1)=H$1,H$1,""),"")</f>
        <v/>
      </c>
      <c r="I395" s="26" t="str">
        <f>IFERROR(IF(--MID($E395,2*COUNTIF($F395:H395,"&gt;"&amp;0)+2,1)=I$1,I$1,""),"")</f>
        <v/>
      </c>
      <c r="J395" s="26">
        <f>IFERROR(IF(--MID($E395,2*COUNTIF($F395:I395,"&gt;"&amp;0)+2,1)=J$1,J$1,""),"")</f>
        <v>5</v>
      </c>
      <c r="K395" s="26" t="str">
        <f>IFERROR(IF(--MID($E395,2*COUNTIF($F395:J395,"&gt;"&amp;0)+2,1)=K$1,K$1,""),"")</f>
        <v/>
      </c>
      <c r="L395" s="39" t="str" cm="1">
        <f t="array" ref="L395">IFERROR(IF($A395="","",IF(F395="","",_xlfn.XLOOKUP($C395&amp;"_"&amp;$AG395,符文权重!$A:$A&amp;"_"&amp;符文权重!$C:$C,符文权重!$D:$D)*$X395/SUMIFS($X:$X,F:F,F395,$C:$C,$C395,$AG:$AG,$AG395)/SUMIF(符文权重!$A:$A,$C395,符文权重!$D:$D))),"")</f>
        <v/>
      </c>
      <c r="M395" s="39" t="str" cm="1">
        <f t="array" ref="M395">IFERROR(IF($A395="","",IF(G395="","",_xlfn.XLOOKUP($C395&amp;"_"&amp;$AG395,符文权重!$A:$A&amp;"_"&amp;符文权重!$C:$C,符文权重!$D:$D)*$X395/SUMIFS($X:$X,G:G,G395,$C:$C,$C395,$AG:$AG,$AG395)/SUMIF(符文权重!$A:$A,$C395,符文权重!$D:$D))),"")</f>
        <v/>
      </c>
      <c r="N395" s="39" t="str" cm="1">
        <f t="array" ref="N395">IFERROR(IF($A395="","",IF(H395="","",_xlfn.XLOOKUP($C395&amp;"_"&amp;$AG395,符文权重!$A:$A&amp;"_"&amp;符文权重!$C:$C,符文权重!$D:$D)*$X395/SUMIFS($X:$X,H:H,H395,$C:$C,$C395,$AG:$AG,$AG395)/SUMIF(符文权重!$A:$A,$C395,符文权重!$D:$D))),"")</f>
        <v/>
      </c>
      <c r="O395" s="39" t="str" cm="1">
        <f t="array" ref="O395">IFERROR(IF($A395="","",IF(I395="","",_xlfn.XLOOKUP($C395&amp;"_"&amp;$AG395,符文权重!$A:$A&amp;"_"&amp;符文权重!$C:$C,符文权重!$D:$D)*$X395/SUMIFS($X:$X,I:I,I395,$C:$C,$C395,$AG:$AG,$AG395)/SUMIF(符文权重!$A:$A,$C395,符文权重!$D:$D))),"")</f>
        <v/>
      </c>
      <c r="P395" s="39" cm="1">
        <f t="array" ref="P395">IFERROR(IF($A395="","",IF(J395="","",_xlfn.XLOOKUP($C395&amp;"_"&amp;$AG395,符文权重!$A:$A&amp;"_"&amp;符文权重!$C:$C,符文权重!$D:$D)*$X395/SUMIFS($X:$X,J:J,J395,$C:$C,$C395,$AG:$AG,$AG395)/SUMIF(符文权重!$A:$A,$C395,符文权重!$D:$D))),"")</f>
        <v>0.005625</v>
      </c>
      <c r="Q395" s="39" t="str" cm="1">
        <f t="array" ref="Q395">IFERROR(IF($A395="","",IF(K395="","",_xlfn.XLOOKUP($C395&amp;"_"&amp;$AG395,符文权重!$A:$A&amp;"_"&amp;符文权重!$C:$C,符文权重!$D:$D)*$X395/SUMIFS($X:$X,K:K,K395,$C:$C,$C395,$AG:$AG,$AG395)/SUMIF(符文权重!$A:$A,$C395,符文权重!$D:$D))),"")</f>
        <v/>
      </c>
      <c r="R395" s="26" t="s">
        <v>181</v>
      </c>
      <c r="S395" s="26" t="s">
        <v>200</v>
      </c>
      <c r="T395" s="26" t="s">
        <v>394</v>
      </c>
      <c r="U395" s="40" t="s">
        <v>484</v>
      </c>
      <c r="X395" s="25">
        <v>100</v>
      </c>
      <c r="Z395" s="32" t="s">
        <v>178</v>
      </c>
      <c r="AA395" s="32" t="str">
        <f t="shared" si="195"/>
        <v>法师职业暴击时，最终暴击伤害将在80%~180%之间波动</v>
      </c>
      <c r="AB395" s="32"/>
      <c r="AC395" s="32" t="s">
        <v>166</v>
      </c>
      <c r="AD395" s="32">
        <f t="shared" si="197"/>
        <v>1390</v>
      </c>
      <c r="AE395" s="38" t="s">
        <v>472</v>
      </c>
      <c r="AF395" s="32" t="s">
        <v>485</v>
      </c>
      <c r="AG395" s="26">
        <v>5</v>
      </c>
      <c r="AH395" s="26"/>
      <c r="AI395" s="26">
        <v>0</v>
      </c>
      <c r="AJ395" s="25">
        <v>1</v>
      </c>
      <c r="AK395" s="38">
        <v>5505086</v>
      </c>
      <c r="AL395" s="41" t="s">
        <v>475</v>
      </c>
      <c r="AM395" s="26">
        <v>180</v>
      </c>
      <c r="AN395" s="25">
        <v>5</v>
      </c>
      <c r="AO395" s="26" t="s">
        <v>32</v>
      </c>
      <c r="AP395" s="20">
        <f t="shared" si="198"/>
        <v>390</v>
      </c>
    </row>
    <row r="396" customHeight="1" spans="1:42">
      <c r="A396" s="38">
        <v>5505087</v>
      </c>
      <c r="B396" s="38" t="s">
        <v>472</v>
      </c>
      <c r="C396" s="32">
        <v>7</v>
      </c>
      <c r="D396" s="32"/>
      <c r="E396" s="26" t="s">
        <v>218</v>
      </c>
      <c r="F396" s="26" t="str">
        <f t="shared" si="196"/>
        <v/>
      </c>
      <c r="G396" s="26" t="str">
        <f>IFERROR(IF(--MID($E396,2*COUNTIF($F396:F396,"&gt;"&amp;0)+2,1)=G$1,G$1,""),"")</f>
        <v/>
      </c>
      <c r="H396" s="26" t="str">
        <f>IFERROR(IF(--MID($E396,2*COUNTIF($F396:G396,"&gt;"&amp;0)+2,1)=H$1,H$1,""),"")</f>
        <v/>
      </c>
      <c r="I396" s="26" t="str">
        <f>IFERROR(IF(--MID($E396,2*COUNTIF($F396:H396,"&gt;"&amp;0)+2,1)=I$1,I$1,""),"")</f>
        <v/>
      </c>
      <c r="J396" s="26">
        <f>IFERROR(IF(--MID($E396,2*COUNTIF($F396:I396,"&gt;"&amp;0)+2,1)=J$1,J$1,""),"")</f>
        <v>5</v>
      </c>
      <c r="K396" s="26" t="str">
        <f>IFERROR(IF(--MID($E396,2*COUNTIF($F396:J396,"&gt;"&amp;0)+2,1)=K$1,K$1,""),"")</f>
        <v/>
      </c>
      <c r="L396" s="39" t="str" cm="1">
        <f t="array" ref="L396">IFERROR(IF($A396="","",IF(F396="","",_xlfn.XLOOKUP($C396&amp;"_"&amp;$AG396,符文权重!$A:$A&amp;"_"&amp;符文权重!$C:$C,符文权重!$D:$D)*$X396/SUMIFS($X:$X,F:F,F396,$C:$C,$C396,$AG:$AG,$AG396)/SUMIF(符文权重!$A:$A,$C396,符文权重!$D:$D))),"")</f>
        <v/>
      </c>
      <c r="M396" s="39" t="str" cm="1">
        <f t="array" ref="M396">IFERROR(IF($A396="","",IF(G396="","",_xlfn.XLOOKUP($C396&amp;"_"&amp;$AG396,符文权重!$A:$A&amp;"_"&amp;符文权重!$C:$C,符文权重!$D:$D)*$X396/SUMIFS($X:$X,G:G,G396,$C:$C,$C396,$AG:$AG,$AG396)/SUMIF(符文权重!$A:$A,$C396,符文权重!$D:$D))),"")</f>
        <v/>
      </c>
      <c r="N396" s="39" t="str" cm="1">
        <f t="array" ref="N396">IFERROR(IF($A396="","",IF(H396="","",_xlfn.XLOOKUP($C396&amp;"_"&amp;$AG396,符文权重!$A:$A&amp;"_"&amp;符文权重!$C:$C,符文权重!$D:$D)*$X396/SUMIFS($X:$X,H:H,H396,$C:$C,$C396,$AG:$AG,$AG396)/SUMIF(符文权重!$A:$A,$C396,符文权重!$D:$D))),"")</f>
        <v/>
      </c>
      <c r="O396" s="39" t="str" cm="1">
        <f t="array" ref="O396">IFERROR(IF($A396="","",IF(I396="","",_xlfn.XLOOKUP($C396&amp;"_"&amp;$AG396,符文权重!$A:$A&amp;"_"&amp;符文权重!$C:$C,符文权重!$D:$D)*$X396/SUMIFS($X:$X,I:I,I396,$C:$C,$C396,$AG:$AG,$AG396)/SUMIF(符文权重!$A:$A,$C396,符文权重!$D:$D))),"")</f>
        <v/>
      </c>
      <c r="P396" s="39" cm="1">
        <f t="array" ref="P396">IFERROR(IF($A396="","",IF(J396="","",_xlfn.XLOOKUP($C396&amp;"_"&amp;$AG396,符文权重!$A:$A&amp;"_"&amp;符文权重!$C:$C,符文权重!$D:$D)*$X396/SUMIFS($X:$X,J:J,J396,$C:$C,$C396,$AG:$AG,$AG396)/SUMIF(符文权重!$A:$A,$C396,符文权重!$D:$D))),"")</f>
        <v>0.005625</v>
      </c>
      <c r="Q396" s="39" t="str" cm="1">
        <f t="array" ref="Q396">IFERROR(IF($A396="","",IF(K396="","",_xlfn.XLOOKUP($C396&amp;"_"&amp;$AG396,符文权重!$A:$A&amp;"_"&amp;符文权重!$C:$C,符文权重!$D:$D)*$X396/SUMIFS($X:$X,K:K,K396,$C:$C,$C396,$AG:$AG,$AG396)/SUMIF(符文权重!$A:$A,$C396,符文权重!$D:$D))),"")</f>
        <v/>
      </c>
      <c r="R396" s="26" t="s">
        <v>181</v>
      </c>
      <c r="S396" s="26" t="s">
        <v>200</v>
      </c>
      <c r="T396" s="26" t="s">
        <v>397</v>
      </c>
      <c r="U396" s="40" t="s">
        <v>486</v>
      </c>
      <c r="X396" s="26">
        <v>100</v>
      </c>
      <c r="Z396" s="32" t="s">
        <v>180</v>
      </c>
      <c r="AA396" s="32" t="str">
        <f t="shared" si="195"/>
        <v>法师职业暴击时，最终暴击伤害将在80%~240%之间波动</v>
      </c>
      <c r="AB396" s="32"/>
      <c r="AC396" s="32" t="s">
        <v>166</v>
      </c>
      <c r="AD396" s="32">
        <f t="shared" si="197"/>
        <v>1391</v>
      </c>
      <c r="AE396" s="38" t="s">
        <v>472</v>
      </c>
      <c r="AF396" s="32" t="s">
        <v>487</v>
      </c>
      <c r="AG396" s="26">
        <v>5</v>
      </c>
      <c r="AH396" s="26"/>
      <c r="AI396" s="26">
        <v>0</v>
      </c>
      <c r="AJ396" s="25">
        <v>1</v>
      </c>
      <c r="AK396" s="38">
        <v>5505087</v>
      </c>
      <c r="AL396" s="41" t="s">
        <v>475</v>
      </c>
      <c r="AM396" s="26">
        <v>240</v>
      </c>
      <c r="AN396" s="26">
        <v>5</v>
      </c>
      <c r="AO396" s="26" t="s">
        <v>32</v>
      </c>
      <c r="AP396" s="20">
        <f t="shared" si="198"/>
        <v>391</v>
      </c>
    </row>
    <row r="397" s="20" customFormat="1" customHeight="1" spans="1:42">
      <c r="A397" s="38" t="s">
        <v>167</v>
      </c>
      <c r="B397" s="38" t="s">
        <v>167</v>
      </c>
      <c r="C397" s="32" t="s">
        <v>167</v>
      </c>
      <c r="D397" s="32"/>
      <c r="E397" s="26"/>
      <c r="F397" s="26" t="str">
        <f t="shared" si="196"/>
        <v/>
      </c>
      <c r="G397" s="26" t="str">
        <f>IFERROR(IF(--MID($E397,2*COUNTIF($F397:F397,"&gt;"&amp;0)+2,1)=G$1,G$1,""),"")</f>
        <v/>
      </c>
      <c r="H397" s="26" t="str">
        <f>IFERROR(IF(--MID($E397,2*COUNTIF($F397:G397,"&gt;"&amp;0)+2,1)=H$1,H$1,""),"")</f>
        <v/>
      </c>
      <c r="I397" s="26" t="str">
        <f>IFERROR(IF(--MID($E397,2*COUNTIF($F397:H397,"&gt;"&amp;0)+2,1)=I$1,I$1,""),"")</f>
        <v/>
      </c>
      <c r="J397" s="26" t="str">
        <f>IFERROR(IF(--MID($E397,2*COUNTIF($F397:I397,"&gt;"&amp;0)+2,1)=J$1,J$1,""),"")</f>
        <v/>
      </c>
      <c r="K397" s="26" t="str">
        <f>IFERROR(IF(--MID($E397,2*COUNTIF($F397:J397,"&gt;"&amp;0)+2,1)=K$1,K$1,""),"")</f>
        <v/>
      </c>
      <c r="L397" s="39" t="str" cm="1">
        <f t="array" ref="L397">IFERROR(IF($A397="","",IF(F397="","",_xlfn.XLOOKUP($C397&amp;"_"&amp;$AG397,符文权重!$A:$A&amp;"_"&amp;符文权重!$C:$C,符文权重!$D:$D)*$X397/SUMIFS($X:$X,F:F,F397,$C:$C,$C397,$AG:$AG,$AG397)/SUMIF(符文权重!$A:$A,$C397,符文权重!$D:$D))),"")</f>
        <v/>
      </c>
      <c r="M397" s="39" t="str" cm="1">
        <f t="array" ref="M397">IFERROR(IF($A397="","",IF(G397="","",_xlfn.XLOOKUP($C397&amp;"_"&amp;$AG397,符文权重!$A:$A&amp;"_"&amp;符文权重!$C:$C,符文权重!$D:$D)*$X397/SUMIFS($X:$X,G:G,G397,$C:$C,$C397,$AG:$AG,$AG397)/SUMIF(符文权重!$A:$A,$C397,符文权重!$D:$D))),"")</f>
        <v/>
      </c>
      <c r="N397" s="39" t="str" cm="1">
        <f t="array" ref="N397">IFERROR(IF($A397="","",IF(H397="","",_xlfn.XLOOKUP($C397&amp;"_"&amp;$AG397,符文权重!$A:$A&amp;"_"&amp;符文权重!$C:$C,符文权重!$D:$D)*$X397/SUMIFS($X:$X,H:H,H397,$C:$C,$C397,$AG:$AG,$AG397)/SUMIF(符文权重!$A:$A,$C397,符文权重!$D:$D))),"")</f>
        <v/>
      </c>
      <c r="O397" s="39" t="str" cm="1">
        <f t="array" ref="O397">IFERROR(IF($A397="","",IF(I397="","",_xlfn.XLOOKUP($C397&amp;"_"&amp;$AG397,符文权重!$A:$A&amp;"_"&amp;符文权重!$C:$C,符文权重!$D:$D)*$X397/SUMIFS($X:$X,I:I,I397,$C:$C,$C397,$AG:$AG,$AG397)/SUMIF(符文权重!$A:$A,$C397,符文权重!$D:$D))),"")</f>
        <v/>
      </c>
      <c r="P397" s="39" t="str" cm="1">
        <f t="array" ref="P397">IFERROR(IF($A397="","",IF(J397="","",_xlfn.XLOOKUP($C397&amp;"_"&amp;$AG397,符文权重!$A:$A&amp;"_"&amp;符文权重!$C:$C,符文权重!$D:$D)*$X397/SUMIFS($X:$X,J:J,J397,$C:$C,$C397,$AG:$AG,$AG397)/SUMIF(符文权重!$A:$A,$C397,符文权重!$D:$D))),"")</f>
        <v/>
      </c>
      <c r="Q397" s="39" t="str" cm="1">
        <f t="array" ref="Q397">IFERROR(IF($A397="","",IF(K397="","",_xlfn.XLOOKUP($C397&amp;"_"&amp;$AG397,符文权重!$A:$A&amp;"_"&amp;符文权重!$C:$C,符文权重!$D:$D)*$X397/SUMIFS($X:$X,K:K,K397,$C:$C,$C397,$AG:$AG,$AG397)/SUMIF(符文权重!$A:$A,$C397,符文权重!$D:$D))),"")</f>
        <v/>
      </c>
      <c r="R397" s="26"/>
      <c r="S397" s="26"/>
      <c r="T397" s="26"/>
      <c r="V397" s="31"/>
      <c r="W397" s="25"/>
      <c r="X397" s="25"/>
      <c r="Y397" s="25"/>
      <c r="Z397" s="32" t="s">
        <v>167</v>
      </c>
      <c r="AA397" s="32" t="str">
        <f t="shared" si="195"/>
        <v/>
      </c>
      <c r="AB397" s="32"/>
      <c r="AC397" s="32" t="s">
        <v>166</v>
      </c>
      <c r="AD397" s="32">
        <f t="shared" si="197"/>
        <v>1392</v>
      </c>
      <c r="AE397" s="38" t="s">
        <v>167</v>
      </c>
      <c r="AF397" s="32" t="s">
        <v>167</v>
      </c>
      <c r="AG397" s="26"/>
      <c r="AH397" s="26"/>
      <c r="AI397" s="26"/>
      <c r="AJ397" s="25" t="s">
        <v>167</v>
      </c>
      <c r="AK397" s="24"/>
      <c r="AL397" s="59"/>
      <c r="AM397" s="26"/>
      <c r="AN397" s="25"/>
      <c r="AO397" s="25"/>
      <c r="AP397" s="20">
        <f t="shared" si="198"/>
        <v>392</v>
      </c>
    </row>
    <row r="398" s="23" customFormat="1" customHeight="1" spans="1:42">
      <c r="A398" s="44">
        <v>5505091</v>
      </c>
      <c r="B398" s="44" t="s">
        <v>488</v>
      </c>
      <c r="C398" s="45">
        <v>1</v>
      </c>
      <c r="D398" s="45"/>
      <c r="E398" s="46" t="s">
        <v>375</v>
      </c>
      <c r="F398" s="26" t="str">
        <f t="shared" si="196"/>
        <v/>
      </c>
      <c r="G398" s="26" t="str">
        <f>IFERROR(IF(--MID($E398,2*COUNTIF($F398:F398,"&gt;"&amp;0)+2,1)=G$1,G$1,""),"")</f>
        <v/>
      </c>
      <c r="H398" s="26" t="str">
        <f>IFERROR(IF(--MID($E398,2*COUNTIF($F398:G398,"&gt;"&amp;0)+2,1)=H$1,H$1,""),"")</f>
        <v/>
      </c>
      <c r="I398" s="26">
        <f>IFERROR(IF(--MID($E398,2*COUNTIF($F398:H398,"&gt;"&amp;0)+2,1)=I$1,I$1,""),"")</f>
        <v>4</v>
      </c>
      <c r="J398" s="26" t="str">
        <f>IFERROR(IF(--MID($E398,2*COUNTIF($F398:I398,"&gt;"&amp;0)+2,1)=J$1,J$1,""),"")</f>
        <v/>
      </c>
      <c r="K398" s="26" t="str">
        <f>IFERROR(IF(--MID($E398,2*COUNTIF($F398:J398,"&gt;"&amp;0)+2,1)=K$1,K$1,""),"")</f>
        <v/>
      </c>
      <c r="L398" s="39" t="str" cm="1">
        <f t="array" ref="L398">IFERROR(IF($A398="","",IF(F398="","",_xlfn.XLOOKUP($C398&amp;"_"&amp;$AG398,符文权重!$A:$A&amp;"_"&amp;符文权重!$C:$C,符文权重!$D:$D)*$X398/SUMIFS($X:$X,F:F,F398,$C:$C,$C398,$AG:$AG,$AG398)/SUMIF(符文权重!$A:$A,$C398,符文权重!$D:$D))),"")</f>
        <v/>
      </c>
      <c r="M398" s="39" t="str" cm="1">
        <f t="array" ref="M398">IFERROR(IF($A398="","",IF(G398="","",_xlfn.XLOOKUP($C398&amp;"_"&amp;$AG398,符文权重!$A:$A&amp;"_"&amp;符文权重!$C:$C,符文权重!$D:$D)*$X398/SUMIFS($X:$X,G:G,G398,$C:$C,$C398,$AG:$AG,$AG398)/SUMIF(符文权重!$A:$A,$C398,符文权重!$D:$D))),"")</f>
        <v/>
      </c>
      <c r="N398" s="39" t="str" cm="1">
        <f t="array" ref="N398">IFERROR(IF($A398="","",IF(H398="","",_xlfn.XLOOKUP($C398&amp;"_"&amp;$AG398,符文权重!$A:$A&amp;"_"&amp;符文权重!$C:$C,符文权重!$D:$D)*$X398/SUMIFS($X:$X,H:H,H398,$C:$C,$C398,$AG:$AG,$AG398)/SUMIF(符文权重!$A:$A,$C398,符文权重!$D:$D))),"")</f>
        <v/>
      </c>
      <c r="O398" s="39" t="str" cm="1">
        <f t="array" ref="O398">IFERROR(IF($A398="","",IF(I398="","",_xlfn.XLOOKUP($C398&amp;"_"&amp;$AG398,符文权重!$A:$A&amp;"_"&amp;符文权重!$C:$C,符文权重!$D:$D)*$X398/SUMIFS($X:$X,I:I,I398,$C:$C,$C398,$AG:$AG,$AG398)/SUMIF(符文权重!$A:$A,$C398,符文权重!$D:$D))),"")</f>
        <v/>
      </c>
      <c r="P398" s="39" t="str" cm="1">
        <f t="array" ref="P398">IFERROR(IF($A398="","",IF(J398="","",_xlfn.XLOOKUP($C398&amp;"_"&amp;$AG398,符文权重!$A:$A&amp;"_"&amp;符文权重!$C:$C,符文权重!$D:$D)*$X398/SUMIFS($X:$X,J:J,J398,$C:$C,$C398,$AG:$AG,$AG398)/SUMIF(符文权重!$A:$A,$C398,符文权重!$D:$D))),"")</f>
        <v/>
      </c>
      <c r="Q398" s="39" t="str" cm="1">
        <f t="array" ref="Q398">IFERROR(IF($A398="","",IF(K398="","",_xlfn.XLOOKUP($C398&amp;"_"&amp;$AG398,符文权重!$A:$A&amp;"_"&amp;符文权重!$C:$C,符文权重!$D:$D)*$X398/SUMIFS($X:$X,K:K,K398,$C:$C,$C398,$AG:$AG,$AG398)/SUMIF(符文权重!$A:$A,$C398,符文权重!$D:$D))),"")</f>
        <v/>
      </c>
      <c r="R398" s="46" t="s">
        <v>181</v>
      </c>
      <c r="S398" s="46" t="s">
        <v>200</v>
      </c>
      <c r="T398" s="46" t="s">
        <v>380</v>
      </c>
      <c r="U398" s="47" t="s">
        <v>489</v>
      </c>
      <c r="V398" s="46"/>
      <c r="X398" s="25">
        <v>100</v>
      </c>
      <c r="Z398" s="45" t="s">
        <v>165</v>
      </c>
      <c r="AA398" s="32" t="str">
        <f t="shared" si="195"/>
        <v>法师职业的大招冷却时间缩短10%</v>
      </c>
      <c r="AB398" s="32"/>
      <c r="AC398" s="32" t="s">
        <v>166</v>
      </c>
      <c r="AD398" s="32">
        <f t="shared" si="197"/>
        <v>1393</v>
      </c>
      <c r="AE398" s="44" t="s">
        <v>488</v>
      </c>
      <c r="AF398" s="45" t="s">
        <v>390</v>
      </c>
      <c r="AG398" s="26">
        <v>100</v>
      </c>
      <c r="AH398" s="46"/>
      <c r="AI398" s="46">
        <v>1</v>
      </c>
      <c r="AJ398" s="25">
        <v>1</v>
      </c>
      <c r="AK398" s="48">
        <v>5505091</v>
      </c>
      <c r="AL398" s="49" t="s">
        <v>490</v>
      </c>
      <c r="AM398" s="46">
        <v>10</v>
      </c>
      <c r="AN398" s="25"/>
      <c r="AO398" s="26" t="s">
        <v>32</v>
      </c>
      <c r="AP398" s="20">
        <f t="shared" si="198"/>
        <v>393</v>
      </c>
    </row>
    <row r="399" s="23" customFormat="1" customHeight="1" spans="1:42">
      <c r="A399" s="44">
        <v>5505092</v>
      </c>
      <c r="B399" s="44" t="s">
        <v>488</v>
      </c>
      <c r="C399" s="45">
        <v>2</v>
      </c>
      <c r="D399" s="45"/>
      <c r="E399" s="46" t="s">
        <v>375</v>
      </c>
      <c r="F399" s="26" t="str">
        <f t="shared" si="196"/>
        <v/>
      </c>
      <c r="G399" s="26" t="str">
        <f>IFERROR(IF(--MID($E399,2*COUNTIF($F399:F399,"&gt;"&amp;0)+2,1)=G$1,G$1,""),"")</f>
        <v/>
      </c>
      <c r="H399" s="26" t="str">
        <f>IFERROR(IF(--MID($E399,2*COUNTIF($F399:G399,"&gt;"&amp;0)+2,1)=H$1,H$1,""),"")</f>
        <v/>
      </c>
      <c r="I399" s="26">
        <f>IFERROR(IF(--MID($E399,2*COUNTIF($F399:H399,"&gt;"&amp;0)+2,1)=I$1,I$1,""),"")</f>
        <v>4</v>
      </c>
      <c r="J399" s="26" t="str">
        <f>IFERROR(IF(--MID($E399,2*COUNTIF($F399:I399,"&gt;"&amp;0)+2,1)=J$1,J$1,""),"")</f>
        <v/>
      </c>
      <c r="K399" s="26" t="str">
        <f>IFERROR(IF(--MID($E399,2*COUNTIF($F399:J399,"&gt;"&amp;0)+2,1)=K$1,K$1,""),"")</f>
        <v/>
      </c>
      <c r="L399" s="39" t="str" cm="1">
        <f t="array" ref="L399">IFERROR(IF($A399="","",IF(F399="","",_xlfn.XLOOKUP($C399&amp;"_"&amp;$AG399,符文权重!$A:$A&amp;"_"&amp;符文权重!$C:$C,符文权重!$D:$D)*$X399/SUMIFS($X:$X,F:F,F399,$C:$C,$C399,$AG:$AG,$AG399)/SUMIF(符文权重!$A:$A,$C399,符文权重!$D:$D))),"")</f>
        <v/>
      </c>
      <c r="M399" s="39" t="str" cm="1">
        <f t="array" ref="M399">IFERROR(IF($A399="","",IF(G399="","",_xlfn.XLOOKUP($C399&amp;"_"&amp;$AG399,符文权重!$A:$A&amp;"_"&amp;符文权重!$C:$C,符文权重!$D:$D)*$X399/SUMIFS($X:$X,G:G,G399,$C:$C,$C399,$AG:$AG,$AG399)/SUMIF(符文权重!$A:$A,$C399,符文权重!$D:$D))),"")</f>
        <v/>
      </c>
      <c r="N399" s="39" t="str" cm="1">
        <f t="array" ref="N399">IFERROR(IF($A399="","",IF(H399="","",_xlfn.XLOOKUP($C399&amp;"_"&amp;$AG399,符文权重!$A:$A&amp;"_"&amp;符文权重!$C:$C,符文权重!$D:$D)*$X399/SUMIFS($X:$X,H:H,H399,$C:$C,$C399,$AG:$AG,$AG399)/SUMIF(符文权重!$A:$A,$C399,符文权重!$D:$D))),"")</f>
        <v/>
      </c>
      <c r="O399" s="39" t="str" cm="1">
        <f t="array" ref="O399">IFERROR(IF($A399="","",IF(I399="","",_xlfn.XLOOKUP($C399&amp;"_"&amp;$AG399,符文权重!$A:$A&amp;"_"&amp;符文权重!$C:$C,符文权重!$D:$D)*$X399/SUMIFS($X:$X,I:I,I399,$C:$C,$C399,$AG:$AG,$AG399)/SUMIF(符文权重!$A:$A,$C399,符文权重!$D:$D))),"")</f>
        <v/>
      </c>
      <c r="P399" s="39" t="str" cm="1">
        <f t="array" ref="P399">IFERROR(IF($A399="","",IF(J399="","",_xlfn.XLOOKUP($C399&amp;"_"&amp;$AG399,符文权重!$A:$A&amp;"_"&amp;符文权重!$C:$C,符文权重!$D:$D)*$X399/SUMIFS($X:$X,J:J,J399,$C:$C,$C399,$AG:$AG,$AG399)/SUMIF(符文权重!$A:$A,$C399,符文权重!$D:$D))),"")</f>
        <v/>
      </c>
      <c r="Q399" s="39" t="str" cm="1">
        <f t="array" ref="Q399">IFERROR(IF($A399="","",IF(K399="","",_xlfn.XLOOKUP($C399&amp;"_"&amp;$AG399,符文权重!$A:$A&amp;"_"&amp;符文权重!$C:$C,符文权重!$D:$D)*$X399/SUMIFS($X:$X,K:K,K399,$C:$C,$C399,$AG:$AG,$AG399)/SUMIF(符文权重!$A:$A,$C399,符文权重!$D:$D))),"")</f>
        <v/>
      </c>
      <c r="R399" s="46" t="s">
        <v>181</v>
      </c>
      <c r="S399" s="46" t="s">
        <v>200</v>
      </c>
      <c r="T399" s="46" t="s">
        <v>383</v>
      </c>
      <c r="U399" s="47" t="s">
        <v>491</v>
      </c>
      <c r="V399" s="46"/>
      <c r="X399" s="25">
        <v>100</v>
      </c>
      <c r="Z399" s="45" t="s">
        <v>170</v>
      </c>
      <c r="AA399" s="32" t="str">
        <f t="shared" si="195"/>
        <v>法师职业的大招冷却时间缩短15%</v>
      </c>
      <c r="AB399" s="32"/>
      <c r="AC399" s="32" t="s">
        <v>166</v>
      </c>
      <c r="AD399" s="32">
        <f t="shared" si="197"/>
        <v>1394</v>
      </c>
      <c r="AE399" s="44" t="s">
        <v>488</v>
      </c>
      <c r="AF399" s="45" t="s">
        <v>393</v>
      </c>
      <c r="AG399" s="26">
        <v>100</v>
      </c>
      <c r="AH399" s="46"/>
      <c r="AI399" s="46">
        <v>1</v>
      </c>
      <c r="AJ399" s="25">
        <v>1</v>
      </c>
      <c r="AK399" s="44">
        <v>5505092</v>
      </c>
      <c r="AL399" s="50" t="s">
        <v>490</v>
      </c>
      <c r="AM399" s="46">
        <v>15</v>
      </c>
      <c r="AN399" s="25"/>
      <c r="AO399" s="26" t="s">
        <v>32</v>
      </c>
      <c r="AP399" s="20">
        <f t="shared" si="198"/>
        <v>394</v>
      </c>
    </row>
    <row r="400" s="23" customFormat="1" customHeight="1" spans="1:42">
      <c r="A400" s="44">
        <v>5505093</v>
      </c>
      <c r="B400" s="44" t="s">
        <v>488</v>
      </c>
      <c r="C400" s="45">
        <v>3</v>
      </c>
      <c r="D400" s="45"/>
      <c r="E400" s="46" t="s">
        <v>375</v>
      </c>
      <c r="F400" s="26" t="str">
        <f t="shared" si="196"/>
        <v/>
      </c>
      <c r="G400" s="26" t="str">
        <f>IFERROR(IF(--MID($E400,2*COUNTIF($F400:F400,"&gt;"&amp;0)+2,1)=G$1,G$1,""),"")</f>
        <v/>
      </c>
      <c r="H400" s="26" t="str">
        <f>IFERROR(IF(--MID($E400,2*COUNTIF($F400:G400,"&gt;"&amp;0)+2,1)=H$1,H$1,""),"")</f>
        <v/>
      </c>
      <c r="I400" s="26">
        <f>IFERROR(IF(--MID($E400,2*COUNTIF($F400:H400,"&gt;"&amp;0)+2,1)=I$1,I$1,""),"")</f>
        <v>4</v>
      </c>
      <c r="J400" s="26" t="str">
        <f>IFERROR(IF(--MID($E400,2*COUNTIF($F400:I400,"&gt;"&amp;0)+2,1)=J$1,J$1,""),"")</f>
        <v/>
      </c>
      <c r="K400" s="26" t="str">
        <f>IFERROR(IF(--MID($E400,2*COUNTIF($F400:J400,"&gt;"&amp;0)+2,1)=K$1,K$1,""),"")</f>
        <v/>
      </c>
      <c r="L400" s="39" t="str" cm="1">
        <f t="array" ref="L400">IFERROR(IF($A400="","",IF(F400="","",_xlfn.XLOOKUP($C400&amp;"_"&amp;$AG400,符文权重!$A:$A&amp;"_"&amp;符文权重!$C:$C,符文权重!$D:$D)*$X400/SUMIFS($X:$X,F:F,F400,$C:$C,$C400,$AG:$AG,$AG400)/SUMIF(符文权重!$A:$A,$C400,符文权重!$D:$D))),"")</f>
        <v/>
      </c>
      <c r="M400" s="39" t="str" cm="1">
        <f t="array" ref="M400">IFERROR(IF($A400="","",IF(G400="","",_xlfn.XLOOKUP($C400&amp;"_"&amp;$AG400,符文权重!$A:$A&amp;"_"&amp;符文权重!$C:$C,符文权重!$D:$D)*$X400/SUMIFS($X:$X,G:G,G400,$C:$C,$C400,$AG:$AG,$AG400)/SUMIF(符文权重!$A:$A,$C400,符文权重!$D:$D))),"")</f>
        <v/>
      </c>
      <c r="N400" s="39" t="str" cm="1">
        <f t="array" ref="N400">IFERROR(IF($A400="","",IF(H400="","",_xlfn.XLOOKUP($C400&amp;"_"&amp;$AG400,符文权重!$A:$A&amp;"_"&amp;符文权重!$C:$C,符文权重!$D:$D)*$X400/SUMIFS($X:$X,H:H,H400,$C:$C,$C400,$AG:$AG,$AG400)/SUMIF(符文权重!$A:$A,$C400,符文权重!$D:$D))),"")</f>
        <v/>
      </c>
      <c r="O400" s="39" t="str" cm="1">
        <f t="array" ref="O400">IFERROR(IF($A400="","",IF(I400="","",_xlfn.XLOOKUP($C400&amp;"_"&amp;$AG400,符文权重!$A:$A&amp;"_"&amp;符文权重!$C:$C,符文权重!$D:$D)*$X400/SUMIFS($X:$X,I:I,I400,$C:$C,$C400,$AG:$AG,$AG400)/SUMIF(符文权重!$A:$A,$C400,符文权重!$D:$D))),"")</f>
        <v/>
      </c>
      <c r="P400" s="39" t="str" cm="1">
        <f t="array" ref="P400">IFERROR(IF($A400="","",IF(J400="","",_xlfn.XLOOKUP($C400&amp;"_"&amp;$AG400,符文权重!$A:$A&amp;"_"&amp;符文权重!$C:$C,符文权重!$D:$D)*$X400/SUMIFS($X:$X,J:J,J400,$C:$C,$C400,$AG:$AG,$AG400)/SUMIF(符文权重!$A:$A,$C400,符文权重!$D:$D))),"")</f>
        <v/>
      </c>
      <c r="Q400" s="39" t="str" cm="1">
        <f t="array" ref="Q400">IFERROR(IF($A400="","",IF(K400="","",_xlfn.XLOOKUP($C400&amp;"_"&amp;$AG400,符文权重!$A:$A&amp;"_"&amp;符文权重!$C:$C,符文权重!$D:$D)*$X400/SUMIFS($X:$X,K:K,K400,$C:$C,$C400,$AG:$AG,$AG400)/SUMIF(符文权重!$A:$A,$C400,符文权重!$D:$D))),"")</f>
        <v/>
      </c>
      <c r="R400" s="46" t="s">
        <v>181</v>
      </c>
      <c r="S400" s="46" t="s">
        <v>200</v>
      </c>
      <c r="T400" s="46" t="s">
        <v>385</v>
      </c>
      <c r="U400" s="47" t="s">
        <v>492</v>
      </c>
      <c r="V400" s="46"/>
      <c r="X400" s="26">
        <v>100</v>
      </c>
      <c r="Z400" s="45" t="s">
        <v>172</v>
      </c>
      <c r="AA400" s="32" t="str">
        <f t="shared" si="195"/>
        <v>法师职业的大招冷却时间缩短20%</v>
      </c>
      <c r="AB400" s="32"/>
      <c r="AC400" s="32" t="s">
        <v>166</v>
      </c>
      <c r="AD400" s="32">
        <f t="shared" si="197"/>
        <v>1395</v>
      </c>
      <c r="AE400" s="44" t="s">
        <v>488</v>
      </c>
      <c r="AF400" s="45" t="s">
        <v>396</v>
      </c>
      <c r="AG400" s="26">
        <v>100</v>
      </c>
      <c r="AH400" s="46"/>
      <c r="AI400" s="46">
        <v>1</v>
      </c>
      <c r="AJ400" s="25">
        <v>1</v>
      </c>
      <c r="AK400" s="44">
        <v>5505093</v>
      </c>
      <c r="AL400" s="50" t="s">
        <v>490</v>
      </c>
      <c r="AM400" s="46">
        <v>20</v>
      </c>
      <c r="AN400" s="26"/>
      <c r="AO400" s="26" t="s">
        <v>32</v>
      </c>
      <c r="AP400" s="20">
        <f t="shared" si="198"/>
        <v>395</v>
      </c>
    </row>
    <row r="401" customHeight="1" spans="1:42">
      <c r="A401" s="38">
        <v>5505094</v>
      </c>
      <c r="B401" s="38" t="s">
        <v>488</v>
      </c>
      <c r="C401" s="32">
        <v>4</v>
      </c>
      <c r="D401" s="32"/>
      <c r="E401" s="26" t="s">
        <v>375</v>
      </c>
      <c r="F401" s="26" t="str">
        <f t="shared" si="196"/>
        <v/>
      </c>
      <c r="G401" s="26" t="str">
        <f>IFERROR(IF(--MID($E401,2*COUNTIF($F401:F401,"&gt;"&amp;0)+2,1)=G$1,G$1,""),"")</f>
        <v/>
      </c>
      <c r="H401" s="26" t="str">
        <f>IFERROR(IF(--MID($E401,2*COUNTIF($F401:G401,"&gt;"&amp;0)+2,1)=H$1,H$1,""),"")</f>
        <v/>
      </c>
      <c r="I401" s="26">
        <f>IFERROR(IF(--MID($E401,2*COUNTIF($F401:H401,"&gt;"&amp;0)+2,1)=I$1,I$1,""),"")</f>
        <v>4</v>
      </c>
      <c r="J401" s="26" t="str">
        <f>IFERROR(IF(--MID($E401,2*COUNTIF($F401:I401,"&gt;"&amp;0)+2,1)=J$1,J$1,""),"")</f>
        <v/>
      </c>
      <c r="K401" s="26" t="str">
        <f>IFERROR(IF(--MID($E401,2*COUNTIF($F401:J401,"&gt;"&amp;0)+2,1)=K$1,K$1,""),"")</f>
        <v/>
      </c>
      <c r="L401" s="39" t="str" cm="1">
        <f t="array" ref="L401">IFERROR(IF($A401="","",IF(F401="","",_xlfn.XLOOKUP($C401&amp;"_"&amp;$AG401,符文权重!$A:$A&amp;"_"&amp;符文权重!$C:$C,符文权重!$D:$D)*$X401/SUMIFS($X:$X,F:F,F401,$C:$C,$C401,$AG:$AG,$AG401)/SUMIF(符文权重!$A:$A,$C401,符文权重!$D:$D))),"")</f>
        <v/>
      </c>
      <c r="M401" s="39" t="str" cm="1">
        <f t="array" ref="M401">IFERROR(IF($A401="","",IF(G401="","",_xlfn.XLOOKUP($C401&amp;"_"&amp;$AG401,符文权重!$A:$A&amp;"_"&amp;符文权重!$C:$C,符文权重!$D:$D)*$X401/SUMIFS($X:$X,G:G,G401,$C:$C,$C401,$AG:$AG,$AG401)/SUMIF(符文权重!$A:$A,$C401,符文权重!$D:$D))),"")</f>
        <v/>
      </c>
      <c r="N401" s="39" t="str" cm="1">
        <f t="array" ref="N401">IFERROR(IF($A401="","",IF(H401="","",_xlfn.XLOOKUP($C401&amp;"_"&amp;$AG401,符文权重!$A:$A&amp;"_"&amp;符文权重!$C:$C,符文权重!$D:$D)*$X401/SUMIFS($X:$X,H:H,H401,$C:$C,$C401,$AG:$AG,$AG401)/SUMIF(符文权重!$A:$A,$C401,符文权重!$D:$D))),"")</f>
        <v/>
      </c>
      <c r="O401" s="58" t="str" cm="1">
        <f t="array" ref="O401">IFERROR(IF($A401="","",IF(I401="","",_xlfn.XLOOKUP($C401&amp;"_"&amp;$AG401,符文权重!$A:$A&amp;"_"&amp;符文权重!$C:$C,符文权重!$D:$D)*$X401/SUMIFS($X:$X,I:I,I401,$C:$C,$C401,$AG:$AG,$AG401)/SUMIF(符文权重!$A:$A,$C401,符文权重!$D:$D))),"")</f>
        <v/>
      </c>
      <c r="P401" s="39" t="str" cm="1">
        <f t="array" ref="P401">IFERROR(IF($A401="","",IF(J401="","",_xlfn.XLOOKUP($C401&amp;"_"&amp;$AG401,符文权重!$A:$A&amp;"_"&amp;符文权重!$C:$C,符文权重!$D:$D)*$X401/SUMIFS($X:$X,J:J,J401,$C:$C,$C401,$AG:$AG,$AG401)/SUMIF(符文权重!$A:$A,$C401,符文权重!$D:$D))),"")</f>
        <v/>
      </c>
      <c r="Q401" s="39" t="str" cm="1">
        <f t="array" ref="Q401">IFERROR(IF($A401="","",IF(K401="","",_xlfn.XLOOKUP($C401&amp;"_"&amp;$AG401,符文权重!$A:$A&amp;"_"&amp;符文权重!$C:$C,符文权重!$D:$D)*$X401/SUMIFS($X:$X,K:K,K401,$C:$C,$C401,$AG:$AG,$AG401)/SUMIF(符文权重!$A:$A,$C401,符文权重!$D:$D))),"")</f>
        <v/>
      </c>
      <c r="R401" s="26" t="s">
        <v>181</v>
      </c>
      <c r="S401" s="26" t="s">
        <v>200</v>
      </c>
      <c r="T401" s="26" t="s">
        <v>388</v>
      </c>
      <c r="U401" s="40" t="s">
        <v>493</v>
      </c>
      <c r="X401" s="25">
        <v>4</v>
      </c>
      <c r="Z401" s="32" t="s">
        <v>174</v>
      </c>
      <c r="AA401" s="32" t="str">
        <f t="shared" si="195"/>
        <v>法师职业的大招冷却时间缩短25%</v>
      </c>
      <c r="AB401" s="32"/>
      <c r="AC401" s="32" t="s">
        <v>166</v>
      </c>
      <c r="AD401" s="32">
        <f t="shared" si="197"/>
        <v>1396</v>
      </c>
      <c r="AE401" s="38" t="s">
        <v>488</v>
      </c>
      <c r="AF401" s="32" t="s">
        <v>399</v>
      </c>
      <c r="AG401" s="26">
        <v>105</v>
      </c>
      <c r="AH401" s="26"/>
      <c r="AI401" s="26">
        <v>0</v>
      </c>
      <c r="AJ401" s="25">
        <v>1</v>
      </c>
      <c r="AK401" s="38">
        <v>5505094</v>
      </c>
      <c r="AL401" s="41" t="s">
        <v>490</v>
      </c>
      <c r="AM401" s="26">
        <v>25</v>
      </c>
      <c r="AN401" s="25">
        <v>5</v>
      </c>
      <c r="AO401" s="26" t="s">
        <v>32</v>
      </c>
      <c r="AP401" s="20">
        <f t="shared" si="198"/>
        <v>396</v>
      </c>
    </row>
    <row r="402" customHeight="1" spans="1:42">
      <c r="A402" s="38">
        <v>5505095</v>
      </c>
      <c r="B402" s="38" t="s">
        <v>488</v>
      </c>
      <c r="C402" s="32">
        <v>5</v>
      </c>
      <c r="D402" s="32"/>
      <c r="E402" s="26" t="s">
        <v>375</v>
      </c>
      <c r="F402" s="26" t="str">
        <f t="shared" si="196"/>
        <v/>
      </c>
      <c r="G402" s="26" t="str">
        <f>IFERROR(IF(--MID($E402,2*COUNTIF($F402:F402,"&gt;"&amp;0)+2,1)=G$1,G$1,""),"")</f>
        <v/>
      </c>
      <c r="H402" s="26" t="str">
        <f>IFERROR(IF(--MID($E402,2*COUNTIF($F402:G402,"&gt;"&amp;0)+2,1)=H$1,H$1,""),"")</f>
        <v/>
      </c>
      <c r="I402" s="26">
        <f>IFERROR(IF(--MID($E402,2*COUNTIF($F402:H402,"&gt;"&amp;0)+2,1)=I$1,I$1,""),"")</f>
        <v>4</v>
      </c>
      <c r="J402" s="26" t="str">
        <f>IFERROR(IF(--MID($E402,2*COUNTIF($F402:I402,"&gt;"&amp;0)+2,1)=J$1,J$1,""),"")</f>
        <v/>
      </c>
      <c r="K402" s="26" t="str">
        <f>IFERROR(IF(--MID($E402,2*COUNTIF($F402:J402,"&gt;"&amp;0)+2,1)=K$1,K$1,""),"")</f>
        <v/>
      </c>
      <c r="L402" s="39" t="str" cm="1">
        <f t="array" ref="L402">IFERROR(IF($A402="","",IF(F402="","",_xlfn.XLOOKUP($C402&amp;"_"&amp;$AG402,符文权重!$A:$A&amp;"_"&amp;符文权重!$C:$C,符文权重!$D:$D)*$X402/SUMIFS($X:$X,F:F,F402,$C:$C,$C402,$AG:$AG,$AG402)/SUMIF(符文权重!$A:$A,$C402,符文权重!$D:$D))),"")</f>
        <v/>
      </c>
      <c r="M402" s="39" t="str" cm="1">
        <f t="array" ref="M402">IFERROR(IF($A402="","",IF(G402="","",_xlfn.XLOOKUP($C402&amp;"_"&amp;$AG402,符文权重!$A:$A&amp;"_"&amp;符文权重!$C:$C,符文权重!$D:$D)*$X402/SUMIFS($X:$X,G:G,G402,$C:$C,$C402,$AG:$AG,$AG402)/SUMIF(符文权重!$A:$A,$C402,符文权重!$D:$D))),"")</f>
        <v/>
      </c>
      <c r="N402" s="39" t="str" cm="1">
        <f t="array" ref="N402">IFERROR(IF($A402="","",IF(H402="","",_xlfn.XLOOKUP($C402&amp;"_"&amp;$AG402,符文权重!$A:$A&amp;"_"&amp;符文权重!$C:$C,符文权重!$D:$D)*$X402/SUMIFS($X:$X,H:H,H402,$C:$C,$C402,$AG:$AG,$AG402)/SUMIF(符文权重!$A:$A,$C402,符文权重!$D:$D))),"")</f>
        <v/>
      </c>
      <c r="O402" s="39" cm="1">
        <f t="array" ref="O402">IFERROR(IF($A402="","",IF(I402="","",_xlfn.XLOOKUP($C402&amp;"_"&amp;$AG402,符文权重!$A:$A&amp;"_"&amp;符文权重!$C:$C,符文权重!$D:$D)*$X402/SUMIFS($X:$X,I:I,I402,$C:$C,$C402,$AG:$AG,$AG402)/SUMIF(符文权重!$A:$A,$C402,符文权重!$D:$D))),"")</f>
        <v>0.0075</v>
      </c>
      <c r="P402" s="39" t="str" cm="1">
        <f t="array" ref="P402">IFERROR(IF($A402="","",IF(J402="","",_xlfn.XLOOKUP($C402&amp;"_"&amp;$AG402,符文权重!$A:$A&amp;"_"&amp;符文权重!$C:$C,符文权重!$D:$D)*$X402/SUMIFS($X:$X,J:J,J402,$C:$C,$C402,$AG:$AG,$AG402)/SUMIF(符文权重!$A:$A,$C402,符文权重!$D:$D))),"")</f>
        <v/>
      </c>
      <c r="Q402" s="39" t="str" cm="1">
        <f t="array" ref="Q402">IFERROR(IF($A402="","",IF(K402="","",_xlfn.XLOOKUP($C402&amp;"_"&amp;$AG402,符文权重!$A:$A&amp;"_"&amp;符文权重!$C:$C,符文权重!$D:$D)*$X402/SUMIFS($X:$X,K:K,K402,$C:$C,$C402,$AG:$AG,$AG402)/SUMIF(符文权重!$A:$A,$C402,符文权重!$D:$D))),"")</f>
        <v/>
      </c>
      <c r="R402" s="26" t="s">
        <v>181</v>
      </c>
      <c r="S402" s="26" t="s">
        <v>200</v>
      </c>
      <c r="T402" s="26" t="s">
        <v>391</v>
      </c>
      <c r="U402" s="40" t="s">
        <v>494</v>
      </c>
      <c r="X402" s="25">
        <v>100</v>
      </c>
      <c r="Z402" s="32" t="s">
        <v>176</v>
      </c>
      <c r="AA402" s="32" t="str">
        <f t="shared" ref="AA402:AA465" si="199">SUBSTITUTE(SUBSTITUTE(SUBSTITUTE(SUBSTITUTE(AL402,"%s",AM402),"&lt;color=#54b76b&gt;",""),"&lt;/color&gt; ",""),"&lt;/color&gt;","")</f>
        <v>法师职业的大招冷却时间缩短35%</v>
      </c>
      <c r="AB402" s="32"/>
      <c r="AC402" s="32" t="s">
        <v>166</v>
      </c>
      <c r="AD402" s="32">
        <f t="shared" si="197"/>
        <v>1397</v>
      </c>
      <c r="AE402" s="38" t="s">
        <v>488</v>
      </c>
      <c r="AF402" s="32" t="s">
        <v>411</v>
      </c>
      <c r="AG402" s="26">
        <v>5</v>
      </c>
      <c r="AH402" s="26"/>
      <c r="AI402" s="26">
        <v>0</v>
      </c>
      <c r="AJ402" s="25">
        <v>1</v>
      </c>
      <c r="AK402" s="38">
        <v>5505095</v>
      </c>
      <c r="AL402" s="41" t="s">
        <v>490</v>
      </c>
      <c r="AM402" s="26">
        <v>35</v>
      </c>
      <c r="AN402" s="25">
        <v>5</v>
      </c>
      <c r="AO402" s="26" t="s">
        <v>32</v>
      </c>
      <c r="AP402" s="20">
        <f t="shared" si="198"/>
        <v>397</v>
      </c>
    </row>
    <row r="403" customHeight="1" spans="1:42">
      <c r="A403" s="38">
        <v>5505096</v>
      </c>
      <c r="B403" s="38" t="s">
        <v>488</v>
      </c>
      <c r="C403" s="32">
        <v>6</v>
      </c>
      <c r="D403" s="32"/>
      <c r="E403" s="26" t="s">
        <v>375</v>
      </c>
      <c r="F403" s="26" t="str">
        <f t="shared" si="196"/>
        <v/>
      </c>
      <c r="G403" s="26" t="str">
        <f>IFERROR(IF(--MID($E403,2*COUNTIF($F403:F403,"&gt;"&amp;0)+2,1)=G$1,G$1,""),"")</f>
        <v/>
      </c>
      <c r="H403" s="26" t="str">
        <f>IFERROR(IF(--MID($E403,2*COUNTIF($F403:G403,"&gt;"&amp;0)+2,1)=H$1,H$1,""),"")</f>
        <v/>
      </c>
      <c r="I403" s="26">
        <f>IFERROR(IF(--MID($E403,2*COUNTIF($F403:H403,"&gt;"&amp;0)+2,1)=I$1,I$1,""),"")</f>
        <v>4</v>
      </c>
      <c r="J403" s="26" t="str">
        <f>IFERROR(IF(--MID($E403,2*COUNTIF($F403:I403,"&gt;"&amp;0)+2,1)=J$1,J$1,""),"")</f>
        <v/>
      </c>
      <c r="K403" s="26" t="str">
        <f>IFERROR(IF(--MID($E403,2*COUNTIF($F403:J403,"&gt;"&amp;0)+2,1)=K$1,K$1,""),"")</f>
        <v/>
      </c>
      <c r="L403" s="39" t="str" cm="1">
        <f t="array" ref="L403">IFERROR(IF($A403="","",IF(F403="","",_xlfn.XLOOKUP($C403&amp;"_"&amp;$AG403,符文权重!$A:$A&amp;"_"&amp;符文权重!$C:$C,符文权重!$D:$D)*$X403/SUMIFS($X:$X,F:F,F403,$C:$C,$C403,$AG:$AG,$AG403)/SUMIF(符文权重!$A:$A,$C403,符文权重!$D:$D))),"")</f>
        <v/>
      </c>
      <c r="M403" s="39" t="str" cm="1">
        <f t="array" ref="M403">IFERROR(IF($A403="","",IF(G403="","",_xlfn.XLOOKUP($C403&amp;"_"&amp;$AG403,符文权重!$A:$A&amp;"_"&amp;符文权重!$C:$C,符文权重!$D:$D)*$X403/SUMIFS($X:$X,G:G,G403,$C:$C,$C403,$AG:$AG,$AG403)/SUMIF(符文权重!$A:$A,$C403,符文权重!$D:$D))),"")</f>
        <v/>
      </c>
      <c r="N403" s="39" t="str" cm="1">
        <f t="array" ref="N403">IFERROR(IF($A403="","",IF(H403="","",_xlfn.XLOOKUP($C403&amp;"_"&amp;$AG403,符文权重!$A:$A&amp;"_"&amp;符文权重!$C:$C,符文权重!$D:$D)*$X403/SUMIFS($X:$X,H:H,H403,$C:$C,$C403,$AG:$AG,$AG403)/SUMIF(符文权重!$A:$A,$C403,符文权重!$D:$D))),"")</f>
        <v/>
      </c>
      <c r="O403" s="39" cm="1">
        <f t="array" ref="O403">IFERROR(IF($A403="","",IF(I403="","",_xlfn.XLOOKUP($C403&amp;"_"&amp;$AG403,符文权重!$A:$A&amp;"_"&amp;符文权重!$C:$C,符文权重!$D:$D)*$X403/SUMIFS($X:$X,I:I,I403,$C:$C,$C403,$AG:$AG,$AG403)/SUMIF(符文权重!$A:$A,$C403,符文权重!$D:$D))),"")</f>
        <v>0.0075</v>
      </c>
      <c r="P403" s="39" t="str" cm="1">
        <f t="array" ref="P403">IFERROR(IF($A403="","",IF(J403="","",_xlfn.XLOOKUP($C403&amp;"_"&amp;$AG403,符文权重!$A:$A&amp;"_"&amp;符文权重!$C:$C,符文权重!$D:$D)*$X403/SUMIFS($X:$X,J:J,J403,$C:$C,$C403,$AG:$AG,$AG403)/SUMIF(符文权重!$A:$A,$C403,符文权重!$D:$D))),"")</f>
        <v/>
      </c>
      <c r="Q403" s="39" t="str" cm="1">
        <f t="array" ref="Q403">IFERROR(IF($A403="","",IF(K403="","",_xlfn.XLOOKUP($C403&amp;"_"&amp;$AG403,符文权重!$A:$A&amp;"_"&amp;符文权重!$C:$C,符文权重!$D:$D)*$X403/SUMIFS($X:$X,K:K,K403,$C:$C,$C403,$AG:$AG,$AG403)/SUMIF(符文权重!$A:$A,$C403,符文权重!$D:$D))),"")</f>
        <v/>
      </c>
      <c r="R403" s="26" t="s">
        <v>181</v>
      </c>
      <c r="S403" s="26" t="s">
        <v>200</v>
      </c>
      <c r="T403" s="26" t="s">
        <v>394</v>
      </c>
      <c r="U403" s="40" t="s">
        <v>495</v>
      </c>
      <c r="X403" s="25">
        <v>100</v>
      </c>
      <c r="Z403" s="32" t="s">
        <v>178</v>
      </c>
      <c r="AA403" s="32" t="str">
        <f t="shared" si="199"/>
        <v>法师职业的大招冷却时间缩短45%</v>
      </c>
      <c r="AB403" s="32"/>
      <c r="AC403" s="32" t="s">
        <v>166</v>
      </c>
      <c r="AD403" s="32">
        <f t="shared" si="197"/>
        <v>1398</v>
      </c>
      <c r="AE403" s="38" t="s">
        <v>488</v>
      </c>
      <c r="AF403" s="32" t="s">
        <v>437</v>
      </c>
      <c r="AG403" s="26">
        <v>5</v>
      </c>
      <c r="AH403" s="26"/>
      <c r="AI403" s="26">
        <v>0</v>
      </c>
      <c r="AJ403" s="25">
        <v>1</v>
      </c>
      <c r="AK403" s="38">
        <v>5505096</v>
      </c>
      <c r="AL403" s="41" t="s">
        <v>490</v>
      </c>
      <c r="AM403" s="26">
        <v>45</v>
      </c>
      <c r="AN403" s="25">
        <v>5</v>
      </c>
      <c r="AO403" s="26" t="s">
        <v>32</v>
      </c>
      <c r="AP403" s="20">
        <f t="shared" si="198"/>
        <v>398</v>
      </c>
    </row>
    <row r="404" customHeight="1" spans="1:42">
      <c r="A404" s="38">
        <v>5505097</v>
      </c>
      <c r="B404" s="38" t="s">
        <v>488</v>
      </c>
      <c r="C404" s="32">
        <v>7</v>
      </c>
      <c r="D404" s="32"/>
      <c r="E404" s="26" t="s">
        <v>375</v>
      </c>
      <c r="F404" s="26" t="str">
        <f t="shared" si="196"/>
        <v/>
      </c>
      <c r="G404" s="26" t="str">
        <f>IFERROR(IF(--MID($E404,2*COUNTIF($F404:F404,"&gt;"&amp;0)+2,1)=G$1,G$1,""),"")</f>
        <v/>
      </c>
      <c r="H404" s="26" t="str">
        <f>IFERROR(IF(--MID($E404,2*COUNTIF($F404:G404,"&gt;"&amp;0)+2,1)=H$1,H$1,""),"")</f>
        <v/>
      </c>
      <c r="I404" s="26">
        <f>IFERROR(IF(--MID($E404,2*COUNTIF($F404:H404,"&gt;"&amp;0)+2,1)=I$1,I$1,""),"")</f>
        <v>4</v>
      </c>
      <c r="J404" s="26" t="str">
        <f>IFERROR(IF(--MID($E404,2*COUNTIF($F404:I404,"&gt;"&amp;0)+2,1)=J$1,J$1,""),"")</f>
        <v/>
      </c>
      <c r="K404" s="26" t="str">
        <f>IFERROR(IF(--MID($E404,2*COUNTIF($F404:J404,"&gt;"&amp;0)+2,1)=K$1,K$1,""),"")</f>
        <v/>
      </c>
      <c r="L404" s="39" t="str" cm="1">
        <f t="array" ref="L404">IFERROR(IF($A404="","",IF(F404="","",_xlfn.XLOOKUP($C404&amp;"_"&amp;$AG404,符文权重!$A:$A&amp;"_"&amp;符文权重!$C:$C,符文权重!$D:$D)*$X404/SUMIFS($X:$X,F:F,F404,$C:$C,$C404,$AG:$AG,$AG404)/SUMIF(符文权重!$A:$A,$C404,符文权重!$D:$D))),"")</f>
        <v/>
      </c>
      <c r="M404" s="39" t="str" cm="1">
        <f t="array" ref="M404">IFERROR(IF($A404="","",IF(G404="","",_xlfn.XLOOKUP($C404&amp;"_"&amp;$AG404,符文权重!$A:$A&amp;"_"&amp;符文权重!$C:$C,符文权重!$D:$D)*$X404/SUMIFS($X:$X,G:G,G404,$C:$C,$C404,$AG:$AG,$AG404)/SUMIF(符文权重!$A:$A,$C404,符文权重!$D:$D))),"")</f>
        <v/>
      </c>
      <c r="N404" s="39" t="str" cm="1">
        <f t="array" ref="N404">IFERROR(IF($A404="","",IF(H404="","",_xlfn.XLOOKUP($C404&amp;"_"&amp;$AG404,符文权重!$A:$A&amp;"_"&amp;符文权重!$C:$C,符文权重!$D:$D)*$X404/SUMIFS($X:$X,H:H,H404,$C:$C,$C404,$AG:$AG,$AG404)/SUMIF(符文权重!$A:$A,$C404,符文权重!$D:$D))),"")</f>
        <v/>
      </c>
      <c r="O404" s="39" cm="1">
        <f t="array" ref="O404">IFERROR(IF($A404="","",IF(I404="","",_xlfn.XLOOKUP($C404&amp;"_"&amp;$AG404,符文权重!$A:$A&amp;"_"&amp;符文权重!$C:$C,符文权重!$D:$D)*$X404/SUMIFS($X:$X,I:I,I404,$C:$C,$C404,$AG:$AG,$AG404)/SUMIF(符文权重!$A:$A,$C404,符文权重!$D:$D))),"")</f>
        <v>0.0075</v>
      </c>
      <c r="P404" s="39" t="str" cm="1">
        <f t="array" ref="P404">IFERROR(IF($A404="","",IF(J404="","",_xlfn.XLOOKUP($C404&amp;"_"&amp;$AG404,符文权重!$A:$A&amp;"_"&amp;符文权重!$C:$C,符文权重!$D:$D)*$X404/SUMIFS($X:$X,J:J,J404,$C:$C,$C404,$AG:$AG,$AG404)/SUMIF(符文权重!$A:$A,$C404,符文权重!$D:$D))),"")</f>
        <v/>
      </c>
      <c r="Q404" s="39" t="str" cm="1">
        <f t="array" ref="Q404">IFERROR(IF($A404="","",IF(K404="","",_xlfn.XLOOKUP($C404&amp;"_"&amp;$AG404,符文权重!$A:$A&amp;"_"&amp;符文权重!$C:$C,符文权重!$D:$D)*$X404/SUMIFS($X:$X,K:K,K404,$C:$C,$C404,$AG:$AG,$AG404)/SUMIF(符文权重!$A:$A,$C404,符文权重!$D:$D))),"")</f>
        <v/>
      </c>
      <c r="R404" s="26" t="s">
        <v>181</v>
      </c>
      <c r="S404" s="26" t="s">
        <v>200</v>
      </c>
      <c r="T404" s="26" t="s">
        <v>397</v>
      </c>
      <c r="U404" s="40" t="s">
        <v>496</v>
      </c>
      <c r="X404" s="26">
        <v>100</v>
      </c>
      <c r="Z404" s="32" t="s">
        <v>180</v>
      </c>
      <c r="AA404" s="32" t="str">
        <f t="shared" si="199"/>
        <v>法师职业的大招冷却时间缩短55%</v>
      </c>
      <c r="AB404" s="32"/>
      <c r="AC404" s="32" t="s">
        <v>166</v>
      </c>
      <c r="AD404" s="32">
        <f t="shared" si="197"/>
        <v>1399</v>
      </c>
      <c r="AE404" s="38" t="s">
        <v>488</v>
      </c>
      <c r="AF404" s="32" t="s">
        <v>414</v>
      </c>
      <c r="AG404" s="26">
        <v>5</v>
      </c>
      <c r="AH404" s="26"/>
      <c r="AI404" s="26">
        <v>0</v>
      </c>
      <c r="AJ404" s="25">
        <v>1</v>
      </c>
      <c r="AK404" s="38">
        <v>5505097</v>
      </c>
      <c r="AL404" s="41" t="s">
        <v>490</v>
      </c>
      <c r="AM404" s="26">
        <v>55</v>
      </c>
      <c r="AN404" s="26">
        <v>5</v>
      </c>
      <c r="AO404" s="26" t="s">
        <v>32</v>
      </c>
      <c r="AP404" s="20">
        <f t="shared" si="198"/>
        <v>399</v>
      </c>
    </row>
    <row r="405" s="20" customFormat="1" customHeight="1" spans="1:42">
      <c r="A405" s="38" t="s">
        <v>167</v>
      </c>
      <c r="B405" s="38" t="str">
        <f t="shared" ref="B405:B468" si="200">IF(ISBLANK(AK405),"",LEFT(AK405,6)&amp;1)</f>
        <v/>
      </c>
      <c r="C405" s="32" t="str">
        <f t="shared" ref="C405:C468" si="201">IF(ISBLANK(AK405),"",VALUE(RIGHT(A405,1)))</f>
        <v/>
      </c>
      <c r="D405" s="32"/>
      <c r="E405" s="26"/>
      <c r="F405" s="26" t="str">
        <f t="shared" si="196"/>
        <v/>
      </c>
      <c r="G405" s="26" t="str">
        <f>IFERROR(IF(--MID($E405,2*COUNTIF($F405:F405,"&gt;"&amp;0)+2,1)=G$1,G$1,""),"")</f>
        <v/>
      </c>
      <c r="H405" s="26" t="str">
        <f>IFERROR(IF(--MID($E405,2*COUNTIF($F405:G405,"&gt;"&amp;0)+2,1)=H$1,H$1,""),"")</f>
        <v/>
      </c>
      <c r="I405" s="26" t="str">
        <f>IFERROR(IF(--MID($E405,2*COUNTIF($F405:H405,"&gt;"&amp;0)+2,1)=I$1,I$1,""),"")</f>
        <v/>
      </c>
      <c r="J405" s="26" t="str">
        <f>IFERROR(IF(--MID($E405,2*COUNTIF($F405:I405,"&gt;"&amp;0)+2,1)=J$1,J$1,""),"")</f>
        <v/>
      </c>
      <c r="K405" s="26" t="str">
        <f>IFERROR(IF(--MID($E405,2*COUNTIF($F405:J405,"&gt;"&amp;0)+2,1)=K$1,K$1,""),"")</f>
        <v/>
      </c>
      <c r="L405" s="39" t="str" cm="1">
        <f t="array" ref="L405">IFERROR(IF($A405="","",IF(F405="","",_xlfn.XLOOKUP($C405&amp;"_"&amp;$AG405,符文权重!$A:$A&amp;"_"&amp;符文权重!$C:$C,符文权重!$D:$D)*$X405/SUMIFS($X:$X,F:F,F405,$C:$C,$C405,$AG:$AG,$AG405)/SUMIF(符文权重!$A:$A,$C405,符文权重!$D:$D))),"")</f>
        <v/>
      </c>
      <c r="M405" s="39" t="str" cm="1">
        <f t="array" ref="M405">IFERROR(IF($A405="","",IF(G405="","",_xlfn.XLOOKUP($C405&amp;"_"&amp;$AG405,符文权重!$A:$A&amp;"_"&amp;符文权重!$C:$C,符文权重!$D:$D)*$X405/SUMIFS($X:$X,G:G,G405,$C:$C,$C405,$AG:$AG,$AG405)/SUMIF(符文权重!$A:$A,$C405,符文权重!$D:$D))),"")</f>
        <v/>
      </c>
      <c r="N405" s="39" t="str" cm="1">
        <f t="array" ref="N405">IFERROR(IF($A405="","",IF(H405="","",_xlfn.XLOOKUP($C405&amp;"_"&amp;$AG405,符文权重!$A:$A&amp;"_"&amp;符文权重!$C:$C,符文权重!$D:$D)*$X405/SUMIFS($X:$X,H:H,H405,$C:$C,$C405,$AG:$AG,$AG405)/SUMIF(符文权重!$A:$A,$C405,符文权重!$D:$D))),"")</f>
        <v/>
      </c>
      <c r="O405" s="39" t="str" cm="1">
        <f t="array" ref="O405">IFERROR(IF($A405="","",IF(I405="","",_xlfn.XLOOKUP($C405&amp;"_"&amp;$AG405,符文权重!$A:$A&amp;"_"&amp;符文权重!$C:$C,符文权重!$D:$D)*$X405/SUMIFS($X:$X,I:I,I405,$C:$C,$C405,$AG:$AG,$AG405)/SUMIF(符文权重!$A:$A,$C405,符文权重!$D:$D))),"")</f>
        <v/>
      </c>
      <c r="P405" s="39" t="str" cm="1">
        <f t="array" ref="P405">IFERROR(IF($A405="","",IF(J405="","",_xlfn.XLOOKUP($C405&amp;"_"&amp;$AG405,符文权重!$A:$A&amp;"_"&amp;符文权重!$C:$C,符文权重!$D:$D)*$X405/SUMIFS($X:$X,J:J,J405,$C:$C,$C405,$AG:$AG,$AG405)/SUMIF(符文权重!$A:$A,$C405,符文权重!$D:$D))),"")</f>
        <v/>
      </c>
      <c r="Q405" s="39" t="str" cm="1">
        <f t="array" ref="Q405">IFERROR(IF($A405="","",IF(K405="","",_xlfn.XLOOKUP($C405&amp;"_"&amp;$AG405,符文权重!$A:$A&amp;"_"&amp;符文权重!$C:$C,符文权重!$D:$D)*$X405/SUMIFS($X:$X,K:K,K405,$C:$C,$C405,$AG:$AG,$AG405)/SUMIF(符文权重!$A:$A,$C405,符文权重!$D:$D))),"")</f>
        <v/>
      </c>
      <c r="R405" s="26"/>
      <c r="S405" s="26"/>
      <c r="T405" s="26"/>
      <c r="V405" s="31"/>
      <c r="W405" s="25"/>
      <c r="X405" s="25"/>
      <c r="Y405" s="25"/>
      <c r="Z405" s="32" t="s">
        <v>167</v>
      </c>
      <c r="AA405" s="32" t="str">
        <f t="shared" si="199"/>
        <v/>
      </c>
      <c r="AB405" s="32"/>
      <c r="AC405" s="32" t="s">
        <v>166</v>
      </c>
      <c r="AD405" s="32">
        <f t="shared" si="197"/>
        <v>1400</v>
      </c>
      <c r="AE405" s="38" t="str">
        <f t="shared" ref="AE405:AE468" si="202">IF(ISBLANK(AK405),"",B405)</f>
        <v/>
      </c>
      <c r="AF405" s="32" t="str">
        <f t="shared" ref="AF405:AF460" si="203">IF(ISBLANK(AM405),"","["&amp;AM405&amp;"]")</f>
        <v/>
      </c>
      <c r="AG405" s="26"/>
      <c r="AH405" s="26"/>
      <c r="AI405" s="26"/>
      <c r="AJ405" s="25" t="s">
        <v>167</v>
      </c>
      <c r="AK405" s="24"/>
      <c r="AL405" s="59"/>
      <c r="AM405" s="26"/>
      <c r="AN405" s="25"/>
      <c r="AO405" s="25"/>
      <c r="AP405" s="20">
        <f t="shared" si="198"/>
        <v>400</v>
      </c>
    </row>
    <row r="406" s="22" customFormat="1" customHeight="1" spans="1:42">
      <c r="A406" s="44">
        <v>5505101</v>
      </c>
      <c r="B406" s="44" t="str">
        <f t="shared" si="200"/>
        <v>5505101</v>
      </c>
      <c r="C406" s="45">
        <f t="shared" si="201"/>
        <v>1</v>
      </c>
      <c r="D406" s="45"/>
      <c r="E406" s="46" t="s">
        <v>209</v>
      </c>
      <c r="F406" s="26" t="str">
        <f t="shared" si="196"/>
        <v/>
      </c>
      <c r="G406" s="26" t="str">
        <f>IFERROR(IF(--MID($E406,2*COUNTIF($F406:F406,"&gt;"&amp;0)+2,1)=G$1,G$1,""),"")</f>
        <v/>
      </c>
      <c r="H406" s="26" t="str">
        <f>IFERROR(IF(--MID($E406,2*COUNTIF($F406:G406,"&gt;"&amp;0)+2,1)=H$1,H$1,""),"")</f>
        <v/>
      </c>
      <c r="I406" s="26" t="str">
        <f>IFERROR(IF(--MID($E406,2*COUNTIF($F406:H406,"&gt;"&amp;0)+2,1)=I$1,I$1,""),"")</f>
        <v/>
      </c>
      <c r="J406" s="26" t="str">
        <f>IFERROR(IF(--MID($E406,2*COUNTIF($F406:I406,"&gt;"&amp;0)+2,1)=J$1,J$1,""),"")</f>
        <v/>
      </c>
      <c r="K406" s="26">
        <f>IFERROR(IF(--MID($E406,2*COUNTIF($F406:J406,"&gt;"&amp;0)+2,1)=K$1,K$1,""),"")</f>
        <v>6</v>
      </c>
      <c r="L406" s="39" t="str" cm="1">
        <f t="array" ref="L406">IFERROR(IF($A406="","",IF(F406="","",_xlfn.XLOOKUP($C406&amp;"_"&amp;$AG406,符文权重!$A:$A&amp;"_"&amp;符文权重!$C:$C,符文权重!$D:$D)*$X406/SUMIFS($X:$X,F:F,F406,$C:$C,$C406,$AG:$AG,$AG406)/SUMIF(符文权重!$A:$A,$C406,符文权重!$D:$D))),"")</f>
        <v/>
      </c>
      <c r="M406" s="39" t="str" cm="1">
        <f t="array" ref="M406">IFERROR(IF($A406="","",IF(G406="","",_xlfn.XLOOKUP($C406&amp;"_"&amp;$AG406,符文权重!$A:$A&amp;"_"&amp;符文权重!$C:$C,符文权重!$D:$D)*$X406/SUMIFS($X:$X,G:G,G406,$C:$C,$C406,$AG:$AG,$AG406)/SUMIF(符文权重!$A:$A,$C406,符文权重!$D:$D))),"")</f>
        <v/>
      </c>
      <c r="N406" s="39" t="str" cm="1">
        <f t="array" ref="N406">IFERROR(IF($A406="","",IF(H406="","",_xlfn.XLOOKUP($C406&amp;"_"&amp;$AG406,符文权重!$A:$A&amp;"_"&amp;符文权重!$C:$C,符文权重!$D:$D)*$X406/SUMIFS($X:$X,H:H,H406,$C:$C,$C406,$AG:$AG,$AG406)/SUMIF(符文权重!$A:$A,$C406,符文权重!$D:$D))),"")</f>
        <v/>
      </c>
      <c r="O406" s="39" t="str" cm="1">
        <f t="array" ref="O406">IFERROR(IF($A406="","",IF(I406="","",_xlfn.XLOOKUP($C406&amp;"_"&amp;$AG406,符文权重!$A:$A&amp;"_"&amp;符文权重!$C:$C,符文权重!$D:$D)*$X406/SUMIFS($X:$X,I:I,I406,$C:$C,$C406,$AG:$AG,$AG406)/SUMIF(符文权重!$A:$A,$C406,符文权重!$D:$D))),"")</f>
        <v/>
      </c>
      <c r="P406" s="39" t="str" cm="1">
        <f t="array" ref="P406">IFERROR(IF($A406="","",IF(J406="","",_xlfn.XLOOKUP($C406&amp;"_"&amp;$AG406,符文权重!$A:$A&amp;"_"&amp;符文权重!$C:$C,符文权重!$D:$D)*$X406/SUMIFS($X:$X,J:J,J406,$C:$C,$C406,$AG:$AG,$AG406)/SUMIF(符文权重!$A:$A,$C406,符文权重!$D:$D))),"")</f>
        <v/>
      </c>
      <c r="Q406" s="39" t="str" cm="1">
        <f t="array" ref="Q406">IFERROR(IF($A406="","",IF(K406="","",_xlfn.XLOOKUP($C406&amp;"_"&amp;$AG406,符文权重!$A:$A&amp;"_"&amp;符文权重!$C:$C,符文权重!$D:$D)*$X406/SUMIFS($X:$X,K:K,K406,$C:$C,$C406,$AG:$AG,$AG406)/SUMIF(符文权重!$A:$A,$C406,符文权重!$D:$D))),"")</f>
        <v/>
      </c>
      <c r="R406" s="46" t="s">
        <v>181</v>
      </c>
      <c r="S406" s="46" t="s">
        <v>200</v>
      </c>
      <c r="T406" s="46" t="e">
        <f>IF(B406="","",SUBSTITUTE(SUBSTITUTE("[{global_atk,"&amp;#REF!*C406&amp;"}]",21,20),9,8))</f>
        <v>#REF!</v>
      </c>
      <c r="U406" s="47" t="str">
        <f t="shared" ref="U406:U412" si="204">"["&amp;A406&amp;"]"</f>
        <v>[5505101]</v>
      </c>
      <c r="V406" s="52"/>
      <c r="W406" s="23"/>
      <c r="X406" s="25">
        <v>100</v>
      </c>
      <c r="Y406" s="23"/>
      <c r="Z406" s="45" t="s">
        <v>165</v>
      </c>
      <c r="AA406" s="32" t="str">
        <f t="shared" si="199"/>
        <v>法师对血量低于50%敌人有0%额外暴击几率</v>
      </c>
      <c r="AB406" s="32"/>
      <c r="AC406" s="32" t="s">
        <v>166</v>
      </c>
      <c r="AD406" s="32">
        <f t="shared" si="197"/>
        <v>1401</v>
      </c>
      <c r="AE406" s="44" t="str">
        <f t="shared" si="202"/>
        <v>5505101</v>
      </c>
      <c r="AF406" s="45" t="str">
        <f t="shared" si="203"/>
        <v>[0]</v>
      </c>
      <c r="AG406" s="26">
        <v>100</v>
      </c>
      <c r="AH406" s="46"/>
      <c r="AI406" s="46">
        <v>1</v>
      </c>
      <c r="AJ406" s="23">
        <v>1</v>
      </c>
      <c r="AK406" s="48">
        <v>5505101</v>
      </c>
      <c r="AL406" s="57" t="s">
        <v>497</v>
      </c>
      <c r="AM406" s="46">
        <v>0</v>
      </c>
      <c r="AN406" s="25"/>
      <c r="AO406" s="26" t="s">
        <v>32</v>
      </c>
      <c r="AP406" s="20">
        <f t="shared" si="198"/>
        <v>401</v>
      </c>
    </row>
    <row r="407" s="23" customFormat="1" customHeight="1" spans="1:42">
      <c r="A407" s="44">
        <v>5505102</v>
      </c>
      <c r="B407" s="44" t="str">
        <f t="shared" si="200"/>
        <v>5505101</v>
      </c>
      <c r="C407" s="45">
        <f t="shared" si="201"/>
        <v>2</v>
      </c>
      <c r="D407" s="45"/>
      <c r="E407" s="46" t="s">
        <v>209</v>
      </c>
      <c r="F407" s="26" t="str">
        <f t="shared" si="196"/>
        <v/>
      </c>
      <c r="G407" s="26" t="str">
        <f>IFERROR(IF(--MID($E407,2*COUNTIF($F407:F407,"&gt;"&amp;0)+2,1)=G$1,G$1,""),"")</f>
        <v/>
      </c>
      <c r="H407" s="26" t="str">
        <f>IFERROR(IF(--MID($E407,2*COUNTIF($F407:G407,"&gt;"&amp;0)+2,1)=H$1,H$1,""),"")</f>
        <v/>
      </c>
      <c r="I407" s="26" t="str">
        <f>IFERROR(IF(--MID($E407,2*COUNTIF($F407:H407,"&gt;"&amp;0)+2,1)=I$1,I$1,""),"")</f>
        <v/>
      </c>
      <c r="J407" s="26" t="str">
        <f>IFERROR(IF(--MID($E407,2*COUNTIF($F407:I407,"&gt;"&amp;0)+2,1)=J$1,J$1,""),"")</f>
        <v/>
      </c>
      <c r="K407" s="26">
        <f>IFERROR(IF(--MID($E407,2*COUNTIF($F407:J407,"&gt;"&amp;0)+2,1)=K$1,K$1,""),"")</f>
        <v>6</v>
      </c>
      <c r="L407" s="39" t="str" cm="1">
        <f t="array" ref="L407">IFERROR(IF($A407="","",IF(F407="","",_xlfn.XLOOKUP($C407&amp;"_"&amp;$AG407,符文权重!$A:$A&amp;"_"&amp;符文权重!$C:$C,符文权重!$D:$D)*$X407/SUMIFS($X:$X,F:F,F407,$C:$C,$C407,$AG:$AG,$AG407)/SUMIF(符文权重!$A:$A,$C407,符文权重!$D:$D))),"")</f>
        <v/>
      </c>
      <c r="M407" s="39" t="str" cm="1">
        <f t="array" ref="M407">IFERROR(IF($A407="","",IF(G407="","",_xlfn.XLOOKUP($C407&amp;"_"&amp;$AG407,符文权重!$A:$A&amp;"_"&amp;符文权重!$C:$C,符文权重!$D:$D)*$X407/SUMIFS($X:$X,G:G,G407,$C:$C,$C407,$AG:$AG,$AG407)/SUMIF(符文权重!$A:$A,$C407,符文权重!$D:$D))),"")</f>
        <v/>
      </c>
      <c r="N407" s="39" t="str" cm="1">
        <f t="array" ref="N407">IFERROR(IF($A407="","",IF(H407="","",_xlfn.XLOOKUP($C407&amp;"_"&amp;$AG407,符文权重!$A:$A&amp;"_"&amp;符文权重!$C:$C,符文权重!$D:$D)*$X407/SUMIFS($X:$X,H:H,H407,$C:$C,$C407,$AG:$AG,$AG407)/SUMIF(符文权重!$A:$A,$C407,符文权重!$D:$D))),"")</f>
        <v/>
      </c>
      <c r="O407" s="39" t="str" cm="1">
        <f t="array" ref="O407">IFERROR(IF($A407="","",IF(I407="","",_xlfn.XLOOKUP($C407&amp;"_"&amp;$AG407,符文权重!$A:$A&amp;"_"&amp;符文权重!$C:$C,符文权重!$D:$D)*$X407/SUMIFS($X:$X,I:I,I407,$C:$C,$C407,$AG:$AG,$AG407)/SUMIF(符文权重!$A:$A,$C407,符文权重!$D:$D))),"")</f>
        <v/>
      </c>
      <c r="P407" s="39" t="str" cm="1">
        <f t="array" ref="P407">IFERROR(IF($A407="","",IF(J407="","",_xlfn.XLOOKUP($C407&amp;"_"&amp;$AG407,符文权重!$A:$A&amp;"_"&amp;符文权重!$C:$C,符文权重!$D:$D)*$X407/SUMIFS($X:$X,J:J,J407,$C:$C,$C407,$AG:$AG,$AG407)/SUMIF(符文权重!$A:$A,$C407,符文权重!$D:$D))),"")</f>
        <v/>
      </c>
      <c r="Q407" s="39" t="str" cm="1">
        <f t="array" ref="Q407">IFERROR(IF($A407="","",IF(K407="","",_xlfn.XLOOKUP($C407&amp;"_"&amp;$AG407,符文权重!$A:$A&amp;"_"&amp;符文权重!$C:$C,符文权重!$D:$D)*$X407/SUMIFS($X:$X,K:K,K407,$C:$C,$C407,$AG:$AG,$AG407)/SUMIF(符文权重!$A:$A,$C407,符文权重!$D:$D))),"")</f>
        <v/>
      </c>
      <c r="R407" s="46" t="s">
        <v>181</v>
      </c>
      <c r="S407" s="46" t="s">
        <v>200</v>
      </c>
      <c r="T407" s="46" t="e">
        <f>IF(B407="","",SUBSTITUTE(SUBSTITUTE("[{global_atk,"&amp;#REF!*C407&amp;"}]",21,20),9,8))</f>
        <v>#REF!</v>
      </c>
      <c r="U407" s="47" t="str">
        <f t="shared" si="204"/>
        <v>[5505102]</v>
      </c>
      <c r="V407" s="46"/>
      <c r="X407" s="25">
        <v>100</v>
      </c>
      <c r="Z407" s="45" t="s">
        <v>170</v>
      </c>
      <c r="AA407" s="32" t="str">
        <f t="shared" si="199"/>
        <v>法师对血量低于50%敌人有0%额外暴击几率</v>
      </c>
      <c r="AB407" s="32"/>
      <c r="AC407" s="32" t="s">
        <v>166</v>
      </c>
      <c r="AD407" s="32">
        <f t="shared" si="197"/>
        <v>1402</v>
      </c>
      <c r="AE407" s="44" t="str">
        <f t="shared" si="202"/>
        <v>5505101</v>
      </c>
      <c r="AF407" s="45" t="str">
        <f t="shared" si="203"/>
        <v>[0]</v>
      </c>
      <c r="AG407" s="26">
        <v>100</v>
      </c>
      <c r="AH407" s="46"/>
      <c r="AI407" s="46">
        <v>1</v>
      </c>
      <c r="AJ407" s="23">
        <v>1</v>
      </c>
      <c r="AK407" s="44">
        <f t="shared" ref="AK407:AK412" si="205">AK406+1</f>
        <v>5505102</v>
      </c>
      <c r="AL407" s="50" t="str">
        <f t="shared" ref="AL407:AL412" si="206">AL406</f>
        <v>法师对血量低于50%敌人有&lt;color=#54b76b&gt;%s%&lt;/color&gt;额外暴击几率</v>
      </c>
      <c r="AM407" s="46">
        <v>0</v>
      </c>
      <c r="AN407" s="25"/>
      <c r="AO407" s="26" t="s">
        <v>32</v>
      </c>
      <c r="AP407" s="20">
        <f t="shared" si="198"/>
        <v>402</v>
      </c>
    </row>
    <row r="408" s="23" customFormat="1" customHeight="1" spans="1:42">
      <c r="A408" s="44">
        <v>5505103</v>
      </c>
      <c r="B408" s="44" t="str">
        <f t="shared" si="200"/>
        <v>5505101</v>
      </c>
      <c r="C408" s="45">
        <f t="shared" si="201"/>
        <v>3</v>
      </c>
      <c r="D408" s="45"/>
      <c r="E408" s="46" t="s">
        <v>209</v>
      </c>
      <c r="F408" s="26" t="str">
        <f t="shared" si="196"/>
        <v/>
      </c>
      <c r="G408" s="26" t="str">
        <f>IFERROR(IF(--MID($E408,2*COUNTIF($F408:F408,"&gt;"&amp;0)+2,1)=G$1,G$1,""),"")</f>
        <v/>
      </c>
      <c r="H408" s="26" t="str">
        <f>IFERROR(IF(--MID($E408,2*COUNTIF($F408:G408,"&gt;"&amp;0)+2,1)=H$1,H$1,""),"")</f>
        <v/>
      </c>
      <c r="I408" s="26" t="str">
        <f>IFERROR(IF(--MID($E408,2*COUNTIF($F408:H408,"&gt;"&amp;0)+2,1)=I$1,I$1,""),"")</f>
        <v/>
      </c>
      <c r="J408" s="26" t="str">
        <f>IFERROR(IF(--MID($E408,2*COUNTIF($F408:I408,"&gt;"&amp;0)+2,1)=J$1,J$1,""),"")</f>
        <v/>
      </c>
      <c r="K408" s="26">
        <f>IFERROR(IF(--MID($E408,2*COUNTIF($F408:J408,"&gt;"&amp;0)+2,1)=K$1,K$1,""),"")</f>
        <v>6</v>
      </c>
      <c r="L408" s="39" t="str" cm="1">
        <f t="array" ref="L408">IFERROR(IF($A408="","",IF(F408="","",_xlfn.XLOOKUP($C408&amp;"_"&amp;$AG408,符文权重!$A:$A&amp;"_"&amp;符文权重!$C:$C,符文权重!$D:$D)*$X408/SUMIFS($X:$X,F:F,F408,$C:$C,$C408,$AG:$AG,$AG408)/SUMIF(符文权重!$A:$A,$C408,符文权重!$D:$D))),"")</f>
        <v/>
      </c>
      <c r="M408" s="39" t="str" cm="1">
        <f t="array" ref="M408">IFERROR(IF($A408="","",IF(G408="","",_xlfn.XLOOKUP($C408&amp;"_"&amp;$AG408,符文权重!$A:$A&amp;"_"&amp;符文权重!$C:$C,符文权重!$D:$D)*$X408/SUMIFS($X:$X,G:G,G408,$C:$C,$C408,$AG:$AG,$AG408)/SUMIF(符文权重!$A:$A,$C408,符文权重!$D:$D))),"")</f>
        <v/>
      </c>
      <c r="N408" s="39" t="str" cm="1">
        <f t="array" ref="N408">IFERROR(IF($A408="","",IF(H408="","",_xlfn.XLOOKUP($C408&amp;"_"&amp;$AG408,符文权重!$A:$A&amp;"_"&amp;符文权重!$C:$C,符文权重!$D:$D)*$X408/SUMIFS($X:$X,H:H,H408,$C:$C,$C408,$AG:$AG,$AG408)/SUMIF(符文权重!$A:$A,$C408,符文权重!$D:$D))),"")</f>
        <v/>
      </c>
      <c r="O408" s="39" t="str" cm="1">
        <f t="array" ref="O408">IFERROR(IF($A408="","",IF(I408="","",_xlfn.XLOOKUP($C408&amp;"_"&amp;$AG408,符文权重!$A:$A&amp;"_"&amp;符文权重!$C:$C,符文权重!$D:$D)*$X408/SUMIFS($X:$X,I:I,I408,$C:$C,$C408,$AG:$AG,$AG408)/SUMIF(符文权重!$A:$A,$C408,符文权重!$D:$D))),"")</f>
        <v/>
      </c>
      <c r="P408" s="39" t="str" cm="1">
        <f t="array" ref="P408">IFERROR(IF($A408="","",IF(J408="","",_xlfn.XLOOKUP($C408&amp;"_"&amp;$AG408,符文权重!$A:$A&amp;"_"&amp;符文权重!$C:$C,符文权重!$D:$D)*$X408/SUMIFS($X:$X,J:J,J408,$C:$C,$C408,$AG:$AG,$AG408)/SUMIF(符文权重!$A:$A,$C408,符文权重!$D:$D))),"")</f>
        <v/>
      </c>
      <c r="Q408" s="39" t="str" cm="1">
        <f t="array" ref="Q408">IFERROR(IF($A408="","",IF(K408="","",_xlfn.XLOOKUP($C408&amp;"_"&amp;$AG408,符文权重!$A:$A&amp;"_"&amp;符文权重!$C:$C,符文权重!$D:$D)*$X408/SUMIFS($X:$X,K:K,K408,$C:$C,$C408,$AG:$AG,$AG408)/SUMIF(符文权重!$A:$A,$C408,符文权重!$D:$D))),"")</f>
        <v/>
      </c>
      <c r="R408" s="46" t="s">
        <v>181</v>
      </c>
      <c r="S408" s="46" t="s">
        <v>200</v>
      </c>
      <c r="T408" s="46" t="e">
        <f>IF(B408="","",SUBSTITUTE(SUBSTITUTE("[{global_atk,"&amp;#REF!*C408&amp;"}]",21,20),9,8))</f>
        <v>#REF!</v>
      </c>
      <c r="U408" s="47" t="str">
        <f t="shared" si="204"/>
        <v>[5505103]</v>
      </c>
      <c r="V408" s="46"/>
      <c r="X408" s="26">
        <v>100</v>
      </c>
      <c r="Z408" s="45" t="s">
        <v>172</v>
      </c>
      <c r="AA408" s="32" t="str">
        <f t="shared" si="199"/>
        <v>法师对血量低于50%敌人有0%额外暴击几率</v>
      </c>
      <c r="AB408" s="32"/>
      <c r="AC408" s="32" t="s">
        <v>166</v>
      </c>
      <c r="AD408" s="32">
        <f t="shared" si="197"/>
        <v>1403</v>
      </c>
      <c r="AE408" s="44" t="str">
        <f t="shared" si="202"/>
        <v>5505101</v>
      </c>
      <c r="AF408" s="45" t="str">
        <f t="shared" si="203"/>
        <v>[0]</v>
      </c>
      <c r="AG408" s="26">
        <v>100</v>
      </c>
      <c r="AH408" s="46"/>
      <c r="AI408" s="46">
        <v>1</v>
      </c>
      <c r="AJ408" s="23">
        <v>1</v>
      </c>
      <c r="AK408" s="44">
        <f t="shared" si="205"/>
        <v>5505103</v>
      </c>
      <c r="AL408" s="50" t="str">
        <f t="shared" si="206"/>
        <v>法师对血量低于50%敌人有&lt;color=#54b76b&gt;%s%&lt;/color&gt;额外暴击几率</v>
      </c>
      <c r="AM408" s="46">
        <v>0</v>
      </c>
      <c r="AN408" s="26"/>
      <c r="AO408" s="26" t="s">
        <v>32</v>
      </c>
      <c r="AP408" s="20">
        <f t="shared" si="198"/>
        <v>403</v>
      </c>
    </row>
    <row r="409" customHeight="1" spans="1:42">
      <c r="A409" s="38">
        <v>5505104</v>
      </c>
      <c r="B409" s="38" t="str">
        <f t="shared" si="200"/>
        <v>5505101</v>
      </c>
      <c r="C409" s="32">
        <f t="shared" si="201"/>
        <v>4</v>
      </c>
      <c r="D409" s="32"/>
      <c r="E409" s="26" t="s">
        <v>209</v>
      </c>
      <c r="F409" s="26" t="str">
        <f t="shared" si="196"/>
        <v/>
      </c>
      <c r="G409" s="26" t="str">
        <f>IFERROR(IF(--MID($E409,2*COUNTIF($F409:F409,"&gt;"&amp;0)+2,1)=G$1,G$1,""),"")</f>
        <v/>
      </c>
      <c r="H409" s="26" t="str">
        <f>IFERROR(IF(--MID($E409,2*COUNTIF($F409:G409,"&gt;"&amp;0)+2,1)=H$1,H$1,""),"")</f>
        <v/>
      </c>
      <c r="I409" s="26" t="str">
        <f>IFERROR(IF(--MID($E409,2*COUNTIF($F409:H409,"&gt;"&amp;0)+2,1)=I$1,I$1,""),"")</f>
        <v/>
      </c>
      <c r="J409" s="26" t="str">
        <f>IFERROR(IF(--MID($E409,2*COUNTIF($F409:I409,"&gt;"&amp;0)+2,1)=J$1,J$1,""),"")</f>
        <v/>
      </c>
      <c r="K409" s="26">
        <f>IFERROR(IF(--MID($E409,2*COUNTIF($F409:J409,"&gt;"&amp;0)+2,1)=K$1,K$1,""),"")</f>
        <v>6</v>
      </c>
      <c r="L409" s="39" t="str" cm="1">
        <f t="array" ref="L409">IFERROR(IF($A409="","",IF(F409="","",_xlfn.XLOOKUP($C409&amp;"_"&amp;$AG409,符文权重!$A:$A&amp;"_"&amp;符文权重!$C:$C,符文权重!$D:$D)*$X409/SUMIFS($X:$X,F:F,F409,$C:$C,$C409,$AG:$AG,$AG409)/SUMIF(符文权重!$A:$A,$C409,符文权重!$D:$D))),"")</f>
        <v/>
      </c>
      <c r="M409" s="39" t="str" cm="1">
        <f t="array" ref="M409">IFERROR(IF($A409="","",IF(G409="","",_xlfn.XLOOKUP($C409&amp;"_"&amp;$AG409,符文权重!$A:$A&amp;"_"&amp;符文权重!$C:$C,符文权重!$D:$D)*$X409/SUMIFS($X:$X,G:G,G409,$C:$C,$C409,$AG:$AG,$AG409)/SUMIF(符文权重!$A:$A,$C409,符文权重!$D:$D))),"")</f>
        <v/>
      </c>
      <c r="N409" s="39" t="str" cm="1">
        <f t="array" ref="N409">IFERROR(IF($A409="","",IF(H409="","",_xlfn.XLOOKUP($C409&amp;"_"&amp;$AG409,符文权重!$A:$A&amp;"_"&amp;符文权重!$C:$C,符文权重!$D:$D)*$X409/SUMIFS($X:$X,H:H,H409,$C:$C,$C409,$AG:$AG,$AG409)/SUMIF(符文权重!$A:$A,$C409,符文权重!$D:$D))),"")</f>
        <v/>
      </c>
      <c r="O409" s="39" t="str" cm="1">
        <f t="array" ref="O409">IFERROR(IF($A409="","",IF(I409="","",_xlfn.XLOOKUP($C409&amp;"_"&amp;$AG409,符文权重!$A:$A&amp;"_"&amp;符文权重!$C:$C,符文权重!$D:$D)*$X409/SUMIFS($X:$X,I:I,I409,$C:$C,$C409,$AG:$AG,$AG409)/SUMIF(符文权重!$A:$A,$C409,符文权重!$D:$D))),"")</f>
        <v/>
      </c>
      <c r="P409" s="39" t="str" cm="1">
        <f t="array" ref="P409">IFERROR(IF($A409="","",IF(J409="","",_xlfn.XLOOKUP($C409&amp;"_"&amp;$AG409,符文权重!$A:$A&amp;"_"&amp;符文权重!$C:$C,符文权重!$D:$D)*$X409/SUMIFS($X:$X,J:J,J409,$C:$C,$C409,$AG:$AG,$AG409)/SUMIF(符文权重!$A:$A,$C409,符文权重!$D:$D))),"")</f>
        <v/>
      </c>
      <c r="Q409" s="39" t="str" cm="1">
        <f t="array" ref="Q409">IFERROR(IF($A409="","",IF(K409="","",_xlfn.XLOOKUP($C409&amp;"_"&amp;$AG409,符文权重!$A:$A&amp;"_"&amp;符文权重!$C:$C,符文权重!$D:$D)*$X409/SUMIFS($X:$X,K:K,K409,$C:$C,$C409,$AG:$AG,$AG409)/SUMIF(符文权重!$A:$A,$C409,符文权重!$D:$D))),"")</f>
        <v/>
      </c>
      <c r="R409" s="26" t="s">
        <v>181</v>
      </c>
      <c r="S409" s="26" t="s">
        <v>200</v>
      </c>
      <c r="T409" s="26" t="e">
        <f>IF(B409="","",SUBSTITUTE(SUBSTITUTE("[{global_atk,"&amp;#REF!*C409&amp;"}]",21,20),9,8))</f>
        <v>#REF!</v>
      </c>
      <c r="U409" s="40" t="str">
        <f t="shared" si="204"/>
        <v>[5505104]</v>
      </c>
      <c r="X409" s="25">
        <v>4</v>
      </c>
      <c r="Z409" s="32" t="s">
        <v>174</v>
      </c>
      <c r="AA409" s="32" t="str">
        <f t="shared" si="199"/>
        <v>法师对血量低于50%敌人有6%额外暴击几率</v>
      </c>
      <c r="AB409" s="32"/>
      <c r="AC409" s="32" t="s">
        <v>166</v>
      </c>
      <c r="AD409" s="32">
        <f t="shared" si="197"/>
        <v>1404</v>
      </c>
      <c r="AE409" s="38" t="str">
        <f t="shared" si="202"/>
        <v>5505101</v>
      </c>
      <c r="AF409" s="32" t="str">
        <f t="shared" si="203"/>
        <v>[6]</v>
      </c>
      <c r="AG409" s="26">
        <v>105</v>
      </c>
      <c r="AH409" s="26"/>
      <c r="AI409" s="26">
        <v>0</v>
      </c>
      <c r="AJ409" s="25">
        <v>1</v>
      </c>
      <c r="AK409" s="38">
        <f t="shared" si="205"/>
        <v>5505104</v>
      </c>
      <c r="AL409" s="41" t="str">
        <f t="shared" si="206"/>
        <v>法师对血量低于50%敌人有&lt;color=#54b76b&gt;%s%&lt;/color&gt;额外暴击几率</v>
      </c>
      <c r="AM409" s="26">
        <v>6</v>
      </c>
      <c r="AN409" s="25">
        <v>5</v>
      </c>
      <c r="AO409" s="26" t="s">
        <v>32</v>
      </c>
      <c r="AP409" s="20">
        <f t="shared" si="198"/>
        <v>404</v>
      </c>
    </row>
    <row r="410" customHeight="1" spans="1:42">
      <c r="A410" s="38">
        <v>5505105</v>
      </c>
      <c r="B410" s="38" t="str">
        <f t="shared" si="200"/>
        <v>5505101</v>
      </c>
      <c r="C410" s="32">
        <f t="shared" si="201"/>
        <v>5</v>
      </c>
      <c r="D410" s="32"/>
      <c r="E410" s="26" t="s">
        <v>209</v>
      </c>
      <c r="F410" s="26" t="str">
        <f t="shared" si="196"/>
        <v/>
      </c>
      <c r="G410" s="26" t="str">
        <f>IFERROR(IF(--MID($E410,2*COUNTIF($F410:F410,"&gt;"&amp;0)+2,1)=G$1,G$1,""),"")</f>
        <v/>
      </c>
      <c r="H410" s="26" t="str">
        <f>IFERROR(IF(--MID($E410,2*COUNTIF($F410:G410,"&gt;"&amp;0)+2,1)=H$1,H$1,""),"")</f>
        <v/>
      </c>
      <c r="I410" s="26" t="str">
        <f>IFERROR(IF(--MID($E410,2*COUNTIF($F410:H410,"&gt;"&amp;0)+2,1)=I$1,I$1,""),"")</f>
        <v/>
      </c>
      <c r="J410" s="26" t="str">
        <f>IFERROR(IF(--MID($E410,2*COUNTIF($F410:I410,"&gt;"&amp;0)+2,1)=J$1,J$1,""),"")</f>
        <v/>
      </c>
      <c r="K410" s="26">
        <f>IFERROR(IF(--MID($E410,2*COUNTIF($F410:J410,"&gt;"&amp;0)+2,1)=K$1,K$1,""),"")</f>
        <v>6</v>
      </c>
      <c r="L410" s="39" t="str" cm="1">
        <f t="array" ref="L410">IFERROR(IF($A410="","",IF(F410="","",_xlfn.XLOOKUP($C410&amp;"_"&amp;$AG410,符文权重!$A:$A&amp;"_"&amp;符文权重!$C:$C,符文权重!$D:$D)*$X410/SUMIFS($X:$X,F:F,F410,$C:$C,$C410,$AG:$AG,$AG410)/SUMIF(符文权重!$A:$A,$C410,符文权重!$D:$D))),"")</f>
        <v/>
      </c>
      <c r="M410" s="39" t="str" cm="1">
        <f t="array" ref="M410">IFERROR(IF($A410="","",IF(G410="","",_xlfn.XLOOKUP($C410&amp;"_"&amp;$AG410,符文权重!$A:$A&amp;"_"&amp;符文权重!$C:$C,符文权重!$D:$D)*$X410/SUMIFS($X:$X,G:G,G410,$C:$C,$C410,$AG:$AG,$AG410)/SUMIF(符文权重!$A:$A,$C410,符文权重!$D:$D))),"")</f>
        <v/>
      </c>
      <c r="N410" s="39" t="str" cm="1">
        <f t="array" ref="N410">IFERROR(IF($A410="","",IF(H410="","",_xlfn.XLOOKUP($C410&amp;"_"&amp;$AG410,符文权重!$A:$A&amp;"_"&amp;符文权重!$C:$C,符文权重!$D:$D)*$X410/SUMIFS($X:$X,H:H,H410,$C:$C,$C410,$AG:$AG,$AG410)/SUMIF(符文权重!$A:$A,$C410,符文权重!$D:$D))),"")</f>
        <v/>
      </c>
      <c r="O410" s="39" t="str" cm="1">
        <f t="array" ref="O410">IFERROR(IF($A410="","",IF(I410="","",_xlfn.XLOOKUP($C410&amp;"_"&amp;$AG410,符文权重!$A:$A&amp;"_"&amp;符文权重!$C:$C,符文权重!$D:$D)*$X410/SUMIFS($X:$X,I:I,I410,$C:$C,$C410,$AG:$AG,$AG410)/SUMIF(符文权重!$A:$A,$C410,符文权重!$D:$D))),"")</f>
        <v/>
      </c>
      <c r="P410" s="39" t="str" cm="1">
        <f t="array" ref="P410">IFERROR(IF($A410="","",IF(J410="","",_xlfn.XLOOKUP($C410&amp;"_"&amp;$AG410,符文权重!$A:$A&amp;"_"&amp;符文权重!$C:$C,符文权重!$D:$D)*$X410/SUMIFS($X:$X,J:J,J410,$C:$C,$C410,$AG:$AG,$AG410)/SUMIF(符文权重!$A:$A,$C410,符文权重!$D:$D))),"")</f>
        <v/>
      </c>
      <c r="Q410" s="39" cm="1">
        <f t="array" ref="Q410">IFERROR(IF($A410="","",IF(K410="","",_xlfn.XLOOKUP($C410&amp;"_"&amp;$AG410,符文权重!$A:$A&amp;"_"&amp;符文权重!$C:$C,符文权重!$D:$D)*$X410/SUMIFS($X:$X,K:K,K410,$C:$C,$C410,$AG:$AG,$AG410)/SUMIF(符文权重!$A:$A,$C410,符文权重!$D:$D))),"")</f>
        <v>0.005625</v>
      </c>
      <c r="R410" s="26" t="s">
        <v>181</v>
      </c>
      <c r="S410" s="26" t="s">
        <v>200</v>
      </c>
      <c r="T410" s="26" t="e">
        <f>IF(B410="","",SUBSTITUTE(SUBSTITUTE("[{global_atk,"&amp;#REF!*C410&amp;"}]",21,20),9,8))</f>
        <v>#REF!</v>
      </c>
      <c r="U410" s="40" t="str">
        <f t="shared" si="204"/>
        <v>[5505105]</v>
      </c>
      <c r="X410" s="25">
        <v>100</v>
      </c>
      <c r="Z410" s="32" t="s">
        <v>176</v>
      </c>
      <c r="AA410" s="32" t="str">
        <f t="shared" si="199"/>
        <v>法师对血量低于50%敌人有8%额外暴击几率</v>
      </c>
      <c r="AB410" s="32"/>
      <c r="AC410" s="32" t="s">
        <v>166</v>
      </c>
      <c r="AD410" s="32">
        <f t="shared" si="197"/>
        <v>1405</v>
      </c>
      <c r="AE410" s="38" t="str">
        <f t="shared" si="202"/>
        <v>5505101</v>
      </c>
      <c r="AF410" s="32" t="str">
        <f t="shared" si="203"/>
        <v>[8]</v>
      </c>
      <c r="AG410" s="26">
        <v>5</v>
      </c>
      <c r="AH410" s="26"/>
      <c r="AI410" s="26">
        <v>0</v>
      </c>
      <c r="AJ410" s="25">
        <v>1</v>
      </c>
      <c r="AK410" s="38">
        <f t="shared" si="205"/>
        <v>5505105</v>
      </c>
      <c r="AL410" s="41" t="str">
        <f t="shared" si="206"/>
        <v>法师对血量低于50%敌人有&lt;color=#54b76b&gt;%s%&lt;/color&gt;额外暴击几率</v>
      </c>
      <c r="AM410" s="26">
        <v>8</v>
      </c>
      <c r="AN410" s="25">
        <v>5</v>
      </c>
      <c r="AO410" s="26" t="s">
        <v>32</v>
      </c>
      <c r="AP410" s="20">
        <f t="shared" si="198"/>
        <v>405</v>
      </c>
    </row>
    <row r="411" customHeight="1" spans="1:42">
      <c r="A411" s="38">
        <v>5505106</v>
      </c>
      <c r="B411" s="38" t="str">
        <f t="shared" si="200"/>
        <v>5505101</v>
      </c>
      <c r="C411" s="32">
        <f t="shared" si="201"/>
        <v>6</v>
      </c>
      <c r="D411" s="32"/>
      <c r="E411" s="26" t="s">
        <v>209</v>
      </c>
      <c r="F411" s="26" t="str">
        <f t="shared" si="196"/>
        <v/>
      </c>
      <c r="G411" s="26" t="str">
        <f>IFERROR(IF(--MID($E411,2*COUNTIF($F411:F411,"&gt;"&amp;0)+2,1)=G$1,G$1,""),"")</f>
        <v/>
      </c>
      <c r="H411" s="26" t="str">
        <f>IFERROR(IF(--MID($E411,2*COUNTIF($F411:G411,"&gt;"&amp;0)+2,1)=H$1,H$1,""),"")</f>
        <v/>
      </c>
      <c r="I411" s="26" t="str">
        <f>IFERROR(IF(--MID($E411,2*COUNTIF($F411:H411,"&gt;"&amp;0)+2,1)=I$1,I$1,""),"")</f>
        <v/>
      </c>
      <c r="J411" s="26" t="str">
        <f>IFERROR(IF(--MID($E411,2*COUNTIF($F411:I411,"&gt;"&amp;0)+2,1)=J$1,J$1,""),"")</f>
        <v/>
      </c>
      <c r="K411" s="26">
        <f>IFERROR(IF(--MID($E411,2*COUNTIF($F411:J411,"&gt;"&amp;0)+2,1)=K$1,K$1,""),"")</f>
        <v>6</v>
      </c>
      <c r="L411" s="39" t="str" cm="1">
        <f t="array" ref="L411">IFERROR(IF($A411="","",IF(F411="","",_xlfn.XLOOKUP($C411&amp;"_"&amp;$AG411,符文权重!$A:$A&amp;"_"&amp;符文权重!$C:$C,符文权重!$D:$D)*$X411/SUMIFS($X:$X,F:F,F411,$C:$C,$C411,$AG:$AG,$AG411)/SUMIF(符文权重!$A:$A,$C411,符文权重!$D:$D))),"")</f>
        <v/>
      </c>
      <c r="M411" s="39" t="str" cm="1">
        <f t="array" ref="M411">IFERROR(IF($A411="","",IF(G411="","",_xlfn.XLOOKUP($C411&amp;"_"&amp;$AG411,符文权重!$A:$A&amp;"_"&amp;符文权重!$C:$C,符文权重!$D:$D)*$X411/SUMIFS($X:$X,G:G,G411,$C:$C,$C411,$AG:$AG,$AG411)/SUMIF(符文权重!$A:$A,$C411,符文权重!$D:$D))),"")</f>
        <v/>
      </c>
      <c r="N411" s="39" t="str" cm="1">
        <f t="array" ref="N411">IFERROR(IF($A411="","",IF(H411="","",_xlfn.XLOOKUP($C411&amp;"_"&amp;$AG411,符文权重!$A:$A&amp;"_"&amp;符文权重!$C:$C,符文权重!$D:$D)*$X411/SUMIFS($X:$X,H:H,H411,$C:$C,$C411,$AG:$AG,$AG411)/SUMIF(符文权重!$A:$A,$C411,符文权重!$D:$D))),"")</f>
        <v/>
      </c>
      <c r="O411" s="39" t="str" cm="1">
        <f t="array" ref="O411">IFERROR(IF($A411="","",IF(I411="","",_xlfn.XLOOKUP($C411&amp;"_"&amp;$AG411,符文权重!$A:$A&amp;"_"&amp;符文权重!$C:$C,符文权重!$D:$D)*$X411/SUMIFS($X:$X,I:I,I411,$C:$C,$C411,$AG:$AG,$AG411)/SUMIF(符文权重!$A:$A,$C411,符文权重!$D:$D))),"")</f>
        <v/>
      </c>
      <c r="P411" s="39" t="str" cm="1">
        <f t="array" ref="P411">IFERROR(IF($A411="","",IF(J411="","",_xlfn.XLOOKUP($C411&amp;"_"&amp;$AG411,符文权重!$A:$A&amp;"_"&amp;符文权重!$C:$C,符文权重!$D:$D)*$X411/SUMIFS($X:$X,J:J,J411,$C:$C,$C411,$AG:$AG,$AG411)/SUMIF(符文权重!$A:$A,$C411,符文权重!$D:$D))),"")</f>
        <v/>
      </c>
      <c r="Q411" s="39" cm="1">
        <f t="array" ref="Q411">IFERROR(IF($A411="","",IF(K411="","",_xlfn.XLOOKUP($C411&amp;"_"&amp;$AG411,符文权重!$A:$A&amp;"_"&amp;符文权重!$C:$C,符文权重!$D:$D)*$X411/SUMIFS($X:$X,K:K,K411,$C:$C,$C411,$AG:$AG,$AG411)/SUMIF(符文权重!$A:$A,$C411,符文权重!$D:$D))),"")</f>
        <v>0.005625</v>
      </c>
      <c r="R411" s="26" t="s">
        <v>181</v>
      </c>
      <c r="S411" s="26" t="s">
        <v>200</v>
      </c>
      <c r="T411" s="26" t="e">
        <f>IF(B411="","",SUBSTITUTE(SUBSTITUTE("[{global_atk,"&amp;#REF!*C411&amp;"}]",21,20),9,8))</f>
        <v>#REF!</v>
      </c>
      <c r="U411" s="40" t="str">
        <f t="shared" si="204"/>
        <v>[5505106]</v>
      </c>
      <c r="X411" s="25">
        <v>100</v>
      </c>
      <c r="Z411" s="32" t="s">
        <v>178</v>
      </c>
      <c r="AA411" s="32" t="str">
        <f t="shared" si="199"/>
        <v>法师对血量低于50%敌人有12%额外暴击几率</v>
      </c>
      <c r="AB411" s="32"/>
      <c r="AC411" s="32" t="s">
        <v>166</v>
      </c>
      <c r="AD411" s="32">
        <f t="shared" si="197"/>
        <v>1406</v>
      </c>
      <c r="AE411" s="38" t="str">
        <f t="shared" si="202"/>
        <v>5505101</v>
      </c>
      <c r="AF411" s="32" t="str">
        <f t="shared" si="203"/>
        <v>[12]</v>
      </c>
      <c r="AG411" s="26">
        <v>5</v>
      </c>
      <c r="AH411" s="26"/>
      <c r="AI411" s="26">
        <v>0</v>
      </c>
      <c r="AJ411" s="25">
        <v>1</v>
      </c>
      <c r="AK411" s="38">
        <f t="shared" si="205"/>
        <v>5505106</v>
      </c>
      <c r="AL411" s="41" t="str">
        <f t="shared" si="206"/>
        <v>法师对血量低于50%敌人有&lt;color=#54b76b&gt;%s%&lt;/color&gt;额外暴击几率</v>
      </c>
      <c r="AM411" s="26">
        <v>12</v>
      </c>
      <c r="AN411" s="25">
        <v>5</v>
      </c>
      <c r="AO411" s="26" t="s">
        <v>32</v>
      </c>
      <c r="AP411" s="20">
        <f t="shared" si="198"/>
        <v>406</v>
      </c>
    </row>
    <row r="412" customHeight="1" spans="1:42">
      <c r="A412" s="38">
        <v>5505107</v>
      </c>
      <c r="B412" s="38" t="str">
        <f t="shared" si="200"/>
        <v>5505101</v>
      </c>
      <c r="C412" s="32">
        <f t="shared" si="201"/>
        <v>7</v>
      </c>
      <c r="D412" s="32"/>
      <c r="E412" s="26" t="s">
        <v>209</v>
      </c>
      <c r="F412" s="26" t="str">
        <f t="shared" si="196"/>
        <v/>
      </c>
      <c r="G412" s="26" t="str">
        <f>IFERROR(IF(--MID($E412,2*COUNTIF($F412:F412,"&gt;"&amp;0)+2,1)=G$1,G$1,""),"")</f>
        <v/>
      </c>
      <c r="H412" s="26" t="str">
        <f>IFERROR(IF(--MID($E412,2*COUNTIF($F412:G412,"&gt;"&amp;0)+2,1)=H$1,H$1,""),"")</f>
        <v/>
      </c>
      <c r="I412" s="26" t="str">
        <f>IFERROR(IF(--MID($E412,2*COUNTIF($F412:H412,"&gt;"&amp;0)+2,1)=I$1,I$1,""),"")</f>
        <v/>
      </c>
      <c r="J412" s="26" t="str">
        <f>IFERROR(IF(--MID($E412,2*COUNTIF($F412:I412,"&gt;"&amp;0)+2,1)=J$1,J$1,""),"")</f>
        <v/>
      </c>
      <c r="K412" s="26">
        <f>IFERROR(IF(--MID($E412,2*COUNTIF($F412:J412,"&gt;"&amp;0)+2,1)=K$1,K$1,""),"")</f>
        <v>6</v>
      </c>
      <c r="L412" s="39" t="str" cm="1">
        <f t="array" ref="L412">IFERROR(IF($A412="","",IF(F412="","",_xlfn.XLOOKUP($C412&amp;"_"&amp;$AG412,符文权重!$A:$A&amp;"_"&amp;符文权重!$C:$C,符文权重!$D:$D)*$X412/SUMIFS($X:$X,F:F,F412,$C:$C,$C412,$AG:$AG,$AG412)/SUMIF(符文权重!$A:$A,$C412,符文权重!$D:$D))),"")</f>
        <v/>
      </c>
      <c r="M412" s="39" t="str" cm="1">
        <f t="array" ref="M412">IFERROR(IF($A412="","",IF(G412="","",_xlfn.XLOOKUP($C412&amp;"_"&amp;$AG412,符文权重!$A:$A&amp;"_"&amp;符文权重!$C:$C,符文权重!$D:$D)*$X412/SUMIFS($X:$X,G:G,G412,$C:$C,$C412,$AG:$AG,$AG412)/SUMIF(符文权重!$A:$A,$C412,符文权重!$D:$D))),"")</f>
        <v/>
      </c>
      <c r="N412" s="39" t="str" cm="1">
        <f t="array" ref="N412">IFERROR(IF($A412="","",IF(H412="","",_xlfn.XLOOKUP($C412&amp;"_"&amp;$AG412,符文权重!$A:$A&amp;"_"&amp;符文权重!$C:$C,符文权重!$D:$D)*$X412/SUMIFS($X:$X,H:H,H412,$C:$C,$C412,$AG:$AG,$AG412)/SUMIF(符文权重!$A:$A,$C412,符文权重!$D:$D))),"")</f>
        <v/>
      </c>
      <c r="O412" s="39" t="str" cm="1">
        <f t="array" ref="O412">IFERROR(IF($A412="","",IF(I412="","",_xlfn.XLOOKUP($C412&amp;"_"&amp;$AG412,符文权重!$A:$A&amp;"_"&amp;符文权重!$C:$C,符文权重!$D:$D)*$X412/SUMIFS($X:$X,I:I,I412,$C:$C,$C412,$AG:$AG,$AG412)/SUMIF(符文权重!$A:$A,$C412,符文权重!$D:$D))),"")</f>
        <v/>
      </c>
      <c r="P412" s="39" t="str" cm="1">
        <f t="array" ref="P412">IFERROR(IF($A412="","",IF(J412="","",_xlfn.XLOOKUP($C412&amp;"_"&amp;$AG412,符文权重!$A:$A&amp;"_"&amp;符文权重!$C:$C,符文权重!$D:$D)*$X412/SUMIFS($X:$X,J:J,J412,$C:$C,$C412,$AG:$AG,$AG412)/SUMIF(符文权重!$A:$A,$C412,符文权重!$D:$D))),"")</f>
        <v/>
      </c>
      <c r="Q412" s="39" cm="1">
        <f t="array" ref="Q412">IFERROR(IF($A412="","",IF(K412="","",_xlfn.XLOOKUP($C412&amp;"_"&amp;$AG412,符文权重!$A:$A&amp;"_"&amp;符文权重!$C:$C,符文权重!$D:$D)*$X412/SUMIFS($X:$X,K:K,K412,$C:$C,$C412,$AG:$AG,$AG412)/SUMIF(符文权重!$A:$A,$C412,符文权重!$D:$D))),"")</f>
        <v>0.005625</v>
      </c>
      <c r="R412" s="26" t="s">
        <v>181</v>
      </c>
      <c r="S412" s="26" t="s">
        <v>200</v>
      </c>
      <c r="T412" s="26" t="e">
        <f>IF(B412="","",SUBSTITUTE(SUBSTITUTE("[{global_atk,"&amp;#REF!*C412&amp;"}]",21,20),9,8))</f>
        <v>#REF!</v>
      </c>
      <c r="U412" s="40" t="str">
        <f t="shared" si="204"/>
        <v>[5505107]</v>
      </c>
      <c r="X412" s="26">
        <v>100</v>
      </c>
      <c r="Z412" s="32" t="s">
        <v>180</v>
      </c>
      <c r="AA412" s="32" t="str">
        <f t="shared" si="199"/>
        <v>法师对血量低于50%敌人有16%额外暴击几率</v>
      </c>
      <c r="AB412" s="32"/>
      <c r="AC412" s="32" t="s">
        <v>166</v>
      </c>
      <c r="AD412" s="32">
        <f t="shared" si="197"/>
        <v>1407</v>
      </c>
      <c r="AE412" s="38" t="str">
        <f t="shared" si="202"/>
        <v>5505101</v>
      </c>
      <c r="AF412" s="32" t="str">
        <f t="shared" si="203"/>
        <v>[16]</v>
      </c>
      <c r="AG412" s="26">
        <v>5</v>
      </c>
      <c r="AH412" s="26"/>
      <c r="AI412" s="26">
        <v>0</v>
      </c>
      <c r="AJ412" s="25">
        <v>1</v>
      </c>
      <c r="AK412" s="38">
        <f t="shared" si="205"/>
        <v>5505107</v>
      </c>
      <c r="AL412" s="41" t="str">
        <f t="shared" si="206"/>
        <v>法师对血量低于50%敌人有&lt;color=#54b76b&gt;%s%&lt;/color&gt;额外暴击几率</v>
      </c>
      <c r="AM412" s="26">
        <v>16</v>
      </c>
      <c r="AN412" s="26">
        <v>5</v>
      </c>
      <c r="AO412" s="26" t="s">
        <v>32</v>
      </c>
      <c r="AP412" s="20">
        <f t="shared" si="198"/>
        <v>407</v>
      </c>
    </row>
    <row r="413" s="20" customFormat="1" customHeight="1" spans="1:42">
      <c r="A413" s="38" t="s">
        <v>167</v>
      </c>
      <c r="B413" s="38" t="str">
        <f t="shared" si="200"/>
        <v/>
      </c>
      <c r="C413" s="32" t="str">
        <f t="shared" si="201"/>
        <v/>
      </c>
      <c r="D413" s="32"/>
      <c r="E413" s="26"/>
      <c r="F413" s="26" t="str">
        <f t="shared" si="196"/>
        <v/>
      </c>
      <c r="G413" s="26" t="str">
        <f>IFERROR(IF(--MID($E413,2*COUNTIF($F413:F413,"&gt;"&amp;0)+2,1)=G$1,G$1,""),"")</f>
        <v/>
      </c>
      <c r="H413" s="26" t="str">
        <f>IFERROR(IF(--MID($E413,2*COUNTIF($F413:G413,"&gt;"&amp;0)+2,1)=H$1,H$1,""),"")</f>
        <v/>
      </c>
      <c r="I413" s="26" t="str">
        <f>IFERROR(IF(--MID($E413,2*COUNTIF($F413:H413,"&gt;"&amp;0)+2,1)=I$1,I$1,""),"")</f>
        <v/>
      </c>
      <c r="J413" s="26" t="str">
        <f>IFERROR(IF(--MID($E413,2*COUNTIF($F413:I413,"&gt;"&amp;0)+2,1)=J$1,J$1,""),"")</f>
        <v/>
      </c>
      <c r="K413" s="26" t="str">
        <f>IFERROR(IF(--MID($E413,2*COUNTIF($F413:J413,"&gt;"&amp;0)+2,1)=K$1,K$1,""),"")</f>
        <v/>
      </c>
      <c r="L413" s="39" t="str" cm="1">
        <f t="array" ref="L413">IFERROR(IF($A413="","",IF(F413="","",_xlfn.XLOOKUP($C413&amp;"_"&amp;$AG413,符文权重!$A:$A&amp;"_"&amp;符文权重!$C:$C,符文权重!$D:$D)*$X413/SUMIFS($X:$X,F:F,F413,$C:$C,$C413,$AG:$AG,$AG413)/SUMIF(符文权重!$A:$A,$C413,符文权重!$D:$D))),"")</f>
        <v/>
      </c>
      <c r="M413" s="39" t="str" cm="1">
        <f t="array" ref="M413">IFERROR(IF($A413="","",IF(G413="","",_xlfn.XLOOKUP($C413&amp;"_"&amp;$AG413,符文权重!$A:$A&amp;"_"&amp;符文权重!$C:$C,符文权重!$D:$D)*$X413/SUMIFS($X:$X,G:G,G413,$C:$C,$C413,$AG:$AG,$AG413)/SUMIF(符文权重!$A:$A,$C413,符文权重!$D:$D))),"")</f>
        <v/>
      </c>
      <c r="N413" s="39" t="str" cm="1">
        <f t="array" ref="N413">IFERROR(IF($A413="","",IF(H413="","",_xlfn.XLOOKUP($C413&amp;"_"&amp;$AG413,符文权重!$A:$A&amp;"_"&amp;符文权重!$C:$C,符文权重!$D:$D)*$X413/SUMIFS($X:$X,H:H,H413,$C:$C,$C413,$AG:$AG,$AG413)/SUMIF(符文权重!$A:$A,$C413,符文权重!$D:$D))),"")</f>
        <v/>
      </c>
      <c r="O413" s="39" t="str" cm="1">
        <f t="array" ref="O413">IFERROR(IF($A413="","",IF(I413="","",_xlfn.XLOOKUP($C413&amp;"_"&amp;$AG413,符文权重!$A:$A&amp;"_"&amp;符文权重!$C:$C,符文权重!$D:$D)*$X413/SUMIFS($X:$X,I:I,I413,$C:$C,$C413,$AG:$AG,$AG413)/SUMIF(符文权重!$A:$A,$C413,符文权重!$D:$D))),"")</f>
        <v/>
      </c>
      <c r="P413" s="39" t="str" cm="1">
        <f t="array" ref="P413">IFERROR(IF($A413="","",IF(J413="","",_xlfn.XLOOKUP($C413&amp;"_"&amp;$AG413,符文权重!$A:$A&amp;"_"&amp;符文权重!$C:$C,符文权重!$D:$D)*$X413/SUMIFS($X:$X,J:J,J413,$C:$C,$C413,$AG:$AG,$AG413)/SUMIF(符文权重!$A:$A,$C413,符文权重!$D:$D))),"")</f>
        <v/>
      </c>
      <c r="Q413" s="39" t="str" cm="1">
        <f t="array" ref="Q413">IFERROR(IF($A413="","",IF(K413="","",_xlfn.XLOOKUP($C413&amp;"_"&amp;$AG413,符文权重!$A:$A&amp;"_"&amp;符文权重!$C:$C,符文权重!$D:$D)*$X413/SUMIFS($X:$X,K:K,K413,$C:$C,$C413,$AG:$AG,$AG413)/SUMIF(符文权重!$A:$A,$C413,符文权重!$D:$D))),"")</f>
        <v/>
      </c>
      <c r="R413" s="26"/>
      <c r="S413" s="26"/>
      <c r="T413" s="26"/>
      <c r="V413" s="31"/>
      <c r="W413" s="25"/>
      <c r="X413" s="25"/>
      <c r="Y413" s="25"/>
      <c r="Z413" s="32" t="s">
        <v>167</v>
      </c>
      <c r="AA413" s="32" t="str">
        <f t="shared" si="199"/>
        <v/>
      </c>
      <c r="AB413" s="32"/>
      <c r="AC413" s="32" t="s">
        <v>166</v>
      </c>
      <c r="AD413" s="32">
        <f t="shared" si="197"/>
        <v>1408</v>
      </c>
      <c r="AE413" s="38" t="str">
        <f t="shared" si="202"/>
        <v/>
      </c>
      <c r="AF413" s="32" t="str">
        <f t="shared" si="203"/>
        <v/>
      </c>
      <c r="AG413" s="26"/>
      <c r="AH413" s="26"/>
      <c r="AI413" s="26"/>
      <c r="AJ413" s="25" t="s">
        <v>167</v>
      </c>
      <c r="AK413" s="24"/>
      <c r="AL413" s="59"/>
      <c r="AM413" s="26"/>
      <c r="AN413" s="25"/>
      <c r="AO413" s="25"/>
      <c r="AP413" s="20">
        <f t="shared" si="198"/>
        <v>408</v>
      </c>
    </row>
    <row r="414" s="23" customFormat="1" customHeight="1" spans="1:42">
      <c r="A414" s="44">
        <v>5505111</v>
      </c>
      <c r="B414" s="44" t="str">
        <f t="shared" si="200"/>
        <v>5505111</v>
      </c>
      <c r="C414" s="45">
        <f t="shared" si="201"/>
        <v>1</v>
      </c>
      <c r="D414" s="45"/>
      <c r="E414" s="46" t="s">
        <v>200</v>
      </c>
      <c r="F414" s="26" t="str">
        <f t="shared" si="196"/>
        <v/>
      </c>
      <c r="G414" s="26">
        <f>IFERROR(IF(--MID($E414,2*COUNTIF($F414:F414,"&gt;"&amp;0)+2,1)=G$1,G$1,""),"")</f>
        <v>2</v>
      </c>
      <c r="H414" s="26" t="str">
        <f>IFERROR(IF(--MID($E414,2*COUNTIF($F414:G414,"&gt;"&amp;0)+2,1)=H$1,H$1,""),"")</f>
        <v/>
      </c>
      <c r="I414" s="26" t="str">
        <f>IFERROR(IF(--MID($E414,2*COUNTIF($F414:H414,"&gt;"&amp;0)+2,1)=I$1,I$1,""),"")</f>
        <v/>
      </c>
      <c r="J414" s="26" t="str">
        <f>IFERROR(IF(--MID($E414,2*COUNTIF($F414:I414,"&gt;"&amp;0)+2,1)=J$1,J$1,""),"")</f>
        <v/>
      </c>
      <c r="K414" s="26" t="str">
        <f>IFERROR(IF(--MID($E414,2*COUNTIF($F414:J414,"&gt;"&amp;0)+2,1)=K$1,K$1,""),"")</f>
        <v/>
      </c>
      <c r="L414" s="39" t="str" cm="1">
        <f t="array" ref="L414">IFERROR(IF($A414="","",IF(F414="","",_xlfn.XLOOKUP($C414&amp;"_"&amp;$AG414,符文权重!$A:$A&amp;"_"&amp;符文权重!$C:$C,符文权重!$D:$D)*$X414/SUMIFS($X:$X,F:F,F414,$C:$C,$C414,$AG:$AG,$AG414)/SUMIF(符文权重!$A:$A,$C414,符文权重!$D:$D))),"")</f>
        <v/>
      </c>
      <c r="M414" s="39" t="str" cm="1">
        <f t="array" ref="M414">IFERROR(IF($A414="","",IF(G414="","",_xlfn.XLOOKUP($C414&amp;"_"&amp;$AG414,符文权重!$A:$A&amp;"_"&amp;符文权重!$C:$C,符文权重!$D:$D)*$X414/SUMIFS($X:$X,G:G,G414,$C:$C,$C414,$AG:$AG,$AG414)/SUMIF(符文权重!$A:$A,$C414,符文权重!$D:$D))),"")</f>
        <v/>
      </c>
      <c r="N414" s="39" t="str" cm="1">
        <f t="array" ref="N414">IFERROR(IF($A414="","",IF(H414="","",_xlfn.XLOOKUP($C414&amp;"_"&amp;$AG414,符文权重!$A:$A&amp;"_"&amp;符文权重!$C:$C,符文权重!$D:$D)*$X414/SUMIFS($X:$X,H:H,H414,$C:$C,$C414,$AG:$AG,$AG414)/SUMIF(符文权重!$A:$A,$C414,符文权重!$D:$D))),"")</f>
        <v/>
      </c>
      <c r="O414" s="39" t="str" cm="1">
        <f t="array" ref="O414">IFERROR(IF($A414="","",IF(I414="","",_xlfn.XLOOKUP($C414&amp;"_"&amp;$AG414,符文权重!$A:$A&amp;"_"&amp;符文权重!$C:$C,符文权重!$D:$D)*$X414/SUMIFS($X:$X,I:I,I414,$C:$C,$C414,$AG:$AG,$AG414)/SUMIF(符文权重!$A:$A,$C414,符文权重!$D:$D))),"")</f>
        <v/>
      </c>
      <c r="P414" s="39" t="str" cm="1">
        <f t="array" ref="P414">IFERROR(IF($A414="","",IF(J414="","",_xlfn.XLOOKUP($C414&amp;"_"&amp;$AG414,符文权重!$A:$A&amp;"_"&amp;符文权重!$C:$C,符文权重!$D:$D)*$X414/SUMIFS($X:$X,J:J,J414,$C:$C,$C414,$AG:$AG,$AG414)/SUMIF(符文权重!$A:$A,$C414,符文权重!$D:$D))),"")</f>
        <v/>
      </c>
      <c r="Q414" s="39" t="str" cm="1">
        <f t="array" ref="Q414">IFERROR(IF($A414="","",IF(K414="","",_xlfn.XLOOKUP($C414&amp;"_"&amp;$AG414,符文权重!$A:$A&amp;"_"&amp;符文权重!$C:$C,符文权重!$D:$D)*$X414/SUMIFS($X:$X,K:K,K414,$C:$C,$C414,$AG:$AG,$AG414)/SUMIF(符文权重!$A:$A,$C414,符文权重!$D:$D))),"")</f>
        <v/>
      </c>
      <c r="R414" s="46" t="s">
        <v>181</v>
      </c>
      <c r="S414" s="46" t="s">
        <v>218</v>
      </c>
      <c r="T414" s="46" t="e">
        <f>IF(B414="","",SUBSTITUTE(SUBSTITUTE("[{global_atk,"&amp;#REF!*C414&amp;"}]",21,20),9,8))</f>
        <v>#REF!</v>
      </c>
      <c r="U414" s="47" t="str">
        <f t="shared" ref="U414:U420" si="207">"["&amp;A414&amp;"]"</f>
        <v>[5505111]</v>
      </c>
      <c r="V414" s="46"/>
      <c r="X414" s="25">
        <v>100</v>
      </c>
      <c r="Z414" s="45" t="s">
        <v>165</v>
      </c>
      <c r="AA414" s="32" t="str">
        <f t="shared" si="199"/>
        <v>控制职业有0%的概率控制时间延长100%</v>
      </c>
      <c r="AB414" s="32"/>
      <c r="AC414" s="32" t="s">
        <v>166</v>
      </c>
      <c r="AD414" s="32">
        <f t="shared" si="197"/>
        <v>1409</v>
      </c>
      <c r="AE414" s="44" t="str">
        <f t="shared" si="202"/>
        <v>5505111</v>
      </c>
      <c r="AF414" s="45" t="str">
        <f t="shared" si="203"/>
        <v>[0]</v>
      </c>
      <c r="AG414" s="26">
        <v>100</v>
      </c>
      <c r="AH414" s="46"/>
      <c r="AI414" s="46">
        <v>1</v>
      </c>
      <c r="AJ414" s="23">
        <v>1</v>
      </c>
      <c r="AK414" s="48">
        <v>5505111</v>
      </c>
      <c r="AL414" s="49" t="s">
        <v>498</v>
      </c>
      <c r="AM414" s="46">
        <v>0</v>
      </c>
      <c r="AN414" s="25"/>
      <c r="AO414" s="25" t="s">
        <v>28</v>
      </c>
      <c r="AP414" s="20">
        <f t="shared" si="198"/>
        <v>409</v>
      </c>
    </row>
    <row r="415" s="23" customFormat="1" customHeight="1" spans="1:42">
      <c r="A415" s="44">
        <v>5505112</v>
      </c>
      <c r="B415" s="44" t="str">
        <f t="shared" si="200"/>
        <v>5505111</v>
      </c>
      <c r="C415" s="45">
        <f t="shared" si="201"/>
        <v>2</v>
      </c>
      <c r="D415" s="45"/>
      <c r="E415" s="46" t="s">
        <v>200</v>
      </c>
      <c r="F415" s="26" t="str">
        <f t="shared" si="196"/>
        <v/>
      </c>
      <c r="G415" s="26">
        <f>IFERROR(IF(--MID($E415,2*COUNTIF($F415:F415,"&gt;"&amp;0)+2,1)=G$1,G$1,""),"")</f>
        <v>2</v>
      </c>
      <c r="H415" s="26" t="str">
        <f>IFERROR(IF(--MID($E415,2*COUNTIF($F415:G415,"&gt;"&amp;0)+2,1)=H$1,H$1,""),"")</f>
        <v/>
      </c>
      <c r="I415" s="26" t="str">
        <f>IFERROR(IF(--MID($E415,2*COUNTIF($F415:H415,"&gt;"&amp;0)+2,1)=I$1,I$1,""),"")</f>
        <v/>
      </c>
      <c r="J415" s="26" t="str">
        <f>IFERROR(IF(--MID($E415,2*COUNTIF($F415:I415,"&gt;"&amp;0)+2,1)=J$1,J$1,""),"")</f>
        <v/>
      </c>
      <c r="K415" s="26" t="str">
        <f>IFERROR(IF(--MID($E415,2*COUNTIF($F415:J415,"&gt;"&amp;0)+2,1)=K$1,K$1,""),"")</f>
        <v/>
      </c>
      <c r="L415" s="39" t="str" cm="1">
        <f t="array" ref="L415">IFERROR(IF($A415="","",IF(F415="","",_xlfn.XLOOKUP($C415&amp;"_"&amp;$AG415,符文权重!$A:$A&amp;"_"&amp;符文权重!$C:$C,符文权重!$D:$D)*$X415/SUMIFS($X:$X,F:F,F415,$C:$C,$C415,$AG:$AG,$AG415)/SUMIF(符文权重!$A:$A,$C415,符文权重!$D:$D))),"")</f>
        <v/>
      </c>
      <c r="M415" s="39" t="str" cm="1">
        <f t="array" ref="M415">IFERROR(IF($A415="","",IF(G415="","",_xlfn.XLOOKUP($C415&amp;"_"&amp;$AG415,符文权重!$A:$A&amp;"_"&amp;符文权重!$C:$C,符文权重!$D:$D)*$X415/SUMIFS($X:$X,G:G,G415,$C:$C,$C415,$AG:$AG,$AG415)/SUMIF(符文权重!$A:$A,$C415,符文权重!$D:$D))),"")</f>
        <v/>
      </c>
      <c r="N415" s="39" t="str" cm="1">
        <f t="array" ref="N415">IFERROR(IF($A415="","",IF(H415="","",_xlfn.XLOOKUP($C415&amp;"_"&amp;$AG415,符文权重!$A:$A&amp;"_"&amp;符文权重!$C:$C,符文权重!$D:$D)*$X415/SUMIFS($X:$X,H:H,H415,$C:$C,$C415,$AG:$AG,$AG415)/SUMIF(符文权重!$A:$A,$C415,符文权重!$D:$D))),"")</f>
        <v/>
      </c>
      <c r="O415" s="39" t="str" cm="1">
        <f t="array" ref="O415">IFERROR(IF($A415="","",IF(I415="","",_xlfn.XLOOKUP($C415&amp;"_"&amp;$AG415,符文权重!$A:$A&amp;"_"&amp;符文权重!$C:$C,符文权重!$D:$D)*$X415/SUMIFS($X:$X,I:I,I415,$C:$C,$C415,$AG:$AG,$AG415)/SUMIF(符文权重!$A:$A,$C415,符文权重!$D:$D))),"")</f>
        <v/>
      </c>
      <c r="P415" s="39" t="str" cm="1">
        <f t="array" ref="P415">IFERROR(IF($A415="","",IF(J415="","",_xlfn.XLOOKUP($C415&amp;"_"&amp;$AG415,符文权重!$A:$A&amp;"_"&amp;符文权重!$C:$C,符文权重!$D:$D)*$X415/SUMIFS($X:$X,J:J,J415,$C:$C,$C415,$AG:$AG,$AG415)/SUMIF(符文权重!$A:$A,$C415,符文权重!$D:$D))),"")</f>
        <v/>
      </c>
      <c r="Q415" s="39" t="str" cm="1">
        <f t="array" ref="Q415">IFERROR(IF($A415="","",IF(K415="","",_xlfn.XLOOKUP($C415&amp;"_"&amp;$AG415,符文权重!$A:$A&amp;"_"&amp;符文权重!$C:$C,符文权重!$D:$D)*$X415/SUMIFS($X:$X,K:K,K415,$C:$C,$C415,$AG:$AG,$AG415)/SUMIF(符文权重!$A:$A,$C415,符文权重!$D:$D))),"")</f>
        <v/>
      </c>
      <c r="R415" s="46" t="s">
        <v>181</v>
      </c>
      <c r="S415" s="46" t="s">
        <v>218</v>
      </c>
      <c r="T415" s="46" t="e">
        <f>IF(B415="","",SUBSTITUTE(SUBSTITUTE("[{global_atk,"&amp;#REF!*C415&amp;"}]",21,20),9,8))</f>
        <v>#REF!</v>
      </c>
      <c r="U415" s="47" t="str">
        <f t="shared" si="207"/>
        <v>[5505112]</v>
      </c>
      <c r="V415" s="46"/>
      <c r="X415" s="25">
        <v>100</v>
      </c>
      <c r="Z415" s="45" t="s">
        <v>170</v>
      </c>
      <c r="AA415" s="32" t="str">
        <f t="shared" si="199"/>
        <v>控制职业有0%的概率控制时间延长100%</v>
      </c>
      <c r="AB415" s="32"/>
      <c r="AC415" s="32" t="s">
        <v>166</v>
      </c>
      <c r="AD415" s="32">
        <f t="shared" si="197"/>
        <v>1410</v>
      </c>
      <c r="AE415" s="44" t="str">
        <f t="shared" si="202"/>
        <v>5505111</v>
      </c>
      <c r="AF415" s="45" t="str">
        <f t="shared" si="203"/>
        <v>[0]</v>
      </c>
      <c r="AG415" s="26">
        <v>100</v>
      </c>
      <c r="AH415" s="46"/>
      <c r="AI415" s="46">
        <v>1</v>
      </c>
      <c r="AJ415" s="23">
        <v>1</v>
      </c>
      <c r="AK415" s="44">
        <f t="shared" ref="AK415:AK420" si="208">AK414+1</f>
        <v>5505112</v>
      </c>
      <c r="AL415" s="50" t="str">
        <f t="shared" ref="AL415:AL420" si="209">AL414</f>
        <v>控制职业有&lt;color=#54b76b&gt;%s%&lt;/color&gt;的概率控制时间延长100%</v>
      </c>
      <c r="AM415" s="46">
        <v>0</v>
      </c>
      <c r="AN415" s="25"/>
      <c r="AO415" s="25" t="s">
        <v>28</v>
      </c>
      <c r="AP415" s="20">
        <f t="shared" si="198"/>
        <v>410</v>
      </c>
    </row>
    <row r="416" s="23" customFormat="1" customHeight="1" spans="1:42">
      <c r="A416" s="44">
        <v>5505113</v>
      </c>
      <c r="B416" s="44" t="str">
        <f t="shared" si="200"/>
        <v>5505111</v>
      </c>
      <c r="C416" s="45">
        <f t="shared" si="201"/>
        <v>3</v>
      </c>
      <c r="D416" s="45"/>
      <c r="E416" s="46" t="s">
        <v>200</v>
      </c>
      <c r="F416" s="26" t="str">
        <f t="shared" si="196"/>
        <v/>
      </c>
      <c r="G416" s="26">
        <f>IFERROR(IF(--MID($E416,2*COUNTIF($F416:F416,"&gt;"&amp;0)+2,1)=G$1,G$1,""),"")</f>
        <v>2</v>
      </c>
      <c r="H416" s="26" t="str">
        <f>IFERROR(IF(--MID($E416,2*COUNTIF($F416:G416,"&gt;"&amp;0)+2,1)=H$1,H$1,""),"")</f>
        <v/>
      </c>
      <c r="I416" s="26" t="str">
        <f>IFERROR(IF(--MID($E416,2*COUNTIF($F416:H416,"&gt;"&amp;0)+2,1)=I$1,I$1,""),"")</f>
        <v/>
      </c>
      <c r="J416" s="26" t="str">
        <f>IFERROR(IF(--MID($E416,2*COUNTIF($F416:I416,"&gt;"&amp;0)+2,1)=J$1,J$1,""),"")</f>
        <v/>
      </c>
      <c r="K416" s="26" t="str">
        <f>IFERROR(IF(--MID($E416,2*COUNTIF($F416:J416,"&gt;"&amp;0)+2,1)=K$1,K$1,""),"")</f>
        <v/>
      </c>
      <c r="L416" s="39" t="str" cm="1">
        <f t="array" ref="L416">IFERROR(IF($A416="","",IF(F416="","",_xlfn.XLOOKUP($C416&amp;"_"&amp;$AG416,符文权重!$A:$A&amp;"_"&amp;符文权重!$C:$C,符文权重!$D:$D)*$X416/SUMIFS($X:$X,F:F,F416,$C:$C,$C416,$AG:$AG,$AG416)/SUMIF(符文权重!$A:$A,$C416,符文权重!$D:$D))),"")</f>
        <v/>
      </c>
      <c r="M416" s="39" t="str" cm="1">
        <f t="array" ref="M416">IFERROR(IF($A416="","",IF(G416="","",_xlfn.XLOOKUP($C416&amp;"_"&amp;$AG416,符文权重!$A:$A&amp;"_"&amp;符文权重!$C:$C,符文权重!$D:$D)*$X416/SUMIFS($X:$X,G:G,G416,$C:$C,$C416,$AG:$AG,$AG416)/SUMIF(符文权重!$A:$A,$C416,符文权重!$D:$D))),"")</f>
        <v/>
      </c>
      <c r="N416" s="39" t="str" cm="1">
        <f t="array" ref="N416">IFERROR(IF($A416="","",IF(H416="","",_xlfn.XLOOKUP($C416&amp;"_"&amp;$AG416,符文权重!$A:$A&amp;"_"&amp;符文权重!$C:$C,符文权重!$D:$D)*$X416/SUMIFS($X:$X,H:H,H416,$C:$C,$C416,$AG:$AG,$AG416)/SUMIF(符文权重!$A:$A,$C416,符文权重!$D:$D))),"")</f>
        <v/>
      </c>
      <c r="O416" s="39" t="str" cm="1">
        <f t="array" ref="O416">IFERROR(IF($A416="","",IF(I416="","",_xlfn.XLOOKUP($C416&amp;"_"&amp;$AG416,符文权重!$A:$A&amp;"_"&amp;符文权重!$C:$C,符文权重!$D:$D)*$X416/SUMIFS($X:$X,I:I,I416,$C:$C,$C416,$AG:$AG,$AG416)/SUMIF(符文权重!$A:$A,$C416,符文权重!$D:$D))),"")</f>
        <v/>
      </c>
      <c r="P416" s="39" t="str" cm="1">
        <f t="array" ref="P416">IFERROR(IF($A416="","",IF(J416="","",_xlfn.XLOOKUP($C416&amp;"_"&amp;$AG416,符文权重!$A:$A&amp;"_"&amp;符文权重!$C:$C,符文权重!$D:$D)*$X416/SUMIFS($X:$X,J:J,J416,$C:$C,$C416,$AG:$AG,$AG416)/SUMIF(符文权重!$A:$A,$C416,符文权重!$D:$D))),"")</f>
        <v/>
      </c>
      <c r="Q416" s="39" t="str" cm="1">
        <f t="array" ref="Q416">IFERROR(IF($A416="","",IF(K416="","",_xlfn.XLOOKUP($C416&amp;"_"&amp;$AG416,符文权重!$A:$A&amp;"_"&amp;符文权重!$C:$C,符文权重!$D:$D)*$X416/SUMIFS($X:$X,K:K,K416,$C:$C,$C416,$AG:$AG,$AG416)/SUMIF(符文权重!$A:$A,$C416,符文权重!$D:$D))),"")</f>
        <v/>
      </c>
      <c r="R416" s="46" t="s">
        <v>181</v>
      </c>
      <c r="S416" s="46" t="s">
        <v>218</v>
      </c>
      <c r="T416" s="46" t="e">
        <f>IF(B416="","",SUBSTITUTE(SUBSTITUTE("[{global_atk,"&amp;#REF!*C416&amp;"}]",21,20),9,8))</f>
        <v>#REF!</v>
      </c>
      <c r="U416" s="47" t="str">
        <f t="shared" si="207"/>
        <v>[5505113]</v>
      </c>
      <c r="V416" s="46"/>
      <c r="X416" s="26">
        <v>100</v>
      </c>
      <c r="Z416" s="45" t="s">
        <v>172</v>
      </c>
      <c r="AA416" s="32" t="str">
        <f t="shared" si="199"/>
        <v>控制职业有0%的概率控制时间延长100%</v>
      </c>
      <c r="AB416" s="32"/>
      <c r="AC416" s="32" t="s">
        <v>166</v>
      </c>
      <c r="AD416" s="32">
        <f t="shared" si="197"/>
        <v>1411</v>
      </c>
      <c r="AE416" s="44" t="str">
        <f t="shared" si="202"/>
        <v>5505111</v>
      </c>
      <c r="AF416" s="45" t="str">
        <f t="shared" si="203"/>
        <v>[0]</v>
      </c>
      <c r="AG416" s="26">
        <v>100</v>
      </c>
      <c r="AH416" s="46"/>
      <c r="AI416" s="46">
        <v>1</v>
      </c>
      <c r="AJ416" s="23">
        <v>1</v>
      </c>
      <c r="AK416" s="44">
        <f t="shared" si="208"/>
        <v>5505113</v>
      </c>
      <c r="AL416" s="50" t="str">
        <f t="shared" si="209"/>
        <v>控制职业有&lt;color=#54b76b&gt;%s%&lt;/color&gt;的概率控制时间延长100%</v>
      </c>
      <c r="AM416" s="46">
        <v>0</v>
      </c>
      <c r="AN416" s="26"/>
      <c r="AO416" s="25" t="s">
        <v>28</v>
      </c>
      <c r="AP416" s="20">
        <f t="shared" si="198"/>
        <v>411</v>
      </c>
    </row>
    <row r="417" customHeight="1" spans="1:42">
      <c r="A417" s="38">
        <v>5505114</v>
      </c>
      <c r="B417" s="38" t="str">
        <f t="shared" si="200"/>
        <v>5505111</v>
      </c>
      <c r="C417" s="32">
        <f t="shared" si="201"/>
        <v>4</v>
      </c>
      <c r="D417" s="32"/>
      <c r="E417" s="26" t="s">
        <v>200</v>
      </c>
      <c r="F417" s="26" t="str">
        <f t="shared" si="196"/>
        <v/>
      </c>
      <c r="G417" s="26">
        <f>IFERROR(IF(--MID($E417,2*COUNTIF($F417:F417,"&gt;"&amp;0)+2,1)=G$1,G$1,""),"")</f>
        <v>2</v>
      </c>
      <c r="H417" s="26" t="str">
        <f>IFERROR(IF(--MID($E417,2*COUNTIF($F417:G417,"&gt;"&amp;0)+2,1)=H$1,H$1,""),"")</f>
        <v/>
      </c>
      <c r="I417" s="26" t="str">
        <f>IFERROR(IF(--MID($E417,2*COUNTIF($F417:H417,"&gt;"&amp;0)+2,1)=I$1,I$1,""),"")</f>
        <v/>
      </c>
      <c r="J417" s="26" t="str">
        <f>IFERROR(IF(--MID($E417,2*COUNTIF($F417:I417,"&gt;"&amp;0)+2,1)=J$1,J$1,""),"")</f>
        <v/>
      </c>
      <c r="K417" s="26" t="str">
        <f>IFERROR(IF(--MID($E417,2*COUNTIF($F417:J417,"&gt;"&amp;0)+2,1)=K$1,K$1,""),"")</f>
        <v/>
      </c>
      <c r="L417" s="39" t="str" cm="1">
        <f t="array" ref="L417">IFERROR(IF($A417="","",IF(F417="","",_xlfn.XLOOKUP($C417&amp;"_"&amp;$AG417,符文权重!$A:$A&amp;"_"&amp;符文权重!$C:$C,符文权重!$D:$D)*$X417/SUMIFS($X:$X,F:F,F417,$C:$C,$C417,$AG:$AG,$AG417)/SUMIF(符文权重!$A:$A,$C417,符文权重!$D:$D))),"")</f>
        <v/>
      </c>
      <c r="M417" s="60" cm="1">
        <f t="array" ref="M417">IFERROR(IF($A417="","",IF(G417="","",_xlfn.XLOOKUP($C417&amp;"_"&amp;$AG417,符文权重!$A:$A&amp;"_"&amp;符文权重!$C:$C,符文权重!$D:$D)*$X417/SUMIFS($X:$X,G:G,G417,$C:$C,$C417,$AG:$AG,$AG417)/SUMIF(符文权重!$A:$A,$C417,符文权重!$D:$D))),"")</f>
        <v>0.00474242424242424</v>
      </c>
      <c r="N417" s="39" t="str" cm="1">
        <f t="array" ref="N417">IFERROR(IF($A417="","",IF(H417="","",_xlfn.XLOOKUP($C417&amp;"_"&amp;$AG417,符文权重!$A:$A&amp;"_"&amp;符文权重!$C:$C,符文权重!$D:$D)*$X417/SUMIFS($X:$X,H:H,H417,$C:$C,$C417,$AG:$AG,$AG417)/SUMIF(符文权重!$A:$A,$C417,符文权重!$D:$D))),"")</f>
        <v/>
      </c>
      <c r="O417" s="39" t="str" cm="1">
        <f t="array" ref="O417">IFERROR(IF($A417="","",IF(I417="","",_xlfn.XLOOKUP($C417&amp;"_"&amp;$AG417,符文权重!$A:$A&amp;"_"&amp;符文权重!$C:$C,符文权重!$D:$D)*$X417/SUMIFS($X:$X,I:I,I417,$C:$C,$C417,$AG:$AG,$AG417)/SUMIF(符文权重!$A:$A,$C417,符文权重!$D:$D))),"")</f>
        <v/>
      </c>
      <c r="P417" s="39" t="str" cm="1">
        <f t="array" ref="P417">IFERROR(IF($A417="","",IF(J417="","",_xlfn.XLOOKUP($C417&amp;"_"&amp;$AG417,符文权重!$A:$A&amp;"_"&amp;符文权重!$C:$C,符文权重!$D:$D)*$X417/SUMIFS($X:$X,J:J,J417,$C:$C,$C417,$AG:$AG,$AG417)/SUMIF(符文权重!$A:$A,$C417,符文权重!$D:$D))),"")</f>
        <v/>
      </c>
      <c r="Q417" s="39" t="str" cm="1">
        <f t="array" ref="Q417">IFERROR(IF($A417="","",IF(K417="","",_xlfn.XLOOKUP($C417&amp;"_"&amp;$AG417,符文权重!$A:$A&amp;"_"&amp;符文权重!$C:$C,符文权重!$D:$D)*$X417/SUMIFS($X:$X,K:K,K417,$C:$C,$C417,$AG:$AG,$AG417)/SUMIF(符文权重!$A:$A,$C417,符文权重!$D:$D))),"")</f>
        <v/>
      </c>
      <c r="R417" s="26" t="s">
        <v>181</v>
      </c>
      <c r="S417" s="26" t="s">
        <v>218</v>
      </c>
      <c r="T417" s="26" t="e">
        <f>IF(B417="","",SUBSTITUTE(SUBSTITUTE("[{global_atk,"&amp;#REF!*C417&amp;"}]",21,20),9,8))</f>
        <v>#REF!</v>
      </c>
      <c r="U417" s="40" t="str">
        <f t="shared" si="207"/>
        <v>[5505114]</v>
      </c>
      <c r="X417" s="25">
        <v>4</v>
      </c>
      <c r="Z417" s="32" t="s">
        <v>174</v>
      </c>
      <c r="AA417" s="32" t="str">
        <f t="shared" si="199"/>
        <v>控制职业有10%的概率控制时间延长100%</v>
      </c>
      <c r="AB417" s="32"/>
      <c r="AC417" s="32" t="s">
        <v>166</v>
      </c>
      <c r="AD417" s="32">
        <f t="shared" si="197"/>
        <v>1412</v>
      </c>
      <c r="AE417" s="38" t="str">
        <f t="shared" si="202"/>
        <v>5505111</v>
      </c>
      <c r="AF417" s="32" t="str">
        <f t="shared" si="203"/>
        <v>[10]</v>
      </c>
      <c r="AG417" s="26">
        <v>3</v>
      </c>
      <c r="AH417" s="26"/>
      <c r="AI417" s="26">
        <v>0</v>
      </c>
      <c r="AJ417" s="25">
        <v>1</v>
      </c>
      <c r="AK417" s="38">
        <f t="shared" si="208"/>
        <v>5505114</v>
      </c>
      <c r="AL417" s="41" t="str">
        <f t="shared" si="209"/>
        <v>控制职业有&lt;color=#54b76b&gt;%s%&lt;/color&gt;的概率控制时间延长100%</v>
      </c>
      <c r="AM417" s="26">
        <v>10</v>
      </c>
      <c r="AN417" s="25">
        <v>5</v>
      </c>
      <c r="AO417" s="25" t="s">
        <v>28</v>
      </c>
      <c r="AP417" s="20">
        <f t="shared" si="198"/>
        <v>412</v>
      </c>
    </row>
    <row r="418" customHeight="1" spans="1:42">
      <c r="A418" s="38">
        <v>5505115</v>
      </c>
      <c r="B418" s="38" t="str">
        <f t="shared" si="200"/>
        <v>5505111</v>
      </c>
      <c r="C418" s="32">
        <f t="shared" si="201"/>
        <v>5</v>
      </c>
      <c r="D418" s="32"/>
      <c r="E418" s="26" t="s">
        <v>200</v>
      </c>
      <c r="F418" s="26" t="str">
        <f t="shared" si="196"/>
        <v/>
      </c>
      <c r="G418" s="26">
        <f>IFERROR(IF(--MID($E418,2*COUNTIF($F418:F418,"&gt;"&amp;0)+2,1)=G$1,G$1,""),"")</f>
        <v>2</v>
      </c>
      <c r="H418" s="26" t="str">
        <f>IFERROR(IF(--MID($E418,2*COUNTIF($F418:G418,"&gt;"&amp;0)+2,1)=H$1,H$1,""),"")</f>
        <v/>
      </c>
      <c r="I418" s="26" t="str">
        <f>IFERROR(IF(--MID($E418,2*COUNTIF($F418:H418,"&gt;"&amp;0)+2,1)=I$1,I$1,""),"")</f>
        <v/>
      </c>
      <c r="J418" s="26" t="str">
        <f>IFERROR(IF(--MID($E418,2*COUNTIF($F418:I418,"&gt;"&amp;0)+2,1)=J$1,J$1,""),"")</f>
        <v/>
      </c>
      <c r="K418" s="26" t="str">
        <f>IFERROR(IF(--MID($E418,2*COUNTIF($F418:J418,"&gt;"&amp;0)+2,1)=K$1,K$1,""),"")</f>
        <v/>
      </c>
      <c r="L418" s="39" t="str" cm="1">
        <f t="array" ref="L418">IFERROR(IF($A418="","",IF(F418="","",_xlfn.XLOOKUP($C418&amp;"_"&amp;$AG418,符文权重!$A:$A&amp;"_"&amp;符文权重!$C:$C,符文权重!$D:$D)*$X418/SUMIFS($X:$X,F:F,F418,$C:$C,$C418,$AG:$AG,$AG418)/SUMIF(符文权重!$A:$A,$C418,符文权重!$D:$D))),"")</f>
        <v/>
      </c>
      <c r="M418" s="39" cm="1">
        <f t="array" ref="M418">IFERROR(IF($A418="","",IF(G418="","",_xlfn.XLOOKUP($C418&amp;"_"&amp;$AG418,符文权重!$A:$A&amp;"_"&amp;符文权重!$C:$C,符文权重!$D:$D)*$X418/SUMIFS($X:$X,G:G,G418,$C:$C,$C418,$AG:$AG,$AG418)/SUMIF(符文权重!$A:$A,$C418,符文权重!$D:$D))),"")</f>
        <v>0.005625</v>
      </c>
      <c r="N418" s="39" t="str" cm="1">
        <f t="array" ref="N418">IFERROR(IF($A418="","",IF(H418="","",_xlfn.XLOOKUP($C418&amp;"_"&amp;$AG418,符文权重!$A:$A&amp;"_"&amp;符文权重!$C:$C,符文权重!$D:$D)*$X418/SUMIFS($X:$X,H:H,H418,$C:$C,$C418,$AG:$AG,$AG418)/SUMIF(符文权重!$A:$A,$C418,符文权重!$D:$D))),"")</f>
        <v/>
      </c>
      <c r="O418" s="39" t="str" cm="1">
        <f t="array" ref="O418">IFERROR(IF($A418="","",IF(I418="","",_xlfn.XLOOKUP($C418&amp;"_"&amp;$AG418,符文权重!$A:$A&amp;"_"&amp;符文权重!$C:$C,符文权重!$D:$D)*$X418/SUMIFS($X:$X,I:I,I418,$C:$C,$C418,$AG:$AG,$AG418)/SUMIF(符文权重!$A:$A,$C418,符文权重!$D:$D))),"")</f>
        <v/>
      </c>
      <c r="P418" s="39" t="str" cm="1">
        <f t="array" ref="P418">IFERROR(IF($A418="","",IF(J418="","",_xlfn.XLOOKUP($C418&amp;"_"&amp;$AG418,符文权重!$A:$A&amp;"_"&amp;符文权重!$C:$C,符文权重!$D:$D)*$X418/SUMIFS($X:$X,J:J,J418,$C:$C,$C418,$AG:$AG,$AG418)/SUMIF(符文权重!$A:$A,$C418,符文权重!$D:$D))),"")</f>
        <v/>
      </c>
      <c r="Q418" s="39" t="str" cm="1">
        <f t="array" ref="Q418">IFERROR(IF($A418="","",IF(K418="","",_xlfn.XLOOKUP($C418&amp;"_"&amp;$AG418,符文权重!$A:$A&amp;"_"&amp;符文权重!$C:$C,符文权重!$D:$D)*$X418/SUMIFS($X:$X,K:K,K418,$C:$C,$C418,$AG:$AG,$AG418)/SUMIF(符文权重!$A:$A,$C418,符文权重!$D:$D))),"")</f>
        <v/>
      </c>
      <c r="R418" s="26" t="s">
        <v>181</v>
      </c>
      <c r="S418" s="26" t="s">
        <v>218</v>
      </c>
      <c r="T418" s="26" t="e">
        <f>IF(B418="","",SUBSTITUTE(SUBSTITUTE("[{global_atk,"&amp;#REF!*C418&amp;"}]",21,20),9,8))</f>
        <v>#REF!</v>
      </c>
      <c r="U418" s="40" t="str">
        <f t="shared" si="207"/>
        <v>[5505115]</v>
      </c>
      <c r="X418" s="25">
        <v>100</v>
      </c>
      <c r="Z418" s="32" t="s">
        <v>176</v>
      </c>
      <c r="AA418" s="32" t="str">
        <f t="shared" si="199"/>
        <v>控制职业有15%的概率控制时间延长100%</v>
      </c>
      <c r="AB418" s="32"/>
      <c r="AC418" s="32" t="s">
        <v>166</v>
      </c>
      <c r="AD418" s="32">
        <f t="shared" si="197"/>
        <v>1413</v>
      </c>
      <c r="AE418" s="38" t="str">
        <f t="shared" si="202"/>
        <v>5505111</v>
      </c>
      <c r="AF418" s="32" t="str">
        <f t="shared" si="203"/>
        <v>[15]</v>
      </c>
      <c r="AG418" s="26">
        <v>5</v>
      </c>
      <c r="AH418" s="26"/>
      <c r="AI418" s="26">
        <v>0</v>
      </c>
      <c r="AJ418" s="25">
        <v>1</v>
      </c>
      <c r="AK418" s="38">
        <f t="shared" si="208"/>
        <v>5505115</v>
      </c>
      <c r="AL418" s="41" t="str">
        <f t="shared" si="209"/>
        <v>控制职业有&lt;color=#54b76b&gt;%s%&lt;/color&gt;的概率控制时间延长100%</v>
      </c>
      <c r="AM418" s="26">
        <v>15</v>
      </c>
      <c r="AN418" s="25">
        <v>5</v>
      </c>
      <c r="AO418" s="25" t="s">
        <v>28</v>
      </c>
      <c r="AP418" s="20">
        <f t="shared" si="198"/>
        <v>413</v>
      </c>
    </row>
    <row r="419" customHeight="1" spans="1:42">
      <c r="A419" s="38">
        <v>5505116</v>
      </c>
      <c r="B419" s="38" t="str">
        <f t="shared" si="200"/>
        <v>5505111</v>
      </c>
      <c r="C419" s="32">
        <f t="shared" si="201"/>
        <v>6</v>
      </c>
      <c r="D419" s="32"/>
      <c r="E419" s="26" t="s">
        <v>200</v>
      </c>
      <c r="F419" s="26" t="str">
        <f t="shared" si="196"/>
        <v/>
      </c>
      <c r="G419" s="26">
        <f>IFERROR(IF(--MID($E419,2*COUNTIF($F419:F419,"&gt;"&amp;0)+2,1)=G$1,G$1,""),"")</f>
        <v>2</v>
      </c>
      <c r="H419" s="26" t="str">
        <f>IFERROR(IF(--MID($E419,2*COUNTIF($F419:G419,"&gt;"&amp;0)+2,1)=H$1,H$1,""),"")</f>
        <v/>
      </c>
      <c r="I419" s="26" t="str">
        <f>IFERROR(IF(--MID($E419,2*COUNTIF($F419:H419,"&gt;"&amp;0)+2,1)=I$1,I$1,""),"")</f>
        <v/>
      </c>
      <c r="J419" s="26" t="str">
        <f>IFERROR(IF(--MID($E419,2*COUNTIF($F419:I419,"&gt;"&amp;0)+2,1)=J$1,J$1,""),"")</f>
        <v/>
      </c>
      <c r="K419" s="26" t="str">
        <f>IFERROR(IF(--MID($E419,2*COUNTIF($F419:J419,"&gt;"&amp;0)+2,1)=K$1,K$1,""),"")</f>
        <v/>
      </c>
      <c r="L419" s="39" t="str" cm="1">
        <f t="array" ref="L419">IFERROR(IF($A419="","",IF(F419="","",_xlfn.XLOOKUP($C419&amp;"_"&amp;$AG419,符文权重!$A:$A&amp;"_"&amp;符文权重!$C:$C,符文权重!$D:$D)*$X419/SUMIFS($X:$X,F:F,F419,$C:$C,$C419,$AG:$AG,$AG419)/SUMIF(符文权重!$A:$A,$C419,符文权重!$D:$D))),"")</f>
        <v/>
      </c>
      <c r="M419" s="39" cm="1">
        <f t="array" ref="M419">IFERROR(IF($A419="","",IF(G419="","",_xlfn.XLOOKUP($C419&amp;"_"&amp;$AG419,符文权重!$A:$A&amp;"_"&amp;符文权重!$C:$C,符文权重!$D:$D)*$X419/SUMIFS($X:$X,G:G,G419,$C:$C,$C419,$AG:$AG,$AG419)/SUMIF(符文权重!$A:$A,$C419,符文权重!$D:$D))),"")</f>
        <v>0.005625</v>
      </c>
      <c r="N419" s="39" t="str" cm="1">
        <f t="array" ref="N419">IFERROR(IF($A419="","",IF(H419="","",_xlfn.XLOOKUP($C419&amp;"_"&amp;$AG419,符文权重!$A:$A&amp;"_"&amp;符文权重!$C:$C,符文权重!$D:$D)*$X419/SUMIFS($X:$X,H:H,H419,$C:$C,$C419,$AG:$AG,$AG419)/SUMIF(符文权重!$A:$A,$C419,符文权重!$D:$D))),"")</f>
        <v/>
      </c>
      <c r="O419" s="39" t="str" cm="1">
        <f t="array" ref="O419">IFERROR(IF($A419="","",IF(I419="","",_xlfn.XLOOKUP($C419&amp;"_"&amp;$AG419,符文权重!$A:$A&amp;"_"&amp;符文权重!$C:$C,符文权重!$D:$D)*$X419/SUMIFS($X:$X,I:I,I419,$C:$C,$C419,$AG:$AG,$AG419)/SUMIF(符文权重!$A:$A,$C419,符文权重!$D:$D))),"")</f>
        <v/>
      </c>
      <c r="P419" s="39" t="str" cm="1">
        <f t="array" ref="P419">IFERROR(IF($A419="","",IF(J419="","",_xlfn.XLOOKUP($C419&amp;"_"&amp;$AG419,符文权重!$A:$A&amp;"_"&amp;符文权重!$C:$C,符文权重!$D:$D)*$X419/SUMIFS($X:$X,J:J,J419,$C:$C,$C419,$AG:$AG,$AG419)/SUMIF(符文权重!$A:$A,$C419,符文权重!$D:$D))),"")</f>
        <v/>
      </c>
      <c r="Q419" s="39" t="str" cm="1">
        <f t="array" ref="Q419">IFERROR(IF($A419="","",IF(K419="","",_xlfn.XLOOKUP($C419&amp;"_"&amp;$AG419,符文权重!$A:$A&amp;"_"&amp;符文权重!$C:$C,符文权重!$D:$D)*$X419/SUMIFS($X:$X,K:K,K419,$C:$C,$C419,$AG:$AG,$AG419)/SUMIF(符文权重!$A:$A,$C419,符文权重!$D:$D))),"")</f>
        <v/>
      </c>
      <c r="R419" s="26" t="s">
        <v>181</v>
      </c>
      <c r="S419" s="26" t="s">
        <v>218</v>
      </c>
      <c r="T419" s="26" t="e">
        <f>IF(B419="","",SUBSTITUTE(SUBSTITUTE("[{global_atk,"&amp;#REF!*C419&amp;"}]",21,20),9,8))</f>
        <v>#REF!</v>
      </c>
      <c r="U419" s="40" t="str">
        <f t="shared" si="207"/>
        <v>[5505116]</v>
      </c>
      <c r="X419" s="25">
        <v>100</v>
      </c>
      <c r="Z419" s="32" t="s">
        <v>178</v>
      </c>
      <c r="AA419" s="32" t="str">
        <f t="shared" si="199"/>
        <v>控制职业有25%的概率控制时间延长100%</v>
      </c>
      <c r="AB419" s="32"/>
      <c r="AC419" s="32" t="s">
        <v>166</v>
      </c>
      <c r="AD419" s="32">
        <f t="shared" si="197"/>
        <v>1414</v>
      </c>
      <c r="AE419" s="38" t="str">
        <f t="shared" si="202"/>
        <v>5505111</v>
      </c>
      <c r="AF419" s="32" t="str">
        <f t="shared" si="203"/>
        <v>[25]</v>
      </c>
      <c r="AG419" s="26">
        <v>5</v>
      </c>
      <c r="AH419" s="26"/>
      <c r="AI419" s="26">
        <v>0</v>
      </c>
      <c r="AJ419" s="25">
        <v>1</v>
      </c>
      <c r="AK419" s="38">
        <f t="shared" si="208"/>
        <v>5505116</v>
      </c>
      <c r="AL419" s="41" t="str">
        <f t="shared" si="209"/>
        <v>控制职业有&lt;color=#54b76b&gt;%s%&lt;/color&gt;的概率控制时间延长100%</v>
      </c>
      <c r="AM419" s="26">
        <v>25</v>
      </c>
      <c r="AN419" s="25">
        <v>5</v>
      </c>
      <c r="AO419" s="25" t="s">
        <v>28</v>
      </c>
      <c r="AP419" s="20">
        <f t="shared" si="198"/>
        <v>414</v>
      </c>
    </row>
    <row r="420" customHeight="1" spans="1:42">
      <c r="A420" s="38">
        <v>5505117</v>
      </c>
      <c r="B420" s="38" t="str">
        <f t="shared" si="200"/>
        <v>5505111</v>
      </c>
      <c r="C420" s="32">
        <f t="shared" si="201"/>
        <v>7</v>
      </c>
      <c r="D420" s="32"/>
      <c r="E420" s="26" t="s">
        <v>200</v>
      </c>
      <c r="F420" s="26" t="str">
        <f t="shared" si="196"/>
        <v/>
      </c>
      <c r="G420" s="26">
        <f>IFERROR(IF(--MID($E420,2*COUNTIF($F420:F420,"&gt;"&amp;0)+2,1)=G$1,G$1,""),"")</f>
        <v>2</v>
      </c>
      <c r="H420" s="26" t="str">
        <f>IFERROR(IF(--MID($E420,2*COUNTIF($F420:G420,"&gt;"&amp;0)+2,1)=H$1,H$1,""),"")</f>
        <v/>
      </c>
      <c r="I420" s="26" t="str">
        <f>IFERROR(IF(--MID($E420,2*COUNTIF($F420:H420,"&gt;"&amp;0)+2,1)=I$1,I$1,""),"")</f>
        <v/>
      </c>
      <c r="J420" s="26" t="str">
        <f>IFERROR(IF(--MID($E420,2*COUNTIF($F420:I420,"&gt;"&amp;0)+2,1)=J$1,J$1,""),"")</f>
        <v/>
      </c>
      <c r="K420" s="26" t="str">
        <f>IFERROR(IF(--MID($E420,2*COUNTIF($F420:J420,"&gt;"&amp;0)+2,1)=K$1,K$1,""),"")</f>
        <v/>
      </c>
      <c r="L420" s="39" t="str" cm="1">
        <f t="array" ref="L420">IFERROR(IF($A420="","",IF(F420="","",_xlfn.XLOOKUP($C420&amp;"_"&amp;$AG420,符文权重!$A:$A&amp;"_"&amp;符文权重!$C:$C,符文权重!$D:$D)*$X420/SUMIFS($X:$X,F:F,F420,$C:$C,$C420,$AG:$AG,$AG420)/SUMIF(符文权重!$A:$A,$C420,符文权重!$D:$D))),"")</f>
        <v/>
      </c>
      <c r="M420" s="39" cm="1">
        <f t="array" ref="M420">IFERROR(IF($A420="","",IF(G420="","",_xlfn.XLOOKUP($C420&amp;"_"&amp;$AG420,符文权重!$A:$A&amp;"_"&amp;符文权重!$C:$C,符文权重!$D:$D)*$X420/SUMIFS($X:$X,G:G,G420,$C:$C,$C420,$AG:$AG,$AG420)/SUMIF(符文权重!$A:$A,$C420,符文权重!$D:$D))),"")</f>
        <v>0.005625</v>
      </c>
      <c r="N420" s="39" t="str" cm="1">
        <f t="array" ref="N420">IFERROR(IF($A420="","",IF(H420="","",_xlfn.XLOOKUP($C420&amp;"_"&amp;$AG420,符文权重!$A:$A&amp;"_"&amp;符文权重!$C:$C,符文权重!$D:$D)*$X420/SUMIFS($X:$X,H:H,H420,$C:$C,$C420,$AG:$AG,$AG420)/SUMIF(符文权重!$A:$A,$C420,符文权重!$D:$D))),"")</f>
        <v/>
      </c>
      <c r="O420" s="39" t="str" cm="1">
        <f t="array" ref="O420">IFERROR(IF($A420="","",IF(I420="","",_xlfn.XLOOKUP($C420&amp;"_"&amp;$AG420,符文权重!$A:$A&amp;"_"&amp;符文权重!$C:$C,符文权重!$D:$D)*$X420/SUMIFS($X:$X,I:I,I420,$C:$C,$C420,$AG:$AG,$AG420)/SUMIF(符文权重!$A:$A,$C420,符文权重!$D:$D))),"")</f>
        <v/>
      </c>
      <c r="P420" s="39" t="str" cm="1">
        <f t="array" ref="P420">IFERROR(IF($A420="","",IF(J420="","",_xlfn.XLOOKUP($C420&amp;"_"&amp;$AG420,符文权重!$A:$A&amp;"_"&amp;符文权重!$C:$C,符文权重!$D:$D)*$X420/SUMIFS($X:$X,J:J,J420,$C:$C,$C420,$AG:$AG,$AG420)/SUMIF(符文权重!$A:$A,$C420,符文权重!$D:$D))),"")</f>
        <v/>
      </c>
      <c r="Q420" s="39" t="str" cm="1">
        <f t="array" ref="Q420">IFERROR(IF($A420="","",IF(K420="","",_xlfn.XLOOKUP($C420&amp;"_"&amp;$AG420,符文权重!$A:$A&amp;"_"&amp;符文权重!$C:$C,符文权重!$D:$D)*$X420/SUMIFS($X:$X,K:K,K420,$C:$C,$C420,$AG:$AG,$AG420)/SUMIF(符文权重!$A:$A,$C420,符文权重!$D:$D))),"")</f>
        <v/>
      </c>
      <c r="R420" s="26" t="s">
        <v>181</v>
      </c>
      <c r="S420" s="26" t="s">
        <v>218</v>
      </c>
      <c r="T420" s="26" t="e">
        <f>IF(B420="","",SUBSTITUTE(SUBSTITUTE("[{global_atk,"&amp;#REF!*C420&amp;"}]",21,20),9,8))</f>
        <v>#REF!</v>
      </c>
      <c r="U420" s="40" t="str">
        <f t="shared" si="207"/>
        <v>[5505117]</v>
      </c>
      <c r="X420" s="26">
        <v>100</v>
      </c>
      <c r="Z420" s="32" t="s">
        <v>180</v>
      </c>
      <c r="AA420" s="32" t="str">
        <f t="shared" si="199"/>
        <v>控制职业有30%的概率控制时间延长100%</v>
      </c>
      <c r="AB420" s="32"/>
      <c r="AC420" s="32" t="s">
        <v>166</v>
      </c>
      <c r="AD420" s="32">
        <f t="shared" si="197"/>
        <v>1415</v>
      </c>
      <c r="AE420" s="38" t="str">
        <f t="shared" si="202"/>
        <v>5505111</v>
      </c>
      <c r="AF420" s="32" t="str">
        <f t="shared" si="203"/>
        <v>[30]</v>
      </c>
      <c r="AG420" s="26">
        <v>5</v>
      </c>
      <c r="AH420" s="26"/>
      <c r="AI420" s="26">
        <v>0</v>
      </c>
      <c r="AJ420" s="25">
        <v>1</v>
      </c>
      <c r="AK420" s="38">
        <f t="shared" si="208"/>
        <v>5505117</v>
      </c>
      <c r="AL420" s="41" t="str">
        <f t="shared" si="209"/>
        <v>控制职业有&lt;color=#54b76b&gt;%s%&lt;/color&gt;的概率控制时间延长100%</v>
      </c>
      <c r="AM420" s="26">
        <v>30</v>
      </c>
      <c r="AN420" s="26">
        <v>5</v>
      </c>
      <c r="AO420" s="25" t="s">
        <v>28</v>
      </c>
      <c r="AP420" s="20">
        <f t="shared" si="198"/>
        <v>415</v>
      </c>
    </row>
    <row r="421" s="20" customFormat="1" customHeight="1" spans="1:42">
      <c r="A421" s="38" t="s">
        <v>167</v>
      </c>
      <c r="B421" s="38" t="str">
        <f t="shared" si="200"/>
        <v/>
      </c>
      <c r="C421" s="32" t="str">
        <f t="shared" si="201"/>
        <v/>
      </c>
      <c r="D421" s="32"/>
      <c r="E421" s="26"/>
      <c r="F421" s="26" t="str">
        <f t="shared" si="196"/>
        <v/>
      </c>
      <c r="G421" s="26" t="str">
        <f>IFERROR(IF(--MID($E421,2*COUNTIF($F421:F421,"&gt;"&amp;0)+2,1)=G$1,G$1,""),"")</f>
        <v/>
      </c>
      <c r="H421" s="26" t="str">
        <f>IFERROR(IF(--MID($E421,2*COUNTIF($F421:G421,"&gt;"&amp;0)+2,1)=H$1,H$1,""),"")</f>
        <v/>
      </c>
      <c r="I421" s="26" t="str">
        <f>IFERROR(IF(--MID($E421,2*COUNTIF($F421:H421,"&gt;"&amp;0)+2,1)=I$1,I$1,""),"")</f>
        <v/>
      </c>
      <c r="J421" s="26" t="str">
        <f>IFERROR(IF(--MID($E421,2*COUNTIF($F421:I421,"&gt;"&amp;0)+2,1)=J$1,J$1,""),"")</f>
        <v/>
      </c>
      <c r="K421" s="26" t="str">
        <f>IFERROR(IF(--MID($E421,2*COUNTIF($F421:J421,"&gt;"&amp;0)+2,1)=K$1,K$1,""),"")</f>
        <v/>
      </c>
      <c r="L421" s="39" t="str" cm="1">
        <f t="array" ref="L421">IFERROR(IF($A421="","",IF(F421="","",_xlfn.XLOOKUP($C421&amp;"_"&amp;$AG421,符文权重!$A:$A&amp;"_"&amp;符文权重!$C:$C,符文权重!$D:$D)*$X421/SUMIFS($X:$X,F:F,F421,$C:$C,$C421,$AG:$AG,$AG421)/SUMIF(符文权重!$A:$A,$C421,符文权重!$D:$D))),"")</f>
        <v/>
      </c>
      <c r="M421" s="39" t="str" cm="1">
        <f t="array" ref="M421">IFERROR(IF($A421="","",IF(G421="","",_xlfn.XLOOKUP($C421&amp;"_"&amp;$AG421,符文权重!$A:$A&amp;"_"&amp;符文权重!$C:$C,符文权重!$D:$D)*$X421/SUMIFS($X:$X,G:G,G421,$C:$C,$C421,$AG:$AG,$AG421)/SUMIF(符文权重!$A:$A,$C421,符文权重!$D:$D))),"")</f>
        <v/>
      </c>
      <c r="N421" s="39" t="str" cm="1">
        <f t="array" ref="N421">IFERROR(IF($A421="","",IF(H421="","",_xlfn.XLOOKUP($C421&amp;"_"&amp;$AG421,符文权重!$A:$A&amp;"_"&amp;符文权重!$C:$C,符文权重!$D:$D)*$X421/SUMIFS($X:$X,H:H,H421,$C:$C,$C421,$AG:$AG,$AG421)/SUMIF(符文权重!$A:$A,$C421,符文权重!$D:$D))),"")</f>
        <v/>
      </c>
      <c r="O421" s="39" t="str" cm="1">
        <f t="array" ref="O421">IFERROR(IF($A421="","",IF(I421="","",_xlfn.XLOOKUP($C421&amp;"_"&amp;$AG421,符文权重!$A:$A&amp;"_"&amp;符文权重!$C:$C,符文权重!$D:$D)*$X421/SUMIFS($X:$X,I:I,I421,$C:$C,$C421,$AG:$AG,$AG421)/SUMIF(符文权重!$A:$A,$C421,符文权重!$D:$D))),"")</f>
        <v/>
      </c>
      <c r="P421" s="39" t="str" cm="1">
        <f t="array" ref="P421">IFERROR(IF($A421="","",IF(J421="","",_xlfn.XLOOKUP($C421&amp;"_"&amp;$AG421,符文权重!$A:$A&amp;"_"&amp;符文权重!$C:$C,符文权重!$D:$D)*$X421/SUMIFS($X:$X,J:J,J421,$C:$C,$C421,$AG:$AG,$AG421)/SUMIF(符文权重!$A:$A,$C421,符文权重!$D:$D))),"")</f>
        <v/>
      </c>
      <c r="Q421" s="39" t="str" cm="1">
        <f t="array" ref="Q421">IFERROR(IF($A421="","",IF(K421="","",_xlfn.XLOOKUP($C421&amp;"_"&amp;$AG421,符文权重!$A:$A&amp;"_"&amp;符文权重!$C:$C,符文权重!$D:$D)*$X421/SUMIFS($X:$X,K:K,K421,$C:$C,$C421,$AG:$AG,$AG421)/SUMIF(符文权重!$A:$A,$C421,符文权重!$D:$D))),"")</f>
        <v/>
      </c>
      <c r="R421" s="26"/>
      <c r="S421" s="26"/>
      <c r="T421" s="26"/>
      <c r="V421" s="31"/>
      <c r="W421" s="25"/>
      <c r="X421" s="25"/>
      <c r="Y421" s="25"/>
      <c r="Z421" s="32" t="s">
        <v>167</v>
      </c>
      <c r="AA421" s="32" t="str">
        <f t="shared" si="199"/>
        <v/>
      </c>
      <c r="AB421" s="32"/>
      <c r="AC421" s="32" t="s">
        <v>166</v>
      </c>
      <c r="AD421" s="32">
        <f t="shared" si="197"/>
        <v>1416</v>
      </c>
      <c r="AE421" s="38" t="str">
        <f t="shared" si="202"/>
        <v/>
      </c>
      <c r="AF421" s="32" t="str">
        <f t="shared" si="203"/>
        <v/>
      </c>
      <c r="AG421" s="26"/>
      <c r="AH421" s="26"/>
      <c r="AI421" s="26"/>
      <c r="AJ421" s="25" t="s">
        <v>167</v>
      </c>
      <c r="AK421" s="24"/>
      <c r="AL421" s="59"/>
      <c r="AM421" s="26"/>
      <c r="AN421" s="25"/>
      <c r="AO421" s="25"/>
      <c r="AP421" s="20">
        <f t="shared" si="198"/>
        <v>416</v>
      </c>
    </row>
    <row r="422" s="23" customFormat="1" customHeight="1" spans="1:42">
      <c r="A422" s="44">
        <v>5505121</v>
      </c>
      <c r="B422" s="44" t="str">
        <f t="shared" si="200"/>
        <v>5505121</v>
      </c>
      <c r="C422" s="45">
        <f t="shared" si="201"/>
        <v>1</v>
      </c>
      <c r="D422" s="45"/>
      <c r="E422" s="46" t="s">
        <v>209</v>
      </c>
      <c r="F422" s="26" t="str">
        <f t="shared" si="196"/>
        <v/>
      </c>
      <c r="G422" s="26" t="str">
        <f>IFERROR(IF(--MID($E422,2*COUNTIF($F422:F422,"&gt;"&amp;0)+2,1)=G$1,G$1,""),"")</f>
        <v/>
      </c>
      <c r="H422" s="26" t="str">
        <f>IFERROR(IF(--MID($E422,2*COUNTIF($F422:G422,"&gt;"&amp;0)+2,1)=H$1,H$1,""),"")</f>
        <v/>
      </c>
      <c r="I422" s="26" t="str">
        <f>IFERROR(IF(--MID($E422,2*COUNTIF($F422:H422,"&gt;"&amp;0)+2,1)=I$1,I$1,""),"")</f>
        <v/>
      </c>
      <c r="J422" s="26" t="str">
        <f>IFERROR(IF(--MID($E422,2*COUNTIF($F422:I422,"&gt;"&amp;0)+2,1)=J$1,J$1,""),"")</f>
        <v/>
      </c>
      <c r="K422" s="26">
        <f>IFERROR(IF(--MID($E422,2*COUNTIF($F422:J422,"&gt;"&amp;0)+2,1)=K$1,K$1,""),"")</f>
        <v>6</v>
      </c>
      <c r="L422" s="39" t="str" cm="1">
        <f t="array" ref="L422">IFERROR(IF($A422="","",IF(F422="","",_xlfn.XLOOKUP($C422&amp;"_"&amp;$AG422,符文权重!$A:$A&amp;"_"&amp;符文权重!$C:$C,符文权重!$D:$D)*$X422/SUMIFS($X:$X,F:F,F422,$C:$C,$C422,$AG:$AG,$AG422)/SUMIF(符文权重!$A:$A,$C422,符文权重!$D:$D))),"")</f>
        <v/>
      </c>
      <c r="M422" s="39" t="str" cm="1">
        <f t="array" ref="M422">IFERROR(IF($A422="","",IF(G422="","",_xlfn.XLOOKUP($C422&amp;"_"&amp;$AG422,符文权重!$A:$A&amp;"_"&amp;符文权重!$C:$C,符文权重!$D:$D)*$X422/SUMIFS($X:$X,G:G,G422,$C:$C,$C422,$AG:$AG,$AG422)/SUMIF(符文权重!$A:$A,$C422,符文权重!$D:$D))),"")</f>
        <v/>
      </c>
      <c r="N422" s="39" t="str" cm="1">
        <f t="array" ref="N422">IFERROR(IF($A422="","",IF(H422="","",_xlfn.XLOOKUP($C422&amp;"_"&amp;$AG422,符文权重!$A:$A&amp;"_"&amp;符文权重!$C:$C,符文权重!$D:$D)*$X422/SUMIFS($X:$X,H:H,H422,$C:$C,$C422,$AG:$AG,$AG422)/SUMIF(符文权重!$A:$A,$C422,符文权重!$D:$D))),"")</f>
        <v/>
      </c>
      <c r="O422" s="39" t="str" cm="1">
        <f t="array" ref="O422">IFERROR(IF($A422="","",IF(I422="","",_xlfn.XLOOKUP($C422&amp;"_"&amp;$AG422,符文权重!$A:$A&amp;"_"&amp;符文权重!$C:$C,符文权重!$D:$D)*$X422/SUMIFS($X:$X,I:I,I422,$C:$C,$C422,$AG:$AG,$AG422)/SUMIF(符文权重!$A:$A,$C422,符文权重!$D:$D))),"")</f>
        <v/>
      </c>
      <c r="P422" s="39" t="str" cm="1">
        <f t="array" ref="P422">IFERROR(IF($A422="","",IF(J422="","",_xlfn.XLOOKUP($C422&amp;"_"&amp;$AG422,符文权重!$A:$A&amp;"_"&amp;符文权重!$C:$C,符文权重!$D:$D)*$X422/SUMIFS($X:$X,J:J,J422,$C:$C,$C422,$AG:$AG,$AG422)/SUMIF(符文权重!$A:$A,$C422,符文权重!$D:$D))),"")</f>
        <v/>
      </c>
      <c r="Q422" s="39" t="str" cm="1">
        <f t="array" ref="Q422">IFERROR(IF($A422="","",IF(K422="","",_xlfn.XLOOKUP($C422&amp;"_"&amp;$AG422,符文权重!$A:$A&amp;"_"&amp;符文权重!$C:$C,符文权重!$D:$D)*$X422/SUMIFS($X:$X,K:K,K422,$C:$C,$C422,$AG:$AG,$AG422)/SUMIF(符文权重!$A:$A,$C422,符文权重!$D:$D))),"")</f>
        <v/>
      </c>
      <c r="R422" s="46" t="s">
        <v>181</v>
      </c>
      <c r="S422" s="46" t="s">
        <v>218</v>
      </c>
      <c r="T422" s="46" t="e">
        <f>IF(B422="","",SUBSTITUTE(SUBSTITUTE("[{global_atk,"&amp;#REF!*C422&amp;"}]",21,20),9,8))</f>
        <v>#REF!</v>
      </c>
      <c r="U422" s="47" t="str">
        <f t="shared" ref="U422:U428" si="210">"["&amp;A422&amp;"]"</f>
        <v>[5505121]</v>
      </c>
      <c r="V422" s="46"/>
      <c r="X422" s="25">
        <v>100</v>
      </c>
      <c r="Z422" s="45" t="s">
        <v>165</v>
      </c>
      <c r="AA422" s="32" t="str">
        <f t="shared" si="199"/>
        <v>被施加控制的怪物5s内受到伤害+5%</v>
      </c>
      <c r="AB422" s="32"/>
      <c r="AC422" s="32" t="s">
        <v>166</v>
      </c>
      <c r="AD422" s="32">
        <f t="shared" si="197"/>
        <v>1417</v>
      </c>
      <c r="AE422" s="44" t="str">
        <f t="shared" si="202"/>
        <v>5505121</v>
      </c>
      <c r="AF422" s="45" t="str">
        <f t="shared" si="203"/>
        <v>[5]</v>
      </c>
      <c r="AG422" s="26">
        <v>100</v>
      </c>
      <c r="AH422" s="46"/>
      <c r="AI422" s="46">
        <v>1</v>
      </c>
      <c r="AJ422" s="25">
        <v>1</v>
      </c>
      <c r="AK422" s="48">
        <v>5505121</v>
      </c>
      <c r="AL422" s="49" t="s">
        <v>499</v>
      </c>
      <c r="AM422" s="46">
        <v>5</v>
      </c>
      <c r="AN422" s="25"/>
      <c r="AO422" s="25" t="s">
        <v>25</v>
      </c>
      <c r="AP422" s="20">
        <f t="shared" si="198"/>
        <v>417</v>
      </c>
    </row>
    <row r="423" s="23" customFormat="1" customHeight="1" spans="1:42">
      <c r="A423" s="44">
        <v>5505122</v>
      </c>
      <c r="B423" s="44" t="str">
        <f t="shared" si="200"/>
        <v>5505121</v>
      </c>
      <c r="C423" s="45">
        <f t="shared" si="201"/>
        <v>2</v>
      </c>
      <c r="D423" s="45"/>
      <c r="E423" s="46" t="s">
        <v>209</v>
      </c>
      <c r="F423" s="26" t="str">
        <f t="shared" si="196"/>
        <v/>
      </c>
      <c r="G423" s="26" t="str">
        <f>IFERROR(IF(--MID($E423,2*COUNTIF($F423:F423,"&gt;"&amp;0)+2,1)=G$1,G$1,""),"")</f>
        <v/>
      </c>
      <c r="H423" s="26" t="str">
        <f>IFERROR(IF(--MID($E423,2*COUNTIF($F423:G423,"&gt;"&amp;0)+2,1)=H$1,H$1,""),"")</f>
        <v/>
      </c>
      <c r="I423" s="26" t="str">
        <f>IFERROR(IF(--MID($E423,2*COUNTIF($F423:H423,"&gt;"&amp;0)+2,1)=I$1,I$1,""),"")</f>
        <v/>
      </c>
      <c r="J423" s="26" t="str">
        <f>IFERROR(IF(--MID($E423,2*COUNTIF($F423:I423,"&gt;"&amp;0)+2,1)=J$1,J$1,""),"")</f>
        <v/>
      </c>
      <c r="K423" s="26">
        <f>IFERROR(IF(--MID($E423,2*COUNTIF($F423:J423,"&gt;"&amp;0)+2,1)=K$1,K$1,""),"")</f>
        <v>6</v>
      </c>
      <c r="L423" s="39" t="str" cm="1">
        <f t="array" ref="L423">IFERROR(IF($A423="","",IF(F423="","",_xlfn.XLOOKUP($C423&amp;"_"&amp;$AG423,符文权重!$A:$A&amp;"_"&amp;符文权重!$C:$C,符文权重!$D:$D)*$X423/SUMIFS($X:$X,F:F,F423,$C:$C,$C423,$AG:$AG,$AG423)/SUMIF(符文权重!$A:$A,$C423,符文权重!$D:$D))),"")</f>
        <v/>
      </c>
      <c r="M423" s="39" t="str" cm="1">
        <f t="array" ref="M423">IFERROR(IF($A423="","",IF(G423="","",_xlfn.XLOOKUP($C423&amp;"_"&amp;$AG423,符文权重!$A:$A&amp;"_"&amp;符文权重!$C:$C,符文权重!$D:$D)*$X423/SUMIFS($X:$X,G:G,G423,$C:$C,$C423,$AG:$AG,$AG423)/SUMIF(符文权重!$A:$A,$C423,符文权重!$D:$D))),"")</f>
        <v/>
      </c>
      <c r="N423" s="39" t="str" cm="1">
        <f t="array" ref="N423">IFERROR(IF($A423="","",IF(H423="","",_xlfn.XLOOKUP($C423&amp;"_"&amp;$AG423,符文权重!$A:$A&amp;"_"&amp;符文权重!$C:$C,符文权重!$D:$D)*$X423/SUMIFS($X:$X,H:H,H423,$C:$C,$C423,$AG:$AG,$AG423)/SUMIF(符文权重!$A:$A,$C423,符文权重!$D:$D))),"")</f>
        <v/>
      </c>
      <c r="O423" s="39" t="str" cm="1">
        <f t="array" ref="O423">IFERROR(IF($A423="","",IF(I423="","",_xlfn.XLOOKUP($C423&amp;"_"&amp;$AG423,符文权重!$A:$A&amp;"_"&amp;符文权重!$C:$C,符文权重!$D:$D)*$X423/SUMIFS($X:$X,I:I,I423,$C:$C,$C423,$AG:$AG,$AG423)/SUMIF(符文权重!$A:$A,$C423,符文权重!$D:$D))),"")</f>
        <v/>
      </c>
      <c r="P423" s="39" t="str" cm="1">
        <f t="array" ref="P423">IFERROR(IF($A423="","",IF(J423="","",_xlfn.XLOOKUP($C423&amp;"_"&amp;$AG423,符文权重!$A:$A&amp;"_"&amp;符文权重!$C:$C,符文权重!$D:$D)*$X423/SUMIFS($X:$X,J:J,J423,$C:$C,$C423,$AG:$AG,$AG423)/SUMIF(符文权重!$A:$A,$C423,符文权重!$D:$D))),"")</f>
        <v/>
      </c>
      <c r="Q423" s="39" t="str" cm="1">
        <f t="array" ref="Q423">IFERROR(IF($A423="","",IF(K423="","",_xlfn.XLOOKUP($C423&amp;"_"&amp;$AG423,符文权重!$A:$A&amp;"_"&amp;符文权重!$C:$C,符文权重!$D:$D)*$X423/SUMIFS($X:$X,K:K,K423,$C:$C,$C423,$AG:$AG,$AG423)/SUMIF(符文权重!$A:$A,$C423,符文权重!$D:$D))),"")</f>
        <v/>
      </c>
      <c r="R423" s="46" t="s">
        <v>181</v>
      </c>
      <c r="S423" s="46" t="s">
        <v>218</v>
      </c>
      <c r="T423" s="46" t="e">
        <f>IF(B423="","",SUBSTITUTE(SUBSTITUTE("[{global_atk,"&amp;#REF!*C423&amp;"}]",21,20),9,8))</f>
        <v>#REF!</v>
      </c>
      <c r="U423" s="47" t="str">
        <f t="shared" si="210"/>
        <v>[5505122]</v>
      </c>
      <c r="V423" s="46"/>
      <c r="X423" s="25">
        <v>100</v>
      </c>
      <c r="Z423" s="45" t="s">
        <v>170</v>
      </c>
      <c r="AA423" s="32" t="str">
        <f t="shared" si="199"/>
        <v>被施加控制的怪物5s内受到伤害+10%</v>
      </c>
      <c r="AB423" s="32"/>
      <c r="AC423" s="32" t="s">
        <v>166</v>
      </c>
      <c r="AD423" s="32">
        <f t="shared" si="197"/>
        <v>1418</v>
      </c>
      <c r="AE423" s="44" t="str">
        <f t="shared" si="202"/>
        <v>5505121</v>
      </c>
      <c r="AF423" s="45" t="str">
        <f t="shared" si="203"/>
        <v>[10]</v>
      </c>
      <c r="AG423" s="26">
        <v>100</v>
      </c>
      <c r="AH423" s="46"/>
      <c r="AI423" s="46">
        <v>1</v>
      </c>
      <c r="AJ423" s="25">
        <v>1</v>
      </c>
      <c r="AK423" s="44">
        <f t="shared" ref="AK423:AK428" si="211">AK422+1</f>
        <v>5505122</v>
      </c>
      <c r="AL423" s="50" t="str">
        <f t="shared" ref="AL423:AL428" si="212">AL422</f>
        <v>被施加控制的怪物5s内受到伤害&lt;color=#54b76b&gt;+%s%&lt;/color&gt;</v>
      </c>
      <c r="AM423" s="46">
        <v>10</v>
      </c>
      <c r="AN423" s="25"/>
      <c r="AO423" s="25" t="s">
        <v>25</v>
      </c>
      <c r="AP423" s="20">
        <f t="shared" si="198"/>
        <v>418</v>
      </c>
    </row>
    <row r="424" s="23" customFormat="1" customHeight="1" spans="1:42">
      <c r="A424" s="44">
        <v>5505123</v>
      </c>
      <c r="B424" s="44" t="str">
        <f t="shared" si="200"/>
        <v>5505121</v>
      </c>
      <c r="C424" s="45">
        <f t="shared" si="201"/>
        <v>3</v>
      </c>
      <c r="D424" s="45"/>
      <c r="E424" s="46" t="s">
        <v>209</v>
      </c>
      <c r="F424" s="26" t="str">
        <f t="shared" si="196"/>
        <v/>
      </c>
      <c r="G424" s="26" t="str">
        <f>IFERROR(IF(--MID($E424,2*COUNTIF($F424:F424,"&gt;"&amp;0)+2,1)=G$1,G$1,""),"")</f>
        <v/>
      </c>
      <c r="H424" s="26" t="str">
        <f>IFERROR(IF(--MID($E424,2*COUNTIF($F424:G424,"&gt;"&amp;0)+2,1)=H$1,H$1,""),"")</f>
        <v/>
      </c>
      <c r="I424" s="26" t="str">
        <f>IFERROR(IF(--MID($E424,2*COUNTIF($F424:H424,"&gt;"&amp;0)+2,1)=I$1,I$1,""),"")</f>
        <v/>
      </c>
      <c r="J424" s="26" t="str">
        <f>IFERROR(IF(--MID($E424,2*COUNTIF($F424:I424,"&gt;"&amp;0)+2,1)=J$1,J$1,""),"")</f>
        <v/>
      </c>
      <c r="K424" s="26">
        <f>IFERROR(IF(--MID($E424,2*COUNTIF($F424:J424,"&gt;"&amp;0)+2,1)=K$1,K$1,""),"")</f>
        <v>6</v>
      </c>
      <c r="L424" s="39" t="str" cm="1">
        <f t="array" ref="L424">IFERROR(IF($A424="","",IF(F424="","",_xlfn.XLOOKUP($C424&amp;"_"&amp;$AG424,符文权重!$A:$A&amp;"_"&amp;符文权重!$C:$C,符文权重!$D:$D)*$X424/SUMIFS($X:$X,F:F,F424,$C:$C,$C424,$AG:$AG,$AG424)/SUMIF(符文权重!$A:$A,$C424,符文权重!$D:$D))),"")</f>
        <v/>
      </c>
      <c r="M424" s="39" t="str" cm="1">
        <f t="array" ref="M424">IFERROR(IF($A424="","",IF(G424="","",_xlfn.XLOOKUP($C424&amp;"_"&amp;$AG424,符文权重!$A:$A&amp;"_"&amp;符文权重!$C:$C,符文权重!$D:$D)*$X424/SUMIFS($X:$X,G:G,G424,$C:$C,$C424,$AG:$AG,$AG424)/SUMIF(符文权重!$A:$A,$C424,符文权重!$D:$D))),"")</f>
        <v/>
      </c>
      <c r="N424" s="39" t="str" cm="1">
        <f t="array" ref="N424">IFERROR(IF($A424="","",IF(H424="","",_xlfn.XLOOKUP($C424&amp;"_"&amp;$AG424,符文权重!$A:$A&amp;"_"&amp;符文权重!$C:$C,符文权重!$D:$D)*$X424/SUMIFS($X:$X,H:H,H424,$C:$C,$C424,$AG:$AG,$AG424)/SUMIF(符文权重!$A:$A,$C424,符文权重!$D:$D))),"")</f>
        <v/>
      </c>
      <c r="O424" s="39" t="str" cm="1">
        <f t="array" ref="O424">IFERROR(IF($A424="","",IF(I424="","",_xlfn.XLOOKUP($C424&amp;"_"&amp;$AG424,符文权重!$A:$A&amp;"_"&amp;符文权重!$C:$C,符文权重!$D:$D)*$X424/SUMIFS($X:$X,I:I,I424,$C:$C,$C424,$AG:$AG,$AG424)/SUMIF(符文权重!$A:$A,$C424,符文权重!$D:$D))),"")</f>
        <v/>
      </c>
      <c r="P424" s="39" t="str" cm="1">
        <f t="array" ref="P424">IFERROR(IF($A424="","",IF(J424="","",_xlfn.XLOOKUP($C424&amp;"_"&amp;$AG424,符文权重!$A:$A&amp;"_"&amp;符文权重!$C:$C,符文权重!$D:$D)*$X424/SUMIFS($X:$X,J:J,J424,$C:$C,$C424,$AG:$AG,$AG424)/SUMIF(符文权重!$A:$A,$C424,符文权重!$D:$D))),"")</f>
        <v/>
      </c>
      <c r="Q424" s="39" t="str" cm="1">
        <f t="array" ref="Q424">IFERROR(IF($A424="","",IF(K424="","",_xlfn.XLOOKUP($C424&amp;"_"&amp;$AG424,符文权重!$A:$A&amp;"_"&amp;符文权重!$C:$C,符文权重!$D:$D)*$X424/SUMIFS($X:$X,K:K,K424,$C:$C,$C424,$AG:$AG,$AG424)/SUMIF(符文权重!$A:$A,$C424,符文权重!$D:$D))),"")</f>
        <v/>
      </c>
      <c r="R424" s="46" t="s">
        <v>181</v>
      </c>
      <c r="S424" s="46" t="s">
        <v>218</v>
      </c>
      <c r="T424" s="46" t="e">
        <f>IF(B424="","",SUBSTITUTE(SUBSTITUTE("[{global_atk,"&amp;#REF!*C424&amp;"}]",21,20),9,8))</f>
        <v>#REF!</v>
      </c>
      <c r="U424" s="47" t="str">
        <f t="shared" si="210"/>
        <v>[5505123]</v>
      </c>
      <c r="V424" s="46"/>
      <c r="X424" s="26">
        <v>100</v>
      </c>
      <c r="Z424" s="45" t="s">
        <v>172</v>
      </c>
      <c r="AA424" s="32" t="str">
        <f t="shared" si="199"/>
        <v>被施加控制的怪物5s内受到伤害+15%</v>
      </c>
      <c r="AB424" s="32"/>
      <c r="AC424" s="32" t="s">
        <v>166</v>
      </c>
      <c r="AD424" s="32">
        <f t="shared" si="197"/>
        <v>1419</v>
      </c>
      <c r="AE424" s="44" t="str">
        <f t="shared" si="202"/>
        <v>5505121</v>
      </c>
      <c r="AF424" s="45" t="str">
        <f t="shared" si="203"/>
        <v>[15]</v>
      </c>
      <c r="AG424" s="26">
        <v>100</v>
      </c>
      <c r="AH424" s="46"/>
      <c r="AI424" s="46">
        <v>1</v>
      </c>
      <c r="AJ424" s="25">
        <v>1</v>
      </c>
      <c r="AK424" s="44">
        <f t="shared" si="211"/>
        <v>5505123</v>
      </c>
      <c r="AL424" s="50" t="str">
        <f t="shared" si="212"/>
        <v>被施加控制的怪物5s内受到伤害&lt;color=#54b76b&gt;+%s%&lt;/color&gt;</v>
      </c>
      <c r="AM424" s="46">
        <v>15</v>
      </c>
      <c r="AN424" s="26"/>
      <c r="AO424" s="25" t="s">
        <v>25</v>
      </c>
      <c r="AP424" s="20">
        <f t="shared" si="198"/>
        <v>419</v>
      </c>
    </row>
    <row r="425" customHeight="1" spans="1:42">
      <c r="A425" s="38">
        <v>5505124</v>
      </c>
      <c r="B425" s="38" t="str">
        <f t="shared" si="200"/>
        <v>5505121</v>
      </c>
      <c r="C425" s="32">
        <f t="shared" si="201"/>
        <v>4</v>
      </c>
      <c r="D425" s="32"/>
      <c r="E425" s="26" t="s">
        <v>209</v>
      </c>
      <c r="F425" s="26" t="str">
        <f t="shared" si="196"/>
        <v/>
      </c>
      <c r="G425" s="26" t="str">
        <f>IFERROR(IF(--MID($E425,2*COUNTIF($F425:F425,"&gt;"&amp;0)+2,1)=G$1,G$1,""),"")</f>
        <v/>
      </c>
      <c r="H425" s="26" t="str">
        <f>IFERROR(IF(--MID($E425,2*COUNTIF($F425:G425,"&gt;"&amp;0)+2,1)=H$1,H$1,""),"")</f>
        <v/>
      </c>
      <c r="I425" s="26" t="str">
        <f>IFERROR(IF(--MID($E425,2*COUNTIF($F425:H425,"&gt;"&amp;0)+2,1)=I$1,I$1,""),"")</f>
        <v/>
      </c>
      <c r="J425" s="26" t="str">
        <f>IFERROR(IF(--MID($E425,2*COUNTIF($F425:I425,"&gt;"&amp;0)+2,1)=J$1,J$1,""),"")</f>
        <v/>
      </c>
      <c r="K425" s="26">
        <f>IFERROR(IF(--MID($E425,2*COUNTIF($F425:J425,"&gt;"&amp;0)+2,1)=K$1,K$1,""),"")</f>
        <v>6</v>
      </c>
      <c r="L425" s="39" t="str" cm="1">
        <f t="array" ref="L425">IFERROR(IF($A425="","",IF(F425="","",_xlfn.XLOOKUP($C425&amp;"_"&amp;$AG425,符文权重!$A:$A&amp;"_"&amp;符文权重!$C:$C,符文权重!$D:$D)*$X425/SUMIFS($X:$X,F:F,F425,$C:$C,$C425,$AG:$AG,$AG425)/SUMIF(符文权重!$A:$A,$C425,符文权重!$D:$D))),"")</f>
        <v/>
      </c>
      <c r="M425" s="39" t="str" cm="1">
        <f t="array" ref="M425">IFERROR(IF($A425="","",IF(G425="","",_xlfn.XLOOKUP($C425&amp;"_"&amp;$AG425,符文权重!$A:$A&amp;"_"&amp;符文权重!$C:$C,符文权重!$D:$D)*$X425/SUMIFS($X:$X,G:G,G425,$C:$C,$C425,$AG:$AG,$AG425)/SUMIF(符文权重!$A:$A,$C425,符文权重!$D:$D))),"")</f>
        <v/>
      </c>
      <c r="N425" s="39" t="str" cm="1">
        <f t="array" ref="N425">IFERROR(IF($A425="","",IF(H425="","",_xlfn.XLOOKUP($C425&amp;"_"&amp;$AG425,符文权重!$A:$A&amp;"_"&amp;符文权重!$C:$C,符文权重!$D:$D)*$X425/SUMIFS($X:$X,H:H,H425,$C:$C,$C425,$AG:$AG,$AG425)/SUMIF(符文权重!$A:$A,$C425,符文权重!$D:$D))),"")</f>
        <v/>
      </c>
      <c r="O425" s="39" t="str" cm="1">
        <f t="array" ref="O425">IFERROR(IF($A425="","",IF(I425="","",_xlfn.XLOOKUP($C425&amp;"_"&amp;$AG425,符文权重!$A:$A&amp;"_"&amp;符文权重!$C:$C,符文权重!$D:$D)*$X425/SUMIFS($X:$X,I:I,I425,$C:$C,$C425,$AG:$AG,$AG425)/SUMIF(符文权重!$A:$A,$C425,符文权重!$D:$D))),"")</f>
        <v/>
      </c>
      <c r="P425" s="39" t="str" cm="1">
        <f t="array" ref="P425">IFERROR(IF($A425="","",IF(J425="","",_xlfn.XLOOKUP($C425&amp;"_"&amp;$AG425,符文权重!$A:$A&amp;"_"&amp;符文权重!$C:$C,符文权重!$D:$D)*$X425/SUMIFS($X:$X,J:J,J425,$C:$C,$C425,$AG:$AG,$AG425)/SUMIF(符文权重!$A:$A,$C425,符文权重!$D:$D))),"")</f>
        <v/>
      </c>
      <c r="Q425" s="39" t="str" cm="1">
        <f t="array" ref="Q425">IFERROR(IF($A425="","",IF(K425="","",_xlfn.XLOOKUP($C425&amp;"_"&amp;$AG425,符文权重!$A:$A&amp;"_"&amp;符文权重!$C:$C,符文权重!$D:$D)*$X425/SUMIFS($X:$X,K:K,K425,$C:$C,$C425,$AG:$AG,$AG425)/SUMIF(符文权重!$A:$A,$C425,符文权重!$D:$D))),"")</f>
        <v/>
      </c>
      <c r="R425" s="26" t="s">
        <v>181</v>
      </c>
      <c r="S425" s="26" t="s">
        <v>218</v>
      </c>
      <c r="T425" s="26" t="e">
        <f>IF(B425="","",SUBSTITUTE(SUBSTITUTE("[{global_atk,"&amp;#REF!*C425&amp;"}]",21,20),9,8))</f>
        <v>#REF!</v>
      </c>
      <c r="U425" s="40" t="str">
        <f t="shared" si="210"/>
        <v>[5505124]</v>
      </c>
      <c r="X425" s="25">
        <v>4</v>
      </c>
      <c r="Z425" s="32" t="s">
        <v>174</v>
      </c>
      <c r="AA425" s="32" t="str">
        <f t="shared" si="199"/>
        <v>被施加控制的怪物5s内受到伤害+20%</v>
      </c>
      <c r="AB425" s="32"/>
      <c r="AC425" s="32" t="s">
        <v>166</v>
      </c>
      <c r="AD425" s="32">
        <f t="shared" si="197"/>
        <v>1420</v>
      </c>
      <c r="AE425" s="38" t="str">
        <f t="shared" si="202"/>
        <v>5505121</v>
      </c>
      <c r="AF425" s="32" t="str">
        <f t="shared" si="203"/>
        <v>[20]</v>
      </c>
      <c r="AG425" s="26">
        <v>105</v>
      </c>
      <c r="AH425" s="26"/>
      <c r="AI425" s="26">
        <v>0</v>
      </c>
      <c r="AJ425" s="25">
        <v>1</v>
      </c>
      <c r="AK425" s="38">
        <f t="shared" si="211"/>
        <v>5505124</v>
      </c>
      <c r="AL425" s="41" t="str">
        <f t="shared" si="212"/>
        <v>被施加控制的怪物5s内受到伤害&lt;color=#54b76b&gt;+%s%&lt;/color&gt;</v>
      </c>
      <c r="AM425" s="26">
        <v>20</v>
      </c>
      <c r="AN425" s="25">
        <v>5</v>
      </c>
      <c r="AO425" s="25" t="s">
        <v>25</v>
      </c>
      <c r="AP425" s="20">
        <f t="shared" si="198"/>
        <v>420</v>
      </c>
    </row>
    <row r="426" customHeight="1" spans="1:42">
      <c r="A426" s="38">
        <v>5505125</v>
      </c>
      <c r="B426" s="38" t="str">
        <f t="shared" si="200"/>
        <v>5505121</v>
      </c>
      <c r="C426" s="32">
        <f t="shared" si="201"/>
        <v>5</v>
      </c>
      <c r="D426" s="32"/>
      <c r="E426" s="26" t="s">
        <v>209</v>
      </c>
      <c r="F426" s="26" t="str">
        <f t="shared" si="196"/>
        <v/>
      </c>
      <c r="G426" s="26" t="str">
        <f>IFERROR(IF(--MID($E426,2*COUNTIF($F426:F426,"&gt;"&amp;0)+2,1)=G$1,G$1,""),"")</f>
        <v/>
      </c>
      <c r="H426" s="26" t="str">
        <f>IFERROR(IF(--MID($E426,2*COUNTIF($F426:G426,"&gt;"&amp;0)+2,1)=H$1,H$1,""),"")</f>
        <v/>
      </c>
      <c r="I426" s="26" t="str">
        <f>IFERROR(IF(--MID($E426,2*COUNTIF($F426:H426,"&gt;"&amp;0)+2,1)=I$1,I$1,""),"")</f>
        <v/>
      </c>
      <c r="J426" s="26" t="str">
        <f>IFERROR(IF(--MID($E426,2*COUNTIF($F426:I426,"&gt;"&amp;0)+2,1)=J$1,J$1,""),"")</f>
        <v/>
      </c>
      <c r="K426" s="26">
        <f>IFERROR(IF(--MID($E426,2*COUNTIF($F426:J426,"&gt;"&amp;0)+2,1)=K$1,K$1,""),"")</f>
        <v>6</v>
      </c>
      <c r="L426" s="39" t="str" cm="1">
        <f t="array" ref="L426">IFERROR(IF($A426="","",IF(F426="","",_xlfn.XLOOKUP($C426&amp;"_"&amp;$AG426,符文权重!$A:$A&amp;"_"&amp;符文权重!$C:$C,符文权重!$D:$D)*$X426/SUMIFS($X:$X,F:F,F426,$C:$C,$C426,$AG:$AG,$AG426)/SUMIF(符文权重!$A:$A,$C426,符文权重!$D:$D))),"")</f>
        <v/>
      </c>
      <c r="M426" s="39" t="str" cm="1">
        <f t="array" ref="M426">IFERROR(IF($A426="","",IF(G426="","",_xlfn.XLOOKUP($C426&amp;"_"&amp;$AG426,符文权重!$A:$A&amp;"_"&amp;符文权重!$C:$C,符文权重!$D:$D)*$X426/SUMIFS($X:$X,G:G,G426,$C:$C,$C426,$AG:$AG,$AG426)/SUMIF(符文权重!$A:$A,$C426,符文权重!$D:$D))),"")</f>
        <v/>
      </c>
      <c r="N426" s="39" t="str" cm="1">
        <f t="array" ref="N426">IFERROR(IF($A426="","",IF(H426="","",_xlfn.XLOOKUP($C426&amp;"_"&amp;$AG426,符文权重!$A:$A&amp;"_"&amp;符文权重!$C:$C,符文权重!$D:$D)*$X426/SUMIFS($X:$X,H:H,H426,$C:$C,$C426,$AG:$AG,$AG426)/SUMIF(符文权重!$A:$A,$C426,符文权重!$D:$D))),"")</f>
        <v/>
      </c>
      <c r="O426" s="39" t="str" cm="1">
        <f t="array" ref="O426">IFERROR(IF($A426="","",IF(I426="","",_xlfn.XLOOKUP($C426&amp;"_"&amp;$AG426,符文权重!$A:$A&amp;"_"&amp;符文权重!$C:$C,符文权重!$D:$D)*$X426/SUMIFS($X:$X,I:I,I426,$C:$C,$C426,$AG:$AG,$AG426)/SUMIF(符文权重!$A:$A,$C426,符文权重!$D:$D))),"")</f>
        <v/>
      </c>
      <c r="P426" s="39" t="str" cm="1">
        <f t="array" ref="P426">IFERROR(IF($A426="","",IF(J426="","",_xlfn.XLOOKUP($C426&amp;"_"&amp;$AG426,符文权重!$A:$A&amp;"_"&amp;符文权重!$C:$C,符文权重!$D:$D)*$X426/SUMIFS($X:$X,J:J,J426,$C:$C,$C426,$AG:$AG,$AG426)/SUMIF(符文权重!$A:$A,$C426,符文权重!$D:$D))),"")</f>
        <v/>
      </c>
      <c r="Q426" s="39" cm="1">
        <f t="array" ref="Q426">IFERROR(IF($A426="","",IF(K426="","",_xlfn.XLOOKUP($C426&amp;"_"&amp;$AG426,符文权重!$A:$A&amp;"_"&amp;符文权重!$C:$C,符文权重!$D:$D)*$X426/SUMIFS($X:$X,K:K,K426,$C:$C,$C426,$AG:$AG,$AG426)/SUMIF(符文权重!$A:$A,$C426,符文权重!$D:$D))),"")</f>
        <v>0.005625</v>
      </c>
      <c r="R426" s="26" t="s">
        <v>181</v>
      </c>
      <c r="S426" s="26" t="s">
        <v>218</v>
      </c>
      <c r="T426" s="26" t="e">
        <f>IF(B426="","",SUBSTITUTE(SUBSTITUTE("[{global_atk,"&amp;#REF!*C426&amp;"}]",21,20),9,8))</f>
        <v>#REF!</v>
      </c>
      <c r="U426" s="40" t="str">
        <f t="shared" si="210"/>
        <v>[5505125]</v>
      </c>
      <c r="X426" s="25">
        <v>100</v>
      </c>
      <c r="Z426" s="32" t="s">
        <v>176</v>
      </c>
      <c r="AA426" s="32" t="str">
        <f t="shared" si="199"/>
        <v>被施加控制的怪物5s内受到伤害+35%</v>
      </c>
      <c r="AB426" s="32"/>
      <c r="AC426" s="32" t="s">
        <v>166</v>
      </c>
      <c r="AD426" s="32">
        <f t="shared" si="197"/>
        <v>1421</v>
      </c>
      <c r="AE426" s="38" t="str">
        <f t="shared" si="202"/>
        <v>5505121</v>
      </c>
      <c r="AF426" s="32" t="str">
        <f t="shared" si="203"/>
        <v>[35]</v>
      </c>
      <c r="AG426" s="26">
        <v>5</v>
      </c>
      <c r="AH426" s="26"/>
      <c r="AI426" s="26">
        <v>0</v>
      </c>
      <c r="AJ426" s="25">
        <v>1</v>
      </c>
      <c r="AK426" s="38">
        <f t="shared" si="211"/>
        <v>5505125</v>
      </c>
      <c r="AL426" s="41" t="str">
        <f t="shared" si="212"/>
        <v>被施加控制的怪物5s内受到伤害&lt;color=#54b76b&gt;+%s%&lt;/color&gt;</v>
      </c>
      <c r="AM426" s="26">
        <v>35</v>
      </c>
      <c r="AN426" s="25">
        <v>5</v>
      </c>
      <c r="AO426" s="25" t="s">
        <v>25</v>
      </c>
      <c r="AP426" s="20">
        <f t="shared" si="198"/>
        <v>421</v>
      </c>
    </row>
    <row r="427" customHeight="1" spans="1:42">
      <c r="A427" s="38">
        <v>5505126</v>
      </c>
      <c r="B427" s="38" t="str">
        <f t="shared" si="200"/>
        <v>5505121</v>
      </c>
      <c r="C427" s="32">
        <f t="shared" si="201"/>
        <v>6</v>
      </c>
      <c r="D427" s="32"/>
      <c r="E427" s="26" t="s">
        <v>209</v>
      </c>
      <c r="F427" s="26" t="str">
        <f t="shared" si="196"/>
        <v/>
      </c>
      <c r="G427" s="26" t="str">
        <f>IFERROR(IF(--MID($E427,2*COUNTIF($F427:F427,"&gt;"&amp;0)+2,1)=G$1,G$1,""),"")</f>
        <v/>
      </c>
      <c r="H427" s="26" t="str">
        <f>IFERROR(IF(--MID($E427,2*COUNTIF($F427:G427,"&gt;"&amp;0)+2,1)=H$1,H$1,""),"")</f>
        <v/>
      </c>
      <c r="I427" s="26" t="str">
        <f>IFERROR(IF(--MID($E427,2*COUNTIF($F427:H427,"&gt;"&amp;0)+2,1)=I$1,I$1,""),"")</f>
        <v/>
      </c>
      <c r="J427" s="26" t="str">
        <f>IFERROR(IF(--MID($E427,2*COUNTIF($F427:I427,"&gt;"&amp;0)+2,1)=J$1,J$1,""),"")</f>
        <v/>
      </c>
      <c r="K427" s="26">
        <f>IFERROR(IF(--MID($E427,2*COUNTIF($F427:J427,"&gt;"&amp;0)+2,1)=K$1,K$1,""),"")</f>
        <v>6</v>
      </c>
      <c r="L427" s="39" t="str" cm="1">
        <f t="array" ref="L427">IFERROR(IF($A427="","",IF(F427="","",_xlfn.XLOOKUP($C427&amp;"_"&amp;$AG427,符文权重!$A:$A&amp;"_"&amp;符文权重!$C:$C,符文权重!$D:$D)*$X427/SUMIFS($X:$X,F:F,F427,$C:$C,$C427,$AG:$AG,$AG427)/SUMIF(符文权重!$A:$A,$C427,符文权重!$D:$D))),"")</f>
        <v/>
      </c>
      <c r="M427" s="39" t="str" cm="1">
        <f t="array" ref="M427">IFERROR(IF($A427="","",IF(G427="","",_xlfn.XLOOKUP($C427&amp;"_"&amp;$AG427,符文权重!$A:$A&amp;"_"&amp;符文权重!$C:$C,符文权重!$D:$D)*$X427/SUMIFS($X:$X,G:G,G427,$C:$C,$C427,$AG:$AG,$AG427)/SUMIF(符文权重!$A:$A,$C427,符文权重!$D:$D))),"")</f>
        <v/>
      </c>
      <c r="N427" s="39" t="str" cm="1">
        <f t="array" ref="N427">IFERROR(IF($A427="","",IF(H427="","",_xlfn.XLOOKUP($C427&amp;"_"&amp;$AG427,符文权重!$A:$A&amp;"_"&amp;符文权重!$C:$C,符文权重!$D:$D)*$X427/SUMIFS($X:$X,H:H,H427,$C:$C,$C427,$AG:$AG,$AG427)/SUMIF(符文权重!$A:$A,$C427,符文权重!$D:$D))),"")</f>
        <v/>
      </c>
      <c r="O427" s="39" t="str" cm="1">
        <f t="array" ref="O427">IFERROR(IF($A427="","",IF(I427="","",_xlfn.XLOOKUP($C427&amp;"_"&amp;$AG427,符文权重!$A:$A&amp;"_"&amp;符文权重!$C:$C,符文权重!$D:$D)*$X427/SUMIFS($X:$X,I:I,I427,$C:$C,$C427,$AG:$AG,$AG427)/SUMIF(符文权重!$A:$A,$C427,符文权重!$D:$D))),"")</f>
        <v/>
      </c>
      <c r="P427" s="39" t="str" cm="1">
        <f t="array" ref="P427">IFERROR(IF($A427="","",IF(J427="","",_xlfn.XLOOKUP($C427&amp;"_"&amp;$AG427,符文权重!$A:$A&amp;"_"&amp;符文权重!$C:$C,符文权重!$D:$D)*$X427/SUMIFS($X:$X,J:J,J427,$C:$C,$C427,$AG:$AG,$AG427)/SUMIF(符文权重!$A:$A,$C427,符文权重!$D:$D))),"")</f>
        <v/>
      </c>
      <c r="Q427" s="39" cm="1">
        <f t="array" ref="Q427">IFERROR(IF($A427="","",IF(K427="","",_xlfn.XLOOKUP($C427&amp;"_"&amp;$AG427,符文权重!$A:$A&amp;"_"&amp;符文权重!$C:$C,符文权重!$D:$D)*$X427/SUMIFS($X:$X,K:K,K427,$C:$C,$C427,$AG:$AG,$AG427)/SUMIF(符文权重!$A:$A,$C427,符文权重!$D:$D))),"")</f>
        <v>0.005625</v>
      </c>
      <c r="R427" s="26" t="s">
        <v>181</v>
      </c>
      <c r="S427" s="26" t="s">
        <v>218</v>
      </c>
      <c r="T427" s="26" t="e">
        <f>IF(B427="","",SUBSTITUTE(SUBSTITUTE("[{global_atk,"&amp;#REF!*C427&amp;"}]",21,20),9,8))</f>
        <v>#REF!</v>
      </c>
      <c r="U427" s="40" t="str">
        <f t="shared" si="210"/>
        <v>[5505126]</v>
      </c>
      <c r="X427" s="25">
        <v>100</v>
      </c>
      <c r="Z427" s="32" t="s">
        <v>178</v>
      </c>
      <c r="AA427" s="32" t="str">
        <f t="shared" si="199"/>
        <v>被施加控制的怪物5s内受到伤害+45%</v>
      </c>
      <c r="AB427" s="32"/>
      <c r="AC427" s="32" t="s">
        <v>166</v>
      </c>
      <c r="AD427" s="32">
        <f t="shared" si="197"/>
        <v>1422</v>
      </c>
      <c r="AE427" s="38" t="str">
        <f t="shared" si="202"/>
        <v>5505121</v>
      </c>
      <c r="AF427" s="32" t="str">
        <f t="shared" si="203"/>
        <v>[45]</v>
      </c>
      <c r="AG427" s="26">
        <v>5</v>
      </c>
      <c r="AH427" s="26"/>
      <c r="AI427" s="26">
        <v>0</v>
      </c>
      <c r="AJ427" s="25">
        <v>1</v>
      </c>
      <c r="AK427" s="38">
        <f t="shared" si="211"/>
        <v>5505126</v>
      </c>
      <c r="AL427" s="41" t="str">
        <f t="shared" si="212"/>
        <v>被施加控制的怪物5s内受到伤害&lt;color=#54b76b&gt;+%s%&lt;/color&gt;</v>
      </c>
      <c r="AM427" s="26">
        <v>45</v>
      </c>
      <c r="AN427" s="25">
        <v>5</v>
      </c>
      <c r="AO427" s="25" t="s">
        <v>25</v>
      </c>
      <c r="AP427" s="20">
        <f t="shared" si="198"/>
        <v>422</v>
      </c>
    </row>
    <row r="428" customHeight="1" spans="1:42">
      <c r="A428" s="38">
        <v>5505127</v>
      </c>
      <c r="B428" s="38" t="str">
        <f t="shared" si="200"/>
        <v>5505121</v>
      </c>
      <c r="C428" s="32">
        <f t="shared" si="201"/>
        <v>7</v>
      </c>
      <c r="D428" s="32"/>
      <c r="E428" s="26" t="s">
        <v>209</v>
      </c>
      <c r="F428" s="26" t="str">
        <f t="shared" si="196"/>
        <v/>
      </c>
      <c r="G428" s="26" t="str">
        <f>IFERROR(IF(--MID($E428,2*COUNTIF($F428:F428,"&gt;"&amp;0)+2,1)=G$1,G$1,""),"")</f>
        <v/>
      </c>
      <c r="H428" s="26" t="str">
        <f>IFERROR(IF(--MID($E428,2*COUNTIF($F428:G428,"&gt;"&amp;0)+2,1)=H$1,H$1,""),"")</f>
        <v/>
      </c>
      <c r="I428" s="26" t="str">
        <f>IFERROR(IF(--MID($E428,2*COUNTIF($F428:H428,"&gt;"&amp;0)+2,1)=I$1,I$1,""),"")</f>
        <v/>
      </c>
      <c r="J428" s="26" t="str">
        <f>IFERROR(IF(--MID($E428,2*COUNTIF($F428:I428,"&gt;"&amp;0)+2,1)=J$1,J$1,""),"")</f>
        <v/>
      </c>
      <c r="K428" s="26">
        <f>IFERROR(IF(--MID($E428,2*COUNTIF($F428:J428,"&gt;"&amp;0)+2,1)=K$1,K$1,""),"")</f>
        <v>6</v>
      </c>
      <c r="L428" s="39" t="str" cm="1">
        <f t="array" ref="L428">IFERROR(IF($A428="","",IF(F428="","",_xlfn.XLOOKUP($C428&amp;"_"&amp;$AG428,符文权重!$A:$A&amp;"_"&amp;符文权重!$C:$C,符文权重!$D:$D)*$X428/SUMIFS($X:$X,F:F,F428,$C:$C,$C428,$AG:$AG,$AG428)/SUMIF(符文权重!$A:$A,$C428,符文权重!$D:$D))),"")</f>
        <v/>
      </c>
      <c r="M428" s="39" t="str" cm="1">
        <f t="array" ref="M428">IFERROR(IF($A428="","",IF(G428="","",_xlfn.XLOOKUP($C428&amp;"_"&amp;$AG428,符文权重!$A:$A&amp;"_"&amp;符文权重!$C:$C,符文权重!$D:$D)*$X428/SUMIFS($X:$X,G:G,G428,$C:$C,$C428,$AG:$AG,$AG428)/SUMIF(符文权重!$A:$A,$C428,符文权重!$D:$D))),"")</f>
        <v/>
      </c>
      <c r="N428" s="39" t="str" cm="1">
        <f t="array" ref="N428">IFERROR(IF($A428="","",IF(H428="","",_xlfn.XLOOKUP($C428&amp;"_"&amp;$AG428,符文权重!$A:$A&amp;"_"&amp;符文权重!$C:$C,符文权重!$D:$D)*$X428/SUMIFS($X:$X,H:H,H428,$C:$C,$C428,$AG:$AG,$AG428)/SUMIF(符文权重!$A:$A,$C428,符文权重!$D:$D))),"")</f>
        <v/>
      </c>
      <c r="O428" s="39" t="str" cm="1">
        <f t="array" ref="O428">IFERROR(IF($A428="","",IF(I428="","",_xlfn.XLOOKUP($C428&amp;"_"&amp;$AG428,符文权重!$A:$A&amp;"_"&amp;符文权重!$C:$C,符文权重!$D:$D)*$X428/SUMIFS($X:$X,I:I,I428,$C:$C,$C428,$AG:$AG,$AG428)/SUMIF(符文权重!$A:$A,$C428,符文权重!$D:$D))),"")</f>
        <v/>
      </c>
      <c r="P428" s="39" t="str" cm="1">
        <f t="array" ref="P428">IFERROR(IF($A428="","",IF(J428="","",_xlfn.XLOOKUP($C428&amp;"_"&amp;$AG428,符文权重!$A:$A&amp;"_"&amp;符文权重!$C:$C,符文权重!$D:$D)*$X428/SUMIFS($X:$X,J:J,J428,$C:$C,$C428,$AG:$AG,$AG428)/SUMIF(符文权重!$A:$A,$C428,符文权重!$D:$D))),"")</f>
        <v/>
      </c>
      <c r="Q428" s="39" cm="1">
        <f t="array" ref="Q428">IFERROR(IF($A428="","",IF(K428="","",_xlfn.XLOOKUP($C428&amp;"_"&amp;$AG428,符文权重!$A:$A&amp;"_"&amp;符文权重!$C:$C,符文权重!$D:$D)*$X428/SUMIFS($X:$X,K:K,K428,$C:$C,$C428,$AG:$AG,$AG428)/SUMIF(符文权重!$A:$A,$C428,符文权重!$D:$D))),"")</f>
        <v>0.005625</v>
      </c>
      <c r="R428" s="26" t="s">
        <v>181</v>
      </c>
      <c r="S428" s="26" t="s">
        <v>218</v>
      </c>
      <c r="T428" s="26" t="e">
        <f>IF(B428="","",SUBSTITUTE(SUBSTITUTE("[{global_atk,"&amp;#REF!*C428&amp;"}]",21,20),9,8))</f>
        <v>#REF!</v>
      </c>
      <c r="U428" s="40" t="str">
        <f t="shared" si="210"/>
        <v>[5505127]</v>
      </c>
      <c r="X428" s="26">
        <v>100</v>
      </c>
      <c r="Z428" s="32" t="s">
        <v>180</v>
      </c>
      <c r="AA428" s="32" t="str">
        <f t="shared" si="199"/>
        <v>被施加控制的怪物5s内受到伤害+60%</v>
      </c>
      <c r="AB428" s="32"/>
      <c r="AC428" s="32" t="s">
        <v>166</v>
      </c>
      <c r="AD428" s="32">
        <f t="shared" si="197"/>
        <v>1423</v>
      </c>
      <c r="AE428" s="38" t="str">
        <f t="shared" si="202"/>
        <v>5505121</v>
      </c>
      <c r="AF428" s="32" t="str">
        <f t="shared" si="203"/>
        <v>[60]</v>
      </c>
      <c r="AG428" s="26">
        <v>5</v>
      </c>
      <c r="AH428" s="26"/>
      <c r="AI428" s="26">
        <v>0</v>
      </c>
      <c r="AJ428" s="25">
        <v>1</v>
      </c>
      <c r="AK428" s="38">
        <f t="shared" si="211"/>
        <v>5505127</v>
      </c>
      <c r="AL428" s="41" t="str">
        <f t="shared" si="212"/>
        <v>被施加控制的怪物5s内受到伤害&lt;color=#54b76b&gt;+%s%&lt;/color&gt;</v>
      </c>
      <c r="AM428" s="26">
        <v>60</v>
      </c>
      <c r="AN428" s="26">
        <v>5</v>
      </c>
      <c r="AO428" s="25" t="s">
        <v>25</v>
      </c>
      <c r="AP428" s="20">
        <f t="shared" si="198"/>
        <v>423</v>
      </c>
    </row>
    <row r="429" s="20" customFormat="1" customHeight="1" spans="1:42">
      <c r="A429" s="38" t="s">
        <v>167</v>
      </c>
      <c r="B429" s="38" t="str">
        <f t="shared" si="200"/>
        <v/>
      </c>
      <c r="C429" s="32" t="str">
        <f t="shared" si="201"/>
        <v/>
      </c>
      <c r="D429" s="32"/>
      <c r="E429" s="26"/>
      <c r="F429" s="26" t="str">
        <f t="shared" si="196"/>
        <v/>
      </c>
      <c r="G429" s="26" t="str">
        <f>IFERROR(IF(--MID($E429,2*COUNTIF($F429:F429,"&gt;"&amp;0)+2,1)=G$1,G$1,""),"")</f>
        <v/>
      </c>
      <c r="H429" s="26" t="str">
        <f>IFERROR(IF(--MID($E429,2*COUNTIF($F429:G429,"&gt;"&amp;0)+2,1)=H$1,H$1,""),"")</f>
        <v/>
      </c>
      <c r="I429" s="26" t="str">
        <f>IFERROR(IF(--MID($E429,2*COUNTIF($F429:H429,"&gt;"&amp;0)+2,1)=I$1,I$1,""),"")</f>
        <v/>
      </c>
      <c r="J429" s="26" t="str">
        <f>IFERROR(IF(--MID($E429,2*COUNTIF($F429:I429,"&gt;"&amp;0)+2,1)=J$1,J$1,""),"")</f>
        <v/>
      </c>
      <c r="K429" s="26" t="str">
        <f>IFERROR(IF(--MID($E429,2*COUNTIF($F429:J429,"&gt;"&amp;0)+2,1)=K$1,K$1,""),"")</f>
        <v/>
      </c>
      <c r="L429" s="39" t="str" cm="1">
        <f t="array" ref="L429">IFERROR(IF($A429="","",IF(F429="","",_xlfn.XLOOKUP($C429&amp;"_"&amp;$AG429,符文权重!$A:$A&amp;"_"&amp;符文权重!$C:$C,符文权重!$D:$D)*$X429/SUMIFS($X:$X,F:F,F429,$C:$C,$C429,$AG:$AG,$AG429)/SUMIF(符文权重!$A:$A,$C429,符文权重!$D:$D))),"")</f>
        <v/>
      </c>
      <c r="M429" s="39" t="str" cm="1">
        <f t="array" ref="M429">IFERROR(IF($A429="","",IF(G429="","",_xlfn.XLOOKUP($C429&amp;"_"&amp;$AG429,符文权重!$A:$A&amp;"_"&amp;符文权重!$C:$C,符文权重!$D:$D)*$X429/SUMIFS($X:$X,G:G,G429,$C:$C,$C429,$AG:$AG,$AG429)/SUMIF(符文权重!$A:$A,$C429,符文权重!$D:$D))),"")</f>
        <v/>
      </c>
      <c r="N429" s="39" t="str" cm="1">
        <f t="array" ref="N429">IFERROR(IF($A429="","",IF(H429="","",_xlfn.XLOOKUP($C429&amp;"_"&amp;$AG429,符文权重!$A:$A&amp;"_"&amp;符文权重!$C:$C,符文权重!$D:$D)*$X429/SUMIFS($X:$X,H:H,H429,$C:$C,$C429,$AG:$AG,$AG429)/SUMIF(符文权重!$A:$A,$C429,符文权重!$D:$D))),"")</f>
        <v/>
      </c>
      <c r="O429" s="39" t="str" cm="1">
        <f t="array" ref="O429">IFERROR(IF($A429="","",IF(I429="","",_xlfn.XLOOKUP($C429&amp;"_"&amp;$AG429,符文权重!$A:$A&amp;"_"&amp;符文权重!$C:$C,符文权重!$D:$D)*$X429/SUMIFS($X:$X,I:I,I429,$C:$C,$C429,$AG:$AG,$AG429)/SUMIF(符文权重!$A:$A,$C429,符文权重!$D:$D))),"")</f>
        <v/>
      </c>
      <c r="P429" s="39" t="str" cm="1">
        <f t="array" ref="P429">IFERROR(IF($A429="","",IF(J429="","",_xlfn.XLOOKUP($C429&amp;"_"&amp;$AG429,符文权重!$A:$A&amp;"_"&amp;符文权重!$C:$C,符文权重!$D:$D)*$X429/SUMIFS($X:$X,J:J,J429,$C:$C,$C429,$AG:$AG,$AG429)/SUMIF(符文权重!$A:$A,$C429,符文权重!$D:$D))),"")</f>
        <v/>
      </c>
      <c r="Q429" s="39" t="str" cm="1">
        <f t="array" ref="Q429">IFERROR(IF($A429="","",IF(K429="","",_xlfn.XLOOKUP($C429&amp;"_"&amp;$AG429,符文权重!$A:$A&amp;"_"&amp;符文权重!$C:$C,符文权重!$D:$D)*$X429/SUMIFS($X:$X,K:K,K429,$C:$C,$C429,$AG:$AG,$AG429)/SUMIF(符文权重!$A:$A,$C429,符文权重!$D:$D))),"")</f>
        <v/>
      </c>
      <c r="R429" s="26"/>
      <c r="S429" s="26"/>
      <c r="T429" s="26"/>
      <c r="V429" s="31"/>
      <c r="W429" s="25"/>
      <c r="X429" s="25"/>
      <c r="Y429" s="25"/>
      <c r="Z429" s="32" t="s">
        <v>167</v>
      </c>
      <c r="AA429" s="32" t="str">
        <f t="shared" si="199"/>
        <v/>
      </c>
      <c r="AB429" s="32"/>
      <c r="AC429" s="32" t="s">
        <v>166</v>
      </c>
      <c r="AD429" s="32">
        <f t="shared" si="197"/>
        <v>1424</v>
      </c>
      <c r="AE429" s="38" t="str">
        <f t="shared" si="202"/>
        <v/>
      </c>
      <c r="AF429" s="32" t="str">
        <f t="shared" si="203"/>
        <v/>
      </c>
      <c r="AG429" s="26"/>
      <c r="AH429" s="26"/>
      <c r="AI429" s="26"/>
      <c r="AJ429" s="25" t="s">
        <v>167</v>
      </c>
      <c r="AK429" s="24"/>
      <c r="AL429" s="59"/>
      <c r="AM429" s="26"/>
      <c r="AN429" s="25"/>
      <c r="AO429" s="25"/>
      <c r="AP429" s="20">
        <f t="shared" si="198"/>
        <v>424</v>
      </c>
    </row>
    <row r="430" s="23" customFormat="1" customHeight="1" spans="1:42">
      <c r="A430" s="44">
        <v>5505131</v>
      </c>
      <c r="B430" s="44" t="str">
        <f t="shared" si="200"/>
        <v>5505131</v>
      </c>
      <c r="C430" s="45">
        <f t="shared" si="201"/>
        <v>1</v>
      </c>
      <c r="D430" s="45"/>
      <c r="E430" s="46" t="s">
        <v>191</v>
      </c>
      <c r="F430" s="26">
        <f t="shared" si="196"/>
        <v>1</v>
      </c>
      <c r="G430" s="26" t="str">
        <f>IFERROR(IF(--MID($E430,2*COUNTIF($F430:F430,"&gt;"&amp;0)+2,1)=G$1,G$1,""),"")</f>
        <v/>
      </c>
      <c r="H430" s="26" t="str">
        <f>IFERROR(IF(--MID($E430,2*COUNTIF($F430:G430,"&gt;"&amp;0)+2,1)=H$1,H$1,""),"")</f>
        <v/>
      </c>
      <c r="I430" s="26" t="str">
        <f>IFERROR(IF(--MID($E430,2*COUNTIF($F430:H430,"&gt;"&amp;0)+2,1)=I$1,I$1,""),"")</f>
        <v/>
      </c>
      <c r="J430" s="26" t="str">
        <f>IFERROR(IF(--MID($E430,2*COUNTIF($F430:I430,"&gt;"&amp;0)+2,1)=J$1,J$1,""),"")</f>
        <v/>
      </c>
      <c r="K430" s="26" t="str">
        <f>IFERROR(IF(--MID($E430,2*COUNTIF($F430:J430,"&gt;"&amp;0)+2,1)=K$1,K$1,""),"")</f>
        <v/>
      </c>
      <c r="L430" s="39" t="str" cm="1">
        <f t="array" ref="L430">IFERROR(IF($A430="","",IF(F430="","",_xlfn.XLOOKUP($C430&amp;"_"&amp;$AG430,符文权重!$A:$A&amp;"_"&amp;符文权重!$C:$C,符文权重!$D:$D)*$X430/SUMIFS($X:$X,F:F,F430,$C:$C,$C430,$AG:$AG,$AG430)/SUMIF(符文权重!$A:$A,$C430,符文权重!$D:$D))),"")</f>
        <v/>
      </c>
      <c r="M430" s="39" t="str" cm="1">
        <f t="array" ref="M430">IFERROR(IF($A430="","",IF(G430="","",_xlfn.XLOOKUP($C430&amp;"_"&amp;$AG430,符文权重!$A:$A&amp;"_"&amp;符文权重!$C:$C,符文权重!$D:$D)*$X430/SUMIFS($X:$X,G:G,G430,$C:$C,$C430,$AG:$AG,$AG430)/SUMIF(符文权重!$A:$A,$C430,符文权重!$D:$D))),"")</f>
        <v/>
      </c>
      <c r="N430" s="39" t="str" cm="1">
        <f t="array" ref="N430">IFERROR(IF($A430="","",IF(H430="","",_xlfn.XLOOKUP($C430&amp;"_"&amp;$AG430,符文权重!$A:$A&amp;"_"&amp;符文权重!$C:$C,符文权重!$D:$D)*$X430/SUMIFS($X:$X,H:H,H430,$C:$C,$C430,$AG:$AG,$AG430)/SUMIF(符文权重!$A:$A,$C430,符文权重!$D:$D))),"")</f>
        <v/>
      </c>
      <c r="O430" s="39" t="str" cm="1">
        <f t="array" ref="O430">IFERROR(IF($A430="","",IF(I430="","",_xlfn.XLOOKUP($C430&amp;"_"&amp;$AG430,符文权重!$A:$A&amp;"_"&amp;符文权重!$C:$C,符文权重!$D:$D)*$X430/SUMIFS($X:$X,I:I,I430,$C:$C,$C430,$AG:$AG,$AG430)/SUMIF(符文权重!$A:$A,$C430,符文权重!$D:$D))),"")</f>
        <v/>
      </c>
      <c r="P430" s="39" t="str" cm="1">
        <f t="array" ref="P430">IFERROR(IF($A430="","",IF(J430="","",_xlfn.XLOOKUP($C430&amp;"_"&amp;$AG430,符文权重!$A:$A&amp;"_"&amp;符文权重!$C:$C,符文权重!$D:$D)*$X430/SUMIFS($X:$X,J:J,J430,$C:$C,$C430,$AG:$AG,$AG430)/SUMIF(符文权重!$A:$A,$C430,符文权重!$D:$D))),"")</f>
        <v/>
      </c>
      <c r="Q430" s="39" t="str" cm="1">
        <f t="array" ref="Q430">IFERROR(IF($A430="","",IF(K430="","",_xlfn.XLOOKUP($C430&amp;"_"&amp;$AG430,符文权重!$A:$A&amp;"_"&amp;符文权重!$C:$C,符文权重!$D:$D)*$X430/SUMIFS($X:$X,K:K,K430,$C:$C,$C430,$AG:$AG,$AG430)/SUMIF(符文权重!$A:$A,$C430,符文权重!$D:$D))),"")</f>
        <v/>
      </c>
      <c r="R430" s="46" t="s">
        <v>181</v>
      </c>
      <c r="S430" s="46" t="s">
        <v>218</v>
      </c>
      <c r="T430" s="46" t="e">
        <f>IF(B430="","",SUBSTITUTE(SUBSTITUTE("[{global_atk,"&amp;#REF!*C430&amp;"}]",21,20),9,8))</f>
        <v>#REF!</v>
      </c>
      <c r="U430" s="47" t="str">
        <f t="shared" ref="U430:U436" si="213">"["&amp;A430&amp;"]"</f>
        <v>[5505131]</v>
      </c>
      <c r="V430" s="46"/>
      <c r="X430" s="25">
        <v>100</v>
      </c>
      <c r="Z430" s="45" t="s">
        <v>165</v>
      </c>
      <c r="AA430" s="32" t="str">
        <f t="shared" si="199"/>
        <v>每选择一个控制梦灵的词条，所有控制梦灵伤害+5%</v>
      </c>
      <c r="AB430" s="32"/>
      <c r="AC430" s="32" t="s">
        <v>166</v>
      </c>
      <c r="AD430" s="32">
        <f t="shared" si="197"/>
        <v>1425</v>
      </c>
      <c r="AE430" s="44" t="str">
        <f t="shared" si="202"/>
        <v>5505131</v>
      </c>
      <c r="AF430" s="45" t="str">
        <f t="shared" si="203"/>
        <v>[5]</v>
      </c>
      <c r="AG430" s="26">
        <v>100</v>
      </c>
      <c r="AH430" s="46"/>
      <c r="AI430" s="46">
        <v>1</v>
      </c>
      <c r="AJ430" s="25">
        <v>1</v>
      </c>
      <c r="AK430" s="48">
        <v>5505131</v>
      </c>
      <c r="AL430" s="49" t="s">
        <v>500</v>
      </c>
      <c r="AM430" s="46">
        <v>5</v>
      </c>
      <c r="AN430" s="25"/>
      <c r="AO430" s="25" t="s">
        <v>31</v>
      </c>
      <c r="AP430" s="20">
        <f t="shared" si="198"/>
        <v>425</v>
      </c>
    </row>
    <row r="431" s="23" customFormat="1" customHeight="1" spans="1:42">
      <c r="A431" s="44">
        <v>5505132</v>
      </c>
      <c r="B431" s="44" t="str">
        <f t="shared" si="200"/>
        <v>5505131</v>
      </c>
      <c r="C431" s="45">
        <f t="shared" si="201"/>
        <v>2</v>
      </c>
      <c r="D431" s="45"/>
      <c r="E431" s="46" t="s">
        <v>191</v>
      </c>
      <c r="F431" s="26">
        <f t="shared" si="196"/>
        <v>1</v>
      </c>
      <c r="G431" s="26" t="str">
        <f>IFERROR(IF(--MID($E431,2*COUNTIF($F431:F431,"&gt;"&amp;0)+2,1)=G$1,G$1,""),"")</f>
        <v/>
      </c>
      <c r="H431" s="26" t="str">
        <f>IFERROR(IF(--MID($E431,2*COUNTIF($F431:G431,"&gt;"&amp;0)+2,1)=H$1,H$1,""),"")</f>
        <v/>
      </c>
      <c r="I431" s="26" t="str">
        <f>IFERROR(IF(--MID($E431,2*COUNTIF($F431:H431,"&gt;"&amp;0)+2,1)=I$1,I$1,""),"")</f>
        <v/>
      </c>
      <c r="J431" s="26" t="str">
        <f>IFERROR(IF(--MID($E431,2*COUNTIF($F431:I431,"&gt;"&amp;0)+2,1)=J$1,J$1,""),"")</f>
        <v/>
      </c>
      <c r="K431" s="26" t="str">
        <f>IFERROR(IF(--MID($E431,2*COUNTIF($F431:J431,"&gt;"&amp;0)+2,1)=K$1,K$1,""),"")</f>
        <v/>
      </c>
      <c r="L431" s="39" t="str" cm="1">
        <f t="array" ref="L431">IFERROR(IF($A431="","",IF(F431="","",_xlfn.XLOOKUP($C431&amp;"_"&amp;$AG431,符文权重!$A:$A&amp;"_"&amp;符文权重!$C:$C,符文权重!$D:$D)*$X431/SUMIFS($X:$X,F:F,F431,$C:$C,$C431,$AG:$AG,$AG431)/SUMIF(符文权重!$A:$A,$C431,符文权重!$D:$D))),"")</f>
        <v/>
      </c>
      <c r="M431" s="39" t="str" cm="1">
        <f t="array" ref="M431">IFERROR(IF($A431="","",IF(G431="","",_xlfn.XLOOKUP($C431&amp;"_"&amp;$AG431,符文权重!$A:$A&amp;"_"&amp;符文权重!$C:$C,符文权重!$D:$D)*$X431/SUMIFS($X:$X,G:G,G431,$C:$C,$C431,$AG:$AG,$AG431)/SUMIF(符文权重!$A:$A,$C431,符文权重!$D:$D))),"")</f>
        <v/>
      </c>
      <c r="N431" s="39" t="str" cm="1">
        <f t="array" ref="N431">IFERROR(IF($A431="","",IF(H431="","",_xlfn.XLOOKUP($C431&amp;"_"&amp;$AG431,符文权重!$A:$A&amp;"_"&amp;符文权重!$C:$C,符文权重!$D:$D)*$X431/SUMIFS($X:$X,H:H,H431,$C:$C,$C431,$AG:$AG,$AG431)/SUMIF(符文权重!$A:$A,$C431,符文权重!$D:$D))),"")</f>
        <v/>
      </c>
      <c r="O431" s="39" t="str" cm="1">
        <f t="array" ref="O431">IFERROR(IF($A431="","",IF(I431="","",_xlfn.XLOOKUP($C431&amp;"_"&amp;$AG431,符文权重!$A:$A&amp;"_"&amp;符文权重!$C:$C,符文权重!$D:$D)*$X431/SUMIFS($X:$X,I:I,I431,$C:$C,$C431,$AG:$AG,$AG431)/SUMIF(符文权重!$A:$A,$C431,符文权重!$D:$D))),"")</f>
        <v/>
      </c>
      <c r="P431" s="39" t="str" cm="1">
        <f t="array" ref="P431">IFERROR(IF($A431="","",IF(J431="","",_xlfn.XLOOKUP($C431&amp;"_"&amp;$AG431,符文权重!$A:$A&amp;"_"&amp;符文权重!$C:$C,符文权重!$D:$D)*$X431/SUMIFS($X:$X,J:J,J431,$C:$C,$C431,$AG:$AG,$AG431)/SUMIF(符文权重!$A:$A,$C431,符文权重!$D:$D))),"")</f>
        <v/>
      </c>
      <c r="Q431" s="39" t="str" cm="1">
        <f t="array" ref="Q431">IFERROR(IF($A431="","",IF(K431="","",_xlfn.XLOOKUP($C431&amp;"_"&amp;$AG431,符文权重!$A:$A&amp;"_"&amp;符文权重!$C:$C,符文权重!$D:$D)*$X431/SUMIFS($X:$X,K:K,K431,$C:$C,$C431,$AG:$AG,$AG431)/SUMIF(符文权重!$A:$A,$C431,符文权重!$D:$D))),"")</f>
        <v/>
      </c>
      <c r="R431" s="46" t="s">
        <v>181</v>
      </c>
      <c r="S431" s="46" t="s">
        <v>218</v>
      </c>
      <c r="T431" s="46" t="e">
        <f>IF(B431="","",SUBSTITUTE(SUBSTITUTE("[{global_atk,"&amp;#REF!*C431&amp;"}]",21,20),9,8))</f>
        <v>#REF!</v>
      </c>
      <c r="U431" s="47" t="str">
        <f t="shared" si="213"/>
        <v>[5505132]</v>
      </c>
      <c r="V431" s="46"/>
      <c r="X431" s="25">
        <v>100</v>
      </c>
      <c r="Z431" s="45" t="s">
        <v>170</v>
      </c>
      <c r="AA431" s="32" t="str">
        <f t="shared" si="199"/>
        <v>每选择一个控制梦灵的词条，所有控制梦灵伤害+8%</v>
      </c>
      <c r="AB431" s="32"/>
      <c r="AC431" s="32" t="s">
        <v>166</v>
      </c>
      <c r="AD431" s="32">
        <f t="shared" si="197"/>
        <v>1426</v>
      </c>
      <c r="AE431" s="44" t="str">
        <f t="shared" si="202"/>
        <v>5505131</v>
      </c>
      <c r="AF431" s="45" t="str">
        <f t="shared" si="203"/>
        <v>[8]</v>
      </c>
      <c r="AG431" s="26">
        <v>100</v>
      </c>
      <c r="AH431" s="46"/>
      <c r="AI431" s="46">
        <v>1</v>
      </c>
      <c r="AJ431" s="25">
        <v>1</v>
      </c>
      <c r="AK431" s="44">
        <f t="shared" ref="AK431:AK436" si="214">AK430+1</f>
        <v>5505132</v>
      </c>
      <c r="AL431" s="50" t="str">
        <f t="shared" ref="AL431:AL436" si="215">AL430</f>
        <v>每选择一个控制梦灵的词条，所有控制梦灵伤害&lt;color=#54b76b&gt;+%s%&lt;/color&gt;</v>
      </c>
      <c r="AM431" s="46">
        <v>8</v>
      </c>
      <c r="AN431" s="25"/>
      <c r="AO431" s="25" t="s">
        <v>31</v>
      </c>
      <c r="AP431" s="20">
        <f t="shared" si="198"/>
        <v>426</v>
      </c>
    </row>
    <row r="432" s="23" customFormat="1" customHeight="1" spans="1:42">
      <c r="A432" s="44">
        <v>5505133</v>
      </c>
      <c r="B432" s="44" t="str">
        <f t="shared" si="200"/>
        <v>5505131</v>
      </c>
      <c r="C432" s="45">
        <f t="shared" si="201"/>
        <v>3</v>
      </c>
      <c r="D432" s="45"/>
      <c r="E432" s="46" t="s">
        <v>191</v>
      </c>
      <c r="F432" s="26">
        <f t="shared" si="196"/>
        <v>1</v>
      </c>
      <c r="G432" s="26" t="str">
        <f>IFERROR(IF(--MID($E432,2*COUNTIF($F432:F432,"&gt;"&amp;0)+2,1)=G$1,G$1,""),"")</f>
        <v/>
      </c>
      <c r="H432" s="26" t="str">
        <f>IFERROR(IF(--MID($E432,2*COUNTIF($F432:G432,"&gt;"&amp;0)+2,1)=H$1,H$1,""),"")</f>
        <v/>
      </c>
      <c r="I432" s="26" t="str">
        <f>IFERROR(IF(--MID($E432,2*COUNTIF($F432:H432,"&gt;"&amp;0)+2,1)=I$1,I$1,""),"")</f>
        <v/>
      </c>
      <c r="J432" s="26" t="str">
        <f>IFERROR(IF(--MID($E432,2*COUNTIF($F432:I432,"&gt;"&amp;0)+2,1)=J$1,J$1,""),"")</f>
        <v/>
      </c>
      <c r="K432" s="26" t="str">
        <f>IFERROR(IF(--MID($E432,2*COUNTIF($F432:J432,"&gt;"&amp;0)+2,1)=K$1,K$1,""),"")</f>
        <v/>
      </c>
      <c r="L432" s="39" t="str" cm="1">
        <f t="array" ref="L432">IFERROR(IF($A432="","",IF(F432="","",_xlfn.XLOOKUP($C432&amp;"_"&amp;$AG432,符文权重!$A:$A&amp;"_"&amp;符文权重!$C:$C,符文权重!$D:$D)*$X432/SUMIFS($X:$X,F:F,F432,$C:$C,$C432,$AG:$AG,$AG432)/SUMIF(符文权重!$A:$A,$C432,符文权重!$D:$D))),"")</f>
        <v/>
      </c>
      <c r="M432" s="39" t="str" cm="1">
        <f t="array" ref="M432">IFERROR(IF($A432="","",IF(G432="","",_xlfn.XLOOKUP($C432&amp;"_"&amp;$AG432,符文权重!$A:$A&amp;"_"&amp;符文权重!$C:$C,符文权重!$D:$D)*$X432/SUMIFS($X:$X,G:G,G432,$C:$C,$C432,$AG:$AG,$AG432)/SUMIF(符文权重!$A:$A,$C432,符文权重!$D:$D))),"")</f>
        <v/>
      </c>
      <c r="N432" s="39" t="str" cm="1">
        <f t="array" ref="N432">IFERROR(IF($A432="","",IF(H432="","",_xlfn.XLOOKUP($C432&amp;"_"&amp;$AG432,符文权重!$A:$A&amp;"_"&amp;符文权重!$C:$C,符文权重!$D:$D)*$X432/SUMIFS($X:$X,H:H,H432,$C:$C,$C432,$AG:$AG,$AG432)/SUMIF(符文权重!$A:$A,$C432,符文权重!$D:$D))),"")</f>
        <v/>
      </c>
      <c r="O432" s="39" t="str" cm="1">
        <f t="array" ref="O432">IFERROR(IF($A432="","",IF(I432="","",_xlfn.XLOOKUP($C432&amp;"_"&amp;$AG432,符文权重!$A:$A&amp;"_"&amp;符文权重!$C:$C,符文权重!$D:$D)*$X432/SUMIFS($X:$X,I:I,I432,$C:$C,$C432,$AG:$AG,$AG432)/SUMIF(符文权重!$A:$A,$C432,符文权重!$D:$D))),"")</f>
        <v/>
      </c>
      <c r="P432" s="39" t="str" cm="1">
        <f t="array" ref="P432">IFERROR(IF($A432="","",IF(J432="","",_xlfn.XLOOKUP($C432&amp;"_"&amp;$AG432,符文权重!$A:$A&amp;"_"&amp;符文权重!$C:$C,符文权重!$D:$D)*$X432/SUMIFS($X:$X,J:J,J432,$C:$C,$C432,$AG:$AG,$AG432)/SUMIF(符文权重!$A:$A,$C432,符文权重!$D:$D))),"")</f>
        <v/>
      </c>
      <c r="Q432" s="39" t="str" cm="1">
        <f t="array" ref="Q432">IFERROR(IF($A432="","",IF(K432="","",_xlfn.XLOOKUP($C432&amp;"_"&amp;$AG432,符文权重!$A:$A&amp;"_"&amp;符文权重!$C:$C,符文权重!$D:$D)*$X432/SUMIFS($X:$X,K:K,K432,$C:$C,$C432,$AG:$AG,$AG432)/SUMIF(符文权重!$A:$A,$C432,符文权重!$D:$D))),"")</f>
        <v/>
      </c>
      <c r="R432" s="46" t="s">
        <v>181</v>
      </c>
      <c r="S432" s="46" t="s">
        <v>218</v>
      </c>
      <c r="T432" s="46" t="e">
        <f>IF(B432="","",SUBSTITUTE(SUBSTITUTE("[{global_atk,"&amp;#REF!*C432&amp;"}]",21,20),9,8))</f>
        <v>#REF!</v>
      </c>
      <c r="U432" s="47" t="str">
        <f t="shared" si="213"/>
        <v>[5505133]</v>
      </c>
      <c r="V432" s="46"/>
      <c r="X432" s="26">
        <v>100</v>
      </c>
      <c r="Z432" s="45" t="s">
        <v>172</v>
      </c>
      <c r="AA432" s="32" t="str">
        <f t="shared" si="199"/>
        <v>每选择一个控制梦灵的词条，所有控制梦灵伤害+10%</v>
      </c>
      <c r="AB432" s="32"/>
      <c r="AC432" s="32" t="s">
        <v>166</v>
      </c>
      <c r="AD432" s="32">
        <f t="shared" si="197"/>
        <v>1427</v>
      </c>
      <c r="AE432" s="44" t="str">
        <f t="shared" si="202"/>
        <v>5505131</v>
      </c>
      <c r="AF432" s="45" t="str">
        <f t="shared" si="203"/>
        <v>[10]</v>
      </c>
      <c r="AG432" s="26">
        <v>100</v>
      </c>
      <c r="AH432" s="46"/>
      <c r="AI432" s="46">
        <v>1</v>
      </c>
      <c r="AJ432" s="25">
        <v>1</v>
      </c>
      <c r="AK432" s="44">
        <f t="shared" si="214"/>
        <v>5505133</v>
      </c>
      <c r="AL432" s="50" t="str">
        <f t="shared" si="215"/>
        <v>每选择一个控制梦灵的词条，所有控制梦灵伤害&lt;color=#54b76b&gt;+%s%&lt;/color&gt;</v>
      </c>
      <c r="AM432" s="46">
        <v>10</v>
      </c>
      <c r="AN432" s="26"/>
      <c r="AO432" s="25" t="s">
        <v>31</v>
      </c>
      <c r="AP432" s="20">
        <f t="shared" si="198"/>
        <v>427</v>
      </c>
    </row>
    <row r="433" customHeight="1" spans="1:42">
      <c r="A433" s="38">
        <v>5505134</v>
      </c>
      <c r="B433" s="38" t="str">
        <f t="shared" si="200"/>
        <v>5505131</v>
      </c>
      <c r="C433" s="32">
        <f t="shared" si="201"/>
        <v>4</v>
      </c>
      <c r="D433" s="32"/>
      <c r="E433" s="26" t="s">
        <v>191</v>
      </c>
      <c r="F433" s="26">
        <f t="shared" si="196"/>
        <v>1</v>
      </c>
      <c r="G433" s="26" t="str">
        <f>IFERROR(IF(--MID($E433,2*COUNTIF($F433:F433,"&gt;"&amp;0)+2,1)=G$1,G$1,""),"")</f>
        <v/>
      </c>
      <c r="H433" s="26" t="str">
        <f>IFERROR(IF(--MID($E433,2*COUNTIF($F433:G433,"&gt;"&amp;0)+2,1)=H$1,H$1,""),"")</f>
        <v/>
      </c>
      <c r="I433" s="26" t="str">
        <f>IFERROR(IF(--MID($E433,2*COUNTIF($F433:H433,"&gt;"&amp;0)+2,1)=I$1,I$1,""),"")</f>
        <v/>
      </c>
      <c r="J433" s="26" t="str">
        <f>IFERROR(IF(--MID($E433,2*COUNTIF($F433:I433,"&gt;"&amp;0)+2,1)=J$1,J$1,""),"")</f>
        <v/>
      </c>
      <c r="K433" s="26" t="str">
        <f>IFERROR(IF(--MID($E433,2*COUNTIF($F433:J433,"&gt;"&amp;0)+2,1)=K$1,K$1,""),"")</f>
        <v/>
      </c>
      <c r="L433" s="58" t="str" cm="1">
        <f t="array" ref="L433">IFERROR(IF($A433="","",IF(F433="","",_xlfn.XLOOKUP($C433&amp;"_"&amp;$AG433,符文权重!$A:$A&amp;"_"&amp;符文权重!$C:$C,符文权重!$D:$D)*$X433/SUMIFS($X:$X,F:F,F433,$C:$C,$C433,$AG:$AG,$AG433)/SUMIF(符文权重!$A:$A,$C433,符文权重!$D:$D))),"")</f>
        <v/>
      </c>
      <c r="M433" s="39" t="str" cm="1">
        <f t="array" ref="M433">IFERROR(IF($A433="","",IF(G433="","",_xlfn.XLOOKUP($C433&amp;"_"&amp;$AG433,符文权重!$A:$A&amp;"_"&amp;符文权重!$C:$C,符文权重!$D:$D)*$X433/SUMIFS($X:$X,G:G,G433,$C:$C,$C433,$AG:$AG,$AG433)/SUMIF(符文权重!$A:$A,$C433,符文权重!$D:$D))),"")</f>
        <v/>
      </c>
      <c r="N433" s="39" t="str" cm="1">
        <f t="array" ref="N433">IFERROR(IF($A433="","",IF(H433="","",_xlfn.XLOOKUP($C433&amp;"_"&amp;$AG433,符文权重!$A:$A&amp;"_"&amp;符文权重!$C:$C,符文权重!$D:$D)*$X433/SUMIFS($X:$X,H:H,H433,$C:$C,$C433,$AG:$AG,$AG433)/SUMIF(符文权重!$A:$A,$C433,符文权重!$D:$D))),"")</f>
        <v/>
      </c>
      <c r="O433" s="39" t="str" cm="1">
        <f t="array" ref="O433">IFERROR(IF($A433="","",IF(I433="","",_xlfn.XLOOKUP($C433&amp;"_"&amp;$AG433,符文权重!$A:$A&amp;"_"&amp;符文权重!$C:$C,符文权重!$D:$D)*$X433/SUMIFS($X:$X,I:I,I433,$C:$C,$C433,$AG:$AG,$AG433)/SUMIF(符文权重!$A:$A,$C433,符文权重!$D:$D))),"")</f>
        <v/>
      </c>
      <c r="P433" s="39" t="str" cm="1">
        <f t="array" ref="P433">IFERROR(IF($A433="","",IF(J433="","",_xlfn.XLOOKUP($C433&amp;"_"&amp;$AG433,符文权重!$A:$A&amp;"_"&amp;符文权重!$C:$C,符文权重!$D:$D)*$X433/SUMIFS($X:$X,J:J,J433,$C:$C,$C433,$AG:$AG,$AG433)/SUMIF(符文权重!$A:$A,$C433,符文权重!$D:$D))),"")</f>
        <v/>
      </c>
      <c r="Q433" s="39" t="str" cm="1">
        <f t="array" ref="Q433">IFERROR(IF($A433="","",IF(K433="","",_xlfn.XLOOKUP($C433&amp;"_"&amp;$AG433,符文权重!$A:$A&amp;"_"&amp;符文权重!$C:$C,符文权重!$D:$D)*$X433/SUMIFS($X:$X,K:K,K433,$C:$C,$C433,$AG:$AG,$AG433)/SUMIF(符文权重!$A:$A,$C433,符文权重!$D:$D))),"")</f>
        <v/>
      </c>
      <c r="R433" s="26" t="s">
        <v>181</v>
      </c>
      <c r="S433" s="26" t="s">
        <v>218</v>
      </c>
      <c r="T433" s="26" t="e">
        <f>IF(B433="","",SUBSTITUTE(SUBSTITUTE("[{global_atk,"&amp;#REF!*C433&amp;"}]",21,20),9,8))</f>
        <v>#REF!</v>
      </c>
      <c r="U433" s="40" t="str">
        <f t="shared" si="213"/>
        <v>[5505134]</v>
      </c>
      <c r="X433" s="25">
        <v>4</v>
      </c>
      <c r="Z433" s="32" t="s">
        <v>174</v>
      </c>
      <c r="AA433" s="32" t="str">
        <f t="shared" si="199"/>
        <v>每选择一个控制梦灵的词条，所有控制梦灵伤害+15%</v>
      </c>
      <c r="AB433" s="32"/>
      <c r="AC433" s="32" t="s">
        <v>166</v>
      </c>
      <c r="AD433" s="32">
        <f t="shared" si="197"/>
        <v>1428</v>
      </c>
      <c r="AE433" s="38" t="str">
        <f t="shared" si="202"/>
        <v>5505131</v>
      </c>
      <c r="AF433" s="32" t="str">
        <f t="shared" si="203"/>
        <v>[15]</v>
      </c>
      <c r="AG433" s="26">
        <v>105</v>
      </c>
      <c r="AH433" s="26"/>
      <c r="AI433" s="26">
        <v>0</v>
      </c>
      <c r="AJ433" s="25">
        <v>1</v>
      </c>
      <c r="AK433" s="38">
        <f t="shared" si="214"/>
        <v>5505134</v>
      </c>
      <c r="AL433" s="41" t="str">
        <f t="shared" si="215"/>
        <v>每选择一个控制梦灵的词条，所有控制梦灵伤害&lt;color=#54b76b&gt;+%s%&lt;/color&gt;</v>
      </c>
      <c r="AM433" s="26">
        <v>15</v>
      </c>
      <c r="AN433" s="25">
        <v>5</v>
      </c>
      <c r="AO433" s="25" t="s">
        <v>31</v>
      </c>
      <c r="AP433" s="20">
        <f t="shared" si="198"/>
        <v>428</v>
      </c>
    </row>
    <row r="434" customHeight="1" spans="1:42">
      <c r="A434" s="38">
        <v>5505135</v>
      </c>
      <c r="B434" s="38" t="str">
        <f t="shared" si="200"/>
        <v>5505131</v>
      </c>
      <c r="C434" s="32">
        <f t="shared" si="201"/>
        <v>5</v>
      </c>
      <c r="D434" s="32"/>
      <c r="E434" s="26" t="s">
        <v>191</v>
      </c>
      <c r="F434" s="26">
        <f t="shared" si="196"/>
        <v>1</v>
      </c>
      <c r="G434" s="26" t="str">
        <f>IFERROR(IF(--MID($E434,2*COUNTIF($F434:F434,"&gt;"&amp;0)+2,1)=G$1,G$1,""),"")</f>
        <v/>
      </c>
      <c r="H434" s="26" t="str">
        <f>IFERROR(IF(--MID($E434,2*COUNTIF($F434:G434,"&gt;"&amp;0)+2,1)=H$1,H$1,""),"")</f>
        <v/>
      </c>
      <c r="I434" s="26" t="str">
        <f>IFERROR(IF(--MID($E434,2*COUNTIF($F434:H434,"&gt;"&amp;0)+2,1)=I$1,I$1,""),"")</f>
        <v/>
      </c>
      <c r="J434" s="26" t="str">
        <f>IFERROR(IF(--MID($E434,2*COUNTIF($F434:I434,"&gt;"&amp;0)+2,1)=J$1,J$1,""),"")</f>
        <v/>
      </c>
      <c r="K434" s="26" t="str">
        <f>IFERROR(IF(--MID($E434,2*COUNTIF($F434:J434,"&gt;"&amp;0)+2,1)=K$1,K$1,""),"")</f>
        <v/>
      </c>
      <c r="L434" s="39" cm="1">
        <f t="array" ref="L434">IFERROR(IF($A434="","",IF(F434="","",_xlfn.XLOOKUP($C434&amp;"_"&amp;$AG434,符文权重!$A:$A&amp;"_"&amp;符文权重!$C:$C,符文权重!$D:$D)*$X434/SUMIFS($X:$X,F:F,F434,$C:$C,$C434,$AG:$AG,$AG434)/SUMIF(符文权重!$A:$A,$C434,符文权重!$D:$D))),"")</f>
        <v>0.0075</v>
      </c>
      <c r="M434" s="39" t="str" cm="1">
        <f t="array" ref="M434">IFERROR(IF($A434="","",IF(G434="","",_xlfn.XLOOKUP($C434&amp;"_"&amp;$AG434,符文权重!$A:$A&amp;"_"&amp;符文权重!$C:$C,符文权重!$D:$D)*$X434/SUMIFS($X:$X,G:G,G434,$C:$C,$C434,$AG:$AG,$AG434)/SUMIF(符文权重!$A:$A,$C434,符文权重!$D:$D))),"")</f>
        <v/>
      </c>
      <c r="N434" s="39" t="str" cm="1">
        <f t="array" ref="N434">IFERROR(IF($A434="","",IF(H434="","",_xlfn.XLOOKUP($C434&amp;"_"&amp;$AG434,符文权重!$A:$A&amp;"_"&amp;符文权重!$C:$C,符文权重!$D:$D)*$X434/SUMIFS($X:$X,H:H,H434,$C:$C,$C434,$AG:$AG,$AG434)/SUMIF(符文权重!$A:$A,$C434,符文权重!$D:$D))),"")</f>
        <v/>
      </c>
      <c r="O434" s="39" t="str" cm="1">
        <f t="array" ref="O434">IFERROR(IF($A434="","",IF(I434="","",_xlfn.XLOOKUP($C434&amp;"_"&amp;$AG434,符文权重!$A:$A&amp;"_"&amp;符文权重!$C:$C,符文权重!$D:$D)*$X434/SUMIFS($X:$X,I:I,I434,$C:$C,$C434,$AG:$AG,$AG434)/SUMIF(符文权重!$A:$A,$C434,符文权重!$D:$D))),"")</f>
        <v/>
      </c>
      <c r="P434" s="39" t="str" cm="1">
        <f t="array" ref="P434">IFERROR(IF($A434="","",IF(J434="","",_xlfn.XLOOKUP($C434&amp;"_"&amp;$AG434,符文权重!$A:$A&amp;"_"&amp;符文权重!$C:$C,符文权重!$D:$D)*$X434/SUMIFS($X:$X,J:J,J434,$C:$C,$C434,$AG:$AG,$AG434)/SUMIF(符文权重!$A:$A,$C434,符文权重!$D:$D))),"")</f>
        <v/>
      </c>
      <c r="Q434" s="39" t="str" cm="1">
        <f t="array" ref="Q434">IFERROR(IF($A434="","",IF(K434="","",_xlfn.XLOOKUP($C434&amp;"_"&amp;$AG434,符文权重!$A:$A&amp;"_"&amp;符文权重!$C:$C,符文权重!$D:$D)*$X434/SUMIFS($X:$X,K:K,K434,$C:$C,$C434,$AG:$AG,$AG434)/SUMIF(符文权重!$A:$A,$C434,符文权重!$D:$D))),"")</f>
        <v/>
      </c>
      <c r="R434" s="26" t="s">
        <v>181</v>
      </c>
      <c r="S434" s="26" t="s">
        <v>218</v>
      </c>
      <c r="T434" s="26" t="e">
        <f>IF(B434="","",SUBSTITUTE(SUBSTITUTE("[{global_atk,"&amp;#REF!*C434&amp;"}]",21,20),9,8))</f>
        <v>#REF!</v>
      </c>
      <c r="U434" s="40" t="str">
        <f t="shared" si="213"/>
        <v>[5505135]</v>
      </c>
      <c r="X434" s="25">
        <v>100</v>
      </c>
      <c r="Z434" s="32" t="s">
        <v>176</v>
      </c>
      <c r="AA434" s="32" t="str">
        <f t="shared" si="199"/>
        <v>每选择一个控制梦灵的词条，所有控制梦灵伤害+25%</v>
      </c>
      <c r="AB434" s="32"/>
      <c r="AC434" s="32" t="s">
        <v>166</v>
      </c>
      <c r="AD434" s="32">
        <f t="shared" si="197"/>
        <v>1429</v>
      </c>
      <c r="AE434" s="38" t="str">
        <f t="shared" si="202"/>
        <v>5505131</v>
      </c>
      <c r="AF434" s="32" t="str">
        <f t="shared" si="203"/>
        <v>[25]</v>
      </c>
      <c r="AG434" s="26">
        <v>5</v>
      </c>
      <c r="AH434" s="26"/>
      <c r="AI434" s="26">
        <v>0</v>
      </c>
      <c r="AJ434" s="25">
        <v>1</v>
      </c>
      <c r="AK434" s="38">
        <f t="shared" si="214"/>
        <v>5505135</v>
      </c>
      <c r="AL434" s="41" t="str">
        <f t="shared" si="215"/>
        <v>每选择一个控制梦灵的词条，所有控制梦灵伤害&lt;color=#54b76b&gt;+%s%&lt;/color&gt;</v>
      </c>
      <c r="AM434" s="26">
        <v>25</v>
      </c>
      <c r="AN434" s="25">
        <v>5</v>
      </c>
      <c r="AO434" s="25" t="s">
        <v>31</v>
      </c>
      <c r="AP434" s="20">
        <f t="shared" si="198"/>
        <v>429</v>
      </c>
    </row>
    <row r="435" customHeight="1" spans="1:42">
      <c r="A435" s="38">
        <v>5505136</v>
      </c>
      <c r="B435" s="38" t="str">
        <f t="shared" si="200"/>
        <v>5505131</v>
      </c>
      <c r="C435" s="32">
        <f t="shared" si="201"/>
        <v>6</v>
      </c>
      <c r="D435" s="32"/>
      <c r="E435" s="26" t="s">
        <v>191</v>
      </c>
      <c r="F435" s="26">
        <f t="shared" si="196"/>
        <v>1</v>
      </c>
      <c r="G435" s="26" t="str">
        <f>IFERROR(IF(--MID($E435,2*COUNTIF($F435:F435,"&gt;"&amp;0)+2,1)=G$1,G$1,""),"")</f>
        <v/>
      </c>
      <c r="H435" s="26" t="str">
        <f>IFERROR(IF(--MID($E435,2*COUNTIF($F435:G435,"&gt;"&amp;0)+2,1)=H$1,H$1,""),"")</f>
        <v/>
      </c>
      <c r="I435" s="26" t="str">
        <f>IFERROR(IF(--MID($E435,2*COUNTIF($F435:H435,"&gt;"&amp;0)+2,1)=I$1,I$1,""),"")</f>
        <v/>
      </c>
      <c r="J435" s="26" t="str">
        <f>IFERROR(IF(--MID($E435,2*COUNTIF($F435:I435,"&gt;"&amp;0)+2,1)=J$1,J$1,""),"")</f>
        <v/>
      </c>
      <c r="K435" s="26" t="str">
        <f>IFERROR(IF(--MID($E435,2*COUNTIF($F435:J435,"&gt;"&amp;0)+2,1)=K$1,K$1,""),"")</f>
        <v/>
      </c>
      <c r="L435" s="39" cm="1">
        <f t="array" ref="L435">IFERROR(IF($A435="","",IF(F435="","",_xlfn.XLOOKUP($C435&amp;"_"&amp;$AG435,符文权重!$A:$A&amp;"_"&amp;符文权重!$C:$C,符文权重!$D:$D)*$X435/SUMIFS($X:$X,F:F,F435,$C:$C,$C435,$AG:$AG,$AG435)/SUMIF(符文权重!$A:$A,$C435,符文权重!$D:$D))),"")</f>
        <v>0.0075</v>
      </c>
      <c r="M435" s="39" t="str" cm="1">
        <f t="array" ref="M435">IFERROR(IF($A435="","",IF(G435="","",_xlfn.XLOOKUP($C435&amp;"_"&amp;$AG435,符文权重!$A:$A&amp;"_"&amp;符文权重!$C:$C,符文权重!$D:$D)*$X435/SUMIFS($X:$X,G:G,G435,$C:$C,$C435,$AG:$AG,$AG435)/SUMIF(符文权重!$A:$A,$C435,符文权重!$D:$D))),"")</f>
        <v/>
      </c>
      <c r="N435" s="39" t="str" cm="1">
        <f t="array" ref="N435">IFERROR(IF($A435="","",IF(H435="","",_xlfn.XLOOKUP($C435&amp;"_"&amp;$AG435,符文权重!$A:$A&amp;"_"&amp;符文权重!$C:$C,符文权重!$D:$D)*$X435/SUMIFS($X:$X,H:H,H435,$C:$C,$C435,$AG:$AG,$AG435)/SUMIF(符文权重!$A:$A,$C435,符文权重!$D:$D))),"")</f>
        <v/>
      </c>
      <c r="O435" s="39" t="str" cm="1">
        <f t="array" ref="O435">IFERROR(IF($A435="","",IF(I435="","",_xlfn.XLOOKUP($C435&amp;"_"&amp;$AG435,符文权重!$A:$A&amp;"_"&amp;符文权重!$C:$C,符文权重!$D:$D)*$X435/SUMIFS($X:$X,I:I,I435,$C:$C,$C435,$AG:$AG,$AG435)/SUMIF(符文权重!$A:$A,$C435,符文权重!$D:$D))),"")</f>
        <v/>
      </c>
      <c r="P435" s="39" t="str" cm="1">
        <f t="array" ref="P435">IFERROR(IF($A435="","",IF(J435="","",_xlfn.XLOOKUP($C435&amp;"_"&amp;$AG435,符文权重!$A:$A&amp;"_"&amp;符文权重!$C:$C,符文权重!$D:$D)*$X435/SUMIFS($X:$X,J:J,J435,$C:$C,$C435,$AG:$AG,$AG435)/SUMIF(符文权重!$A:$A,$C435,符文权重!$D:$D))),"")</f>
        <v/>
      </c>
      <c r="Q435" s="39" t="str" cm="1">
        <f t="array" ref="Q435">IFERROR(IF($A435="","",IF(K435="","",_xlfn.XLOOKUP($C435&amp;"_"&amp;$AG435,符文权重!$A:$A&amp;"_"&amp;符文权重!$C:$C,符文权重!$D:$D)*$X435/SUMIFS($X:$X,K:K,K435,$C:$C,$C435,$AG:$AG,$AG435)/SUMIF(符文权重!$A:$A,$C435,符文权重!$D:$D))),"")</f>
        <v/>
      </c>
      <c r="R435" s="26" t="s">
        <v>181</v>
      </c>
      <c r="S435" s="26" t="s">
        <v>218</v>
      </c>
      <c r="T435" s="26" t="e">
        <f>IF(B435="","",SUBSTITUTE(SUBSTITUTE("[{global_atk,"&amp;#REF!*C435&amp;"}]",21,20),9,8))</f>
        <v>#REF!</v>
      </c>
      <c r="U435" s="40" t="str">
        <f t="shared" si="213"/>
        <v>[5505136]</v>
      </c>
      <c r="X435" s="25">
        <v>100</v>
      </c>
      <c r="Z435" s="32" t="s">
        <v>178</v>
      </c>
      <c r="AA435" s="32" t="str">
        <f t="shared" si="199"/>
        <v>每选择一个控制梦灵的词条，所有控制梦灵伤害+35%</v>
      </c>
      <c r="AB435" s="32"/>
      <c r="AC435" s="32" t="s">
        <v>166</v>
      </c>
      <c r="AD435" s="32">
        <f t="shared" si="197"/>
        <v>1430</v>
      </c>
      <c r="AE435" s="38" t="str">
        <f t="shared" si="202"/>
        <v>5505131</v>
      </c>
      <c r="AF435" s="32" t="str">
        <f t="shared" si="203"/>
        <v>[35]</v>
      </c>
      <c r="AG435" s="26">
        <v>5</v>
      </c>
      <c r="AH435" s="26"/>
      <c r="AI435" s="26">
        <v>0</v>
      </c>
      <c r="AJ435" s="25">
        <v>1</v>
      </c>
      <c r="AK435" s="38">
        <f t="shared" si="214"/>
        <v>5505136</v>
      </c>
      <c r="AL435" s="41" t="str">
        <f t="shared" si="215"/>
        <v>每选择一个控制梦灵的词条，所有控制梦灵伤害&lt;color=#54b76b&gt;+%s%&lt;/color&gt;</v>
      </c>
      <c r="AM435" s="26">
        <v>35</v>
      </c>
      <c r="AN435" s="25">
        <v>5</v>
      </c>
      <c r="AO435" s="25" t="s">
        <v>31</v>
      </c>
      <c r="AP435" s="20">
        <f t="shared" si="198"/>
        <v>430</v>
      </c>
    </row>
    <row r="436" customHeight="1" spans="1:42">
      <c r="A436" s="38">
        <v>5505137</v>
      </c>
      <c r="B436" s="38" t="str">
        <f t="shared" si="200"/>
        <v>5505131</v>
      </c>
      <c r="C436" s="32">
        <f t="shared" si="201"/>
        <v>7</v>
      </c>
      <c r="D436" s="32"/>
      <c r="E436" s="26" t="s">
        <v>191</v>
      </c>
      <c r="F436" s="26">
        <f t="shared" si="196"/>
        <v>1</v>
      </c>
      <c r="G436" s="26" t="str">
        <f>IFERROR(IF(--MID($E436,2*COUNTIF($F436:F436,"&gt;"&amp;0)+2,1)=G$1,G$1,""),"")</f>
        <v/>
      </c>
      <c r="H436" s="26" t="str">
        <f>IFERROR(IF(--MID($E436,2*COUNTIF($F436:G436,"&gt;"&amp;0)+2,1)=H$1,H$1,""),"")</f>
        <v/>
      </c>
      <c r="I436" s="26" t="str">
        <f>IFERROR(IF(--MID($E436,2*COUNTIF($F436:H436,"&gt;"&amp;0)+2,1)=I$1,I$1,""),"")</f>
        <v/>
      </c>
      <c r="J436" s="26" t="str">
        <f>IFERROR(IF(--MID($E436,2*COUNTIF($F436:I436,"&gt;"&amp;0)+2,1)=J$1,J$1,""),"")</f>
        <v/>
      </c>
      <c r="K436" s="26" t="str">
        <f>IFERROR(IF(--MID($E436,2*COUNTIF($F436:J436,"&gt;"&amp;0)+2,1)=K$1,K$1,""),"")</f>
        <v/>
      </c>
      <c r="L436" s="39" cm="1">
        <f t="array" ref="L436">IFERROR(IF($A436="","",IF(F436="","",_xlfn.XLOOKUP($C436&amp;"_"&amp;$AG436,符文权重!$A:$A&amp;"_"&amp;符文权重!$C:$C,符文权重!$D:$D)*$X436/SUMIFS($X:$X,F:F,F436,$C:$C,$C436,$AG:$AG,$AG436)/SUMIF(符文权重!$A:$A,$C436,符文权重!$D:$D))),"")</f>
        <v>0.0075</v>
      </c>
      <c r="M436" s="39" t="str" cm="1">
        <f t="array" ref="M436">IFERROR(IF($A436="","",IF(G436="","",_xlfn.XLOOKUP($C436&amp;"_"&amp;$AG436,符文权重!$A:$A&amp;"_"&amp;符文权重!$C:$C,符文权重!$D:$D)*$X436/SUMIFS($X:$X,G:G,G436,$C:$C,$C436,$AG:$AG,$AG436)/SUMIF(符文权重!$A:$A,$C436,符文权重!$D:$D))),"")</f>
        <v/>
      </c>
      <c r="N436" s="39" t="str" cm="1">
        <f t="array" ref="N436">IFERROR(IF($A436="","",IF(H436="","",_xlfn.XLOOKUP($C436&amp;"_"&amp;$AG436,符文权重!$A:$A&amp;"_"&amp;符文权重!$C:$C,符文权重!$D:$D)*$X436/SUMIFS($X:$X,H:H,H436,$C:$C,$C436,$AG:$AG,$AG436)/SUMIF(符文权重!$A:$A,$C436,符文权重!$D:$D))),"")</f>
        <v/>
      </c>
      <c r="O436" s="39" t="str" cm="1">
        <f t="array" ref="O436">IFERROR(IF($A436="","",IF(I436="","",_xlfn.XLOOKUP($C436&amp;"_"&amp;$AG436,符文权重!$A:$A&amp;"_"&amp;符文权重!$C:$C,符文权重!$D:$D)*$X436/SUMIFS($X:$X,I:I,I436,$C:$C,$C436,$AG:$AG,$AG436)/SUMIF(符文权重!$A:$A,$C436,符文权重!$D:$D))),"")</f>
        <v/>
      </c>
      <c r="P436" s="39" t="str" cm="1">
        <f t="array" ref="P436">IFERROR(IF($A436="","",IF(J436="","",_xlfn.XLOOKUP($C436&amp;"_"&amp;$AG436,符文权重!$A:$A&amp;"_"&amp;符文权重!$C:$C,符文权重!$D:$D)*$X436/SUMIFS($X:$X,J:J,J436,$C:$C,$C436,$AG:$AG,$AG436)/SUMIF(符文权重!$A:$A,$C436,符文权重!$D:$D))),"")</f>
        <v/>
      </c>
      <c r="Q436" s="39" t="str" cm="1">
        <f t="array" ref="Q436">IFERROR(IF($A436="","",IF(K436="","",_xlfn.XLOOKUP($C436&amp;"_"&amp;$AG436,符文权重!$A:$A&amp;"_"&amp;符文权重!$C:$C,符文权重!$D:$D)*$X436/SUMIFS($X:$X,K:K,K436,$C:$C,$C436,$AG:$AG,$AG436)/SUMIF(符文权重!$A:$A,$C436,符文权重!$D:$D))),"")</f>
        <v/>
      </c>
      <c r="R436" s="26" t="s">
        <v>181</v>
      </c>
      <c r="S436" s="26" t="s">
        <v>218</v>
      </c>
      <c r="T436" s="26" t="e">
        <f>IF(B436="","",SUBSTITUTE(SUBSTITUTE("[{global_atk,"&amp;#REF!*C436&amp;"}]",21,20),9,8))</f>
        <v>#REF!</v>
      </c>
      <c r="U436" s="40" t="str">
        <f t="shared" si="213"/>
        <v>[5505137]</v>
      </c>
      <c r="X436" s="26">
        <v>100</v>
      </c>
      <c r="Z436" s="32" t="s">
        <v>180</v>
      </c>
      <c r="AA436" s="32" t="str">
        <f t="shared" si="199"/>
        <v>每选择一个控制梦灵的词条，所有控制梦灵伤害+45%</v>
      </c>
      <c r="AB436" s="32"/>
      <c r="AC436" s="32" t="s">
        <v>166</v>
      </c>
      <c r="AD436" s="32">
        <f t="shared" si="197"/>
        <v>1431</v>
      </c>
      <c r="AE436" s="38" t="str">
        <f t="shared" si="202"/>
        <v>5505131</v>
      </c>
      <c r="AF436" s="32" t="str">
        <f t="shared" si="203"/>
        <v>[45]</v>
      </c>
      <c r="AG436" s="26">
        <v>5</v>
      </c>
      <c r="AH436" s="26"/>
      <c r="AI436" s="26">
        <v>0</v>
      </c>
      <c r="AJ436" s="25">
        <v>1</v>
      </c>
      <c r="AK436" s="38">
        <f t="shared" si="214"/>
        <v>5505137</v>
      </c>
      <c r="AL436" s="41" t="str">
        <f t="shared" si="215"/>
        <v>每选择一个控制梦灵的词条，所有控制梦灵伤害&lt;color=#54b76b&gt;+%s%&lt;/color&gt;</v>
      </c>
      <c r="AM436" s="26">
        <v>45</v>
      </c>
      <c r="AN436" s="26">
        <v>5</v>
      </c>
      <c r="AO436" s="25" t="s">
        <v>31</v>
      </c>
      <c r="AP436" s="20">
        <f t="shared" si="198"/>
        <v>431</v>
      </c>
    </row>
    <row r="437" s="20" customFormat="1" customHeight="1" spans="1:42">
      <c r="A437" s="38" t="s">
        <v>167</v>
      </c>
      <c r="B437" s="38" t="str">
        <f t="shared" si="200"/>
        <v/>
      </c>
      <c r="C437" s="32" t="str">
        <f t="shared" si="201"/>
        <v/>
      </c>
      <c r="D437" s="32"/>
      <c r="F437" s="26" t="str">
        <f t="shared" si="196"/>
        <v/>
      </c>
      <c r="G437" s="26" t="str">
        <f>IFERROR(IF(--MID($E437,2*COUNTIF($F437:F437,"&gt;"&amp;0)+2,1)=G$1,G$1,""),"")</f>
        <v/>
      </c>
      <c r="H437" s="26" t="str">
        <f>IFERROR(IF(--MID($E437,2*COUNTIF($F437:G437,"&gt;"&amp;0)+2,1)=H$1,H$1,""),"")</f>
        <v/>
      </c>
      <c r="I437" s="26" t="str">
        <f>IFERROR(IF(--MID($E437,2*COUNTIF($F437:H437,"&gt;"&amp;0)+2,1)=I$1,I$1,""),"")</f>
        <v/>
      </c>
      <c r="J437" s="26" t="str">
        <f>IFERROR(IF(--MID($E437,2*COUNTIF($F437:I437,"&gt;"&amp;0)+2,1)=J$1,J$1,""),"")</f>
        <v/>
      </c>
      <c r="K437" s="26" t="str">
        <f>IFERROR(IF(--MID($E437,2*COUNTIF($F437:J437,"&gt;"&amp;0)+2,1)=K$1,K$1,""),"")</f>
        <v/>
      </c>
      <c r="L437" s="39" t="str" cm="1">
        <f t="array" ref="L437">IFERROR(IF($A437="","",IF(F437="","",_xlfn.XLOOKUP($C437&amp;"_"&amp;$AG437,符文权重!$A:$A&amp;"_"&amp;符文权重!$C:$C,符文权重!$D:$D)*$X437/SUMIFS($X:$X,F:F,F437,$C:$C,$C437,$AG:$AG,$AG437)/SUMIF(符文权重!$A:$A,$C437,符文权重!$D:$D))),"")</f>
        <v/>
      </c>
      <c r="M437" s="39" t="str" cm="1">
        <f t="array" ref="M437">IFERROR(IF($A437="","",IF(G437="","",_xlfn.XLOOKUP($C437&amp;"_"&amp;$AG437,符文权重!$A:$A&amp;"_"&amp;符文权重!$C:$C,符文权重!$D:$D)*$X437/SUMIFS($X:$X,G:G,G437,$C:$C,$C437,$AG:$AG,$AG437)/SUMIF(符文权重!$A:$A,$C437,符文权重!$D:$D))),"")</f>
        <v/>
      </c>
      <c r="N437" s="39" t="str" cm="1">
        <f t="array" ref="N437">IFERROR(IF($A437="","",IF(H437="","",_xlfn.XLOOKUP($C437&amp;"_"&amp;$AG437,符文权重!$A:$A&amp;"_"&amp;符文权重!$C:$C,符文权重!$D:$D)*$X437/SUMIFS($X:$X,H:H,H437,$C:$C,$C437,$AG:$AG,$AG437)/SUMIF(符文权重!$A:$A,$C437,符文权重!$D:$D))),"")</f>
        <v/>
      </c>
      <c r="O437" s="39" t="str" cm="1">
        <f t="array" ref="O437">IFERROR(IF($A437="","",IF(I437="","",_xlfn.XLOOKUP($C437&amp;"_"&amp;$AG437,符文权重!$A:$A&amp;"_"&amp;符文权重!$C:$C,符文权重!$D:$D)*$X437/SUMIFS($X:$X,I:I,I437,$C:$C,$C437,$AG:$AG,$AG437)/SUMIF(符文权重!$A:$A,$C437,符文权重!$D:$D))),"")</f>
        <v/>
      </c>
      <c r="P437" s="39" t="str" cm="1">
        <f t="array" ref="P437">IFERROR(IF($A437="","",IF(J437="","",_xlfn.XLOOKUP($C437&amp;"_"&amp;$AG437,符文权重!$A:$A&amp;"_"&amp;符文权重!$C:$C,符文权重!$D:$D)*$X437/SUMIFS($X:$X,J:J,J437,$C:$C,$C437,$AG:$AG,$AG437)/SUMIF(符文权重!$A:$A,$C437,符文权重!$D:$D))),"")</f>
        <v/>
      </c>
      <c r="Q437" s="39" t="str" cm="1">
        <f t="array" ref="Q437">IFERROR(IF($A437="","",IF(K437="","",_xlfn.XLOOKUP($C437&amp;"_"&amp;$AG437,符文权重!$A:$A&amp;"_"&amp;符文权重!$C:$C,符文权重!$D:$D)*$X437/SUMIFS($X:$X,K:K,K437,$C:$C,$C437,$AG:$AG,$AG437)/SUMIF(符文权重!$A:$A,$C437,符文权重!$D:$D))),"")</f>
        <v/>
      </c>
      <c r="R437" s="26"/>
      <c r="S437" s="26"/>
      <c r="T437" s="26"/>
      <c r="V437" s="31"/>
      <c r="W437" s="25"/>
      <c r="X437" s="25"/>
      <c r="Y437" s="25"/>
      <c r="Z437" s="32" t="s">
        <v>167</v>
      </c>
      <c r="AA437" s="32" t="str">
        <f t="shared" si="199"/>
        <v/>
      </c>
      <c r="AB437" s="32"/>
      <c r="AC437" s="32" t="s">
        <v>166</v>
      </c>
      <c r="AD437" s="32">
        <f t="shared" si="197"/>
        <v>1432</v>
      </c>
      <c r="AE437" s="38" t="str">
        <f t="shared" si="202"/>
        <v/>
      </c>
      <c r="AF437" s="32" t="str">
        <f t="shared" si="203"/>
        <v/>
      </c>
      <c r="AG437" s="26"/>
      <c r="AH437" s="26"/>
      <c r="AI437" s="26"/>
      <c r="AJ437" s="25" t="s">
        <v>167</v>
      </c>
      <c r="AK437" s="24"/>
      <c r="AL437" s="51"/>
      <c r="AM437" s="26"/>
      <c r="AN437" s="25"/>
      <c r="AO437" s="25"/>
      <c r="AP437" s="20">
        <f t="shared" si="198"/>
        <v>432</v>
      </c>
    </row>
    <row r="438" s="23" customFormat="1" customHeight="1" spans="1:42">
      <c r="A438" s="44">
        <v>5505141</v>
      </c>
      <c r="B438" s="44" t="str">
        <f t="shared" si="200"/>
        <v>5505141</v>
      </c>
      <c r="C438" s="45">
        <f t="shared" si="201"/>
        <v>1</v>
      </c>
      <c r="D438" s="45"/>
      <c r="E438" s="46" t="s">
        <v>375</v>
      </c>
      <c r="F438" s="26" t="str">
        <f t="shared" si="196"/>
        <v/>
      </c>
      <c r="G438" s="26" t="str">
        <f>IFERROR(IF(--MID($E438,2*COUNTIF($F438:F438,"&gt;"&amp;0)+2,1)=G$1,G$1,""),"")</f>
        <v/>
      </c>
      <c r="H438" s="26" t="str">
        <f>IFERROR(IF(--MID($E438,2*COUNTIF($F438:G438,"&gt;"&amp;0)+2,1)=H$1,H$1,""),"")</f>
        <v/>
      </c>
      <c r="I438" s="26">
        <f>IFERROR(IF(--MID($E438,2*COUNTIF($F438:H438,"&gt;"&amp;0)+2,1)=I$1,I$1,""),"")</f>
        <v>4</v>
      </c>
      <c r="J438" s="26" t="str">
        <f>IFERROR(IF(--MID($E438,2*COUNTIF($F438:I438,"&gt;"&amp;0)+2,1)=J$1,J$1,""),"")</f>
        <v/>
      </c>
      <c r="K438" s="26" t="str">
        <f>IFERROR(IF(--MID($E438,2*COUNTIF($F438:J438,"&gt;"&amp;0)+2,1)=K$1,K$1,""),"")</f>
        <v/>
      </c>
      <c r="L438" s="39" t="str" cm="1">
        <f t="array" ref="L438">IFERROR(IF($A438="","",IF(F438="","",_xlfn.XLOOKUP($C438&amp;"_"&amp;$AG438,符文权重!$A:$A&amp;"_"&amp;符文权重!$C:$C,符文权重!$D:$D)*$X438/SUMIFS($X:$X,F:F,F438,$C:$C,$C438,$AG:$AG,$AG438)/SUMIF(符文权重!$A:$A,$C438,符文权重!$D:$D))),"")</f>
        <v/>
      </c>
      <c r="M438" s="39" t="str" cm="1">
        <f t="array" ref="M438">IFERROR(IF($A438="","",IF(G438="","",_xlfn.XLOOKUP($C438&amp;"_"&amp;$AG438,符文权重!$A:$A&amp;"_"&amp;符文权重!$C:$C,符文权重!$D:$D)*$X438/SUMIFS($X:$X,G:G,G438,$C:$C,$C438,$AG:$AG,$AG438)/SUMIF(符文权重!$A:$A,$C438,符文权重!$D:$D))),"")</f>
        <v/>
      </c>
      <c r="N438" s="39" t="str" cm="1">
        <f t="array" ref="N438">IFERROR(IF($A438="","",IF(H438="","",_xlfn.XLOOKUP($C438&amp;"_"&amp;$AG438,符文权重!$A:$A&amp;"_"&amp;符文权重!$C:$C,符文权重!$D:$D)*$X438/SUMIFS($X:$X,H:H,H438,$C:$C,$C438,$AG:$AG,$AG438)/SUMIF(符文权重!$A:$A,$C438,符文权重!$D:$D))),"")</f>
        <v/>
      </c>
      <c r="O438" s="39" t="str" cm="1">
        <f t="array" ref="O438">IFERROR(IF($A438="","",IF(I438="","",_xlfn.XLOOKUP($C438&amp;"_"&amp;$AG438,符文权重!$A:$A&amp;"_"&amp;符文权重!$C:$C,符文权重!$D:$D)*$X438/SUMIFS($X:$X,I:I,I438,$C:$C,$C438,$AG:$AG,$AG438)/SUMIF(符文权重!$A:$A,$C438,符文权重!$D:$D))),"")</f>
        <v/>
      </c>
      <c r="P438" s="39" t="str" cm="1">
        <f t="array" ref="P438">IFERROR(IF($A438="","",IF(J438="","",_xlfn.XLOOKUP($C438&amp;"_"&amp;$AG438,符文权重!$A:$A&amp;"_"&amp;符文权重!$C:$C,符文权重!$D:$D)*$X438/SUMIFS($X:$X,J:J,J438,$C:$C,$C438,$AG:$AG,$AG438)/SUMIF(符文权重!$A:$A,$C438,符文权重!$D:$D))),"")</f>
        <v/>
      </c>
      <c r="Q438" s="39" t="str" cm="1">
        <f t="array" ref="Q438">IFERROR(IF($A438="","",IF(K438="","",_xlfn.XLOOKUP($C438&amp;"_"&amp;$AG438,符文权重!$A:$A&amp;"_"&amp;符文权重!$C:$C,符文权重!$D:$D)*$X438/SUMIFS($X:$X,K:K,K438,$C:$C,$C438,$AG:$AG,$AG438)/SUMIF(符文权重!$A:$A,$C438,符文权重!$D:$D))),"")</f>
        <v/>
      </c>
      <c r="R438" s="46" t="s">
        <v>181</v>
      </c>
      <c r="S438" s="46" t="s">
        <v>209</v>
      </c>
      <c r="T438" s="46" t="e">
        <f>IF(B438="","",SUBSTITUTE(SUBSTITUTE("[{global_atk,"&amp;#REF!*C438&amp;"}]",21,20),9,8))</f>
        <v>#REF!</v>
      </c>
      <c r="U438" s="47" t="str">
        <f t="shared" ref="U438:U444" si="216">"["&amp;A438&amp;"]"</f>
        <v>[5505141]</v>
      </c>
      <c r="V438" s="46"/>
      <c r="X438" s="25">
        <v>100</v>
      </c>
      <c r="Z438" s="45" t="s">
        <v>165</v>
      </c>
      <c r="AA438" s="32" t="str">
        <f t="shared" si="199"/>
        <v>毒系职业施加中毒效果时，有60%概率触发[剧毒]，造成当前层数的毒系伤害</v>
      </c>
      <c r="AB438" s="32"/>
      <c r="AC438" s="32" t="s">
        <v>166</v>
      </c>
      <c r="AD438" s="32">
        <f t="shared" si="197"/>
        <v>1433</v>
      </c>
      <c r="AE438" s="44" t="str">
        <f t="shared" si="202"/>
        <v>5505141</v>
      </c>
      <c r="AF438" s="45" t="str">
        <f t="shared" si="203"/>
        <v>[60]</v>
      </c>
      <c r="AG438" s="26">
        <v>100</v>
      </c>
      <c r="AH438" s="46"/>
      <c r="AI438" s="46">
        <v>1</v>
      </c>
      <c r="AJ438" s="25">
        <v>1</v>
      </c>
      <c r="AK438" s="48">
        <v>5505141</v>
      </c>
      <c r="AL438" s="49" t="s">
        <v>501</v>
      </c>
      <c r="AM438" s="46">
        <v>60</v>
      </c>
      <c r="AN438" s="25"/>
      <c r="AO438" s="26" t="s">
        <v>32</v>
      </c>
      <c r="AP438" s="20">
        <f t="shared" si="198"/>
        <v>433</v>
      </c>
    </row>
    <row r="439" s="23" customFormat="1" customHeight="1" spans="1:42">
      <c r="A439" s="44">
        <v>5505142</v>
      </c>
      <c r="B439" s="44" t="str">
        <f t="shared" si="200"/>
        <v>5505141</v>
      </c>
      <c r="C439" s="45">
        <f t="shared" si="201"/>
        <v>2</v>
      </c>
      <c r="D439" s="45"/>
      <c r="E439" s="46" t="s">
        <v>375</v>
      </c>
      <c r="F439" s="26" t="str">
        <f t="shared" si="196"/>
        <v/>
      </c>
      <c r="G439" s="26" t="str">
        <f>IFERROR(IF(--MID($E439,2*COUNTIF($F439:F439,"&gt;"&amp;0)+2,1)=G$1,G$1,""),"")</f>
        <v/>
      </c>
      <c r="H439" s="26" t="str">
        <f>IFERROR(IF(--MID($E439,2*COUNTIF($F439:G439,"&gt;"&amp;0)+2,1)=H$1,H$1,""),"")</f>
        <v/>
      </c>
      <c r="I439" s="26">
        <f>IFERROR(IF(--MID($E439,2*COUNTIF($F439:H439,"&gt;"&amp;0)+2,1)=I$1,I$1,""),"")</f>
        <v>4</v>
      </c>
      <c r="J439" s="26" t="str">
        <f>IFERROR(IF(--MID($E439,2*COUNTIF($F439:I439,"&gt;"&amp;0)+2,1)=J$1,J$1,""),"")</f>
        <v/>
      </c>
      <c r="K439" s="26" t="str">
        <f>IFERROR(IF(--MID($E439,2*COUNTIF($F439:J439,"&gt;"&amp;0)+2,1)=K$1,K$1,""),"")</f>
        <v/>
      </c>
      <c r="L439" s="39" t="str" cm="1">
        <f t="array" ref="L439">IFERROR(IF($A439="","",IF(F439="","",_xlfn.XLOOKUP($C439&amp;"_"&amp;$AG439,符文权重!$A:$A&amp;"_"&amp;符文权重!$C:$C,符文权重!$D:$D)*$X439/SUMIFS($X:$X,F:F,F439,$C:$C,$C439,$AG:$AG,$AG439)/SUMIF(符文权重!$A:$A,$C439,符文权重!$D:$D))),"")</f>
        <v/>
      </c>
      <c r="M439" s="39" t="str" cm="1">
        <f t="array" ref="M439">IFERROR(IF($A439="","",IF(G439="","",_xlfn.XLOOKUP($C439&amp;"_"&amp;$AG439,符文权重!$A:$A&amp;"_"&amp;符文权重!$C:$C,符文权重!$D:$D)*$X439/SUMIFS($X:$X,G:G,G439,$C:$C,$C439,$AG:$AG,$AG439)/SUMIF(符文权重!$A:$A,$C439,符文权重!$D:$D))),"")</f>
        <v/>
      </c>
      <c r="N439" s="39" t="str" cm="1">
        <f t="array" ref="N439">IFERROR(IF($A439="","",IF(H439="","",_xlfn.XLOOKUP($C439&amp;"_"&amp;$AG439,符文权重!$A:$A&amp;"_"&amp;符文权重!$C:$C,符文权重!$D:$D)*$X439/SUMIFS($X:$X,H:H,H439,$C:$C,$C439,$AG:$AG,$AG439)/SUMIF(符文权重!$A:$A,$C439,符文权重!$D:$D))),"")</f>
        <v/>
      </c>
      <c r="O439" s="39" t="str" cm="1">
        <f t="array" ref="O439">IFERROR(IF($A439="","",IF(I439="","",_xlfn.XLOOKUP($C439&amp;"_"&amp;$AG439,符文权重!$A:$A&amp;"_"&amp;符文权重!$C:$C,符文权重!$D:$D)*$X439/SUMIFS($X:$X,I:I,I439,$C:$C,$C439,$AG:$AG,$AG439)/SUMIF(符文权重!$A:$A,$C439,符文权重!$D:$D))),"")</f>
        <v/>
      </c>
      <c r="P439" s="39" t="str" cm="1">
        <f t="array" ref="P439">IFERROR(IF($A439="","",IF(J439="","",_xlfn.XLOOKUP($C439&amp;"_"&amp;$AG439,符文权重!$A:$A&amp;"_"&amp;符文权重!$C:$C,符文权重!$D:$D)*$X439/SUMIFS($X:$X,J:J,J439,$C:$C,$C439,$AG:$AG,$AG439)/SUMIF(符文权重!$A:$A,$C439,符文权重!$D:$D))),"")</f>
        <v/>
      </c>
      <c r="Q439" s="39" t="str" cm="1">
        <f t="array" ref="Q439">IFERROR(IF($A439="","",IF(K439="","",_xlfn.XLOOKUP($C439&amp;"_"&amp;$AG439,符文权重!$A:$A&amp;"_"&amp;符文权重!$C:$C,符文权重!$D:$D)*$X439/SUMIFS($X:$X,K:K,K439,$C:$C,$C439,$AG:$AG,$AG439)/SUMIF(符文权重!$A:$A,$C439,符文权重!$D:$D))),"")</f>
        <v/>
      </c>
      <c r="R439" s="46" t="s">
        <v>181</v>
      </c>
      <c r="S439" s="46" t="s">
        <v>209</v>
      </c>
      <c r="T439" s="46" t="e">
        <f>IF(B439="","",SUBSTITUTE(SUBSTITUTE("[{global_atk,"&amp;#REF!*C439&amp;"}]",21,20),9,8))</f>
        <v>#REF!</v>
      </c>
      <c r="U439" s="47" t="str">
        <f t="shared" si="216"/>
        <v>[5505142]</v>
      </c>
      <c r="V439" s="46"/>
      <c r="X439" s="25">
        <v>100</v>
      </c>
      <c r="Z439" s="45" t="s">
        <v>170</v>
      </c>
      <c r="AA439" s="32" t="str">
        <f t="shared" si="199"/>
        <v>毒系职业施加中毒效果时，有75%概率触发[剧毒]，造成当前层数的毒系伤害</v>
      </c>
      <c r="AB439" s="32"/>
      <c r="AC439" s="32" t="s">
        <v>166</v>
      </c>
      <c r="AD439" s="32">
        <f t="shared" si="197"/>
        <v>1434</v>
      </c>
      <c r="AE439" s="44" t="str">
        <f t="shared" si="202"/>
        <v>5505141</v>
      </c>
      <c r="AF439" s="45" t="str">
        <f t="shared" si="203"/>
        <v>[75]</v>
      </c>
      <c r="AG439" s="26">
        <v>100</v>
      </c>
      <c r="AH439" s="46"/>
      <c r="AI439" s="46">
        <v>1</v>
      </c>
      <c r="AJ439" s="25">
        <v>1</v>
      </c>
      <c r="AK439" s="44">
        <f t="shared" ref="AK439:AK444" si="217">AK438+1</f>
        <v>5505142</v>
      </c>
      <c r="AL439" s="50" t="str">
        <f t="shared" ref="AL439:AL444" si="218">AL438</f>
        <v>毒系职业施加中毒效果时，有&lt;color=#54b76b&gt;%s%&lt;/color&gt;概率触发[剧毒]，造成当前层数的毒系伤害</v>
      </c>
      <c r="AM439" s="46">
        <v>75</v>
      </c>
      <c r="AN439" s="25"/>
      <c r="AO439" s="26" t="s">
        <v>32</v>
      </c>
      <c r="AP439" s="20">
        <f t="shared" si="198"/>
        <v>434</v>
      </c>
    </row>
    <row r="440" s="23" customFormat="1" customHeight="1" spans="1:42">
      <c r="A440" s="44">
        <v>5505143</v>
      </c>
      <c r="B440" s="44" t="str">
        <f t="shared" si="200"/>
        <v>5505141</v>
      </c>
      <c r="C440" s="45">
        <f t="shared" si="201"/>
        <v>3</v>
      </c>
      <c r="D440" s="45"/>
      <c r="E440" s="46" t="s">
        <v>375</v>
      </c>
      <c r="F440" s="26" t="str">
        <f t="shared" si="196"/>
        <v/>
      </c>
      <c r="G440" s="26" t="str">
        <f>IFERROR(IF(--MID($E440,2*COUNTIF($F440:F440,"&gt;"&amp;0)+2,1)=G$1,G$1,""),"")</f>
        <v/>
      </c>
      <c r="H440" s="26" t="str">
        <f>IFERROR(IF(--MID($E440,2*COUNTIF($F440:G440,"&gt;"&amp;0)+2,1)=H$1,H$1,""),"")</f>
        <v/>
      </c>
      <c r="I440" s="26">
        <f>IFERROR(IF(--MID($E440,2*COUNTIF($F440:H440,"&gt;"&amp;0)+2,1)=I$1,I$1,""),"")</f>
        <v>4</v>
      </c>
      <c r="J440" s="26" t="str">
        <f>IFERROR(IF(--MID($E440,2*COUNTIF($F440:I440,"&gt;"&amp;0)+2,1)=J$1,J$1,""),"")</f>
        <v/>
      </c>
      <c r="K440" s="26" t="str">
        <f>IFERROR(IF(--MID($E440,2*COUNTIF($F440:J440,"&gt;"&amp;0)+2,1)=K$1,K$1,""),"")</f>
        <v/>
      </c>
      <c r="L440" s="39" t="str" cm="1">
        <f t="array" ref="L440">IFERROR(IF($A440="","",IF(F440="","",_xlfn.XLOOKUP($C440&amp;"_"&amp;$AG440,符文权重!$A:$A&amp;"_"&amp;符文权重!$C:$C,符文权重!$D:$D)*$X440/SUMIFS($X:$X,F:F,F440,$C:$C,$C440,$AG:$AG,$AG440)/SUMIF(符文权重!$A:$A,$C440,符文权重!$D:$D))),"")</f>
        <v/>
      </c>
      <c r="M440" s="39" t="str" cm="1">
        <f t="array" ref="M440">IFERROR(IF($A440="","",IF(G440="","",_xlfn.XLOOKUP($C440&amp;"_"&amp;$AG440,符文权重!$A:$A&amp;"_"&amp;符文权重!$C:$C,符文权重!$D:$D)*$X440/SUMIFS($X:$X,G:G,G440,$C:$C,$C440,$AG:$AG,$AG440)/SUMIF(符文权重!$A:$A,$C440,符文权重!$D:$D))),"")</f>
        <v/>
      </c>
      <c r="N440" s="39" t="str" cm="1">
        <f t="array" ref="N440">IFERROR(IF($A440="","",IF(H440="","",_xlfn.XLOOKUP($C440&amp;"_"&amp;$AG440,符文权重!$A:$A&amp;"_"&amp;符文权重!$C:$C,符文权重!$D:$D)*$X440/SUMIFS($X:$X,H:H,H440,$C:$C,$C440,$AG:$AG,$AG440)/SUMIF(符文权重!$A:$A,$C440,符文权重!$D:$D))),"")</f>
        <v/>
      </c>
      <c r="O440" s="39" t="str" cm="1">
        <f t="array" ref="O440">IFERROR(IF($A440="","",IF(I440="","",_xlfn.XLOOKUP($C440&amp;"_"&amp;$AG440,符文权重!$A:$A&amp;"_"&amp;符文权重!$C:$C,符文权重!$D:$D)*$X440/SUMIFS($X:$X,I:I,I440,$C:$C,$C440,$AG:$AG,$AG440)/SUMIF(符文权重!$A:$A,$C440,符文权重!$D:$D))),"")</f>
        <v/>
      </c>
      <c r="P440" s="39" t="str" cm="1">
        <f t="array" ref="P440">IFERROR(IF($A440="","",IF(J440="","",_xlfn.XLOOKUP($C440&amp;"_"&amp;$AG440,符文权重!$A:$A&amp;"_"&amp;符文权重!$C:$C,符文权重!$D:$D)*$X440/SUMIFS($X:$X,J:J,J440,$C:$C,$C440,$AG:$AG,$AG440)/SUMIF(符文权重!$A:$A,$C440,符文权重!$D:$D))),"")</f>
        <v/>
      </c>
      <c r="Q440" s="39" t="str" cm="1">
        <f t="array" ref="Q440">IFERROR(IF($A440="","",IF(K440="","",_xlfn.XLOOKUP($C440&amp;"_"&amp;$AG440,符文权重!$A:$A&amp;"_"&amp;符文权重!$C:$C,符文权重!$D:$D)*$X440/SUMIFS($X:$X,K:K,K440,$C:$C,$C440,$AG:$AG,$AG440)/SUMIF(符文权重!$A:$A,$C440,符文权重!$D:$D))),"")</f>
        <v/>
      </c>
      <c r="R440" s="46" t="s">
        <v>181</v>
      </c>
      <c r="S440" s="46" t="s">
        <v>209</v>
      </c>
      <c r="T440" s="46" t="e">
        <f>IF(B440="","",SUBSTITUTE(SUBSTITUTE("[{global_atk,"&amp;#REF!*C440&amp;"}]",21,20),9,8))</f>
        <v>#REF!</v>
      </c>
      <c r="U440" s="47" t="str">
        <f t="shared" si="216"/>
        <v>[5505143]</v>
      </c>
      <c r="V440" s="46"/>
      <c r="X440" s="26">
        <v>100</v>
      </c>
      <c r="Z440" s="45" t="s">
        <v>172</v>
      </c>
      <c r="AA440" s="32" t="str">
        <f t="shared" si="199"/>
        <v>毒系职业施加中毒效果时，有75%概率触发[剧毒]，造成当前层数的毒系伤害</v>
      </c>
      <c r="AB440" s="32"/>
      <c r="AC440" s="32" t="s">
        <v>166</v>
      </c>
      <c r="AD440" s="32">
        <f t="shared" si="197"/>
        <v>1435</v>
      </c>
      <c r="AE440" s="44" t="str">
        <f t="shared" si="202"/>
        <v>5505141</v>
      </c>
      <c r="AF440" s="45" t="str">
        <f t="shared" si="203"/>
        <v>[75]</v>
      </c>
      <c r="AG440" s="26">
        <v>100</v>
      </c>
      <c r="AH440" s="46"/>
      <c r="AI440" s="46">
        <v>1</v>
      </c>
      <c r="AJ440" s="25">
        <v>1</v>
      </c>
      <c r="AK440" s="44">
        <f t="shared" si="217"/>
        <v>5505143</v>
      </c>
      <c r="AL440" s="50" t="str">
        <f t="shared" si="218"/>
        <v>毒系职业施加中毒效果时，有&lt;color=#54b76b&gt;%s%&lt;/color&gt;概率触发[剧毒]，造成当前层数的毒系伤害</v>
      </c>
      <c r="AM440" s="46">
        <v>75</v>
      </c>
      <c r="AN440" s="26"/>
      <c r="AO440" s="26" t="s">
        <v>32</v>
      </c>
      <c r="AP440" s="20">
        <f t="shared" si="198"/>
        <v>435</v>
      </c>
    </row>
    <row r="441" customHeight="1" spans="1:42">
      <c r="A441" s="38">
        <v>5505144</v>
      </c>
      <c r="B441" s="38" t="str">
        <f t="shared" si="200"/>
        <v>5505141</v>
      </c>
      <c r="C441" s="32">
        <f t="shared" si="201"/>
        <v>4</v>
      </c>
      <c r="D441" s="32"/>
      <c r="E441" s="26" t="s">
        <v>375</v>
      </c>
      <c r="F441" s="26" t="str">
        <f t="shared" si="196"/>
        <v/>
      </c>
      <c r="G441" s="26" t="str">
        <f>IFERROR(IF(--MID($E441,2*COUNTIF($F441:F441,"&gt;"&amp;0)+2,1)=G$1,G$1,""),"")</f>
        <v/>
      </c>
      <c r="H441" s="26" t="str">
        <f>IFERROR(IF(--MID($E441,2*COUNTIF($F441:G441,"&gt;"&amp;0)+2,1)=H$1,H$1,""),"")</f>
        <v/>
      </c>
      <c r="I441" s="26">
        <f>IFERROR(IF(--MID($E441,2*COUNTIF($F441:H441,"&gt;"&amp;0)+2,1)=I$1,I$1,""),"")</f>
        <v>4</v>
      </c>
      <c r="J441" s="26" t="str">
        <f>IFERROR(IF(--MID($E441,2*COUNTIF($F441:I441,"&gt;"&amp;0)+2,1)=J$1,J$1,""),"")</f>
        <v/>
      </c>
      <c r="K441" s="26" t="str">
        <f>IFERROR(IF(--MID($E441,2*COUNTIF($F441:J441,"&gt;"&amp;0)+2,1)=K$1,K$1,""),"")</f>
        <v/>
      </c>
      <c r="L441" s="39" t="str" cm="1">
        <f t="array" ref="L441">IFERROR(IF($A441="","",IF(F441="","",_xlfn.XLOOKUP($C441&amp;"_"&amp;$AG441,符文权重!$A:$A&amp;"_"&amp;符文权重!$C:$C,符文权重!$D:$D)*$X441/SUMIFS($X:$X,F:F,F441,$C:$C,$C441,$AG:$AG,$AG441)/SUMIF(符文权重!$A:$A,$C441,符文权重!$D:$D))),"")</f>
        <v/>
      </c>
      <c r="M441" s="39" t="str" cm="1">
        <f t="array" ref="M441">IFERROR(IF($A441="","",IF(G441="","",_xlfn.XLOOKUP($C441&amp;"_"&amp;$AG441,符文权重!$A:$A&amp;"_"&amp;符文权重!$C:$C,符文权重!$D:$D)*$X441/SUMIFS($X:$X,G:G,G441,$C:$C,$C441,$AG:$AG,$AG441)/SUMIF(符文权重!$A:$A,$C441,符文权重!$D:$D))),"")</f>
        <v/>
      </c>
      <c r="N441" s="39" t="str" cm="1">
        <f t="array" ref="N441">IFERROR(IF($A441="","",IF(H441="","",_xlfn.XLOOKUP($C441&amp;"_"&amp;$AG441,符文权重!$A:$A&amp;"_"&amp;符文权重!$C:$C,符文权重!$D:$D)*$X441/SUMIFS($X:$X,H:H,H441,$C:$C,$C441,$AG:$AG,$AG441)/SUMIF(符文权重!$A:$A,$C441,符文权重!$D:$D))),"")</f>
        <v/>
      </c>
      <c r="O441" s="39" t="str" cm="1">
        <f t="array" ref="O441">IFERROR(IF($A441="","",IF(I441="","",_xlfn.XLOOKUP($C441&amp;"_"&amp;$AG441,符文权重!$A:$A&amp;"_"&amp;符文权重!$C:$C,符文权重!$D:$D)*$X441/SUMIFS($X:$X,I:I,I441,$C:$C,$C441,$AG:$AG,$AG441)/SUMIF(符文权重!$A:$A,$C441,符文权重!$D:$D))),"")</f>
        <v/>
      </c>
      <c r="P441" s="39" t="str" cm="1">
        <f t="array" ref="P441">IFERROR(IF($A441="","",IF(J441="","",_xlfn.XLOOKUP($C441&amp;"_"&amp;$AG441,符文权重!$A:$A&amp;"_"&amp;符文权重!$C:$C,符文权重!$D:$D)*$X441/SUMIFS($X:$X,J:J,J441,$C:$C,$C441,$AG:$AG,$AG441)/SUMIF(符文权重!$A:$A,$C441,符文权重!$D:$D))),"")</f>
        <v/>
      </c>
      <c r="Q441" s="39" t="str" cm="1">
        <f t="array" ref="Q441">IFERROR(IF($A441="","",IF(K441="","",_xlfn.XLOOKUP($C441&amp;"_"&amp;$AG441,符文权重!$A:$A&amp;"_"&amp;符文权重!$C:$C,符文权重!$D:$D)*$X441/SUMIFS($X:$X,K:K,K441,$C:$C,$C441,$AG:$AG,$AG441)/SUMIF(符文权重!$A:$A,$C441,符文权重!$D:$D))),"")</f>
        <v/>
      </c>
      <c r="R441" s="26" t="s">
        <v>181</v>
      </c>
      <c r="S441" s="26" t="s">
        <v>209</v>
      </c>
      <c r="T441" s="26" t="e">
        <f>IF(B441="","",SUBSTITUTE(SUBSTITUTE("[{global_atk,"&amp;#REF!*C441&amp;"}]",21,20),9,8))</f>
        <v>#REF!</v>
      </c>
      <c r="U441" s="40" t="str">
        <f t="shared" si="216"/>
        <v>[5505144]</v>
      </c>
      <c r="X441" s="25">
        <v>4</v>
      </c>
      <c r="Z441" s="32" t="s">
        <v>174</v>
      </c>
      <c r="AA441" s="32" t="str">
        <f t="shared" si="199"/>
        <v>毒系职业施加中毒效果时，有4%概率触发[剧毒]，造成当前层数的毒系伤害</v>
      </c>
      <c r="AB441" s="32"/>
      <c r="AC441" s="32" t="s">
        <v>166</v>
      </c>
      <c r="AD441" s="32">
        <f t="shared" si="197"/>
        <v>1436</v>
      </c>
      <c r="AE441" s="38" t="str">
        <f t="shared" si="202"/>
        <v>5505141</v>
      </c>
      <c r="AF441" s="32" t="str">
        <f t="shared" si="203"/>
        <v>[4]</v>
      </c>
      <c r="AG441" s="26">
        <v>105</v>
      </c>
      <c r="AH441" s="26"/>
      <c r="AI441" s="26">
        <v>0</v>
      </c>
      <c r="AJ441" s="25">
        <v>1</v>
      </c>
      <c r="AK441" s="38">
        <f t="shared" si="217"/>
        <v>5505144</v>
      </c>
      <c r="AL441" s="41" t="str">
        <f t="shared" si="218"/>
        <v>毒系职业施加中毒效果时，有&lt;color=#54b76b&gt;%s%&lt;/color&gt;概率触发[剧毒]，造成当前层数的毒系伤害</v>
      </c>
      <c r="AM441" s="26">
        <v>4</v>
      </c>
      <c r="AN441" s="25">
        <v>5</v>
      </c>
      <c r="AO441" s="26" t="s">
        <v>32</v>
      </c>
      <c r="AP441" s="20">
        <f t="shared" si="198"/>
        <v>436</v>
      </c>
    </row>
    <row r="442" customHeight="1" spans="1:42">
      <c r="A442" s="38">
        <v>5505145</v>
      </c>
      <c r="B442" s="38" t="str">
        <f t="shared" si="200"/>
        <v>5505141</v>
      </c>
      <c r="C442" s="32">
        <f t="shared" si="201"/>
        <v>5</v>
      </c>
      <c r="D442" s="32"/>
      <c r="E442" s="26" t="s">
        <v>375</v>
      </c>
      <c r="F442" s="26" t="str">
        <f t="shared" si="196"/>
        <v/>
      </c>
      <c r="G442" s="26" t="str">
        <f>IFERROR(IF(--MID($E442,2*COUNTIF($F442:F442,"&gt;"&amp;0)+2,1)=G$1,G$1,""),"")</f>
        <v/>
      </c>
      <c r="H442" s="26" t="str">
        <f>IFERROR(IF(--MID($E442,2*COUNTIF($F442:G442,"&gt;"&amp;0)+2,1)=H$1,H$1,""),"")</f>
        <v/>
      </c>
      <c r="I442" s="26">
        <f>IFERROR(IF(--MID($E442,2*COUNTIF($F442:H442,"&gt;"&amp;0)+2,1)=I$1,I$1,""),"")</f>
        <v>4</v>
      </c>
      <c r="J442" s="26" t="str">
        <f>IFERROR(IF(--MID($E442,2*COUNTIF($F442:I442,"&gt;"&amp;0)+2,1)=J$1,J$1,""),"")</f>
        <v/>
      </c>
      <c r="K442" s="26" t="str">
        <f>IFERROR(IF(--MID($E442,2*COUNTIF($F442:J442,"&gt;"&amp;0)+2,1)=K$1,K$1,""),"")</f>
        <v/>
      </c>
      <c r="L442" s="39" t="str" cm="1">
        <f t="array" ref="L442">IFERROR(IF($A442="","",IF(F442="","",_xlfn.XLOOKUP($C442&amp;"_"&amp;$AG442,符文权重!$A:$A&amp;"_"&amp;符文权重!$C:$C,符文权重!$D:$D)*$X442/SUMIFS($X:$X,F:F,F442,$C:$C,$C442,$AG:$AG,$AG442)/SUMIF(符文权重!$A:$A,$C442,符文权重!$D:$D))),"")</f>
        <v/>
      </c>
      <c r="M442" s="39" t="str" cm="1">
        <f t="array" ref="M442">IFERROR(IF($A442="","",IF(G442="","",_xlfn.XLOOKUP($C442&amp;"_"&amp;$AG442,符文权重!$A:$A&amp;"_"&amp;符文权重!$C:$C,符文权重!$D:$D)*$X442/SUMIFS($X:$X,G:G,G442,$C:$C,$C442,$AG:$AG,$AG442)/SUMIF(符文权重!$A:$A,$C442,符文权重!$D:$D))),"")</f>
        <v/>
      </c>
      <c r="N442" s="39" t="str" cm="1">
        <f t="array" ref="N442">IFERROR(IF($A442="","",IF(H442="","",_xlfn.XLOOKUP($C442&amp;"_"&amp;$AG442,符文权重!$A:$A&amp;"_"&amp;符文权重!$C:$C,符文权重!$D:$D)*$X442/SUMIFS($X:$X,H:H,H442,$C:$C,$C442,$AG:$AG,$AG442)/SUMIF(符文权重!$A:$A,$C442,符文权重!$D:$D))),"")</f>
        <v/>
      </c>
      <c r="O442" s="39" cm="1">
        <f t="array" ref="O442">IFERROR(IF($A442="","",IF(I442="","",_xlfn.XLOOKUP($C442&amp;"_"&amp;$AG442,符文权重!$A:$A&amp;"_"&amp;符文权重!$C:$C,符文权重!$D:$D)*$X442/SUMIFS($X:$X,I:I,I442,$C:$C,$C442,$AG:$AG,$AG442)/SUMIF(符文权重!$A:$A,$C442,符文权重!$D:$D))),"")</f>
        <v>0.0075</v>
      </c>
      <c r="P442" s="39" t="str" cm="1">
        <f t="array" ref="P442">IFERROR(IF($A442="","",IF(J442="","",_xlfn.XLOOKUP($C442&amp;"_"&amp;$AG442,符文权重!$A:$A&amp;"_"&amp;符文权重!$C:$C,符文权重!$D:$D)*$X442/SUMIFS($X:$X,J:J,J442,$C:$C,$C442,$AG:$AG,$AG442)/SUMIF(符文权重!$A:$A,$C442,符文权重!$D:$D))),"")</f>
        <v/>
      </c>
      <c r="Q442" s="39" t="str" cm="1">
        <f t="array" ref="Q442">IFERROR(IF($A442="","",IF(K442="","",_xlfn.XLOOKUP($C442&amp;"_"&amp;$AG442,符文权重!$A:$A&amp;"_"&amp;符文权重!$C:$C,符文权重!$D:$D)*$X442/SUMIFS($X:$X,K:K,K442,$C:$C,$C442,$AG:$AG,$AG442)/SUMIF(符文权重!$A:$A,$C442,符文权重!$D:$D))),"")</f>
        <v/>
      </c>
      <c r="R442" s="26" t="s">
        <v>181</v>
      </c>
      <c r="S442" s="26" t="s">
        <v>209</v>
      </c>
      <c r="T442" s="26" t="e">
        <f>IF(B442="","",SUBSTITUTE(SUBSTITUTE("[{global_atk,"&amp;#REF!*C442&amp;"}]",21,20),9,8))</f>
        <v>#REF!</v>
      </c>
      <c r="U442" s="40" t="str">
        <f t="shared" si="216"/>
        <v>[5505145]</v>
      </c>
      <c r="X442" s="25">
        <v>100</v>
      </c>
      <c r="Z442" s="32" t="s">
        <v>176</v>
      </c>
      <c r="AA442" s="32" t="str">
        <f t="shared" si="199"/>
        <v>毒系职业施加中毒效果时，有8%概率触发[剧毒]，造成当前层数的毒系伤害</v>
      </c>
      <c r="AB442" s="32"/>
      <c r="AC442" s="32" t="s">
        <v>166</v>
      </c>
      <c r="AD442" s="32">
        <f t="shared" si="197"/>
        <v>1437</v>
      </c>
      <c r="AE442" s="38" t="str">
        <f t="shared" si="202"/>
        <v>5505141</v>
      </c>
      <c r="AF442" s="32" t="str">
        <f t="shared" si="203"/>
        <v>[8]</v>
      </c>
      <c r="AG442" s="26">
        <v>5</v>
      </c>
      <c r="AH442" s="26"/>
      <c r="AI442" s="26">
        <v>0</v>
      </c>
      <c r="AJ442" s="25">
        <v>1</v>
      </c>
      <c r="AK442" s="38">
        <f t="shared" si="217"/>
        <v>5505145</v>
      </c>
      <c r="AL442" s="41" t="str">
        <f t="shared" si="218"/>
        <v>毒系职业施加中毒效果时，有&lt;color=#54b76b&gt;%s%&lt;/color&gt;概率触发[剧毒]，造成当前层数的毒系伤害</v>
      </c>
      <c r="AM442" s="26">
        <v>8</v>
      </c>
      <c r="AN442" s="25">
        <v>5</v>
      </c>
      <c r="AO442" s="26" t="s">
        <v>32</v>
      </c>
      <c r="AP442" s="20">
        <f t="shared" si="198"/>
        <v>437</v>
      </c>
    </row>
    <row r="443" customHeight="1" spans="1:42">
      <c r="A443" s="38">
        <v>5505146</v>
      </c>
      <c r="B443" s="38" t="str">
        <f t="shared" si="200"/>
        <v>5505141</v>
      </c>
      <c r="C443" s="32">
        <f t="shared" si="201"/>
        <v>6</v>
      </c>
      <c r="D443" s="32"/>
      <c r="E443" s="26" t="s">
        <v>375</v>
      </c>
      <c r="F443" s="26" t="str">
        <f t="shared" si="196"/>
        <v/>
      </c>
      <c r="G443" s="26" t="str">
        <f>IFERROR(IF(--MID($E443,2*COUNTIF($F443:F443,"&gt;"&amp;0)+2,1)=G$1,G$1,""),"")</f>
        <v/>
      </c>
      <c r="H443" s="26" t="str">
        <f>IFERROR(IF(--MID($E443,2*COUNTIF($F443:G443,"&gt;"&amp;0)+2,1)=H$1,H$1,""),"")</f>
        <v/>
      </c>
      <c r="I443" s="26">
        <f>IFERROR(IF(--MID($E443,2*COUNTIF($F443:H443,"&gt;"&amp;0)+2,1)=I$1,I$1,""),"")</f>
        <v>4</v>
      </c>
      <c r="J443" s="26" t="str">
        <f>IFERROR(IF(--MID($E443,2*COUNTIF($F443:I443,"&gt;"&amp;0)+2,1)=J$1,J$1,""),"")</f>
        <v/>
      </c>
      <c r="K443" s="26" t="str">
        <f>IFERROR(IF(--MID($E443,2*COUNTIF($F443:J443,"&gt;"&amp;0)+2,1)=K$1,K$1,""),"")</f>
        <v/>
      </c>
      <c r="L443" s="39" t="str" cm="1">
        <f t="array" ref="L443">IFERROR(IF($A443="","",IF(F443="","",_xlfn.XLOOKUP($C443&amp;"_"&amp;$AG443,符文权重!$A:$A&amp;"_"&amp;符文权重!$C:$C,符文权重!$D:$D)*$X443/SUMIFS($X:$X,F:F,F443,$C:$C,$C443,$AG:$AG,$AG443)/SUMIF(符文权重!$A:$A,$C443,符文权重!$D:$D))),"")</f>
        <v/>
      </c>
      <c r="M443" s="39" t="str" cm="1">
        <f t="array" ref="M443">IFERROR(IF($A443="","",IF(G443="","",_xlfn.XLOOKUP($C443&amp;"_"&amp;$AG443,符文权重!$A:$A&amp;"_"&amp;符文权重!$C:$C,符文权重!$D:$D)*$X443/SUMIFS($X:$X,G:G,G443,$C:$C,$C443,$AG:$AG,$AG443)/SUMIF(符文权重!$A:$A,$C443,符文权重!$D:$D))),"")</f>
        <v/>
      </c>
      <c r="N443" s="39" t="str" cm="1">
        <f t="array" ref="N443">IFERROR(IF($A443="","",IF(H443="","",_xlfn.XLOOKUP($C443&amp;"_"&amp;$AG443,符文权重!$A:$A&amp;"_"&amp;符文权重!$C:$C,符文权重!$D:$D)*$X443/SUMIFS($X:$X,H:H,H443,$C:$C,$C443,$AG:$AG,$AG443)/SUMIF(符文权重!$A:$A,$C443,符文权重!$D:$D))),"")</f>
        <v/>
      </c>
      <c r="O443" s="39" cm="1">
        <f t="array" ref="O443">IFERROR(IF($A443="","",IF(I443="","",_xlfn.XLOOKUP($C443&amp;"_"&amp;$AG443,符文权重!$A:$A&amp;"_"&amp;符文权重!$C:$C,符文权重!$D:$D)*$X443/SUMIFS($X:$X,I:I,I443,$C:$C,$C443,$AG:$AG,$AG443)/SUMIF(符文权重!$A:$A,$C443,符文权重!$D:$D))),"")</f>
        <v>0.0075</v>
      </c>
      <c r="P443" s="39" t="str" cm="1">
        <f t="array" ref="P443">IFERROR(IF($A443="","",IF(J443="","",_xlfn.XLOOKUP($C443&amp;"_"&amp;$AG443,符文权重!$A:$A&amp;"_"&amp;符文权重!$C:$C,符文权重!$D:$D)*$X443/SUMIFS($X:$X,J:J,J443,$C:$C,$C443,$AG:$AG,$AG443)/SUMIF(符文权重!$A:$A,$C443,符文权重!$D:$D))),"")</f>
        <v/>
      </c>
      <c r="Q443" s="39" t="str" cm="1">
        <f t="array" ref="Q443">IFERROR(IF($A443="","",IF(K443="","",_xlfn.XLOOKUP($C443&amp;"_"&amp;$AG443,符文权重!$A:$A&amp;"_"&amp;符文权重!$C:$C,符文权重!$D:$D)*$X443/SUMIFS($X:$X,K:K,K443,$C:$C,$C443,$AG:$AG,$AG443)/SUMIF(符文权重!$A:$A,$C443,符文权重!$D:$D))),"")</f>
        <v/>
      </c>
      <c r="R443" s="26" t="s">
        <v>181</v>
      </c>
      <c r="S443" s="26" t="s">
        <v>209</v>
      </c>
      <c r="T443" s="26" t="e">
        <f>IF(B443="","",SUBSTITUTE(SUBSTITUTE("[{global_atk,"&amp;#REF!*C443&amp;"}]",21,20),9,8))</f>
        <v>#REF!</v>
      </c>
      <c r="U443" s="40" t="str">
        <f t="shared" si="216"/>
        <v>[5505146]</v>
      </c>
      <c r="X443" s="25">
        <v>100</v>
      </c>
      <c r="Z443" s="32" t="s">
        <v>178</v>
      </c>
      <c r="AA443" s="32" t="str">
        <f t="shared" si="199"/>
        <v>毒系职业施加中毒效果时，有11%概率触发[剧毒]，造成当前层数的毒系伤害</v>
      </c>
      <c r="AB443" s="32"/>
      <c r="AC443" s="32" t="s">
        <v>166</v>
      </c>
      <c r="AD443" s="32">
        <f t="shared" si="197"/>
        <v>1438</v>
      </c>
      <c r="AE443" s="38" t="str">
        <f t="shared" si="202"/>
        <v>5505141</v>
      </c>
      <c r="AF443" s="32" t="str">
        <f t="shared" si="203"/>
        <v>[11]</v>
      </c>
      <c r="AG443" s="26">
        <v>5</v>
      </c>
      <c r="AH443" s="26"/>
      <c r="AI443" s="26">
        <v>0</v>
      </c>
      <c r="AJ443" s="25">
        <v>1</v>
      </c>
      <c r="AK443" s="38">
        <f t="shared" si="217"/>
        <v>5505146</v>
      </c>
      <c r="AL443" s="41" t="str">
        <f t="shared" si="218"/>
        <v>毒系职业施加中毒效果时，有&lt;color=#54b76b&gt;%s%&lt;/color&gt;概率触发[剧毒]，造成当前层数的毒系伤害</v>
      </c>
      <c r="AM443" s="26">
        <v>11</v>
      </c>
      <c r="AN443" s="25">
        <v>5</v>
      </c>
      <c r="AO443" s="26" t="s">
        <v>32</v>
      </c>
      <c r="AP443" s="20">
        <f t="shared" si="198"/>
        <v>438</v>
      </c>
    </row>
    <row r="444" customHeight="1" spans="1:42">
      <c r="A444" s="38">
        <v>5505147</v>
      </c>
      <c r="B444" s="38" t="str">
        <f t="shared" si="200"/>
        <v>5505141</v>
      </c>
      <c r="C444" s="32">
        <f t="shared" si="201"/>
        <v>7</v>
      </c>
      <c r="D444" s="32"/>
      <c r="E444" s="26" t="s">
        <v>375</v>
      </c>
      <c r="F444" s="26" t="str">
        <f t="shared" si="196"/>
        <v/>
      </c>
      <c r="G444" s="26" t="str">
        <f>IFERROR(IF(--MID($E444,2*COUNTIF($F444:F444,"&gt;"&amp;0)+2,1)=G$1,G$1,""),"")</f>
        <v/>
      </c>
      <c r="H444" s="26" t="str">
        <f>IFERROR(IF(--MID($E444,2*COUNTIF($F444:G444,"&gt;"&amp;0)+2,1)=H$1,H$1,""),"")</f>
        <v/>
      </c>
      <c r="I444" s="26">
        <f>IFERROR(IF(--MID($E444,2*COUNTIF($F444:H444,"&gt;"&amp;0)+2,1)=I$1,I$1,""),"")</f>
        <v>4</v>
      </c>
      <c r="J444" s="26" t="str">
        <f>IFERROR(IF(--MID($E444,2*COUNTIF($F444:I444,"&gt;"&amp;0)+2,1)=J$1,J$1,""),"")</f>
        <v/>
      </c>
      <c r="K444" s="26" t="str">
        <f>IFERROR(IF(--MID($E444,2*COUNTIF($F444:J444,"&gt;"&amp;0)+2,1)=K$1,K$1,""),"")</f>
        <v/>
      </c>
      <c r="L444" s="39" t="str" cm="1">
        <f t="array" ref="L444">IFERROR(IF($A444="","",IF(F444="","",_xlfn.XLOOKUP($C444&amp;"_"&amp;$AG444,符文权重!$A:$A&amp;"_"&amp;符文权重!$C:$C,符文权重!$D:$D)*$X444/SUMIFS($X:$X,F:F,F444,$C:$C,$C444,$AG:$AG,$AG444)/SUMIF(符文权重!$A:$A,$C444,符文权重!$D:$D))),"")</f>
        <v/>
      </c>
      <c r="M444" s="39" t="str" cm="1">
        <f t="array" ref="M444">IFERROR(IF($A444="","",IF(G444="","",_xlfn.XLOOKUP($C444&amp;"_"&amp;$AG444,符文权重!$A:$A&amp;"_"&amp;符文权重!$C:$C,符文权重!$D:$D)*$X444/SUMIFS($X:$X,G:G,G444,$C:$C,$C444,$AG:$AG,$AG444)/SUMIF(符文权重!$A:$A,$C444,符文权重!$D:$D))),"")</f>
        <v/>
      </c>
      <c r="N444" s="39" t="str" cm="1">
        <f t="array" ref="N444">IFERROR(IF($A444="","",IF(H444="","",_xlfn.XLOOKUP($C444&amp;"_"&amp;$AG444,符文权重!$A:$A&amp;"_"&amp;符文权重!$C:$C,符文权重!$D:$D)*$X444/SUMIFS($X:$X,H:H,H444,$C:$C,$C444,$AG:$AG,$AG444)/SUMIF(符文权重!$A:$A,$C444,符文权重!$D:$D))),"")</f>
        <v/>
      </c>
      <c r="O444" s="39" cm="1">
        <f t="array" ref="O444">IFERROR(IF($A444="","",IF(I444="","",_xlfn.XLOOKUP($C444&amp;"_"&amp;$AG444,符文权重!$A:$A&amp;"_"&amp;符文权重!$C:$C,符文权重!$D:$D)*$X444/SUMIFS($X:$X,I:I,I444,$C:$C,$C444,$AG:$AG,$AG444)/SUMIF(符文权重!$A:$A,$C444,符文权重!$D:$D))),"")</f>
        <v>0.0075</v>
      </c>
      <c r="P444" s="39" t="str" cm="1">
        <f t="array" ref="P444">IFERROR(IF($A444="","",IF(J444="","",_xlfn.XLOOKUP($C444&amp;"_"&amp;$AG444,符文权重!$A:$A&amp;"_"&amp;符文权重!$C:$C,符文权重!$D:$D)*$X444/SUMIFS($X:$X,J:J,J444,$C:$C,$C444,$AG:$AG,$AG444)/SUMIF(符文权重!$A:$A,$C444,符文权重!$D:$D))),"")</f>
        <v/>
      </c>
      <c r="Q444" s="39" t="str" cm="1">
        <f t="array" ref="Q444">IFERROR(IF($A444="","",IF(K444="","",_xlfn.XLOOKUP($C444&amp;"_"&amp;$AG444,符文权重!$A:$A&amp;"_"&amp;符文权重!$C:$C,符文权重!$D:$D)*$X444/SUMIFS($X:$X,K:K,K444,$C:$C,$C444,$AG:$AG,$AG444)/SUMIF(符文权重!$A:$A,$C444,符文权重!$D:$D))),"")</f>
        <v/>
      </c>
      <c r="R444" s="26" t="s">
        <v>181</v>
      </c>
      <c r="S444" s="26" t="s">
        <v>209</v>
      </c>
      <c r="T444" s="26" t="e">
        <f>IF(B444="","",SUBSTITUTE(SUBSTITUTE("[{global_atk,"&amp;#REF!*C444&amp;"}]",21,20),9,8))</f>
        <v>#REF!</v>
      </c>
      <c r="U444" s="40" t="str">
        <f t="shared" si="216"/>
        <v>[5505147]</v>
      </c>
      <c r="X444" s="26">
        <v>100</v>
      </c>
      <c r="Z444" s="32" t="s">
        <v>180</v>
      </c>
      <c r="AA444" s="32" t="str">
        <f t="shared" si="199"/>
        <v>毒系职业施加中毒效果时，有14%概率触发[剧毒]，造成当前层数的毒系伤害</v>
      </c>
      <c r="AB444" s="32"/>
      <c r="AC444" s="32" t="s">
        <v>166</v>
      </c>
      <c r="AD444" s="32">
        <f t="shared" si="197"/>
        <v>1439</v>
      </c>
      <c r="AE444" s="38" t="str">
        <f t="shared" si="202"/>
        <v>5505141</v>
      </c>
      <c r="AF444" s="32" t="str">
        <f t="shared" si="203"/>
        <v>[14]</v>
      </c>
      <c r="AG444" s="26">
        <v>5</v>
      </c>
      <c r="AH444" s="26"/>
      <c r="AI444" s="26">
        <v>0</v>
      </c>
      <c r="AJ444" s="25">
        <v>1</v>
      </c>
      <c r="AK444" s="38">
        <f t="shared" si="217"/>
        <v>5505147</v>
      </c>
      <c r="AL444" s="41" t="str">
        <f t="shared" si="218"/>
        <v>毒系职业施加中毒效果时，有&lt;color=#54b76b&gt;%s%&lt;/color&gt;概率触发[剧毒]，造成当前层数的毒系伤害</v>
      </c>
      <c r="AM444" s="26">
        <v>14</v>
      </c>
      <c r="AN444" s="26">
        <v>5</v>
      </c>
      <c r="AO444" s="26" t="s">
        <v>32</v>
      </c>
      <c r="AP444" s="20">
        <f t="shared" si="198"/>
        <v>439</v>
      </c>
    </row>
    <row r="445" customHeight="1" spans="1:42">
      <c r="A445" s="38" t="s">
        <v>167</v>
      </c>
      <c r="B445" s="38" t="str">
        <f t="shared" si="200"/>
        <v/>
      </c>
      <c r="C445" s="32" t="str">
        <f t="shared" si="201"/>
        <v/>
      </c>
      <c r="D445" s="32"/>
      <c r="E445" s="26"/>
      <c r="F445" s="26" t="str">
        <f t="shared" si="196"/>
        <v/>
      </c>
      <c r="G445" s="26" t="str">
        <f>IFERROR(IF(--MID($E445,2*COUNTIF($F445:F445,"&gt;"&amp;0)+2,1)=G$1,G$1,""),"")</f>
        <v/>
      </c>
      <c r="H445" s="26" t="str">
        <f>IFERROR(IF(--MID($E445,2*COUNTIF($F445:G445,"&gt;"&amp;0)+2,1)=H$1,H$1,""),"")</f>
        <v/>
      </c>
      <c r="I445" s="26" t="str">
        <f>IFERROR(IF(--MID($E445,2*COUNTIF($F445:H445,"&gt;"&amp;0)+2,1)=I$1,I$1,""),"")</f>
        <v/>
      </c>
      <c r="J445" s="26" t="str">
        <f>IFERROR(IF(--MID($E445,2*COUNTIF($F445:I445,"&gt;"&amp;0)+2,1)=J$1,J$1,""),"")</f>
        <v/>
      </c>
      <c r="K445" s="26" t="str">
        <f>IFERROR(IF(--MID($E445,2*COUNTIF($F445:J445,"&gt;"&amp;0)+2,1)=K$1,K$1,""),"")</f>
        <v/>
      </c>
      <c r="L445" s="39" t="str" cm="1">
        <f t="array" ref="L445">IFERROR(IF($A445="","",IF(F445="","",_xlfn.XLOOKUP($C445&amp;"_"&amp;$AG445,符文权重!$A:$A&amp;"_"&amp;符文权重!$C:$C,符文权重!$D:$D)*$X445/SUMIFS($X:$X,F:F,F445,$C:$C,$C445,$AG:$AG,$AG445)/SUMIF(符文权重!$A:$A,$C445,符文权重!$D:$D))),"")</f>
        <v/>
      </c>
      <c r="M445" s="39" t="str" cm="1">
        <f t="array" ref="M445">IFERROR(IF($A445="","",IF(G445="","",_xlfn.XLOOKUP($C445&amp;"_"&amp;$AG445,符文权重!$A:$A&amp;"_"&amp;符文权重!$C:$C,符文权重!$D:$D)*$X445/SUMIFS($X:$X,G:G,G445,$C:$C,$C445,$AG:$AG,$AG445)/SUMIF(符文权重!$A:$A,$C445,符文权重!$D:$D))),"")</f>
        <v/>
      </c>
      <c r="N445" s="39" t="str" cm="1">
        <f t="array" ref="N445">IFERROR(IF($A445="","",IF(H445="","",_xlfn.XLOOKUP($C445&amp;"_"&amp;$AG445,符文权重!$A:$A&amp;"_"&amp;符文权重!$C:$C,符文权重!$D:$D)*$X445/SUMIFS($X:$X,H:H,H445,$C:$C,$C445,$AG:$AG,$AG445)/SUMIF(符文权重!$A:$A,$C445,符文权重!$D:$D))),"")</f>
        <v/>
      </c>
      <c r="O445" s="39" t="str" cm="1">
        <f t="array" ref="O445">IFERROR(IF($A445="","",IF(I445="","",_xlfn.XLOOKUP($C445&amp;"_"&amp;$AG445,符文权重!$A:$A&amp;"_"&amp;符文权重!$C:$C,符文权重!$D:$D)*$X445/SUMIFS($X:$X,I:I,I445,$C:$C,$C445,$AG:$AG,$AG445)/SUMIF(符文权重!$A:$A,$C445,符文权重!$D:$D))),"")</f>
        <v/>
      </c>
      <c r="P445" s="39" t="str" cm="1">
        <f t="array" ref="P445">IFERROR(IF($A445="","",IF(J445="","",_xlfn.XLOOKUP($C445&amp;"_"&amp;$AG445,符文权重!$A:$A&amp;"_"&amp;符文权重!$C:$C,符文权重!$D:$D)*$X445/SUMIFS($X:$X,J:J,J445,$C:$C,$C445,$AG:$AG,$AG445)/SUMIF(符文权重!$A:$A,$C445,符文权重!$D:$D))),"")</f>
        <v/>
      </c>
      <c r="Q445" s="39" t="str" cm="1">
        <f t="array" ref="Q445">IFERROR(IF($A445="","",IF(K445="","",_xlfn.XLOOKUP($C445&amp;"_"&amp;$AG445,符文权重!$A:$A&amp;"_"&amp;符文权重!$C:$C,符文权重!$D:$D)*$X445/SUMIFS($X:$X,K:K,K445,$C:$C,$C445,$AG:$AG,$AG445)/SUMIF(符文权重!$A:$A,$C445,符文权重!$D:$D))),"")</f>
        <v/>
      </c>
      <c r="R445" s="26" t="s">
        <v>167</v>
      </c>
      <c r="S445" s="26" t="s">
        <v>167</v>
      </c>
      <c r="T445" s="26"/>
      <c r="U445" s="20"/>
      <c r="Z445" s="32" t="s">
        <v>167</v>
      </c>
      <c r="AA445" s="32" t="str">
        <f t="shared" si="199"/>
        <v/>
      </c>
      <c r="AB445" s="32"/>
      <c r="AC445" s="32" t="s">
        <v>166</v>
      </c>
      <c r="AD445" s="32">
        <f t="shared" si="197"/>
        <v>1440</v>
      </c>
      <c r="AE445" s="38" t="str">
        <f t="shared" si="202"/>
        <v/>
      </c>
      <c r="AF445" s="32" t="str">
        <f t="shared" si="203"/>
        <v/>
      </c>
      <c r="AG445" s="26">
        <v>100</v>
      </c>
      <c r="AH445" s="26"/>
      <c r="AI445" s="26">
        <v>1</v>
      </c>
      <c r="AJ445" s="25" t="s">
        <v>167</v>
      </c>
      <c r="AL445" s="42"/>
      <c r="AM445" s="26"/>
      <c r="AP445" s="20">
        <f t="shared" si="198"/>
        <v>440</v>
      </c>
    </row>
    <row r="446" s="23" customFormat="1" customHeight="1" spans="1:42">
      <c r="A446" s="44">
        <v>5505151</v>
      </c>
      <c r="B446" s="44" t="str">
        <f t="shared" si="200"/>
        <v>5505151</v>
      </c>
      <c r="C446" s="45">
        <f t="shared" si="201"/>
        <v>1</v>
      </c>
      <c r="D446" s="45"/>
      <c r="E446" s="46" t="s">
        <v>218</v>
      </c>
      <c r="F446" s="26" t="str">
        <f t="shared" si="196"/>
        <v/>
      </c>
      <c r="G446" s="26" t="str">
        <f>IFERROR(IF(--MID($E446,2*COUNTIF($F446:F446,"&gt;"&amp;0)+2,1)=G$1,G$1,""),"")</f>
        <v/>
      </c>
      <c r="H446" s="26" t="str">
        <f>IFERROR(IF(--MID($E446,2*COUNTIF($F446:G446,"&gt;"&amp;0)+2,1)=H$1,H$1,""),"")</f>
        <v/>
      </c>
      <c r="I446" s="26" t="str">
        <f>IFERROR(IF(--MID($E446,2*COUNTIF($F446:H446,"&gt;"&amp;0)+2,1)=I$1,I$1,""),"")</f>
        <v/>
      </c>
      <c r="J446" s="26">
        <f>IFERROR(IF(--MID($E446,2*COUNTIF($F446:I446,"&gt;"&amp;0)+2,1)=J$1,J$1,""),"")</f>
        <v>5</v>
      </c>
      <c r="K446" s="26" t="str">
        <f>IFERROR(IF(--MID($E446,2*COUNTIF($F446:J446,"&gt;"&amp;0)+2,1)=K$1,K$1,""),"")</f>
        <v/>
      </c>
      <c r="L446" s="39" t="str" cm="1">
        <f t="array" ref="L446">IFERROR(IF($A446="","",IF(F446="","",_xlfn.XLOOKUP($C446&amp;"_"&amp;$AG446,符文权重!$A:$A&amp;"_"&amp;符文权重!$C:$C,符文权重!$D:$D)*$X446/SUMIFS($X:$X,F:F,F446,$C:$C,$C446,$AG:$AG,$AG446)/SUMIF(符文权重!$A:$A,$C446,符文权重!$D:$D))),"")</f>
        <v/>
      </c>
      <c r="M446" s="39" t="str" cm="1">
        <f t="array" ref="M446">IFERROR(IF($A446="","",IF(G446="","",_xlfn.XLOOKUP($C446&amp;"_"&amp;$AG446,符文权重!$A:$A&amp;"_"&amp;符文权重!$C:$C,符文权重!$D:$D)*$X446/SUMIFS($X:$X,G:G,G446,$C:$C,$C446,$AG:$AG,$AG446)/SUMIF(符文权重!$A:$A,$C446,符文权重!$D:$D))),"")</f>
        <v/>
      </c>
      <c r="N446" s="39" t="str" cm="1">
        <f t="array" ref="N446">IFERROR(IF($A446="","",IF(H446="","",_xlfn.XLOOKUP($C446&amp;"_"&amp;$AG446,符文权重!$A:$A&amp;"_"&amp;符文权重!$C:$C,符文权重!$D:$D)*$X446/SUMIFS($X:$X,H:H,H446,$C:$C,$C446,$AG:$AG,$AG446)/SUMIF(符文权重!$A:$A,$C446,符文权重!$D:$D))),"")</f>
        <v/>
      </c>
      <c r="O446" s="39" t="str" cm="1">
        <f t="array" ref="O446">IFERROR(IF($A446="","",IF(I446="","",_xlfn.XLOOKUP($C446&amp;"_"&amp;$AG446,符文权重!$A:$A&amp;"_"&amp;符文权重!$C:$C,符文权重!$D:$D)*$X446/SUMIFS($X:$X,I:I,I446,$C:$C,$C446,$AG:$AG,$AG446)/SUMIF(符文权重!$A:$A,$C446,符文权重!$D:$D))),"")</f>
        <v/>
      </c>
      <c r="P446" s="39" t="str" cm="1">
        <f t="array" ref="P446">IFERROR(IF($A446="","",IF(J446="","",_xlfn.XLOOKUP($C446&amp;"_"&amp;$AG446,符文权重!$A:$A&amp;"_"&amp;符文权重!$C:$C,符文权重!$D:$D)*$X446/SUMIFS($X:$X,J:J,J446,$C:$C,$C446,$AG:$AG,$AG446)/SUMIF(符文权重!$A:$A,$C446,符文权重!$D:$D))),"")</f>
        <v/>
      </c>
      <c r="Q446" s="39" t="str" cm="1">
        <f t="array" ref="Q446">IFERROR(IF($A446="","",IF(K446="","",_xlfn.XLOOKUP($C446&amp;"_"&amp;$AG446,符文权重!$A:$A&amp;"_"&amp;符文权重!$C:$C,符文权重!$D:$D)*$X446/SUMIFS($X:$X,K:K,K446,$C:$C,$C446,$AG:$AG,$AG446)/SUMIF(符文权重!$A:$A,$C446,符文权重!$D:$D))),"")</f>
        <v/>
      </c>
      <c r="R446" s="46" t="s">
        <v>181</v>
      </c>
      <c r="S446" s="46" t="s">
        <v>209</v>
      </c>
      <c r="T446" s="46" t="e">
        <f>IF(B446="","",SUBSTITUTE(SUBSTITUTE("[{global_atk,"&amp;#REF!*C446&amp;"}]",21,20),9,8))</f>
        <v>#REF!</v>
      </c>
      <c r="U446" s="47" t="str">
        <f t="shared" ref="U446:U452" si="219">"["&amp;A446&amp;"]"</f>
        <v>[5505151]</v>
      </c>
      <c r="V446" s="46"/>
      <c r="X446" s="25">
        <v>100</v>
      </c>
      <c r="Z446" s="45" t="s">
        <v>165</v>
      </c>
      <c r="AA446" s="32" t="str">
        <f t="shared" si="199"/>
        <v>每次触发中毒伤害，下次中毒伤害额外+1%</v>
      </c>
      <c r="AB446" s="32"/>
      <c r="AC446" s="32" t="s">
        <v>166</v>
      </c>
      <c r="AD446" s="32">
        <f t="shared" si="197"/>
        <v>1441</v>
      </c>
      <c r="AE446" s="44" t="str">
        <f t="shared" si="202"/>
        <v>5505151</v>
      </c>
      <c r="AF446" s="45" t="str">
        <f t="shared" si="203"/>
        <v>[1]</v>
      </c>
      <c r="AG446" s="26">
        <v>100</v>
      </c>
      <c r="AH446" s="46"/>
      <c r="AI446" s="46">
        <v>1</v>
      </c>
      <c r="AJ446" s="25">
        <v>1</v>
      </c>
      <c r="AK446" s="48">
        <v>5505151</v>
      </c>
      <c r="AL446" s="49" t="s">
        <v>502</v>
      </c>
      <c r="AM446" s="46">
        <v>1</v>
      </c>
      <c r="AN446" s="25"/>
      <c r="AO446" s="26" t="s">
        <v>32</v>
      </c>
      <c r="AP446" s="20">
        <f t="shared" si="198"/>
        <v>441</v>
      </c>
    </row>
    <row r="447" s="23" customFormat="1" customHeight="1" spans="1:42">
      <c r="A447" s="44">
        <v>5505152</v>
      </c>
      <c r="B447" s="44" t="str">
        <f t="shared" si="200"/>
        <v>5505151</v>
      </c>
      <c r="C447" s="45">
        <f t="shared" si="201"/>
        <v>2</v>
      </c>
      <c r="D447" s="45"/>
      <c r="E447" s="46" t="s">
        <v>218</v>
      </c>
      <c r="F447" s="26" t="str">
        <f t="shared" si="196"/>
        <v/>
      </c>
      <c r="G447" s="26" t="str">
        <f>IFERROR(IF(--MID($E447,2*COUNTIF($F447:F447,"&gt;"&amp;0)+2,1)=G$1,G$1,""),"")</f>
        <v/>
      </c>
      <c r="H447" s="26" t="str">
        <f>IFERROR(IF(--MID($E447,2*COUNTIF($F447:G447,"&gt;"&amp;0)+2,1)=H$1,H$1,""),"")</f>
        <v/>
      </c>
      <c r="I447" s="26" t="str">
        <f>IFERROR(IF(--MID($E447,2*COUNTIF($F447:H447,"&gt;"&amp;0)+2,1)=I$1,I$1,""),"")</f>
        <v/>
      </c>
      <c r="J447" s="26">
        <f>IFERROR(IF(--MID($E447,2*COUNTIF($F447:I447,"&gt;"&amp;0)+2,1)=J$1,J$1,""),"")</f>
        <v>5</v>
      </c>
      <c r="K447" s="26" t="str">
        <f>IFERROR(IF(--MID($E447,2*COUNTIF($F447:J447,"&gt;"&amp;0)+2,1)=K$1,K$1,""),"")</f>
        <v/>
      </c>
      <c r="L447" s="39" t="str" cm="1">
        <f t="array" ref="L447">IFERROR(IF($A447="","",IF(F447="","",_xlfn.XLOOKUP($C447&amp;"_"&amp;$AG447,符文权重!$A:$A&amp;"_"&amp;符文权重!$C:$C,符文权重!$D:$D)*$X447/SUMIFS($X:$X,F:F,F447,$C:$C,$C447,$AG:$AG,$AG447)/SUMIF(符文权重!$A:$A,$C447,符文权重!$D:$D))),"")</f>
        <v/>
      </c>
      <c r="M447" s="39" t="str" cm="1">
        <f t="array" ref="M447">IFERROR(IF($A447="","",IF(G447="","",_xlfn.XLOOKUP($C447&amp;"_"&amp;$AG447,符文权重!$A:$A&amp;"_"&amp;符文权重!$C:$C,符文权重!$D:$D)*$X447/SUMIFS($X:$X,G:G,G447,$C:$C,$C447,$AG:$AG,$AG447)/SUMIF(符文权重!$A:$A,$C447,符文权重!$D:$D))),"")</f>
        <v/>
      </c>
      <c r="N447" s="39" t="str" cm="1">
        <f t="array" ref="N447">IFERROR(IF($A447="","",IF(H447="","",_xlfn.XLOOKUP($C447&amp;"_"&amp;$AG447,符文权重!$A:$A&amp;"_"&amp;符文权重!$C:$C,符文权重!$D:$D)*$X447/SUMIFS($X:$X,H:H,H447,$C:$C,$C447,$AG:$AG,$AG447)/SUMIF(符文权重!$A:$A,$C447,符文权重!$D:$D))),"")</f>
        <v/>
      </c>
      <c r="O447" s="39" t="str" cm="1">
        <f t="array" ref="O447">IFERROR(IF($A447="","",IF(I447="","",_xlfn.XLOOKUP($C447&amp;"_"&amp;$AG447,符文权重!$A:$A&amp;"_"&amp;符文权重!$C:$C,符文权重!$D:$D)*$X447/SUMIFS($X:$X,I:I,I447,$C:$C,$C447,$AG:$AG,$AG447)/SUMIF(符文权重!$A:$A,$C447,符文权重!$D:$D))),"")</f>
        <v/>
      </c>
      <c r="P447" s="39" t="str" cm="1">
        <f t="array" ref="P447">IFERROR(IF($A447="","",IF(J447="","",_xlfn.XLOOKUP($C447&amp;"_"&amp;$AG447,符文权重!$A:$A&amp;"_"&amp;符文权重!$C:$C,符文权重!$D:$D)*$X447/SUMIFS($X:$X,J:J,J447,$C:$C,$C447,$AG:$AG,$AG447)/SUMIF(符文权重!$A:$A,$C447,符文权重!$D:$D))),"")</f>
        <v/>
      </c>
      <c r="Q447" s="39" t="str" cm="1">
        <f t="array" ref="Q447">IFERROR(IF($A447="","",IF(K447="","",_xlfn.XLOOKUP($C447&amp;"_"&amp;$AG447,符文权重!$A:$A&amp;"_"&amp;符文权重!$C:$C,符文权重!$D:$D)*$X447/SUMIFS($X:$X,K:K,K447,$C:$C,$C447,$AG:$AG,$AG447)/SUMIF(符文权重!$A:$A,$C447,符文权重!$D:$D))),"")</f>
        <v/>
      </c>
      <c r="R447" s="46" t="s">
        <v>181</v>
      </c>
      <c r="S447" s="46" t="s">
        <v>209</v>
      </c>
      <c r="T447" s="46" t="e">
        <f>IF(B447="","",SUBSTITUTE(SUBSTITUTE("[{global_atk,"&amp;#REF!*C447&amp;"}]",21,20),9,8))</f>
        <v>#REF!</v>
      </c>
      <c r="U447" s="47" t="str">
        <f t="shared" si="219"/>
        <v>[5505152]</v>
      </c>
      <c r="V447" s="46"/>
      <c r="X447" s="25">
        <v>100</v>
      </c>
      <c r="Z447" s="45" t="s">
        <v>170</v>
      </c>
      <c r="AA447" s="32" t="str">
        <f t="shared" si="199"/>
        <v>每次触发中毒伤害，下次中毒伤害额外+2%</v>
      </c>
      <c r="AB447" s="32"/>
      <c r="AC447" s="32" t="s">
        <v>166</v>
      </c>
      <c r="AD447" s="32">
        <f t="shared" si="197"/>
        <v>1442</v>
      </c>
      <c r="AE447" s="44" t="str">
        <f t="shared" si="202"/>
        <v>5505151</v>
      </c>
      <c r="AF447" s="45" t="str">
        <f t="shared" si="203"/>
        <v>[2]</v>
      </c>
      <c r="AG447" s="26">
        <v>100</v>
      </c>
      <c r="AH447" s="46"/>
      <c r="AI447" s="46">
        <v>1</v>
      </c>
      <c r="AJ447" s="25">
        <v>1</v>
      </c>
      <c r="AK447" s="44">
        <f t="shared" ref="AK447:AK452" si="220">AK446+1</f>
        <v>5505152</v>
      </c>
      <c r="AL447" s="50" t="str">
        <f t="shared" ref="AL447:AL452" si="221">AL446</f>
        <v>每次触发中毒伤害，下次中毒伤害额外&lt;color=#54b76b&gt;+%s%&lt;/color&gt;</v>
      </c>
      <c r="AM447" s="46">
        <v>2</v>
      </c>
      <c r="AN447" s="25"/>
      <c r="AO447" s="26" t="s">
        <v>32</v>
      </c>
      <c r="AP447" s="20">
        <f t="shared" si="198"/>
        <v>442</v>
      </c>
    </row>
    <row r="448" s="23" customFormat="1" customHeight="1" spans="1:42">
      <c r="A448" s="44">
        <v>5505153</v>
      </c>
      <c r="B448" s="44" t="str">
        <f t="shared" si="200"/>
        <v>5505151</v>
      </c>
      <c r="C448" s="45">
        <f t="shared" si="201"/>
        <v>3</v>
      </c>
      <c r="D448" s="45"/>
      <c r="E448" s="46" t="s">
        <v>218</v>
      </c>
      <c r="F448" s="26" t="str">
        <f t="shared" si="196"/>
        <v/>
      </c>
      <c r="G448" s="26" t="str">
        <f>IFERROR(IF(--MID($E448,2*COUNTIF($F448:F448,"&gt;"&amp;0)+2,1)=G$1,G$1,""),"")</f>
        <v/>
      </c>
      <c r="H448" s="26" t="str">
        <f>IFERROR(IF(--MID($E448,2*COUNTIF($F448:G448,"&gt;"&amp;0)+2,1)=H$1,H$1,""),"")</f>
        <v/>
      </c>
      <c r="I448" s="26" t="str">
        <f>IFERROR(IF(--MID($E448,2*COUNTIF($F448:H448,"&gt;"&amp;0)+2,1)=I$1,I$1,""),"")</f>
        <v/>
      </c>
      <c r="J448" s="26">
        <f>IFERROR(IF(--MID($E448,2*COUNTIF($F448:I448,"&gt;"&amp;0)+2,1)=J$1,J$1,""),"")</f>
        <v>5</v>
      </c>
      <c r="K448" s="26" t="str">
        <f>IFERROR(IF(--MID($E448,2*COUNTIF($F448:J448,"&gt;"&amp;0)+2,1)=K$1,K$1,""),"")</f>
        <v/>
      </c>
      <c r="L448" s="39" t="str" cm="1">
        <f t="array" ref="L448">IFERROR(IF($A448="","",IF(F448="","",_xlfn.XLOOKUP($C448&amp;"_"&amp;$AG448,符文权重!$A:$A&amp;"_"&amp;符文权重!$C:$C,符文权重!$D:$D)*$X448/SUMIFS($X:$X,F:F,F448,$C:$C,$C448,$AG:$AG,$AG448)/SUMIF(符文权重!$A:$A,$C448,符文权重!$D:$D))),"")</f>
        <v/>
      </c>
      <c r="M448" s="39" t="str" cm="1">
        <f t="array" ref="M448">IFERROR(IF($A448="","",IF(G448="","",_xlfn.XLOOKUP($C448&amp;"_"&amp;$AG448,符文权重!$A:$A&amp;"_"&amp;符文权重!$C:$C,符文权重!$D:$D)*$X448/SUMIFS($X:$X,G:G,G448,$C:$C,$C448,$AG:$AG,$AG448)/SUMIF(符文权重!$A:$A,$C448,符文权重!$D:$D))),"")</f>
        <v/>
      </c>
      <c r="N448" s="39" t="str" cm="1">
        <f t="array" ref="N448">IFERROR(IF($A448="","",IF(H448="","",_xlfn.XLOOKUP($C448&amp;"_"&amp;$AG448,符文权重!$A:$A&amp;"_"&amp;符文权重!$C:$C,符文权重!$D:$D)*$X448/SUMIFS($X:$X,H:H,H448,$C:$C,$C448,$AG:$AG,$AG448)/SUMIF(符文权重!$A:$A,$C448,符文权重!$D:$D))),"")</f>
        <v/>
      </c>
      <c r="O448" s="39" t="str" cm="1">
        <f t="array" ref="O448">IFERROR(IF($A448="","",IF(I448="","",_xlfn.XLOOKUP($C448&amp;"_"&amp;$AG448,符文权重!$A:$A&amp;"_"&amp;符文权重!$C:$C,符文权重!$D:$D)*$X448/SUMIFS($X:$X,I:I,I448,$C:$C,$C448,$AG:$AG,$AG448)/SUMIF(符文权重!$A:$A,$C448,符文权重!$D:$D))),"")</f>
        <v/>
      </c>
      <c r="P448" s="39" t="str" cm="1">
        <f t="array" ref="P448">IFERROR(IF($A448="","",IF(J448="","",_xlfn.XLOOKUP($C448&amp;"_"&amp;$AG448,符文权重!$A:$A&amp;"_"&amp;符文权重!$C:$C,符文权重!$D:$D)*$X448/SUMIFS($X:$X,J:J,J448,$C:$C,$C448,$AG:$AG,$AG448)/SUMIF(符文权重!$A:$A,$C448,符文权重!$D:$D))),"")</f>
        <v/>
      </c>
      <c r="Q448" s="39" t="str" cm="1">
        <f t="array" ref="Q448">IFERROR(IF($A448="","",IF(K448="","",_xlfn.XLOOKUP($C448&amp;"_"&amp;$AG448,符文权重!$A:$A&amp;"_"&amp;符文权重!$C:$C,符文权重!$D:$D)*$X448/SUMIFS($X:$X,K:K,K448,$C:$C,$C448,$AG:$AG,$AG448)/SUMIF(符文权重!$A:$A,$C448,符文权重!$D:$D))),"")</f>
        <v/>
      </c>
      <c r="R448" s="46" t="s">
        <v>181</v>
      </c>
      <c r="S448" s="46" t="s">
        <v>209</v>
      </c>
      <c r="T448" s="46" t="e">
        <f>IF(B448="","",SUBSTITUTE(SUBSTITUTE("[{global_atk,"&amp;#REF!*C448&amp;"}]",21,20),9,8))</f>
        <v>#REF!</v>
      </c>
      <c r="U448" s="47" t="str">
        <f t="shared" si="219"/>
        <v>[5505153]</v>
      </c>
      <c r="V448" s="46"/>
      <c r="X448" s="26">
        <v>100</v>
      </c>
      <c r="Z448" s="45" t="s">
        <v>172</v>
      </c>
      <c r="AA448" s="32" t="str">
        <f t="shared" si="199"/>
        <v>每次触发中毒伤害，下次中毒伤害额外+3%</v>
      </c>
      <c r="AB448" s="32"/>
      <c r="AC448" s="32" t="s">
        <v>166</v>
      </c>
      <c r="AD448" s="32">
        <f t="shared" si="197"/>
        <v>1443</v>
      </c>
      <c r="AE448" s="44" t="str">
        <f t="shared" si="202"/>
        <v>5505151</v>
      </c>
      <c r="AF448" s="45" t="str">
        <f t="shared" si="203"/>
        <v>[3]</v>
      </c>
      <c r="AG448" s="26">
        <v>100</v>
      </c>
      <c r="AH448" s="46"/>
      <c r="AI448" s="46">
        <v>1</v>
      </c>
      <c r="AJ448" s="25">
        <v>1</v>
      </c>
      <c r="AK448" s="44">
        <f t="shared" si="220"/>
        <v>5505153</v>
      </c>
      <c r="AL448" s="50" t="str">
        <f t="shared" si="221"/>
        <v>每次触发中毒伤害，下次中毒伤害额外&lt;color=#54b76b&gt;+%s%&lt;/color&gt;</v>
      </c>
      <c r="AM448" s="46">
        <v>3</v>
      </c>
      <c r="AN448" s="26"/>
      <c r="AO448" s="26" t="s">
        <v>32</v>
      </c>
      <c r="AP448" s="20">
        <f t="shared" si="198"/>
        <v>443</v>
      </c>
    </row>
    <row r="449" customHeight="1" spans="1:42">
      <c r="A449" s="38">
        <v>5505154</v>
      </c>
      <c r="B449" s="38" t="str">
        <f t="shared" si="200"/>
        <v>5505151</v>
      </c>
      <c r="C449" s="32">
        <f t="shared" si="201"/>
        <v>4</v>
      </c>
      <c r="D449" s="32"/>
      <c r="E449" s="26" t="s">
        <v>218</v>
      </c>
      <c r="F449" s="26" t="str">
        <f t="shared" si="196"/>
        <v/>
      </c>
      <c r="G449" s="26" t="str">
        <f>IFERROR(IF(--MID($E449,2*COUNTIF($F449:F449,"&gt;"&amp;0)+2,1)=G$1,G$1,""),"")</f>
        <v/>
      </c>
      <c r="H449" s="26" t="str">
        <f>IFERROR(IF(--MID($E449,2*COUNTIF($F449:G449,"&gt;"&amp;0)+2,1)=H$1,H$1,""),"")</f>
        <v/>
      </c>
      <c r="I449" s="26" t="str">
        <f>IFERROR(IF(--MID($E449,2*COUNTIF($F449:H449,"&gt;"&amp;0)+2,1)=I$1,I$1,""),"")</f>
        <v/>
      </c>
      <c r="J449" s="26">
        <f>IFERROR(IF(--MID($E449,2*COUNTIF($F449:I449,"&gt;"&amp;0)+2,1)=J$1,J$1,""),"")</f>
        <v>5</v>
      </c>
      <c r="K449" s="26" t="str">
        <f>IFERROR(IF(--MID($E449,2*COUNTIF($F449:J449,"&gt;"&amp;0)+2,1)=K$1,K$1,""),"")</f>
        <v/>
      </c>
      <c r="L449" s="39" t="str" cm="1">
        <f t="array" ref="L449">IFERROR(IF($A449="","",IF(F449="","",_xlfn.XLOOKUP($C449&amp;"_"&amp;$AG449,符文权重!$A:$A&amp;"_"&amp;符文权重!$C:$C,符文权重!$D:$D)*$X449/SUMIFS($X:$X,F:F,F449,$C:$C,$C449,$AG:$AG,$AG449)/SUMIF(符文权重!$A:$A,$C449,符文权重!$D:$D))),"")</f>
        <v/>
      </c>
      <c r="M449" s="39" t="str" cm="1">
        <f t="array" ref="M449">IFERROR(IF($A449="","",IF(G449="","",_xlfn.XLOOKUP($C449&amp;"_"&amp;$AG449,符文权重!$A:$A&amp;"_"&amp;符文权重!$C:$C,符文权重!$D:$D)*$X449/SUMIFS($X:$X,G:G,G449,$C:$C,$C449,$AG:$AG,$AG449)/SUMIF(符文权重!$A:$A,$C449,符文权重!$D:$D))),"")</f>
        <v/>
      </c>
      <c r="N449" s="39" t="str" cm="1">
        <f t="array" ref="N449">IFERROR(IF($A449="","",IF(H449="","",_xlfn.XLOOKUP($C449&amp;"_"&amp;$AG449,符文权重!$A:$A&amp;"_"&amp;符文权重!$C:$C,符文权重!$D:$D)*$X449/SUMIFS($X:$X,H:H,H449,$C:$C,$C449,$AG:$AG,$AG449)/SUMIF(符文权重!$A:$A,$C449,符文权重!$D:$D))),"")</f>
        <v/>
      </c>
      <c r="O449" s="39" t="str" cm="1">
        <f t="array" ref="O449">IFERROR(IF($A449="","",IF(I449="","",_xlfn.XLOOKUP($C449&amp;"_"&amp;$AG449,符文权重!$A:$A&amp;"_"&amp;符文权重!$C:$C,符文权重!$D:$D)*$X449/SUMIFS($X:$X,I:I,I449,$C:$C,$C449,$AG:$AG,$AG449)/SUMIF(符文权重!$A:$A,$C449,符文权重!$D:$D))),"")</f>
        <v/>
      </c>
      <c r="P449" s="58" t="str" cm="1">
        <f t="array" ref="P449">IFERROR(IF($A449="","",IF(J449="","",_xlfn.XLOOKUP($C449&amp;"_"&amp;$AG449,符文权重!$A:$A&amp;"_"&amp;符文权重!$C:$C,符文权重!$D:$D)*$X449/SUMIFS($X:$X,J:J,J449,$C:$C,$C449,$AG:$AG,$AG449)/SUMIF(符文权重!$A:$A,$C449,符文权重!$D:$D))),"")</f>
        <v/>
      </c>
      <c r="Q449" s="39" t="str" cm="1">
        <f t="array" ref="Q449">IFERROR(IF($A449="","",IF(K449="","",_xlfn.XLOOKUP($C449&amp;"_"&amp;$AG449,符文权重!$A:$A&amp;"_"&amp;符文权重!$C:$C,符文权重!$D:$D)*$X449/SUMIFS($X:$X,K:K,K449,$C:$C,$C449,$AG:$AG,$AG449)/SUMIF(符文权重!$A:$A,$C449,符文权重!$D:$D))),"")</f>
        <v/>
      </c>
      <c r="R449" s="26" t="s">
        <v>181</v>
      </c>
      <c r="S449" s="26" t="s">
        <v>209</v>
      </c>
      <c r="T449" s="26" t="e">
        <f>IF(B449="","",SUBSTITUTE(SUBSTITUTE("[{global_atk,"&amp;#REF!*C449&amp;"}]",21,20),9,8))</f>
        <v>#REF!</v>
      </c>
      <c r="U449" s="40" t="str">
        <f t="shared" si="219"/>
        <v>[5505154]</v>
      </c>
      <c r="X449" s="25">
        <v>4</v>
      </c>
      <c r="Z449" s="32" t="s">
        <v>174</v>
      </c>
      <c r="AA449" s="32" t="str">
        <f t="shared" si="199"/>
        <v>每次触发中毒伤害，下次中毒伤害额外+4%</v>
      </c>
      <c r="AB449" s="32"/>
      <c r="AC449" s="32" t="s">
        <v>166</v>
      </c>
      <c r="AD449" s="32">
        <f t="shared" si="197"/>
        <v>1444</v>
      </c>
      <c r="AE449" s="38" t="str">
        <f t="shared" si="202"/>
        <v>5505151</v>
      </c>
      <c r="AF449" s="32" t="str">
        <f t="shared" si="203"/>
        <v>[4]</v>
      </c>
      <c r="AG449" s="26">
        <v>105</v>
      </c>
      <c r="AH449" s="26"/>
      <c r="AI449" s="26">
        <v>0</v>
      </c>
      <c r="AJ449" s="25">
        <v>1</v>
      </c>
      <c r="AK449" s="38">
        <f t="shared" si="220"/>
        <v>5505154</v>
      </c>
      <c r="AL449" s="41" t="str">
        <f t="shared" si="221"/>
        <v>每次触发中毒伤害，下次中毒伤害额外&lt;color=#54b76b&gt;+%s%&lt;/color&gt;</v>
      </c>
      <c r="AM449" s="26">
        <v>4</v>
      </c>
      <c r="AN449" s="25">
        <v>5</v>
      </c>
      <c r="AO449" s="26" t="s">
        <v>32</v>
      </c>
      <c r="AP449" s="20">
        <f t="shared" si="198"/>
        <v>444</v>
      </c>
    </row>
    <row r="450" customHeight="1" spans="1:42">
      <c r="A450" s="38">
        <v>5505155</v>
      </c>
      <c r="B450" s="38" t="str">
        <f t="shared" si="200"/>
        <v>5505151</v>
      </c>
      <c r="C450" s="32">
        <f t="shared" si="201"/>
        <v>5</v>
      </c>
      <c r="D450" s="32"/>
      <c r="E450" s="26" t="s">
        <v>218</v>
      </c>
      <c r="F450" s="26" t="str">
        <f t="shared" si="196"/>
        <v/>
      </c>
      <c r="G450" s="26" t="str">
        <f>IFERROR(IF(--MID($E450,2*COUNTIF($F450:F450,"&gt;"&amp;0)+2,1)=G$1,G$1,""),"")</f>
        <v/>
      </c>
      <c r="H450" s="26" t="str">
        <f>IFERROR(IF(--MID($E450,2*COUNTIF($F450:G450,"&gt;"&amp;0)+2,1)=H$1,H$1,""),"")</f>
        <v/>
      </c>
      <c r="I450" s="26" t="str">
        <f>IFERROR(IF(--MID($E450,2*COUNTIF($F450:H450,"&gt;"&amp;0)+2,1)=I$1,I$1,""),"")</f>
        <v/>
      </c>
      <c r="J450" s="26">
        <f>IFERROR(IF(--MID($E450,2*COUNTIF($F450:I450,"&gt;"&amp;0)+2,1)=J$1,J$1,""),"")</f>
        <v>5</v>
      </c>
      <c r="K450" s="26" t="str">
        <f>IFERROR(IF(--MID($E450,2*COUNTIF($F450:J450,"&gt;"&amp;0)+2,1)=K$1,K$1,""),"")</f>
        <v/>
      </c>
      <c r="L450" s="39" t="str" cm="1">
        <f t="array" ref="L450">IFERROR(IF($A450="","",IF(F450="","",_xlfn.XLOOKUP($C450&amp;"_"&amp;$AG450,符文权重!$A:$A&amp;"_"&amp;符文权重!$C:$C,符文权重!$D:$D)*$X450/SUMIFS($X:$X,F:F,F450,$C:$C,$C450,$AG:$AG,$AG450)/SUMIF(符文权重!$A:$A,$C450,符文权重!$D:$D))),"")</f>
        <v/>
      </c>
      <c r="M450" s="39" t="str" cm="1">
        <f t="array" ref="M450">IFERROR(IF($A450="","",IF(G450="","",_xlfn.XLOOKUP($C450&amp;"_"&amp;$AG450,符文权重!$A:$A&amp;"_"&amp;符文权重!$C:$C,符文权重!$D:$D)*$X450/SUMIFS($X:$X,G:G,G450,$C:$C,$C450,$AG:$AG,$AG450)/SUMIF(符文权重!$A:$A,$C450,符文权重!$D:$D))),"")</f>
        <v/>
      </c>
      <c r="N450" s="39" t="str" cm="1">
        <f t="array" ref="N450">IFERROR(IF($A450="","",IF(H450="","",_xlfn.XLOOKUP($C450&amp;"_"&amp;$AG450,符文权重!$A:$A&amp;"_"&amp;符文权重!$C:$C,符文权重!$D:$D)*$X450/SUMIFS($X:$X,H:H,H450,$C:$C,$C450,$AG:$AG,$AG450)/SUMIF(符文权重!$A:$A,$C450,符文权重!$D:$D))),"")</f>
        <v/>
      </c>
      <c r="O450" s="39" t="str" cm="1">
        <f t="array" ref="O450">IFERROR(IF($A450="","",IF(I450="","",_xlfn.XLOOKUP($C450&amp;"_"&amp;$AG450,符文权重!$A:$A&amp;"_"&amp;符文权重!$C:$C,符文权重!$D:$D)*$X450/SUMIFS($X:$X,I:I,I450,$C:$C,$C450,$AG:$AG,$AG450)/SUMIF(符文权重!$A:$A,$C450,符文权重!$D:$D))),"")</f>
        <v/>
      </c>
      <c r="P450" s="39" cm="1">
        <f t="array" ref="P450">IFERROR(IF($A450="","",IF(J450="","",_xlfn.XLOOKUP($C450&amp;"_"&amp;$AG450,符文权重!$A:$A&amp;"_"&amp;符文权重!$C:$C,符文权重!$D:$D)*$X450/SUMIFS($X:$X,J:J,J450,$C:$C,$C450,$AG:$AG,$AG450)/SUMIF(符文权重!$A:$A,$C450,符文权重!$D:$D))),"")</f>
        <v>0.005625</v>
      </c>
      <c r="Q450" s="39" t="str" cm="1">
        <f t="array" ref="Q450">IFERROR(IF($A450="","",IF(K450="","",_xlfn.XLOOKUP($C450&amp;"_"&amp;$AG450,符文权重!$A:$A&amp;"_"&amp;符文权重!$C:$C,符文权重!$D:$D)*$X450/SUMIFS($X:$X,K:K,K450,$C:$C,$C450,$AG:$AG,$AG450)/SUMIF(符文权重!$A:$A,$C450,符文权重!$D:$D))),"")</f>
        <v/>
      </c>
      <c r="R450" s="26" t="s">
        <v>181</v>
      </c>
      <c r="S450" s="26" t="s">
        <v>209</v>
      </c>
      <c r="T450" s="26" t="e">
        <f>IF(B450="","",SUBSTITUTE(SUBSTITUTE("[{global_atk,"&amp;#REF!*C450&amp;"}]",21,20),9,8))</f>
        <v>#REF!</v>
      </c>
      <c r="U450" s="40" t="str">
        <f t="shared" si="219"/>
        <v>[5505155]</v>
      </c>
      <c r="X450" s="25">
        <v>100</v>
      </c>
      <c r="Z450" s="32" t="s">
        <v>176</v>
      </c>
      <c r="AA450" s="32" t="str">
        <f t="shared" si="199"/>
        <v>每次触发中毒伤害，下次中毒伤害额外+8%</v>
      </c>
      <c r="AB450" s="32"/>
      <c r="AC450" s="32" t="s">
        <v>166</v>
      </c>
      <c r="AD450" s="32">
        <f t="shared" si="197"/>
        <v>1445</v>
      </c>
      <c r="AE450" s="38" t="str">
        <f t="shared" si="202"/>
        <v>5505151</v>
      </c>
      <c r="AF450" s="32" t="str">
        <f t="shared" si="203"/>
        <v>[8]</v>
      </c>
      <c r="AG450" s="26">
        <v>5</v>
      </c>
      <c r="AH450" s="26"/>
      <c r="AI450" s="26">
        <v>0</v>
      </c>
      <c r="AJ450" s="25">
        <v>1</v>
      </c>
      <c r="AK450" s="38">
        <f t="shared" si="220"/>
        <v>5505155</v>
      </c>
      <c r="AL450" s="41" t="str">
        <f t="shared" si="221"/>
        <v>每次触发中毒伤害，下次中毒伤害额外&lt;color=#54b76b&gt;+%s%&lt;/color&gt;</v>
      </c>
      <c r="AM450" s="26">
        <v>8</v>
      </c>
      <c r="AN450" s="25">
        <v>5</v>
      </c>
      <c r="AO450" s="26" t="s">
        <v>32</v>
      </c>
      <c r="AP450" s="20">
        <f t="shared" si="198"/>
        <v>445</v>
      </c>
    </row>
    <row r="451" customHeight="1" spans="1:42">
      <c r="A451" s="38">
        <v>5505156</v>
      </c>
      <c r="B451" s="38" t="str">
        <f t="shared" si="200"/>
        <v>5505151</v>
      </c>
      <c r="C451" s="32">
        <f t="shared" si="201"/>
        <v>6</v>
      </c>
      <c r="D451" s="32"/>
      <c r="E451" s="26" t="s">
        <v>218</v>
      </c>
      <c r="F451" s="26" t="str">
        <f t="shared" si="196"/>
        <v/>
      </c>
      <c r="G451" s="26" t="str">
        <f>IFERROR(IF(--MID($E451,2*COUNTIF($F451:F451,"&gt;"&amp;0)+2,1)=G$1,G$1,""),"")</f>
        <v/>
      </c>
      <c r="H451" s="26" t="str">
        <f>IFERROR(IF(--MID($E451,2*COUNTIF($F451:G451,"&gt;"&amp;0)+2,1)=H$1,H$1,""),"")</f>
        <v/>
      </c>
      <c r="I451" s="26" t="str">
        <f>IFERROR(IF(--MID($E451,2*COUNTIF($F451:H451,"&gt;"&amp;0)+2,1)=I$1,I$1,""),"")</f>
        <v/>
      </c>
      <c r="J451" s="26">
        <f>IFERROR(IF(--MID($E451,2*COUNTIF($F451:I451,"&gt;"&amp;0)+2,1)=J$1,J$1,""),"")</f>
        <v>5</v>
      </c>
      <c r="K451" s="26" t="str">
        <f>IFERROR(IF(--MID($E451,2*COUNTIF($F451:J451,"&gt;"&amp;0)+2,1)=K$1,K$1,""),"")</f>
        <v/>
      </c>
      <c r="L451" s="39" t="str" cm="1">
        <f t="array" ref="L451">IFERROR(IF($A451="","",IF(F451="","",_xlfn.XLOOKUP($C451&amp;"_"&amp;$AG451,符文权重!$A:$A&amp;"_"&amp;符文权重!$C:$C,符文权重!$D:$D)*$X451/SUMIFS($X:$X,F:F,F451,$C:$C,$C451,$AG:$AG,$AG451)/SUMIF(符文权重!$A:$A,$C451,符文权重!$D:$D))),"")</f>
        <v/>
      </c>
      <c r="M451" s="39" t="str" cm="1">
        <f t="array" ref="M451">IFERROR(IF($A451="","",IF(G451="","",_xlfn.XLOOKUP($C451&amp;"_"&amp;$AG451,符文权重!$A:$A&amp;"_"&amp;符文权重!$C:$C,符文权重!$D:$D)*$X451/SUMIFS($X:$X,G:G,G451,$C:$C,$C451,$AG:$AG,$AG451)/SUMIF(符文权重!$A:$A,$C451,符文权重!$D:$D))),"")</f>
        <v/>
      </c>
      <c r="N451" s="39" t="str" cm="1">
        <f t="array" ref="N451">IFERROR(IF($A451="","",IF(H451="","",_xlfn.XLOOKUP($C451&amp;"_"&amp;$AG451,符文权重!$A:$A&amp;"_"&amp;符文权重!$C:$C,符文权重!$D:$D)*$X451/SUMIFS($X:$X,H:H,H451,$C:$C,$C451,$AG:$AG,$AG451)/SUMIF(符文权重!$A:$A,$C451,符文权重!$D:$D))),"")</f>
        <v/>
      </c>
      <c r="O451" s="39" t="str" cm="1">
        <f t="array" ref="O451">IFERROR(IF($A451="","",IF(I451="","",_xlfn.XLOOKUP($C451&amp;"_"&amp;$AG451,符文权重!$A:$A&amp;"_"&amp;符文权重!$C:$C,符文权重!$D:$D)*$X451/SUMIFS($X:$X,I:I,I451,$C:$C,$C451,$AG:$AG,$AG451)/SUMIF(符文权重!$A:$A,$C451,符文权重!$D:$D))),"")</f>
        <v/>
      </c>
      <c r="P451" s="39" cm="1">
        <f t="array" ref="P451">IFERROR(IF($A451="","",IF(J451="","",_xlfn.XLOOKUP($C451&amp;"_"&amp;$AG451,符文权重!$A:$A&amp;"_"&amp;符文权重!$C:$C,符文权重!$D:$D)*$X451/SUMIFS($X:$X,J:J,J451,$C:$C,$C451,$AG:$AG,$AG451)/SUMIF(符文权重!$A:$A,$C451,符文权重!$D:$D))),"")</f>
        <v>0.005625</v>
      </c>
      <c r="Q451" s="39" t="str" cm="1">
        <f t="array" ref="Q451">IFERROR(IF($A451="","",IF(K451="","",_xlfn.XLOOKUP($C451&amp;"_"&amp;$AG451,符文权重!$A:$A&amp;"_"&amp;符文权重!$C:$C,符文权重!$D:$D)*$X451/SUMIFS($X:$X,K:K,K451,$C:$C,$C451,$AG:$AG,$AG451)/SUMIF(符文权重!$A:$A,$C451,符文权重!$D:$D))),"")</f>
        <v/>
      </c>
      <c r="R451" s="26" t="s">
        <v>181</v>
      </c>
      <c r="S451" s="26" t="s">
        <v>209</v>
      </c>
      <c r="T451" s="26" t="e">
        <f>IF(B451="","",SUBSTITUTE(SUBSTITUTE("[{global_atk,"&amp;#REF!*C451&amp;"}]",21,20),9,8))</f>
        <v>#REF!</v>
      </c>
      <c r="U451" s="40" t="str">
        <f t="shared" si="219"/>
        <v>[5505156]</v>
      </c>
      <c r="X451" s="25">
        <v>100</v>
      </c>
      <c r="Z451" s="32" t="s">
        <v>178</v>
      </c>
      <c r="AA451" s="32" t="str">
        <f t="shared" si="199"/>
        <v>每次触发中毒伤害，下次中毒伤害额外+11%</v>
      </c>
      <c r="AB451" s="32"/>
      <c r="AC451" s="32" t="s">
        <v>166</v>
      </c>
      <c r="AD451" s="32">
        <f t="shared" si="197"/>
        <v>1446</v>
      </c>
      <c r="AE451" s="38" t="str">
        <f t="shared" si="202"/>
        <v>5505151</v>
      </c>
      <c r="AF451" s="32" t="str">
        <f t="shared" si="203"/>
        <v>[11]</v>
      </c>
      <c r="AG451" s="26">
        <v>5</v>
      </c>
      <c r="AH451" s="26"/>
      <c r="AI451" s="26">
        <v>0</v>
      </c>
      <c r="AJ451" s="25">
        <v>1</v>
      </c>
      <c r="AK451" s="38">
        <f t="shared" si="220"/>
        <v>5505156</v>
      </c>
      <c r="AL451" s="41" t="str">
        <f t="shared" si="221"/>
        <v>每次触发中毒伤害，下次中毒伤害额外&lt;color=#54b76b&gt;+%s%&lt;/color&gt;</v>
      </c>
      <c r="AM451" s="26">
        <v>11</v>
      </c>
      <c r="AN451" s="25">
        <v>5</v>
      </c>
      <c r="AO451" s="26" t="s">
        <v>32</v>
      </c>
      <c r="AP451" s="20">
        <f t="shared" si="198"/>
        <v>446</v>
      </c>
    </row>
    <row r="452" customHeight="1" spans="1:42">
      <c r="A452" s="38">
        <v>5505157</v>
      </c>
      <c r="B452" s="38" t="str">
        <f t="shared" si="200"/>
        <v>5505151</v>
      </c>
      <c r="C452" s="32">
        <f t="shared" si="201"/>
        <v>7</v>
      </c>
      <c r="D452" s="32"/>
      <c r="E452" s="26" t="s">
        <v>218</v>
      </c>
      <c r="F452" s="26" t="str">
        <f t="shared" si="196"/>
        <v/>
      </c>
      <c r="G452" s="26" t="str">
        <f>IFERROR(IF(--MID($E452,2*COUNTIF($F452:F452,"&gt;"&amp;0)+2,1)=G$1,G$1,""),"")</f>
        <v/>
      </c>
      <c r="H452" s="26" t="str">
        <f>IFERROR(IF(--MID($E452,2*COUNTIF($F452:G452,"&gt;"&amp;0)+2,1)=H$1,H$1,""),"")</f>
        <v/>
      </c>
      <c r="I452" s="26" t="str">
        <f>IFERROR(IF(--MID($E452,2*COUNTIF($F452:H452,"&gt;"&amp;0)+2,1)=I$1,I$1,""),"")</f>
        <v/>
      </c>
      <c r="J452" s="26">
        <f>IFERROR(IF(--MID($E452,2*COUNTIF($F452:I452,"&gt;"&amp;0)+2,1)=J$1,J$1,""),"")</f>
        <v>5</v>
      </c>
      <c r="K452" s="26" t="str">
        <f>IFERROR(IF(--MID($E452,2*COUNTIF($F452:J452,"&gt;"&amp;0)+2,1)=K$1,K$1,""),"")</f>
        <v/>
      </c>
      <c r="L452" s="39" t="str" cm="1">
        <f t="array" ref="L452">IFERROR(IF($A452="","",IF(F452="","",_xlfn.XLOOKUP($C452&amp;"_"&amp;$AG452,符文权重!$A:$A&amp;"_"&amp;符文权重!$C:$C,符文权重!$D:$D)*$X452/SUMIFS($X:$X,F:F,F452,$C:$C,$C452,$AG:$AG,$AG452)/SUMIF(符文权重!$A:$A,$C452,符文权重!$D:$D))),"")</f>
        <v/>
      </c>
      <c r="M452" s="39" t="str" cm="1">
        <f t="array" ref="M452">IFERROR(IF($A452="","",IF(G452="","",_xlfn.XLOOKUP($C452&amp;"_"&amp;$AG452,符文权重!$A:$A&amp;"_"&amp;符文权重!$C:$C,符文权重!$D:$D)*$X452/SUMIFS($X:$X,G:G,G452,$C:$C,$C452,$AG:$AG,$AG452)/SUMIF(符文权重!$A:$A,$C452,符文权重!$D:$D))),"")</f>
        <v/>
      </c>
      <c r="N452" s="39" t="str" cm="1">
        <f t="array" ref="N452">IFERROR(IF($A452="","",IF(H452="","",_xlfn.XLOOKUP($C452&amp;"_"&amp;$AG452,符文权重!$A:$A&amp;"_"&amp;符文权重!$C:$C,符文权重!$D:$D)*$X452/SUMIFS($X:$X,H:H,H452,$C:$C,$C452,$AG:$AG,$AG452)/SUMIF(符文权重!$A:$A,$C452,符文权重!$D:$D))),"")</f>
        <v/>
      </c>
      <c r="O452" s="39" t="str" cm="1">
        <f t="array" ref="O452">IFERROR(IF($A452="","",IF(I452="","",_xlfn.XLOOKUP($C452&amp;"_"&amp;$AG452,符文权重!$A:$A&amp;"_"&amp;符文权重!$C:$C,符文权重!$D:$D)*$X452/SUMIFS($X:$X,I:I,I452,$C:$C,$C452,$AG:$AG,$AG452)/SUMIF(符文权重!$A:$A,$C452,符文权重!$D:$D))),"")</f>
        <v/>
      </c>
      <c r="P452" s="39" cm="1">
        <f t="array" ref="P452">IFERROR(IF($A452="","",IF(J452="","",_xlfn.XLOOKUP($C452&amp;"_"&amp;$AG452,符文权重!$A:$A&amp;"_"&amp;符文权重!$C:$C,符文权重!$D:$D)*$X452/SUMIFS($X:$X,J:J,J452,$C:$C,$C452,$AG:$AG,$AG452)/SUMIF(符文权重!$A:$A,$C452,符文权重!$D:$D))),"")</f>
        <v>0.005625</v>
      </c>
      <c r="Q452" s="39" t="str" cm="1">
        <f t="array" ref="Q452">IFERROR(IF($A452="","",IF(K452="","",_xlfn.XLOOKUP($C452&amp;"_"&amp;$AG452,符文权重!$A:$A&amp;"_"&amp;符文权重!$C:$C,符文权重!$D:$D)*$X452/SUMIFS($X:$X,K:K,K452,$C:$C,$C452,$AG:$AG,$AG452)/SUMIF(符文权重!$A:$A,$C452,符文权重!$D:$D))),"")</f>
        <v/>
      </c>
      <c r="R452" s="26" t="s">
        <v>181</v>
      </c>
      <c r="S452" s="26" t="s">
        <v>209</v>
      </c>
      <c r="T452" s="26" t="e">
        <f>IF(B452="","",SUBSTITUTE(SUBSTITUTE("[{global_atk,"&amp;#REF!*C452&amp;"}]",21,20),9,8))</f>
        <v>#REF!</v>
      </c>
      <c r="U452" s="40" t="str">
        <f t="shared" si="219"/>
        <v>[5505157]</v>
      </c>
      <c r="X452" s="26">
        <v>100</v>
      </c>
      <c r="Z452" s="32" t="s">
        <v>180</v>
      </c>
      <c r="AA452" s="32" t="str">
        <f t="shared" si="199"/>
        <v>每次触发中毒伤害，下次中毒伤害额外+14%</v>
      </c>
      <c r="AB452" s="32"/>
      <c r="AC452" s="32" t="s">
        <v>166</v>
      </c>
      <c r="AD452" s="32">
        <f t="shared" si="197"/>
        <v>1447</v>
      </c>
      <c r="AE452" s="38" t="str">
        <f t="shared" si="202"/>
        <v>5505151</v>
      </c>
      <c r="AF452" s="32" t="str">
        <f t="shared" si="203"/>
        <v>[14]</v>
      </c>
      <c r="AG452" s="26">
        <v>5</v>
      </c>
      <c r="AH452" s="26"/>
      <c r="AI452" s="26">
        <v>0</v>
      </c>
      <c r="AJ452" s="25">
        <v>1</v>
      </c>
      <c r="AK452" s="38">
        <f t="shared" si="220"/>
        <v>5505157</v>
      </c>
      <c r="AL452" s="41" t="str">
        <f t="shared" si="221"/>
        <v>每次触发中毒伤害，下次中毒伤害额外&lt;color=#54b76b&gt;+%s%&lt;/color&gt;</v>
      </c>
      <c r="AM452" s="26">
        <v>14</v>
      </c>
      <c r="AN452" s="26">
        <v>5</v>
      </c>
      <c r="AO452" s="26" t="s">
        <v>32</v>
      </c>
      <c r="AP452" s="20">
        <f t="shared" si="198"/>
        <v>447</v>
      </c>
    </row>
    <row r="453" s="20" customFormat="1" customHeight="1" spans="1:42">
      <c r="A453" s="38" t="s">
        <v>167</v>
      </c>
      <c r="B453" s="38" t="str">
        <f t="shared" si="200"/>
        <v/>
      </c>
      <c r="C453" s="32" t="str">
        <f t="shared" si="201"/>
        <v/>
      </c>
      <c r="D453" s="32"/>
      <c r="E453" s="26"/>
      <c r="F453" s="26" t="str">
        <f t="shared" si="196"/>
        <v/>
      </c>
      <c r="G453" s="26" t="str">
        <f>IFERROR(IF(--MID($E453,2*COUNTIF($F453:F453,"&gt;"&amp;0)+2,1)=G$1,G$1,""),"")</f>
        <v/>
      </c>
      <c r="H453" s="26" t="str">
        <f>IFERROR(IF(--MID($E453,2*COUNTIF($F453:G453,"&gt;"&amp;0)+2,1)=H$1,H$1,""),"")</f>
        <v/>
      </c>
      <c r="I453" s="26" t="str">
        <f>IFERROR(IF(--MID($E453,2*COUNTIF($F453:H453,"&gt;"&amp;0)+2,1)=I$1,I$1,""),"")</f>
        <v/>
      </c>
      <c r="J453" s="26" t="str">
        <f>IFERROR(IF(--MID($E453,2*COUNTIF($F453:I453,"&gt;"&amp;0)+2,1)=J$1,J$1,""),"")</f>
        <v/>
      </c>
      <c r="K453" s="26" t="str">
        <f>IFERROR(IF(--MID($E453,2*COUNTIF($F453:J453,"&gt;"&amp;0)+2,1)=K$1,K$1,""),"")</f>
        <v/>
      </c>
      <c r="L453" s="39" t="str" cm="1">
        <f t="array" ref="L453">IFERROR(IF($A453="","",IF(F453="","",_xlfn.XLOOKUP($C453&amp;"_"&amp;$AG453,符文权重!$A:$A&amp;"_"&amp;符文权重!$C:$C,符文权重!$D:$D)*$X453/SUMIFS($X:$X,F:F,F453,$C:$C,$C453,$AG:$AG,$AG453)/SUMIF(符文权重!$A:$A,$C453,符文权重!$D:$D))),"")</f>
        <v/>
      </c>
      <c r="M453" s="39" t="str" cm="1">
        <f t="array" ref="M453">IFERROR(IF($A453="","",IF(G453="","",_xlfn.XLOOKUP($C453&amp;"_"&amp;$AG453,符文权重!$A:$A&amp;"_"&amp;符文权重!$C:$C,符文权重!$D:$D)*$X453/SUMIFS($X:$X,G:G,G453,$C:$C,$C453,$AG:$AG,$AG453)/SUMIF(符文权重!$A:$A,$C453,符文权重!$D:$D))),"")</f>
        <v/>
      </c>
      <c r="N453" s="39" t="str" cm="1">
        <f t="array" ref="N453">IFERROR(IF($A453="","",IF(H453="","",_xlfn.XLOOKUP($C453&amp;"_"&amp;$AG453,符文权重!$A:$A&amp;"_"&amp;符文权重!$C:$C,符文权重!$D:$D)*$X453/SUMIFS($X:$X,H:H,H453,$C:$C,$C453,$AG:$AG,$AG453)/SUMIF(符文权重!$A:$A,$C453,符文权重!$D:$D))),"")</f>
        <v/>
      </c>
      <c r="O453" s="39" t="str" cm="1">
        <f t="array" ref="O453">IFERROR(IF($A453="","",IF(I453="","",_xlfn.XLOOKUP($C453&amp;"_"&amp;$AG453,符文权重!$A:$A&amp;"_"&amp;符文权重!$C:$C,符文权重!$D:$D)*$X453/SUMIFS($X:$X,I:I,I453,$C:$C,$C453,$AG:$AG,$AG453)/SUMIF(符文权重!$A:$A,$C453,符文权重!$D:$D))),"")</f>
        <v/>
      </c>
      <c r="P453" s="39" t="str" cm="1">
        <f t="array" ref="P453">IFERROR(IF($A453="","",IF(J453="","",_xlfn.XLOOKUP($C453&amp;"_"&amp;$AG453,符文权重!$A:$A&amp;"_"&amp;符文权重!$C:$C,符文权重!$D:$D)*$X453/SUMIFS($X:$X,J:J,J453,$C:$C,$C453,$AG:$AG,$AG453)/SUMIF(符文权重!$A:$A,$C453,符文权重!$D:$D))),"")</f>
        <v/>
      </c>
      <c r="Q453" s="39" t="str" cm="1">
        <f t="array" ref="Q453">IFERROR(IF($A453="","",IF(K453="","",_xlfn.XLOOKUP($C453&amp;"_"&amp;$AG453,符文权重!$A:$A&amp;"_"&amp;符文权重!$C:$C,符文权重!$D:$D)*$X453/SUMIFS($X:$X,K:K,K453,$C:$C,$C453,$AG:$AG,$AG453)/SUMIF(符文权重!$A:$A,$C453,符文权重!$D:$D))),"")</f>
        <v/>
      </c>
      <c r="R453" s="26"/>
      <c r="S453" s="26"/>
      <c r="T453" s="26"/>
      <c r="V453" s="31"/>
      <c r="W453" s="25"/>
      <c r="X453" s="25"/>
      <c r="Y453" s="25"/>
      <c r="Z453" s="32" t="s">
        <v>167</v>
      </c>
      <c r="AA453" s="32" t="str">
        <f t="shared" si="199"/>
        <v/>
      </c>
      <c r="AB453" s="32"/>
      <c r="AC453" s="32" t="s">
        <v>166</v>
      </c>
      <c r="AD453" s="32">
        <f t="shared" si="197"/>
        <v>1448</v>
      </c>
      <c r="AE453" s="38" t="str">
        <f t="shared" si="202"/>
        <v/>
      </c>
      <c r="AF453" s="32" t="str">
        <f t="shared" si="203"/>
        <v/>
      </c>
      <c r="AG453" s="26">
        <v>100</v>
      </c>
      <c r="AH453" s="26"/>
      <c r="AI453" s="26">
        <v>1</v>
      </c>
      <c r="AJ453" s="25" t="s">
        <v>167</v>
      </c>
      <c r="AK453" s="24"/>
      <c r="AL453" s="59"/>
      <c r="AM453" s="26"/>
      <c r="AN453" s="25"/>
      <c r="AO453" s="25"/>
      <c r="AP453" s="20">
        <f t="shared" si="198"/>
        <v>448</v>
      </c>
    </row>
    <row r="454" s="22" customFormat="1" customHeight="1" spans="1:42">
      <c r="A454" s="44">
        <v>5505161</v>
      </c>
      <c r="B454" s="44" t="str">
        <f t="shared" si="200"/>
        <v>5505161</v>
      </c>
      <c r="C454" s="45">
        <f t="shared" si="201"/>
        <v>1</v>
      </c>
      <c r="D454" s="45"/>
      <c r="E454" s="46" t="s">
        <v>209</v>
      </c>
      <c r="F454" s="26" t="str">
        <f t="shared" si="196"/>
        <v/>
      </c>
      <c r="G454" s="26" t="str">
        <f>IFERROR(IF(--MID($E454,2*COUNTIF($F454:F454,"&gt;"&amp;0)+2,1)=G$1,G$1,""),"")</f>
        <v/>
      </c>
      <c r="H454" s="26" t="str">
        <f>IFERROR(IF(--MID($E454,2*COUNTIF($F454:G454,"&gt;"&amp;0)+2,1)=H$1,H$1,""),"")</f>
        <v/>
      </c>
      <c r="I454" s="26" t="str">
        <f>IFERROR(IF(--MID($E454,2*COUNTIF($F454:H454,"&gt;"&amp;0)+2,1)=I$1,I$1,""),"")</f>
        <v/>
      </c>
      <c r="J454" s="26" t="str">
        <f>IFERROR(IF(--MID($E454,2*COUNTIF($F454:I454,"&gt;"&amp;0)+2,1)=J$1,J$1,""),"")</f>
        <v/>
      </c>
      <c r="K454" s="26">
        <f>IFERROR(IF(--MID($E454,2*COUNTIF($F454:J454,"&gt;"&amp;0)+2,1)=K$1,K$1,""),"")</f>
        <v>6</v>
      </c>
      <c r="L454" s="39" t="str" cm="1">
        <f t="array" ref="L454">IFERROR(IF($A454="","",IF(F454="","",_xlfn.XLOOKUP($C454&amp;"_"&amp;$AG454,符文权重!$A:$A&amp;"_"&amp;符文权重!$C:$C,符文权重!$D:$D)*$X454/SUMIFS($X:$X,F:F,F454,$C:$C,$C454,$AG:$AG,$AG454)/SUMIF(符文权重!$A:$A,$C454,符文权重!$D:$D))),"")</f>
        <v/>
      </c>
      <c r="M454" s="39" t="str" cm="1">
        <f t="array" ref="M454">IFERROR(IF($A454="","",IF(G454="","",_xlfn.XLOOKUP($C454&amp;"_"&amp;$AG454,符文权重!$A:$A&amp;"_"&amp;符文权重!$C:$C,符文权重!$D:$D)*$X454/SUMIFS($X:$X,G:G,G454,$C:$C,$C454,$AG:$AG,$AG454)/SUMIF(符文权重!$A:$A,$C454,符文权重!$D:$D))),"")</f>
        <v/>
      </c>
      <c r="N454" s="39" t="str" cm="1">
        <f t="array" ref="N454">IFERROR(IF($A454="","",IF(H454="","",_xlfn.XLOOKUP($C454&amp;"_"&amp;$AG454,符文权重!$A:$A&amp;"_"&amp;符文权重!$C:$C,符文权重!$D:$D)*$X454/SUMIFS($X:$X,H:H,H454,$C:$C,$C454,$AG:$AG,$AG454)/SUMIF(符文权重!$A:$A,$C454,符文权重!$D:$D))),"")</f>
        <v/>
      </c>
      <c r="O454" s="39" t="str" cm="1">
        <f t="array" ref="O454">IFERROR(IF($A454="","",IF(I454="","",_xlfn.XLOOKUP($C454&amp;"_"&amp;$AG454,符文权重!$A:$A&amp;"_"&amp;符文权重!$C:$C,符文权重!$D:$D)*$X454/SUMIFS($X:$X,I:I,I454,$C:$C,$C454,$AG:$AG,$AG454)/SUMIF(符文权重!$A:$A,$C454,符文权重!$D:$D))),"")</f>
        <v/>
      </c>
      <c r="P454" s="39" t="str" cm="1">
        <f t="array" ref="P454">IFERROR(IF($A454="","",IF(J454="","",_xlfn.XLOOKUP($C454&amp;"_"&amp;$AG454,符文权重!$A:$A&amp;"_"&amp;符文权重!$C:$C,符文权重!$D:$D)*$X454/SUMIFS($X:$X,J:J,J454,$C:$C,$C454,$AG:$AG,$AG454)/SUMIF(符文权重!$A:$A,$C454,符文权重!$D:$D))),"")</f>
        <v/>
      </c>
      <c r="Q454" s="39" t="str" cm="1">
        <f t="array" ref="Q454">IFERROR(IF($A454="","",IF(K454="","",_xlfn.XLOOKUP($C454&amp;"_"&amp;$AG454,符文权重!$A:$A&amp;"_"&amp;符文权重!$C:$C,符文权重!$D:$D)*$X454/SUMIFS($X:$X,K:K,K454,$C:$C,$C454,$AG:$AG,$AG454)/SUMIF(符文权重!$A:$A,$C454,符文权重!$D:$D))),"")</f>
        <v/>
      </c>
      <c r="R454" s="46" t="s">
        <v>181</v>
      </c>
      <c r="S454" s="46" t="s">
        <v>209</v>
      </c>
      <c r="T454" s="46" t="e">
        <f>IF(B454="","",SUBSTITUTE(SUBSTITUTE("[{global_atk,"&amp;#REF!*C454&amp;"}]",21,20),9,8))</f>
        <v>#REF!</v>
      </c>
      <c r="U454" s="47" t="str">
        <f t="shared" ref="U454:U460" si="222">"["&amp;A454&amp;"]"</f>
        <v>[5505161]</v>
      </c>
      <c r="V454" s="46"/>
      <c r="W454" s="23"/>
      <c r="X454" s="25">
        <v>100</v>
      </c>
      <c r="Y454" s="23"/>
      <c r="Z454" s="45" t="s">
        <v>165</v>
      </c>
      <c r="AA454" s="32" t="str">
        <f t="shared" si="199"/>
        <v>毒系职业中毒层数上限提升10%</v>
      </c>
      <c r="AB454" s="32"/>
      <c r="AC454" s="32" t="s">
        <v>166</v>
      </c>
      <c r="AD454" s="32">
        <f t="shared" si="197"/>
        <v>1449</v>
      </c>
      <c r="AE454" s="44" t="str">
        <f t="shared" si="202"/>
        <v>5505161</v>
      </c>
      <c r="AF454" s="45" t="str">
        <f t="shared" si="203"/>
        <v>[10]</v>
      </c>
      <c r="AG454" s="26">
        <v>100</v>
      </c>
      <c r="AH454" s="46"/>
      <c r="AI454" s="46">
        <v>1</v>
      </c>
      <c r="AJ454" s="25">
        <v>1</v>
      </c>
      <c r="AK454" s="48">
        <v>5505161</v>
      </c>
      <c r="AL454" s="57" t="s">
        <v>503</v>
      </c>
      <c r="AM454" s="46">
        <v>10</v>
      </c>
      <c r="AN454" s="25"/>
      <c r="AO454" s="26" t="s">
        <v>32</v>
      </c>
      <c r="AP454" s="20">
        <f t="shared" si="198"/>
        <v>449</v>
      </c>
    </row>
    <row r="455" s="23" customFormat="1" customHeight="1" spans="1:42">
      <c r="A455" s="44">
        <v>5505162</v>
      </c>
      <c r="B455" s="44" t="str">
        <f t="shared" si="200"/>
        <v>5505161</v>
      </c>
      <c r="C455" s="45">
        <f t="shared" si="201"/>
        <v>2</v>
      </c>
      <c r="D455" s="45"/>
      <c r="E455" s="46" t="s">
        <v>209</v>
      </c>
      <c r="F455" s="26" t="str">
        <f t="shared" ref="F455:F518" si="223">IF(LEFT(E455,2)="[1",1,"")</f>
        <v/>
      </c>
      <c r="G455" s="26" t="str">
        <f>IFERROR(IF(--MID($E455,2*COUNTIF($F455:F455,"&gt;"&amp;0)+2,1)=G$1,G$1,""),"")</f>
        <v/>
      </c>
      <c r="H455" s="26" t="str">
        <f>IFERROR(IF(--MID($E455,2*COUNTIF($F455:G455,"&gt;"&amp;0)+2,1)=H$1,H$1,""),"")</f>
        <v/>
      </c>
      <c r="I455" s="26" t="str">
        <f>IFERROR(IF(--MID($E455,2*COUNTIF($F455:H455,"&gt;"&amp;0)+2,1)=I$1,I$1,""),"")</f>
        <v/>
      </c>
      <c r="J455" s="26" t="str">
        <f>IFERROR(IF(--MID($E455,2*COUNTIF($F455:I455,"&gt;"&amp;0)+2,1)=J$1,J$1,""),"")</f>
        <v/>
      </c>
      <c r="K455" s="26">
        <f>IFERROR(IF(--MID($E455,2*COUNTIF($F455:J455,"&gt;"&amp;0)+2,1)=K$1,K$1,""),"")</f>
        <v>6</v>
      </c>
      <c r="L455" s="39" t="str" cm="1">
        <f t="array" ref="L455">IFERROR(IF($A455="","",IF(F455="","",_xlfn.XLOOKUP($C455&amp;"_"&amp;$AG455,符文权重!$A:$A&amp;"_"&amp;符文权重!$C:$C,符文权重!$D:$D)*$X455/SUMIFS($X:$X,F:F,F455,$C:$C,$C455,$AG:$AG,$AG455)/SUMIF(符文权重!$A:$A,$C455,符文权重!$D:$D))),"")</f>
        <v/>
      </c>
      <c r="M455" s="39" t="str" cm="1">
        <f t="array" ref="M455">IFERROR(IF($A455="","",IF(G455="","",_xlfn.XLOOKUP($C455&amp;"_"&amp;$AG455,符文权重!$A:$A&amp;"_"&amp;符文权重!$C:$C,符文权重!$D:$D)*$X455/SUMIFS($X:$X,G:G,G455,$C:$C,$C455,$AG:$AG,$AG455)/SUMIF(符文权重!$A:$A,$C455,符文权重!$D:$D))),"")</f>
        <v/>
      </c>
      <c r="N455" s="39" t="str" cm="1">
        <f t="array" ref="N455">IFERROR(IF($A455="","",IF(H455="","",_xlfn.XLOOKUP($C455&amp;"_"&amp;$AG455,符文权重!$A:$A&amp;"_"&amp;符文权重!$C:$C,符文权重!$D:$D)*$X455/SUMIFS($X:$X,H:H,H455,$C:$C,$C455,$AG:$AG,$AG455)/SUMIF(符文权重!$A:$A,$C455,符文权重!$D:$D))),"")</f>
        <v/>
      </c>
      <c r="O455" s="39" t="str" cm="1">
        <f t="array" ref="O455">IFERROR(IF($A455="","",IF(I455="","",_xlfn.XLOOKUP($C455&amp;"_"&amp;$AG455,符文权重!$A:$A&amp;"_"&amp;符文权重!$C:$C,符文权重!$D:$D)*$X455/SUMIFS($X:$X,I:I,I455,$C:$C,$C455,$AG:$AG,$AG455)/SUMIF(符文权重!$A:$A,$C455,符文权重!$D:$D))),"")</f>
        <v/>
      </c>
      <c r="P455" s="39" t="str" cm="1">
        <f t="array" ref="P455">IFERROR(IF($A455="","",IF(J455="","",_xlfn.XLOOKUP($C455&amp;"_"&amp;$AG455,符文权重!$A:$A&amp;"_"&amp;符文权重!$C:$C,符文权重!$D:$D)*$X455/SUMIFS($X:$X,J:J,J455,$C:$C,$C455,$AG:$AG,$AG455)/SUMIF(符文权重!$A:$A,$C455,符文权重!$D:$D))),"")</f>
        <v/>
      </c>
      <c r="Q455" s="39" t="str" cm="1">
        <f t="array" ref="Q455">IFERROR(IF($A455="","",IF(K455="","",_xlfn.XLOOKUP($C455&amp;"_"&amp;$AG455,符文权重!$A:$A&amp;"_"&amp;符文权重!$C:$C,符文权重!$D:$D)*$X455/SUMIFS($X:$X,K:K,K455,$C:$C,$C455,$AG:$AG,$AG455)/SUMIF(符文权重!$A:$A,$C455,符文权重!$D:$D))),"")</f>
        <v/>
      </c>
      <c r="R455" s="46" t="s">
        <v>181</v>
      </c>
      <c r="S455" s="46" t="s">
        <v>209</v>
      </c>
      <c r="T455" s="46" t="e">
        <f>IF(B455="","",SUBSTITUTE(SUBSTITUTE("[{global_atk,"&amp;#REF!*C455&amp;"}]",21,20),9,8))</f>
        <v>#REF!</v>
      </c>
      <c r="U455" s="47" t="str">
        <f t="shared" si="222"/>
        <v>[5505162]</v>
      </c>
      <c r="V455" s="46"/>
      <c r="X455" s="25">
        <v>100</v>
      </c>
      <c r="Z455" s="45" t="s">
        <v>170</v>
      </c>
      <c r="AA455" s="32" t="str">
        <f t="shared" si="199"/>
        <v>毒系职业中毒层数上限提升20%</v>
      </c>
      <c r="AB455" s="32"/>
      <c r="AC455" s="32" t="s">
        <v>166</v>
      </c>
      <c r="AD455" s="32">
        <f t="shared" si="197"/>
        <v>1450</v>
      </c>
      <c r="AE455" s="44" t="str">
        <f t="shared" si="202"/>
        <v>5505161</v>
      </c>
      <c r="AF455" s="45" t="str">
        <f t="shared" si="203"/>
        <v>[20]</v>
      </c>
      <c r="AG455" s="26">
        <v>100</v>
      </c>
      <c r="AH455" s="46"/>
      <c r="AI455" s="46">
        <v>1</v>
      </c>
      <c r="AJ455" s="25">
        <v>1</v>
      </c>
      <c r="AK455" s="44">
        <f t="shared" ref="AK455:AK460" si="224">AK454+1</f>
        <v>5505162</v>
      </c>
      <c r="AL455" s="50" t="str">
        <f t="shared" ref="AL455:AL460" si="225">AL454</f>
        <v>毒系职业中毒层数上限提升&lt;color=#54b76b&gt;%s%&lt;/color&gt;</v>
      </c>
      <c r="AM455" s="46">
        <v>20</v>
      </c>
      <c r="AN455" s="25"/>
      <c r="AO455" s="26" t="s">
        <v>32</v>
      </c>
      <c r="AP455" s="20">
        <f t="shared" si="198"/>
        <v>450</v>
      </c>
    </row>
    <row r="456" s="23" customFormat="1" customHeight="1" spans="1:42">
      <c r="A456" s="44">
        <v>5505163</v>
      </c>
      <c r="B456" s="44" t="str">
        <f t="shared" si="200"/>
        <v>5505161</v>
      </c>
      <c r="C456" s="45">
        <f t="shared" si="201"/>
        <v>3</v>
      </c>
      <c r="D456" s="45"/>
      <c r="E456" s="46" t="s">
        <v>209</v>
      </c>
      <c r="F456" s="26" t="str">
        <f t="shared" si="223"/>
        <v/>
      </c>
      <c r="G456" s="26" t="str">
        <f>IFERROR(IF(--MID($E456,2*COUNTIF($F456:F456,"&gt;"&amp;0)+2,1)=G$1,G$1,""),"")</f>
        <v/>
      </c>
      <c r="H456" s="26" t="str">
        <f>IFERROR(IF(--MID($E456,2*COUNTIF($F456:G456,"&gt;"&amp;0)+2,1)=H$1,H$1,""),"")</f>
        <v/>
      </c>
      <c r="I456" s="26" t="str">
        <f>IFERROR(IF(--MID($E456,2*COUNTIF($F456:H456,"&gt;"&amp;0)+2,1)=I$1,I$1,""),"")</f>
        <v/>
      </c>
      <c r="J456" s="26" t="str">
        <f>IFERROR(IF(--MID($E456,2*COUNTIF($F456:I456,"&gt;"&amp;0)+2,1)=J$1,J$1,""),"")</f>
        <v/>
      </c>
      <c r="K456" s="26">
        <f>IFERROR(IF(--MID($E456,2*COUNTIF($F456:J456,"&gt;"&amp;0)+2,1)=K$1,K$1,""),"")</f>
        <v>6</v>
      </c>
      <c r="L456" s="39" t="str" cm="1">
        <f t="array" ref="L456">IFERROR(IF($A456="","",IF(F456="","",_xlfn.XLOOKUP($C456&amp;"_"&amp;$AG456,符文权重!$A:$A&amp;"_"&amp;符文权重!$C:$C,符文权重!$D:$D)*$X456/SUMIFS($X:$X,F:F,F456,$C:$C,$C456,$AG:$AG,$AG456)/SUMIF(符文权重!$A:$A,$C456,符文权重!$D:$D))),"")</f>
        <v/>
      </c>
      <c r="M456" s="39" t="str" cm="1">
        <f t="array" ref="M456">IFERROR(IF($A456="","",IF(G456="","",_xlfn.XLOOKUP($C456&amp;"_"&amp;$AG456,符文权重!$A:$A&amp;"_"&amp;符文权重!$C:$C,符文权重!$D:$D)*$X456/SUMIFS($X:$X,G:G,G456,$C:$C,$C456,$AG:$AG,$AG456)/SUMIF(符文权重!$A:$A,$C456,符文权重!$D:$D))),"")</f>
        <v/>
      </c>
      <c r="N456" s="39" t="str" cm="1">
        <f t="array" ref="N456">IFERROR(IF($A456="","",IF(H456="","",_xlfn.XLOOKUP($C456&amp;"_"&amp;$AG456,符文权重!$A:$A&amp;"_"&amp;符文权重!$C:$C,符文权重!$D:$D)*$X456/SUMIFS($X:$X,H:H,H456,$C:$C,$C456,$AG:$AG,$AG456)/SUMIF(符文权重!$A:$A,$C456,符文权重!$D:$D))),"")</f>
        <v/>
      </c>
      <c r="O456" s="39" t="str" cm="1">
        <f t="array" ref="O456">IFERROR(IF($A456="","",IF(I456="","",_xlfn.XLOOKUP($C456&amp;"_"&amp;$AG456,符文权重!$A:$A&amp;"_"&amp;符文权重!$C:$C,符文权重!$D:$D)*$X456/SUMIFS($X:$X,I:I,I456,$C:$C,$C456,$AG:$AG,$AG456)/SUMIF(符文权重!$A:$A,$C456,符文权重!$D:$D))),"")</f>
        <v/>
      </c>
      <c r="P456" s="39" t="str" cm="1">
        <f t="array" ref="P456">IFERROR(IF($A456="","",IF(J456="","",_xlfn.XLOOKUP($C456&amp;"_"&amp;$AG456,符文权重!$A:$A&amp;"_"&amp;符文权重!$C:$C,符文权重!$D:$D)*$X456/SUMIFS($X:$X,J:J,J456,$C:$C,$C456,$AG:$AG,$AG456)/SUMIF(符文权重!$A:$A,$C456,符文权重!$D:$D))),"")</f>
        <v/>
      </c>
      <c r="Q456" s="39" t="str" cm="1">
        <f t="array" ref="Q456">IFERROR(IF($A456="","",IF(K456="","",_xlfn.XLOOKUP($C456&amp;"_"&amp;$AG456,符文权重!$A:$A&amp;"_"&amp;符文权重!$C:$C,符文权重!$D:$D)*$X456/SUMIFS($X:$X,K:K,K456,$C:$C,$C456,$AG:$AG,$AG456)/SUMIF(符文权重!$A:$A,$C456,符文权重!$D:$D))),"")</f>
        <v/>
      </c>
      <c r="R456" s="46" t="s">
        <v>181</v>
      </c>
      <c r="S456" s="46" t="s">
        <v>209</v>
      </c>
      <c r="T456" s="46" t="e">
        <f>IF(B456="","",SUBSTITUTE(SUBSTITUTE("[{global_atk,"&amp;#REF!*C456&amp;"}]",21,20),9,8))</f>
        <v>#REF!</v>
      </c>
      <c r="U456" s="47" t="str">
        <f t="shared" si="222"/>
        <v>[5505163]</v>
      </c>
      <c r="V456" s="46"/>
      <c r="X456" s="25">
        <v>100</v>
      </c>
      <c r="Z456" s="45" t="s">
        <v>172</v>
      </c>
      <c r="AA456" s="32" t="str">
        <f t="shared" si="199"/>
        <v>毒系职业中毒层数上限提升35%</v>
      </c>
      <c r="AB456" s="32"/>
      <c r="AC456" s="32" t="s">
        <v>166</v>
      </c>
      <c r="AD456" s="32">
        <f t="shared" ref="AD456:AD519" si="226">AD455+1</f>
        <v>1451</v>
      </c>
      <c r="AE456" s="44" t="str">
        <f t="shared" si="202"/>
        <v>5505161</v>
      </c>
      <c r="AF456" s="45" t="str">
        <f t="shared" si="203"/>
        <v>[35]</v>
      </c>
      <c r="AG456" s="26">
        <v>100</v>
      </c>
      <c r="AH456" s="46"/>
      <c r="AI456" s="46">
        <v>1</v>
      </c>
      <c r="AJ456" s="25">
        <v>1</v>
      </c>
      <c r="AK456" s="44">
        <f t="shared" si="224"/>
        <v>5505163</v>
      </c>
      <c r="AL456" s="50" t="str">
        <f t="shared" si="225"/>
        <v>毒系职业中毒层数上限提升&lt;color=#54b76b&gt;%s%&lt;/color&gt;</v>
      </c>
      <c r="AM456" s="46">
        <v>35</v>
      </c>
      <c r="AN456" s="25"/>
      <c r="AO456" s="26" t="s">
        <v>32</v>
      </c>
      <c r="AP456" s="20">
        <f t="shared" ref="AP456:AP519" si="227">AP455+1</f>
        <v>451</v>
      </c>
    </row>
    <row r="457" customHeight="1" spans="1:42">
      <c r="A457" s="38">
        <v>5505164</v>
      </c>
      <c r="B457" s="38" t="str">
        <f t="shared" si="200"/>
        <v>5505161</v>
      </c>
      <c r="C457" s="32">
        <f t="shared" si="201"/>
        <v>4</v>
      </c>
      <c r="D457" s="32"/>
      <c r="E457" s="26" t="s">
        <v>209</v>
      </c>
      <c r="F457" s="26" t="str">
        <f t="shared" si="223"/>
        <v/>
      </c>
      <c r="G457" s="26" t="str">
        <f>IFERROR(IF(--MID($E457,2*COUNTIF($F457:F457,"&gt;"&amp;0)+2,1)=G$1,G$1,""),"")</f>
        <v/>
      </c>
      <c r="H457" s="26" t="str">
        <f>IFERROR(IF(--MID($E457,2*COUNTIF($F457:G457,"&gt;"&amp;0)+2,1)=H$1,H$1,""),"")</f>
        <v/>
      </c>
      <c r="I457" s="26" t="str">
        <f>IFERROR(IF(--MID($E457,2*COUNTIF($F457:H457,"&gt;"&amp;0)+2,1)=I$1,I$1,""),"")</f>
        <v/>
      </c>
      <c r="J457" s="26" t="str">
        <f>IFERROR(IF(--MID($E457,2*COUNTIF($F457:I457,"&gt;"&amp;0)+2,1)=J$1,J$1,""),"")</f>
        <v/>
      </c>
      <c r="K457" s="26">
        <f>IFERROR(IF(--MID($E457,2*COUNTIF($F457:J457,"&gt;"&amp;0)+2,1)=K$1,K$1,""),"")</f>
        <v>6</v>
      </c>
      <c r="L457" s="39" t="str" cm="1">
        <f t="array" ref="L457">IFERROR(IF($A457="","",IF(F457="","",_xlfn.XLOOKUP($C457&amp;"_"&amp;$AG457,符文权重!$A:$A&amp;"_"&amp;符文权重!$C:$C,符文权重!$D:$D)*$X457/SUMIFS($X:$X,F:F,F457,$C:$C,$C457,$AG:$AG,$AG457)/SUMIF(符文权重!$A:$A,$C457,符文权重!$D:$D))),"")</f>
        <v/>
      </c>
      <c r="M457" s="39" t="str" cm="1">
        <f t="array" ref="M457">IFERROR(IF($A457="","",IF(G457="","",_xlfn.XLOOKUP($C457&amp;"_"&amp;$AG457,符文权重!$A:$A&amp;"_"&amp;符文权重!$C:$C,符文权重!$D:$D)*$X457/SUMIFS($X:$X,G:G,G457,$C:$C,$C457,$AG:$AG,$AG457)/SUMIF(符文权重!$A:$A,$C457,符文权重!$D:$D))),"")</f>
        <v/>
      </c>
      <c r="N457" s="39" t="str" cm="1">
        <f t="array" ref="N457">IFERROR(IF($A457="","",IF(H457="","",_xlfn.XLOOKUP($C457&amp;"_"&amp;$AG457,符文权重!$A:$A&amp;"_"&amp;符文权重!$C:$C,符文权重!$D:$D)*$X457/SUMIFS($X:$X,H:H,H457,$C:$C,$C457,$AG:$AG,$AG457)/SUMIF(符文权重!$A:$A,$C457,符文权重!$D:$D))),"")</f>
        <v/>
      </c>
      <c r="O457" s="39" t="str" cm="1">
        <f t="array" ref="O457">IFERROR(IF($A457="","",IF(I457="","",_xlfn.XLOOKUP($C457&amp;"_"&amp;$AG457,符文权重!$A:$A&amp;"_"&amp;符文权重!$C:$C,符文权重!$D:$D)*$X457/SUMIFS($X:$X,I:I,I457,$C:$C,$C457,$AG:$AG,$AG457)/SUMIF(符文权重!$A:$A,$C457,符文权重!$D:$D))),"")</f>
        <v/>
      </c>
      <c r="P457" s="39" t="str" cm="1">
        <f t="array" ref="P457">IFERROR(IF($A457="","",IF(J457="","",_xlfn.XLOOKUP($C457&amp;"_"&amp;$AG457,符文权重!$A:$A&amp;"_"&amp;符文权重!$C:$C,符文权重!$D:$D)*$X457/SUMIFS($X:$X,J:J,J457,$C:$C,$C457,$AG:$AG,$AG457)/SUMIF(符文权重!$A:$A,$C457,符文权重!$D:$D))),"")</f>
        <v/>
      </c>
      <c r="Q457" s="60" cm="1">
        <f t="array" ref="Q457">IFERROR(IF($A457="","",IF(K457="","",_xlfn.XLOOKUP($C457&amp;"_"&amp;$AG457,符文权重!$A:$A&amp;"_"&amp;符文权重!$C:$C,符文权重!$D:$D)*$X457/SUMIFS($X:$X,K:K,K457,$C:$C,$C457,$AG:$AG,$AG457)/SUMIF(符文权重!$A:$A,$C457,符文权重!$D:$D))),"")</f>
        <v>0.00474242424242424</v>
      </c>
      <c r="R457" s="26" t="s">
        <v>181</v>
      </c>
      <c r="S457" s="26" t="s">
        <v>209</v>
      </c>
      <c r="T457" s="26" t="e">
        <f>IF(B457="","",SUBSTITUTE(SUBSTITUTE("[{global_atk,"&amp;#REF!*C457&amp;"}]",21,20),9,8))</f>
        <v>#REF!</v>
      </c>
      <c r="U457" s="40" t="str">
        <f t="shared" si="222"/>
        <v>[5505164]</v>
      </c>
      <c r="X457" s="25">
        <v>4</v>
      </c>
      <c r="Z457" s="32" t="s">
        <v>174</v>
      </c>
      <c r="AA457" s="32" t="str">
        <f t="shared" si="199"/>
        <v>毒系职业中毒层数上限提升50%</v>
      </c>
      <c r="AB457" s="32"/>
      <c r="AC457" s="32" t="s">
        <v>166</v>
      </c>
      <c r="AD457" s="32">
        <f t="shared" si="226"/>
        <v>1452</v>
      </c>
      <c r="AE457" s="38" t="str">
        <f t="shared" si="202"/>
        <v>5505161</v>
      </c>
      <c r="AF457" s="32" t="str">
        <f t="shared" si="203"/>
        <v>[50]</v>
      </c>
      <c r="AG457" s="26">
        <v>3</v>
      </c>
      <c r="AH457" s="26"/>
      <c r="AI457" s="26">
        <v>0</v>
      </c>
      <c r="AJ457" s="25">
        <v>1</v>
      </c>
      <c r="AK457" s="38">
        <f t="shared" si="224"/>
        <v>5505164</v>
      </c>
      <c r="AL457" s="41" t="str">
        <f t="shared" si="225"/>
        <v>毒系职业中毒层数上限提升&lt;color=#54b76b&gt;%s%&lt;/color&gt;</v>
      </c>
      <c r="AM457" s="26">
        <v>50</v>
      </c>
      <c r="AN457" s="25">
        <v>5</v>
      </c>
      <c r="AO457" s="26" t="s">
        <v>32</v>
      </c>
      <c r="AP457" s="20">
        <f t="shared" si="227"/>
        <v>452</v>
      </c>
    </row>
    <row r="458" customHeight="1" spans="1:42">
      <c r="A458" s="38">
        <v>5505165</v>
      </c>
      <c r="B458" s="38" t="str">
        <f t="shared" si="200"/>
        <v>5505161</v>
      </c>
      <c r="C458" s="32">
        <f t="shared" si="201"/>
        <v>5</v>
      </c>
      <c r="D458" s="32"/>
      <c r="E458" s="26" t="s">
        <v>209</v>
      </c>
      <c r="F458" s="26" t="str">
        <f t="shared" si="223"/>
        <v/>
      </c>
      <c r="G458" s="26" t="str">
        <f>IFERROR(IF(--MID($E458,2*COUNTIF($F458:F458,"&gt;"&amp;0)+2,1)=G$1,G$1,""),"")</f>
        <v/>
      </c>
      <c r="H458" s="26" t="str">
        <f>IFERROR(IF(--MID($E458,2*COUNTIF($F458:G458,"&gt;"&amp;0)+2,1)=H$1,H$1,""),"")</f>
        <v/>
      </c>
      <c r="I458" s="26" t="str">
        <f>IFERROR(IF(--MID($E458,2*COUNTIF($F458:H458,"&gt;"&amp;0)+2,1)=I$1,I$1,""),"")</f>
        <v/>
      </c>
      <c r="J458" s="26" t="str">
        <f>IFERROR(IF(--MID($E458,2*COUNTIF($F458:I458,"&gt;"&amp;0)+2,1)=J$1,J$1,""),"")</f>
        <v/>
      </c>
      <c r="K458" s="26">
        <f>IFERROR(IF(--MID($E458,2*COUNTIF($F458:J458,"&gt;"&amp;0)+2,1)=K$1,K$1,""),"")</f>
        <v>6</v>
      </c>
      <c r="L458" s="39" t="str" cm="1">
        <f t="array" ref="L458">IFERROR(IF($A458="","",IF(F458="","",_xlfn.XLOOKUP($C458&amp;"_"&amp;$AG458,符文权重!$A:$A&amp;"_"&amp;符文权重!$C:$C,符文权重!$D:$D)*$X458/SUMIFS($X:$X,F:F,F458,$C:$C,$C458,$AG:$AG,$AG458)/SUMIF(符文权重!$A:$A,$C458,符文权重!$D:$D))),"")</f>
        <v/>
      </c>
      <c r="M458" s="39" t="str" cm="1">
        <f t="array" ref="M458">IFERROR(IF($A458="","",IF(G458="","",_xlfn.XLOOKUP($C458&amp;"_"&amp;$AG458,符文权重!$A:$A&amp;"_"&amp;符文权重!$C:$C,符文权重!$D:$D)*$X458/SUMIFS($X:$X,G:G,G458,$C:$C,$C458,$AG:$AG,$AG458)/SUMIF(符文权重!$A:$A,$C458,符文权重!$D:$D))),"")</f>
        <v/>
      </c>
      <c r="N458" s="39" t="str" cm="1">
        <f t="array" ref="N458">IFERROR(IF($A458="","",IF(H458="","",_xlfn.XLOOKUP($C458&amp;"_"&amp;$AG458,符文权重!$A:$A&amp;"_"&amp;符文权重!$C:$C,符文权重!$D:$D)*$X458/SUMIFS($X:$X,H:H,H458,$C:$C,$C458,$AG:$AG,$AG458)/SUMIF(符文权重!$A:$A,$C458,符文权重!$D:$D))),"")</f>
        <v/>
      </c>
      <c r="O458" s="39" t="str" cm="1">
        <f t="array" ref="O458">IFERROR(IF($A458="","",IF(I458="","",_xlfn.XLOOKUP($C458&amp;"_"&amp;$AG458,符文权重!$A:$A&amp;"_"&amp;符文权重!$C:$C,符文权重!$D:$D)*$X458/SUMIFS($X:$X,I:I,I458,$C:$C,$C458,$AG:$AG,$AG458)/SUMIF(符文权重!$A:$A,$C458,符文权重!$D:$D))),"")</f>
        <v/>
      </c>
      <c r="P458" s="39" t="str" cm="1">
        <f t="array" ref="P458">IFERROR(IF($A458="","",IF(J458="","",_xlfn.XLOOKUP($C458&amp;"_"&amp;$AG458,符文权重!$A:$A&amp;"_"&amp;符文权重!$C:$C,符文权重!$D:$D)*$X458/SUMIFS($X:$X,J:J,J458,$C:$C,$C458,$AG:$AG,$AG458)/SUMIF(符文权重!$A:$A,$C458,符文权重!$D:$D))),"")</f>
        <v/>
      </c>
      <c r="Q458" s="39" cm="1">
        <f t="array" ref="Q458">IFERROR(IF($A458="","",IF(K458="","",_xlfn.XLOOKUP($C458&amp;"_"&amp;$AG458,符文权重!$A:$A&amp;"_"&amp;符文权重!$C:$C,符文权重!$D:$D)*$X458/SUMIFS($X:$X,K:K,K458,$C:$C,$C458,$AG:$AG,$AG458)/SUMIF(符文权重!$A:$A,$C458,符文权重!$D:$D))),"")</f>
        <v>0.005625</v>
      </c>
      <c r="R458" s="26" t="s">
        <v>181</v>
      </c>
      <c r="S458" s="26" t="s">
        <v>209</v>
      </c>
      <c r="T458" s="26" t="e">
        <f>IF(B458="","",SUBSTITUTE(SUBSTITUTE("[{global_atk,"&amp;#REF!*C458&amp;"}]",21,20),9,8))</f>
        <v>#REF!</v>
      </c>
      <c r="U458" s="40" t="str">
        <f t="shared" si="222"/>
        <v>[5505165]</v>
      </c>
      <c r="X458" s="25">
        <v>100</v>
      </c>
      <c r="Z458" s="32" t="s">
        <v>176</v>
      </c>
      <c r="AA458" s="32" t="str">
        <f t="shared" si="199"/>
        <v>毒系职业中毒层数上限提升80%</v>
      </c>
      <c r="AB458" s="32"/>
      <c r="AC458" s="32" t="s">
        <v>166</v>
      </c>
      <c r="AD458" s="32">
        <f t="shared" si="226"/>
        <v>1453</v>
      </c>
      <c r="AE458" s="38" t="str">
        <f t="shared" si="202"/>
        <v>5505161</v>
      </c>
      <c r="AF458" s="32" t="str">
        <f t="shared" si="203"/>
        <v>[80]</v>
      </c>
      <c r="AG458" s="26">
        <v>5</v>
      </c>
      <c r="AH458" s="26"/>
      <c r="AI458" s="26">
        <v>0</v>
      </c>
      <c r="AJ458" s="25">
        <v>1</v>
      </c>
      <c r="AK458" s="38">
        <f t="shared" si="224"/>
        <v>5505165</v>
      </c>
      <c r="AL458" s="41" t="str">
        <f t="shared" si="225"/>
        <v>毒系职业中毒层数上限提升&lt;color=#54b76b&gt;%s%&lt;/color&gt;</v>
      </c>
      <c r="AM458" s="26">
        <v>80</v>
      </c>
      <c r="AN458" s="25">
        <v>5</v>
      </c>
      <c r="AO458" s="26" t="s">
        <v>32</v>
      </c>
      <c r="AP458" s="20">
        <f t="shared" si="227"/>
        <v>453</v>
      </c>
    </row>
    <row r="459" customHeight="1" spans="1:42">
      <c r="A459" s="38">
        <v>5505166</v>
      </c>
      <c r="B459" s="38" t="str">
        <f t="shared" si="200"/>
        <v>5505161</v>
      </c>
      <c r="C459" s="32">
        <f t="shared" si="201"/>
        <v>6</v>
      </c>
      <c r="D459" s="32"/>
      <c r="E459" s="26" t="s">
        <v>209</v>
      </c>
      <c r="F459" s="26" t="str">
        <f t="shared" si="223"/>
        <v/>
      </c>
      <c r="G459" s="26" t="str">
        <f>IFERROR(IF(--MID($E459,2*COUNTIF($F459:F459,"&gt;"&amp;0)+2,1)=G$1,G$1,""),"")</f>
        <v/>
      </c>
      <c r="H459" s="26" t="str">
        <f>IFERROR(IF(--MID($E459,2*COUNTIF($F459:G459,"&gt;"&amp;0)+2,1)=H$1,H$1,""),"")</f>
        <v/>
      </c>
      <c r="I459" s="26" t="str">
        <f>IFERROR(IF(--MID($E459,2*COUNTIF($F459:H459,"&gt;"&amp;0)+2,1)=I$1,I$1,""),"")</f>
        <v/>
      </c>
      <c r="J459" s="26" t="str">
        <f>IFERROR(IF(--MID($E459,2*COUNTIF($F459:I459,"&gt;"&amp;0)+2,1)=J$1,J$1,""),"")</f>
        <v/>
      </c>
      <c r="K459" s="26">
        <f>IFERROR(IF(--MID($E459,2*COUNTIF($F459:J459,"&gt;"&amp;0)+2,1)=K$1,K$1,""),"")</f>
        <v>6</v>
      </c>
      <c r="L459" s="39" t="str" cm="1">
        <f t="array" ref="L459">IFERROR(IF($A459="","",IF(F459="","",_xlfn.XLOOKUP($C459&amp;"_"&amp;$AG459,符文权重!$A:$A&amp;"_"&amp;符文权重!$C:$C,符文权重!$D:$D)*$X459/SUMIFS($X:$X,F:F,F459,$C:$C,$C459,$AG:$AG,$AG459)/SUMIF(符文权重!$A:$A,$C459,符文权重!$D:$D))),"")</f>
        <v/>
      </c>
      <c r="M459" s="39" t="str" cm="1">
        <f t="array" ref="M459">IFERROR(IF($A459="","",IF(G459="","",_xlfn.XLOOKUP($C459&amp;"_"&amp;$AG459,符文权重!$A:$A&amp;"_"&amp;符文权重!$C:$C,符文权重!$D:$D)*$X459/SUMIFS($X:$X,G:G,G459,$C:$C,$C459,$AG:$AG,$AG459)/SUMIF(符文权重!$A:$A,$C459,符文权重!$D:$D))),"")</f>
        <v/>
      </c>
      <c r="N459" s="39" t="str" cm="1">
        <f t="array" ref="N459">IFERROR(IF($A459="","",IF(H459="","",_xlfn.XLOOKUP($C459&amp;"_"&amp;$AG459,符文权重!$A:$A&amp;"_"&amp;符文权重!$C:$C,符文权重!$D:$D)*$X459/SUMIFS($X:$X,H:H,H459,$C:$C,$C459,$AG:$AG,$AG459)/SUMIF(符文权重!$A:$A,$C459,符文权重!$D:$D))),"")</f>
        <v/>
      </c>
      <c r="O459" s="39" t="str" cm="1">
        <f t="array" ref="O459">IFERROR(IF($A459="","",IF(I459="","",_xlfn.XLOOKUP($C459&amp;"_"&amp;$AG459,符文权重!$A:$A&amp;"_"&amp;符文权重!$C:$C,符文权重!$D:$D)*$X459/SUMIFS($X:$X,I:I,I459,$C:$C,$C459,$AG:$AG,$AG459)/SUMIF(符文权重!$A:$A,$C459,符文权重!$D:$D))),"")</f>
        <v/>
      </c>
      <c r="P459" s="39" t="str" cm="1">
        <f t="array" ref="P459">IFERROR(IF($A459="","",IF(J459="","",_xlfn.XLOOKUP($C459&amp;"_"&amp;$AG459,符文权重!$A:$A&amp;"_"&amp;符文权重!$C:$C,符文权重!$D:$D)*$X459/SUMIFS($X:$X,J:J,J459,$C:$C,$C459,$AG:$AG,$AG459)/SUMIF(符文权重!$A:$A,$C459,符文权重!$D:$D))),"")</f>
        <v/>
      </c>
      <c r="Q459" s="39" cm="1">
        <f t="array" ref="Q459">IFERROR(IF($A459="","",IF(K459="","",_xlfn.XLOOKUP($C459&amp;"_"&amp;$AG459,符文权重!$A:$A&amp;"_"&amp;符文权重!$C:$C,符文权重!$D:$D)*$X459/SUMIFS($X:$X,K:K,K459,$C:$C,$C459,$AG:$AG,$AG459)/SUMIF(符文权重!$A:$A,$C459,符文权重!$D:$D))),"")</f>
        <v>0.005625</v>
      </c>
      <c r="R459" s="26" t="s">
        <v>181</v>
      </c>
      <c r="S459" s="26" t="s">
        <v>209</v>
      </c>
      <c r="T459" s="26" t="e">
        <f>IF(B459="","",SUBSTITUTE(SUBSTITUTE("[{global_atk,"&amp;#REF!*C459&amp;"}]",21,20),9,8))</f>
        <v>#REF!</v>
      </c>
      <c r="U459" s="40" t="str">
        <f t="shared" si="222"/>
        <v>[5505166]</v>
      </c>
      <c r="X459" s="25">
        <v>100</v>
      </c>
      <c r="Z459" s="32" t="s">
        <v>178</v>
      </c>
      <c r="AA459" s="32" t="str">
        <f t="shared" si="199"/>
        <v>毒系职业中毒层数上限提升110%</v>
      </c>
      <c r="AB459" s="32"/>
      <c r="AC459" s="32" t="s">
        <v>166</v>
      </c>
      <c r="AD459" s="32">
        <f t="shared" si="226"/>
        <v>1454</v>
      </c>
      <c r="AE459" s="38" t="str">
        <f t="shared" si="202"/>
        <v>5505161</v>
      </c>
      <c r="AF459" s="32" t="str">
        <f t="shared" si="203"/>
        <v>[110]</v>
      </c>
      <c r="AG459" s="26">
        <v>5</v>
      </c>
      <c r="AH459" s="26"/>
      <c r="AI459" s="26">
        <v>0</v>
      </c>
      <c r="AJ459" s="25">
        <v>1</v>
      </c>
      <c r="AK459" s="38">
        <f t="shared" si="224"/>
        <v>5505166</v>
      </c>
      <c r="AL459" s="41" t="str">
        <f t="shared" si="225"/>
        <v>毒系职业中毒层数上限提升&lt;color=#54b76b&gt;%s%&lt;/color&gt;</v>
      </c>
      <c r="AM459" s="26">
        <v>110</v>
      </c>
      <c r="AN459" s="25">
        <v>5</v>
      </c>
      <c r="AO459" s="26" t="s">
        <v>32</v>
      </c>
      <c r="AP459" s="20">
        <f t="shared" si="227"/>
        <v>454</v>
      </c>
    </row>
    <row r="460" customHeight="1" spans="1:42">
      <c r="A460" s="38">
        <v>5505167</v>
      </c>
      <c r="B460" s="38" t="str">
        <f t="shared" si="200"/>
        <v>5505161</v>
      </c>
      <c r="C460" s="32">
        <f t="shared" si="201"/>
        <v>7</v>
      </c>
      <c r="D460" s="32"/>
      <c r="E460" s="26" t="s">
        <v>209</v>
      </c>
      <c r="F460" s="26" t="str">
        <f t="shared" si="223"/>
        <v/>
      </c>
      <c r="G460" s="26" t="str">
        <f>IFERROR(IF(--MID($E460,2*COUNTIF($F460:F460,"&gt;"&amp;0)+2,1)=G$1,G$1,""),"")</f>
        <v/>
      </c>
      <c r="H460" s="26" t="str">
        <f>IFERROR(IF(--MID($E460,2*COUNTIF($F460:G460,"&gt;"&amp;0)+2,1)=H$1,H$1,""),"")</f>
        <v/>
      </c>
      <c r="I460" s="26" t="str">
        <f>IFERROR(IF(--MID($E460,2*COUNTIF($F460:H460,"&gt;"&amp;0)+2,1)=I$1,I$1,""),"")</f>
        <v/>
      </c>
      <c r="J460" s="26" t="str">
        <f>IFERROR(IF(--MID($E460,2*COUNTIF($F460:I460,"&gt;"&amp;0)+2,1)=J$1,J$1,""),"")</f>
        <v/>
      </c>
      <c r="K460" s="26">
        <f>IFERROR(IF(--MID($E460,2*COUNTIF($F460:J460,"&gt;"&amp;0)+2,1)=K$1,K$1,""),"")</f>
        <v>6</v>
      </c>
      <c r="L460" s="39" t="str" cm="1">
        <f t="array" ref="L460">IFERROR(IF($A460="","",IF(F460="","",_xlfn.XLOOKUP($C460&amp;"_"&amp;$AG460,符文权重!$A:$A&amp;"_"&amp;符文权重!$C:$C,符文权重!$D:$D)*$X460/SUMIFS($X:$X,F:F,F460,$C:$C,$C460,$AG:$AG,$AG460)/SUMIF(符文权重!$A:$A,$C460,符文权重!$D:$D))),"")</f>
        <v/>
      </c>
      <c r="M460" s="39" t="str" cm="1">
        <f t="array" ref="M460">IFERROR(IF($A460="","",IF(G460="","",_xlfn.XLOOKUP($C460&amp;"_"&amp;$AG460,符文权重!$A:$A&amp;"_"&amp;符文权重!$C:$C,符文权重!$D:$D)*$X460/SUMIFS($X:$X,G:G,G460,$C:$C,$C460,$AG:$AG,$AG460)/SUMIF(符文权重!$A:$A,$C460,符文权重!$D:$D))),"")</f>
        <v/>
      </c>
      <c r="N460" s="39" t="str" cm="1">
        <f t="array" ref="N460">IFERROR(IF($A460="","",IF(H460="","",_xlfn.XLOOKUP($C460&amp;"_"&amp;$AG460,符文权重!$A:$A&amp;"_"&amp;符文权重!$C:$C,符文权重!$D:$D)*$X460/SUMIFS($X:$X,H:H,H460,$C:$C,$C460,$AG:$AG,$AG460)/SUMIF(符文权重!$A:$A,$C460,符文权重!$D:$D))),"")</f>
        <v/>
      </c>
      <c r="O460" s="39" t="str" cm="1">
        <f t="array" ref="O460">IFERROR(IF($A460="","",IF(I460="","",_xlfn.XLOOKUP($C460&amp;"_"&amp;$AG460,符文权重!$A:$A&amp;"_"&amp;符文权重!$C:$C,符文权重!$D:$D)*$X460/SUMIFS($X:$X,I:I,I460,$C:$C,$C460,$AG:$AG,$AG460)/SUMIF(符文权重!$A:$A,$C460,符文权重!$D:$D))),"")</f>
        <v/>
      </c>
      <c r="P460" s="39" t="str" cm="1">
        <f t="array" ref="P460">IFERROR(IF($A460="","",IF(J460="","",_xlfn.XLOOKUP($C460&amp;"_"&amp;$AG460,符文权重!$A:$A&amp;"_"&amp;符文权重!$C:$C,符文权重!$D:$D)*$X460/SUMIFS($X:$X,J:J,J460,$C:$C,$C460,$AG:$AG,$AG460)/SUMIF(符文权重!$A:$A,$C460,符文权重!$D:$D))),"")</f>
        <v/>
      </c>
      <c r="Q460" s="39" cm="1">
        <f t="array" ref="Q460">IFERROR(IF($A460="","",IF(K460="","",_xlfn.XLOOKUP($C460&amp;"_"&amp;$AG460,符文权重!$A:$A&amp;"_"&amp;符文权重!$C:$C,符文权重!$D:$D)*$X460/SUMIFS($X:$X,K:K,K460,$C:$C,$C460,$AG:$AG,$AG460)/SUMIF(符文权重!$A:$A,$C460,符文权重!$D:$D))),"")</f>
        <v>0.005625</v>
      </c>
      <c r="R460" s="26" t="s">
        <v>181</v>
      </c>
      <c r="S460" s="26" t="s">
        <v>209</v>
      </c>
      <c r="T460" s="26" t="e">
        <f>IF(B460="","",SUBSTITUTE(SUBSTITUTE("[{global_atk,"&amp;#REF!*C460&amp;"}]",21,20),9,8))</f>
        <v>#REF!</v>
      </c>
      <c r="U460" s="40" t="str">
        <f t="shared" si="222"/>
        <v>[5505167]</v>
      </c>
      <c r="X460" s="25">
        <v>100</v>
      </c>
      <c r="Z460" s="32" t="s">
        <v>180</v>
      </c>
      <c r="AA460" s="32" t="str">
        <f t="shared" si="199"/>
        <v>毒系职业中毒层数上限提升140%</v>
      </c>
      <c r="AB460" s="32"/>
      <c r="AC460" s="32" t="s">
        <v>166</v>
      </c>
      <c r="AD460" s="32">
        <f t="shared" si="226"/>
        <v>1455</v>
      </c>
      <c r="AE460" s="38" t="str">
        <f t="shared" si="202"/>
        <v>5505161</v>
      </c>
      <c r="AF460" s="32" t="str">
        <f t="shared" si="203"/>
        <v>[140]</v>
      </c>
      <c r="AG460" s="26">
        <v>5</v>
      </c>
      <c r="AH460" s="26"/>
      <c r="AI460" s="26">
        <v>0</v>
      </c>
      <c r="AJ460" s="25">
        <v>1</v>
      </c>
      <c r="AK460" s="38">
        <f t="shared" si="224"/>
        <v>5505167</v>
      </c>
      <c r="AL460" s="41" t="str">
        <f t="shared" si="225"/>
        <v>毒系职业中毒层数上限提升&lt;color=#54b76b&gt;%s%&lt;/color&gt;</v>
      </c>
      <c r="AM460" s="26">
        <v>140</v>
      </c>
      <c r="AN460" s="25">
        <v>5</v>
      </c>
      <c r="AO460" s="26" t="s">
        <v>32</v>
      </c>
      <c r="AP460" s="20">
        <f t="shared" si="227"/>
        <v>455</v>
      </c>
    </row>
    <row r="461" s="20" customFormat="1" customHeight="1" spans="1:42">
      <c r="A461" s="38" t="s">
        <v>167</v>
      </c>
      <c r="B461" s="38" t="str">
        <f t="shared" si="200"/>
        <v/>
      </c>
      <c r="C461" s="32" t="str">
        <f t="shared" si="201"/>
        <v/>
      </c>
      <c r="D461" s="32"/>
      <c r="E461" s="26"/>
      <c r="F461" s="26" t="str">
        <f t="shared" si="223"/>
        <v/>
      </c>
      <c r="G461" s="26" t="str">
        <f>IFERROR(IF(--MID($E461,2*COUNTIF($F461:F461,"&gt;"&amp;0)+2,1)=G$1,G$1,""),"")</f>
        <v/>
      </c>
      <c r="H461" s="26" t="str">
        <f>IFERROR(IF(--MID($E461,2*COUNTIF($F461:G461,"&gt;"&amp;0)+2,1)=H$1,H$1,""),"")</f>
        <v/>
      </c>
      <c r="I461" s="26" t="str">
        <f>IFERROR(IF(--MID($E461,2*COUNTIF($F461:H461,"&gt;"&amp;0)+2,1)=I$1,I$1,""),"")</f>
        <v/>
      </c>
      <c r="J461" s="26" t="str">
        <f>IFERROR(IF(--MID($E461,2*COUNTIF($F461:I461,"&gt;"&amp;0)+2,1)=J$1,J$1,""),"")</f>
        <v/>
      </c>
      <c r="K461" s="26" t="str">
        <f>IFERROR(IF(--MID($E461,2*COUNTIF($F461:J461,"&gt;"&amp;0)+2,1)=K$1,K$1,""),"")</f>
        <v/>
      </c>
      <c r="L461" s="39" t="str" cm="1">
        <f t="array" ref="L461">IFERROR(IF($A461="","",IF(F461="","",_xlfn.XLOOKUP($C461&amp;"_"&amp;$AG461,符文权重!$A:$A&amp;"_"&amp;符文权重!$C:$C,符文权重!$D:$D)*$X461/SUMIFS($X:$X,F:F,F461,$C:$C,$C461,$AG:$AG,$AG461)/SUMIF(符文权重!$A:$A,$C461,符文权重!$D:$D))),"")</f>
        <v/>
      </c>
      <c r="M461" s="39" t="str" cm="1">
        <f t="array" ref="M461">IFERROR(IF($A461="","",IF(G461="","",_xlfn.XLOOKUP($C461&amp;"_"&amp;$AG461,符文权重!$A:$A&amp;"_"&amp;符文权重!$C:$C,符文权重!$D:$D)*$X461/SUMIFS($X:$X,G:G,G461,$C:$C,$C461,$AG:$AG,$AG461)/SUMIF(符文权重!$A:$A,$C461,符文权重!$D:$D))),"")</f>
        <v/>
      </c>
      <c r="N461" s="39" t="str" cm="1">
        <f t="array" ref="N461">IFERROR(IF($A461="","",IF(H461="","",_xlfn.XLOOKUP($C461&amp;"_"&amp;$AG461,符文权重!$A:$A&amp;"_"&amp;符文权重!$C:$C,符文权重!$D:$D)*$X461/SUMIFS($X:$X,H:H,H461,$C:$C,$C461,$AG:$AG,$AG461)/SUMIF(符文权重!$A:$A,$C461,符文权重!$D:$D))),"")</f>
        <v/>
      </c>
      <c r="O461" s="39" t="str" cm="1">
        <f t="array" ref="O461">IFERROR(IF($A461="","",IF(I461="","",_xlfn.XLOOKUP($C461&amp;"_"&amp;$AG461,符文权重!$A:$A&amp;"_"&amp;符文权重!$C:$C,符文权重!$D:$D)*$X461/SUMIFS($X:$X,I:I,I461,$C:$C,$C461,$AG:$AG,$AG461)/SUMIF(符文权重!$A:$A,$C461,符文权重!$D:$D))),"")</f>
        <v/>
      </c>
      <c r="P461" s="39" t="str" cm="1">
        <f t="array" ref="P461">IFERROR(IF($A461="","",IF(J461="","",_xlfn.XLOOKUP($C461&amp;"_"&amp;$AG461,符文权重!$A:$A&amp;"_"&amp;符文权重!$C:$C,符文权重!$D:$D)*$X461/SUMIFS($X:$X,J:J,J461,$C:$C,$C461,$AG:$AG,$AG461)/SUMIF(符文权重!$A:$A,$C461,符文权重!$D:$D))),"")</f>
        <v/>
      </c>
      <c r="Q461" s="39" t="str" cm="1">
        <f t="array" ref="Q461">IFERROR(IF($A461="","",IF(K461="","",_xlfn.XLOOKUP($C461&amp;"_"&amp;$AG461,符文权重!$A:$A&amp;"_"&amp;符文权重!$C:$C,符文权重!$D:$D)*$X461/SUMIFS($X:$X,K:K,K461,$C:$C,$C461,$AG:$AG,$AG461)/SUMIF(符文权重!$A:$A,$C461,符文权重!$D:$D))),"")</f>
        <v/>
      </c>
      <c r="R461" s="26"/>
      <c r="S461" s="26"/>
      <c r="T461" s="26"/>
      <c r="V461" s="31"/>
      <c r="W461" s="25"/>
      <c r="X461" s="25"/>
      <c r="Y461" s="25"/>
      <c r="Z461" s="32" t="s">
        <v>167</v>
      </c>
      <c r="AA461" s="32" t="str">
        <f t="shared" si="199"/>
        <v/>
      </c>
      <c r="AB461" s="32"/>
      <c r="AC461" s="32" t="s">
        <v>166</v>
      </c>
      <c r="AD461" s="32">
        <f t="shared" si="226"/>
        <v>1456</v>
      </c>
      <c r="AE461" s="38" t="str">
        <f t="shared" si="202"/>
        <v/>
      </c>
      <c r="AF461" s="32"/>
      <c r="AG461" s="26"/>
      <c r="AH461" s="26"/>
      <c r="AI461" s="26"/>
      <c r="AJ461" s="25" t="s">
        <v>167</v>
      </c>
      <c r="AK461" s="24"/>
      <c r="AL461" s="59"/>
      <c r="AM461" s="26"/>
      <c r="AN461" s="25"/>
      <c r="AO461" s="25"/>
      <c r="AP461" s="20">
        <f t="shared" si="227"/>
        <v>456</v>
      </c>
    </row>
    <row r="462" s="22" customFormat="1" customHeight="1" spans="1:42">
      <c r="A462" s="44">
        <v>5505171</v>
      </c>
      <c r="B462" s="44" t="str">
        <f t="shared" si="200"/>
        <v>5505171</v>
      </c>
      <c r="C462" s="45">
        <f t="shared" si="201"/>
        <v>1</v>
      </c>
      <c r="D462" s="45"/>
      <c r="E462" s="46" t="s">
        <v>218</v>
      </c>
      <c r="F462" s="26" t="str">
        <f t="shared" si="223"/>
        <v/>
      </c>
      <c r="G462" s="26" t="str">
        <f>IFERROR(IF(--MID($E462,2*COUNTIF($F462:F462,"&gt;"&amp;0)+2,1)=G$1,G$1,""),"")</f>
        <v/>
      </c>
      <c r="H462" s="26" t="str">
        <f>IFERROR(IF(--MID($E462,2*COUNTIF($F462:G462,"&gt;"&amp;0)+2,1)=H$1,H$1,""),"")</f>
        <v/>
      </c>
      <c r="I462" s="26" t="str">
        <f>IFERROR(IF(--MID($E462,2*COUNTIF($F462:H462,"&gt;"&amp;0)+2,1)=I$1,I$1,""),"")</f>
        <v/>
      </c>
      <c r="J462" s="26">
        <f>IFERROR(IF(--MID($E462,2*COUNTIF($F462:I462,"&gt;"&amp;0)+2,1)=J$1,J$1,""),"")</f>
        <v>5</v>
      </c>
      <c r="K462" s="26" t="str">
        <f>IFERROR(IF(--MID($E462,2*COUNTIF($F462:J462,"&gt;"&amp;0)+2,1)=K$1,K$1,""),"")</f>
        <v/>
      </c>
      <c r="L462" s="39" t="str" cm="1">
        <f t="array" ref="L462">IFERROR(IF($A462="","",IF(F462="","",_xlfn.XLOOKUP($C462&amp;"_"&amp;$AG462,符文权重!$A:$A&amp;"_"&amp;符文权重!$C:$C,符文权重!$D:$D)*$X462/SUMIFS($X:$X,F:F,F462,$C:$C,$C462,$AG:$AG,$AG462)/SUMIF(符文权重!$A:$A,$C462,符文权重!$D:$D))),"")</f>
        <v/>
      </c>
      <c r="M462" s="39" t="str" cm="1">
        <f t="array" ref="M462">IFERROR(IF($A462="","",IF(G462="","",_xlfn.XLOOKUP($C462&amp;"_"&amp;$AG462,符文权重!$A:$A&amp;"_"&amp;符文权重!$C:$C,符文权重!$D:$D)*$X462/SUMIFS($X:$X,G:G,G462,$C:$C,$C462,$AG:$AG,$AG462)/SUMIF(符文权重!$A:$A,$C462,符文权重!$D:$D))),"")</f>
        <v/>
      </c>
      <c r="N462" s="39" t="str" cm="1">
        <f t="array" ref="N462">IFERROR(IF($A462="","",IF(H462="","",_xlfn.XLOOKUP($C462&amp;"_"&amp;$AG462,符文权重!$A:$A&amp;"_"&amp;符文权重!$C:$C,符文权重!$D:$D)*$X462/SUMIFS($X:$X,H:H,H462,$C:$C,$C462,$AG:$AG,$AG462)/SUMIF(符文权重!$A:$A,$C462,符文权重!$D:$D))),"")</f>
        <v/>
      </c>
      <c r="O462" s="39" t="str" cm="1">
        <f t="array" ref="O462">IFERROR(IF($A462="","",IF(I462="","",_xlfn.XLOOKUP($C462&amp;"_"&amp;$AG462,符文权重!$A:$A&amp;"_"&amp;符文权重!$C:$C,符文权重!$D:$D)*$X462/SUMIFS($X:$X,I:I,I462,$C:$C,$C462,$AG:$AG,$AG462)/SUMIF(符文权重!$A:$A,$C462,符文权重!$D:$D))),"")</f>
        <v/>
      </c>
      <c r="P462" s="39" t="str" cm="1">
        <f t="array" ref="P462">IFERROR(IF($A462="","",IF(J462="","",_xlfn.XLOOKUP($C462&amp;"_"&amp;$AG462,符文权重!$A:$A&amp;"_"&amp;符文权重!$C:$C,符文权重!$D:$D)*$X462/SUMIFS($X:$X,J:J,J462,$C:$C,$C462,$AG:$AG,$AG462)/SUMIF(符文权重!$A:$A,$C462,符文权重!$D:$D))),"")</f>
        <v/>
      </c>
      <c r="Q462" s="39" t="str" cm="1">
        <f t="array" ref="Q462">IFERROR(IF($A462="","",IF(K462="","",_xlfn.XLOOKUP($C462&amp;"_"&amp;$AG462,符文权重!$A:$A&amp;"_"&amp;符文权重!$C:$C,符文权重!$D:$D)*$X462/SUMIFS($X:$X,K:K,K462,$C:$C,$C462,$AG:$AG,$AG462)/SUMIF(符文权重!$A:$A,$C462,符文权重!$D:$D))),"")</f>
        <v/>
      </c>
      <c r="R462" s="46" t="s">
        <v>181</v>
      </c>
      <c r="S462" s="46" t="s">
        <v>227</v>
      </c>
      <c r="T462" s="46" t="e">
        <f>IF(B462="","",SUBSTITUTE(SUBSTITUTE("[{global_atk,"&amp;#REF!*C462&amp;"}]",21,20),9,8))</f>
        <v>#REF!</v>
      </c>
      <c r="U462" s="47" t="str">
        <f t="shared" ref="U462:U468" si="228">"["&amp;A462&amp;"]"</f>
        <v>[5505171]</v>
      </c>
      <c r="V462" s="46"/>
      <c r="W462" s="23"/>
      <c r="X462" s="25">
        <v>100</v>
      </c>
      <c r="Y462" s="23"/>
      <c r="Z462" s="45" t="s">
        <v>165</v>
      </c>
      <c r="AA462" s="32" t="str">
        <f t="shared" si="199"/>
        <v>召唤师召唤物持续时间+5%</v>
      </c>
      <c r="AB462" s="32"/>
      <c r="AC462" s="32" t="s">
        <v>166</v>
      </c>
      <c r="AD462" s="32">
        <f t="shared" si="226"/>
        <v>1457</v>
      </c>
      <c r="AE462" s="44" t="str">
        <f t="shared" si="202"/>
        <v>5505171</v>
      </c>
      <c r="AF462" s="45" t="str">
        <f t="shared" ref="AF462:AF525" si="229">IF(ISBLANK(AM462),"","["&amp;AM462&amp;"]")</f>
        <v>[5]</v>
      </c>
      <c r="AG462" s="26">
        <v>100</v>
      </c>
      <c r="AH462" s="46"/>
      <c r="AI462" s="46">
        <v>1</v>
      </c>
      <c r="AJ462" s="25">
        <v>1</v>
      </c>
      <c r="AK462" s="48">
        <v>5505171</v>
      </c>
      <c r="AL462" s="57" t="s">
        <v>504</v>
      </c>
      <c r="AM462" s="46">
        <v>5</v>
      </c>
      <c r="AN462" s="25"/>
      <c r="AO462" s="25" t="s">
        <v>28</v>
      </c>
      <c r="AP462" s="20">
        <f t="shared" si="227"/>
        <v>457</v>
      </c>
    </row>
    <row r="463" s="23" customFormat="1" customHeight="1" spans="1:42">
      <c r="A463" s="44">
        <v>5505172</v>
      </c>
      <c r="B463" s="44" t="str">
        <f t="shared" si="200"/>
        <v>5505171</v>
      </c>
      <c r="C463" s="45">
        <f t="shared" si="201"/>
        <v>2</v>
      </c>
      <c r="D463" s="45"/>
      <c r="E463" s="46" t="s">
        <v>218</v>
      </c>
      <c r="F463" s="26" t="str">
        <f t="shared" si="223"/>
        <v/>
      </c>
      <c r="G463" s="26" t="str">
        <f>IFERROR(IF(--MID($E463,2*COUNTIF($F463:F463,"&gt;"&amp;0)+2,1)=G$1,G$1,""),"")</f>
        <v/>
      </c>
      <c r="H463" s="26" t="str">
        <f>IFERROR(IF(--MID($E463,2*COUNTIF($F463:G463,"&gt;"&amp;0)+2,1)=H$1,H$1,""),"")</f>
        <v/>
      </c>
      <c r="I463" s="26" t="str">
        <f>IFERROR(IF(--MID($E463,2*COUNTIF($F463:H463,"&gt;"&amp;0)+2,1)=I$1,I$1,""),"")</f>
        <v/>
      </c>
      <c r="J463" s="26">
        <f>IFERROR(IF(--MID($E463,2*COUNTIF($F463:I463,"&gt;"&amp;0)+2,1)=J$1,J$1,""),"")</f>
        <v>5</v>
      </c>
      <c r="K463" s="26" t="str">
        <f>IFERROR(IF(--MID($E463,2*COUNTIF($F463:J463,"&gt;"&amp;0)+2,1)=K$1,K$1,""),"")</f>
        <v/>
      </c>
      <c r="L463" s="39" t="str" cm="1">
        <f t="array" ref="L463">IFERROR(IF($A463="","",IF(F463="","",_xlfn.XLOOKUP($C463&amp;"_"&amp;$AG463,符文权重!$A:$A&amp;"_"&amp;符文权重!$C:$C,符文权重!$D:$D)*$X463/SUMIFS($X:$X,F:F,F463,$C:$C,$C463,$AG:$AG,$AG463)/SUMIF(符文权重!$A:$A,$C463,符文权重!$D:$D))),"")</f>
        <v/>
      </c>
      <c r="M463" s="39" t="str" cm="1">
        <f t="array" ref="M463">IFERROR(IF($A463="","",IF(G463="","",_xlfn.XLOOKUP($C463&amp;"_"&amp;$AG463,符文权重!$A:$A&amp;"_"&amp;符文权重!$C:$C,符文权重!$D:$D)*$X463/SUMIFS($X:$X,G:G,G463,$C:$C,$C463,$AG:$AG,$AG463)/SUMIF(符文权重!$A:$A,$C463,符文权重!$D:$D))),"")</f>
        <v/>
      </c>
      <c r="N463" s="39" t="str" cm="1">
        <f t="array" ref="N463">IFERROR(IF($A463="","",IF(H463="","",_xlfn.XLOOKUP($C463&amp;"_"&amp;$AG463,符文权重!$A:$A&amp;"_"&amp;符文权重!$C:$C,符文权重!$D:$D)*$X463/SUMIFS($X:$X,H:H,H463,$C:$C,$C463,$AG:$AG,$AG463)/SUMIF(符文权重!$A:$A,$C463,符文权重!$D:$D))),"")</f>
        <v/>
      </c>
      <c r="O463" s="39" t="str" cm="1">
        <f t="array" ref="O463">IFERROR(IF($A463="","",IF(I463="","",_xlfn.XLOOKUP($C463&amp;"_"&amp;$AG463,符文权重!$A:$A&amp;"_"&amp;符文权重!$C:$C,符文权重!$D:$D)*$X463/SUMIFS($X:$X,I:I,I463,$C:$C,$C463,$AG:$AG,$AG463)/SUMIF(符文权重!$A:$A,$C463,符文权重!$D:$D))),"")</f>
        <v/>
      </c>
      <c r="P463" s="39" t="str" cm="1">
        <f t="array" ref="P463">IFERROR(IF($A463="","",IF(J463="","",_xlfn.XLOOKUP($C463&amp;"_"&amp;$AG463,符文权重!$A:$A&amp;"_"&amp;符文权重!$C:$C,符文权重!$D:$D)*$X463/SUMIFS($X:$X,J:J,J463,$C:$C,$C463,$AG:$AG,$AG463)/SUMIF(符文权重!$A:$A,$C463,符文权重!$D:$D))),"")</f>
        <v/>
      </c>
      <c r="Q463" s="39" t="str" cm="1">
        <f t="array" ref="Q463">IFERROR(IF($A463="","",IF(K463="","",_xlfn.XLOOKUP($C463&amp;"_"&amp;$AG463,符文权重!$A:$A&amp;"_"&amp;符文权重!$C:$C,符文权重!$D:$D)*$X463/SUMIFS($X:$X,K:K,K463,$C:$C,$C463,$AG:$AG,$AG463)/SUMIF(符文权重!$A:$A,$C463,符文权重!$D:$D))),"")</f>
        <v/>
      </c>
      <c r="R463" s="46" t="s">
        <v>181</v>
      </c>
      <c r="S463" s="46" t="s">
        <v>227</v>
      </c>
      <c r="T463" s="46" t="e">
        <f>IF(B463="","",SUBSTITUTE(SUBSTITUTE("[{global_atk,"&amp;#REF!*C463&amp;"}]",21,20),9,8))</f>
        <v>#REF!</v>
      </c>
      <c r="U463" s="47" t="str">
        <f t="shared" si="228"/>
        <v>[5505172]</v>
      </c>
      <c r="V463" s="46"/>
      <c r="X463" s="25">
        <v>100</v>
      </c>
      <c r="Z463" s="45" t="s">
        <v>170</v>
      </c>
      <c r="AA463" s="32" t="str">
        <f t="shared" si="199"/>
        <v>召唤师召唤物持续时间+10%</v>
      </c>
      <c r="AB463" s="32"/>
      <c r="AC463" s="32" t="s">
        <v>166</v>
      </c>
      <c r="AD463" s="32">
        <f t="shared" si="226"/>
        <v>1458</v>
      </c>
      <c r="AE463" s="44" t="str">
        <f t="shared" si="202"/>
        <v>5505171</v>
      </c>
      <c r="AF463" s="45" t="str">
        <f t="shared" si="229"/>
        <v>[10]</v>
      </c>
      <c r="AG463" s="26">
        <v>100</v>
      </c>
      <c r="AH463" s="46"/>
      <c r="AI463" s="46">
        <v>1</v>
      </c>
      <c r="AJ463" s="25">
        <v>1</v>
      </c>
      <c r="AK463" s="44">
        <f t="shared" ref="AK463:AK468" si="230">AK462+1</f>
        <v>5505172</v>
      </c>
      <c r="AL463" s="50" t="str">
        <f t="shared" ref="AL463:AL468" si="231">AL462</f>
        <v>召唤师召唤物持续时间&lt;color=#54b76b&gt;+%s%&lt;/color&gt;</v>
      </c>
      <c r="AM463" s="46">
        <v>10</v>
      </c>
      <c r="AN463" s="25"/>
      <c r="AO463" s="25" t="s">
        <v>28</v>
      </c>
      <c r="AP463" s="20">
        <f t="shared" si="227"/>
        <v>458</v>
      </c>
    </row>
    <row r="464" s="23" customFormat="1" customHeight="1" spans="1:42">
      <c r="A464" s="44">
        <v>5505173</v>
      </c>
      <c r="B464" s="44" t="str">
        <f t="shared" si="200"/>
        <v>5505171</v>
      </c>
      <c r="C464" s="45">
        <f t="shared" si="201"/>
        <v>3</v>
      </c>
      <c r="D464" s="45"/>
      <c r="E464" s="46" t="s">
        <v>218</v>
      </c>
      <c r="F464" s="26" t="str">
        <f t="shared" si="223"/>
        <v/>
      </c>
      <c r="G464" s="26" t="str">
        <f>IFERROR(IF(--MID($E464,2*COUNTIF($F464:F464,"&gt;"&amp;0)+2,1)=G$1,G$1,""),"")</f>
        <v/>
      </c>
      <c r="H464" s="26" t="str">
        <f>IFERROR(IF(--MID($E464,2*COUNTIF($F464:G464,"&gt;"&amp;0)+2,1)=H$1,H$1,""),"")</f>
        <v/>
      </c>
      <c r="I464" s="26" t="str">
        <f>IFERROR(IF(--MID($E464,2*COUNTIF($F464:H464,"&gt;"&amp;0)+2,1)=I$1,I$1,""),"")</f>
        <v/>
      </c>
      <c r="J464" s="26">
        <f>IFERROR(IF(--MID($E464,2*COUNTIF($F464:I464,"&gt;"&amp;0)+2,1)=J$1,J$1,""),"")</f>
        <v>5</v>
      </c>
      <c r="K464" s="26" t="str">
        <f>IFERROR(IF(--MID($E464,2*COUNTIF($F464:J464,"&gt;"&amp;0)+2,1)=K$1,K$1,""),"")</f>
        <v/>
      </c>
      <c r="L464" s="39" t="str" cm="1">
        <f t="array" ref="L464">IFERROR(IF($A464="","",IF(F464="","",_xlfn.XLOOKUP($C464&amp;"_"&amp;$AG464,符文权重!$A:$A&amp;"_"&amp;符文权重!$C:$C,符文权重!$D:$D)*$X464/SUMIFS($X:$X,F:F,F464,$C:$C,$C464,$AG:$AG,$AG464)/SUMIF(符文权重!$A:$A,$C464,符文权重!$D:$D))),"")</f>
        <v/>
      </c>
      <c r="M464" s="39" t="str" cm="1">
        <f t="array" ref="M464">IFERROR(IF($A464="","",IF(G464="","",_xlfn.XLOOKUP($C464&amp;"_"&amp;$AG464,符文权重!$A:$A&amp;"_"&amp;符文权重!$C:$C,符文权重!$D:$D)*$X464/SUMIFS($X:$X,G:G,G464,$C:$C,$C464,$AG:$AG,$AG464)/SUMIF(符文权重!$A:$A,$C464,符文权重!$D:$D))),"")</f>
        <v/>
      </c>
      <c r="N464" s="39" t="str" cm="1">
        <f t="array" ref="N464">IFERROR(IF($A464="","",IF(H464="","",_xlfn.XLOOKUP($C464&amp;"_"&amp;$AG464,符文权重!$A:$A&amp;"_"&amp;符文权重!$C:$C,符文权重!$D:$D)*$X464/SUMIFS($X:$X,H:H,H464,$C:$C,$C464,$AG:$AG,$AG464)/SUMIF(符文权重!$A:$A,$C464,符文权重!$D:$D))),"")</f>
        <v/>
      </c>
      <c r="O464" s="39" t="str" cm="1">
        <f t="array" ref="O464">IFERROR(IF($A464="","",IF(I464="","",_xlfn.XLOOKUP($C464&amp;"_"&amp;$AG464,符文权重!$A:$A&amp;"_"&amp;符文权重!$C:$C,符文权重!$D:$D)*$X464/SUMIFS($X:$X,I:I,I464,$C:$C,$C464,$AG:$AG,$AG464)/SUMIF(符文权重!$A:$A,$C464,符文权重!$D:$D))),"")</f>
        <v/>
      </c>
      <c r="P464" s="39" t="str" cm="1">
        <f t="array" ref="P464">IFERROR(IF($A464="","",IF(J464="","",_xlfn.XLOOKUP($C464&amp;"_"&amp;$AG464,符文权重!$A:$A&amp;"_"&amp;符文权重!$C:$C,符文权重!$D:$D)*$X464/SUMIFS($X:$X,J:J,J464,$C:$C,$C464,$AG:$AG,$AG464)/SUMIF(符文权重!$A:$A,$C464,符文权重!$D:$D))),"")</f>
        <v/>
      </c>
      <c r="Q464" s="39" t="str" cm="1">
        <f t="array" ref="Q464">IFERROR(IF($A464="","",IF(K464="","",_xlfn.XLOOKUP($C464&amp;"_"&amp;$AG464,符文权重!$A:$A&amp;"_"&amp;符文权重!$C:$C,符文权重!$D:$D)*$X464/SUMIFS($X:$X,K:K,K464,$C:$C,$C464,$AG:$AG,$AG464)/SUMIF(符文权重!$A:$A,$C464,符文权重!$D:$D))),"")</f>
        <v/>
      </c>
      <c r="R464" s="46" t="s">
        <v>181</v>
      </c>
      <c r="S464" s="46" t="s">
        <v>227</v>
      </c>
      <c r="T464" s="46" t="e">
        <f>IF(B464="","",SUBSTITUTE(SUBSTITUTE("[{global_atk,"&amp;#REF!*C464&amp;"}]",21,20),9,8))</f>
        <v>#REF!</v>
      </c>
      <c r="U464" s="47" t="str">
        <f t="shared" si="228"/>
        <v>[5505173]</v>
      </c>
      <c r="V464" s="46"/>
      <c r="X464" s="25">
        <v>100</v>
      </c>
      <c r="Z464" s="45" t="s">
        <v>172</v>
      </c>
      <c r="AA464" s="32" t="str">
        <f t="shared" si="199"/>
        <v>召唤师召唤物持续时间+15%</v>
      </c>
      <c r="AB464" s="32"/>
      <c r="AC464" s="32" t="s">
        <v>166</v>
      </c>
      <c r="AD464" s="32">
        <f t="shared" si="226"/>
        <v>1459</v>
      </c>
      <c r="AE464" s="44" t="str">
        <f t="shared" si="202"/>
        <v>5505171</v>
      </c>
      <c r="AF464" s="45" t="str">
        <f t="shared" si="229"/>
        <v>[15]</v>
      </c>
      <c r="AG464" s="26">
        <v>100</v>
      </c>
      <c r="AH464" s="46"/>
      <c r="AI464" s="46">
        <v>1</v>
      </c>
      <c r="AJ464" s="25">
        <v>1</v>
      </c>
      <c r="AK464" s="44">
        <f t="shared" si="230"/>
        <v>5505173</v>
      </c>
      <c r="AL464" s="50" t="str">
        <f t="shared" si="231"/>
        <v>召唤师召唤物持续时间&lt;color=#54b76b&gt;+%s%&lt;/color&gt;</v>
      </c>
      <c r="AM464" s="46">
        <v>15</v>
      </c>
      <c r="AN464" s="25"/>
      <c r="AO464" s="25" t="s">
        <v>28</v>
      </c>
      <c r="AP464" s="20">
        <f t="shared" si="227"/>
        <v>459</v>
      </c>
    </row>
    <row r="465" customHeight="1" spans="1:42">
      <c r="A465" s="38">
        <v>5505174</v>
      </c>
      <c r="B465" s="38" t="str">
        <f t="shared" si="200"/>
        <v>5505171</v>
      </c>
      <c r="C465" s="32">
        <f t="shared" si="201"/>
        <v>4</v>
      </c>
      <c r="D465" s="32"/>
      <c r="E465" s="26" t="s">
        <v>218</v>
      </c>
      <c r="F465" s="26" t="str">
        <f t="shared" si="223"/>
        <v/>
      </c>
      <c r="G465" s="26" t="str">
        <f>IFERROR(IF(--MID($E465,2*COUNTIF($F465:F465,"&gt;"&amp;0)+2,1)=G$1,G$1,""),"")</f>
        <v/>
      </c>
      <c r="H465" s="26" t="str">
        <f>IFERROR(IF(--MID($E465,2*COUNTIF($F465:G465,"&gt;"&amp;0)+2,1)=H$1,H$1,""),"")</f>
        <v/>
      </c>
      <c r="I465" s="26" t="str">
        <f>IFERROR(IF(--MID($E465,2*COUNTIF($F465:H465,"&gt;"&amp;0)+2,1)=I$1,I$1,""),"")</f>
        <v/>
      </c>
      <c r="J465" s="26">
        <f>IFERROR(IF(--MID($E465,2*COUNTIF($F465:I465,"&gt;"&amp;0)+2,1)=J$1,J$1,""),"")</f>
        <v>5</v>
      </c>
      <c r="K465" s="26" t="str">
        <f>IFERROR(IF(--MID($E465,2*COUNTIF($F465:J465,"&gt;"&amp;0)+2,1)=K$1,K$1,""),"")</f>
        <v/>
      </c>
      <c r="L465" s="39" t="str" cm="1">
        <f t="array" ref="L465">IFERROR(IF($A465="","",IF(F465="","",_xlfn.XLOOKUP($C465&amp;"_"&amp;$AG465,符文权重!$A:$A&amp;"_"&amp;符文权重!$C:$C,符文权重!$D:$D)*$X465/SUMIFS($X:$X,F:F,F465,$C:$C,$C465,$AG:$AG,$AG465)/SUMIF(符文权重!$A:$A,$C465,符文权重!$D:$D))),"")</f>
        <v/>
      </c>
      <c r="M465" s="39" t="str" cm="1">
        <f t="array" ref="M465">IFERROR(IF($A465="","",IF(G465="","",_xlfn.XLOOKUP($C465&amp;"_"&amp;$AG465,符文权重!$A:$A&amp;"_"&amp;符文权重!$C:$C,符文权重!$D:$D)*$X465/SUMIFS($X:$X,G:G,G465,$C:$C,$C465,$AG:$AG,$AG465)/SUMIF(符文权重!$A:$A,$C465,符文权重!$D:$D))),"")</f>
        <v/>
      </c>
      <c r="N465" s="39" t="str" cm="1">
        <f t="array" ref="N465">IFERROR(IF($A465="","",IF(H465="","",_xlfn.XLOOKUP($C465&amp;"_"&amp;$AG465,符文权重!$A:$A&amp;"_"&amp;符文权重!$C:$C,符文权重!$D:$D)*$X465/SUMIFS($X:$X,H:H,H465,$C:$C,$C465,$AG:$AG,$AG465)/SUMIF(符文权重!$A:$A,$C465,符文权重!$D:$D))),"")</f>
        <v/>
      </c>
      <c r="O465" s="39" t="str" cm="1">
        <f t="array" ref="O465">IFERROR(IF($A465="","",IF(I465="","",_xlfn.XLOOKUP($C465&amp;"_"&amp;$AG465,符文权重!$A:$A&amp;"_"&amp;符文权重!$C:$C,符文权重!$D:$D)*$X465/SUMIFS($X:$X,I:I,I465,$C:$C,$C465,$AG:$AG,$AG465)/SUMIF(符文权重!$A:$A,$C465,符文权重!$D:$D))),"")</f>
        <v/>
      </c>
      <c r="P465" s="39" t="str" cm="1">
        <f t="array" ref="P465">IFERROR(IF($A465="","",IF(J465="","",_xlfn.XLOOKUP($C465&amp;"_"&amp;$AG465,符文权重!$A:$A&amp;"_"&amp;符文权重!$C:$C,符文权重!$D:$D)*$X465/SUMIFS($X:$X,J:J,J465,$C:$C,$C465,$AG:$AG,$AG465)/SUMIF(符文权重!$A:$A,$C465,符文权重!$D:$D))),"")</f>
        <v/>
      </c>
      <c r="Q465" s="39" t="str" cm="1">
        <f t="array" ref="Q465">IFERROR(IF($A465="","",IF(K465="","",_xlfn.XLOOKUP($C465&amp;"_"&amp;$AG465,符文权重!$A:$A&amp;"_"&amp;符文权重!$C:$C,符文权重!$D:$D)*$X465/SUMIFS($X:$X,K:K,K465,$C:$C,$C465,$AG:$AG,$AG465)/SUMIF(符文权重!$A:$A,$C465,符文权重!$D:$D))),"")</f>
        <v/>
      </c>
      <c r="R465" s="26" t="s">
        <v>181</v>
      </c>
      <c r="S465" s="26" t="s">
        <v>227</v>
      </c>
      <c r="T465" s="26" t="e">
        <f>IF(B465="","",SUBSTITUTE(SUBSTITUTE("[{global_atk,"&amp;#REF!*C465&amp;"}]",21,20),9,8))</f>
        <v>#REF!</v>
      </c>
      <c r="U465" s="40" t="str">
        <f t="shared" si="228"/>
        <v>[5505174]</v>
      </c>
      <c r="X465" s="25">
        <v>4</v>
      </c>
      <c r="Z465" s="32" t="s">
        <v>174</v>
      </c>
      <c r="AA465" s="32" t="str">
        <f t="shared" si="199"/>
        <v>召唤师召唤物持续时间+20%</v>
      </c>
      <c r="AB465" s="32"/>
      <c r="AC465" s="32" t="s">
        <v>166</v>
      </c>
      <c r="AD465" s="32">
        <f t="shared" si="226"/>
        <v>1460</v>
      </c>
      <c r="AE465" s="38" t="str">
        <f t="shared" si="202"/>
        <v>5505171</v>
      </c>
      <c r="AF465" s="32" t="str">
        <f t="shared" si="229"/>
        <v>[20]</v>
      </c>
      <c r="AG465" s="26">
        <v>105</v>
      </c>
      <c r="AH465" s="26"/>
      <c r="AI465" s="26">
        <v>0</v>
      </c>
      <c r="AJ465" s="25">
        <v>1</v>
      </c>
      <c r="AK465" s="38">
        <f t="shared" si="230"/>
        <v>5505174</v>
      </c>
      <c r="AL465" s="41" t="str">
        <f t="shared" si="231"/>
        <v>召唤师召唤物持续时间&lt;color=#54b76b&gt;+%s%&lt;/color&gt;</v>
      </c>
      <c r="AM465" s="26">
        <v>20</v>
      </c>
      <c r="AN465" s="25">
        <v>5</v>
      </c>
      <c r="AO465" s="25" t="s">
        <v>28</v>
      </c>
      <c r="AP465" s="20">
        <f t="shared" si="227"/>
        <v>460</v>
      </c>
    </row>
    <row r="466" customHeight="1" spans="1:42">
      <c r="A466" s="38">
        <v>5505175</v>
      </c>
      <c r="B466" s="38" t="str">
        <f t="shared" si="200"/>
        <v>5505171</v>
      </c>
      <c r="C466" s="32">
        <f t="shared" si="201"/>
        <v>5</v>
      </c>
      <c r="D466" s="32"/>
      <c r="E466" s="26" t="s">
        <v>218</v>
      </c>
      <c r="F466" s="26" t="str">
        <f t="shared" si="223"/>
        <v/>
      </c>
      <c r="G466" s="26" t="str">
        <f>IFERROR(IF(--MID($E466,2*COUNTIF($F466:F466,"&gt;"&amp;0)+2,1)=G$1,G$1,""),"")</f>
        <v/>
      </c>
      <c r="H466" s="26" t="str">
        <f>IFERROR(IF(--MID($E466,2*COUNTIF($F466:G466,"&gt;"&amp;0)+2,1)=H$1,H$1,""),"")</f>
        <v/>
      </c>
      <c r="I466" s="26" t="str">
        <f>IFERROR(IF(--MID($E466,2*COUNTIF($F466:H466,"&gt;"&amp;0)+2,1)=I$1,I$1,""),"")</f>
        <v/>
      </c>
      <c r="J466" s="26">
        <f>IFERROR(IF(--MID($E466,2*COUNTIF($F466:I466,"&gt;"&amp;0)+2,1)=J$1,J$1,""),"")</f>
        <v>5</v>
      </c>
      <c r="K466" s="26" t="str">
        <f>IFERROR(IF(--MID($E466,2*COUNTIF($F466:J466,"&gt;"&amp;0)+2,1)=K$1,K$1,""),"")</f>
        <v/>
      </c>
      <c r="L466" s="39" t="str" cm="1">
        <f t="array" ref="L466">IFERROR(IF($A466="","",IF(F466="","",_xlfn.XLOOKUP($C466&amp;"_"&amp;$AG466,符文权重!$A:$A&amp;"_"&amp;符文权重!$C:$C,符文权重!$D:$D)*$X466/SUMIFS($X:$X,F:F,F466,$C:$C,$C466,$AG:$AG,$AG466)/SUMIF(符文权重!$A:$A,$C466,符文权重!$D:$D))),"")</f>
        <v/>
      </c>
      <c r="M466" s="39" t="str" cm="1">
        <f t="array" ref="M466">IFERROR(IF($A466="","",IF(G466="","",_xlfn.XLOOKUP($C466&amp;"_"&amp;$AG466,符文权重!$A:$A&amp;"_"&amp;符文权重!$C:$C,符文权重!$D:$D)*$X466/SUMIFS($X:$X,G:G,G466,$C:$C,$C466,$AG:$AG,$AG466)/SUMIF(符文权重!$A:$A,$C466,符文权重!$D:$D))),"")</f>
        <v/>
      </c>
      <c r="N466" s="39" t="str" cm="1">
        <f t="array" ref="N466">IFERROR(IF($A466="","",IF(H466="","",_xlfn.XLOOKUP($C466&amp;"_"&amp;$AG466,符文权重!$A:$A&amp;"_"&amp;符文权重!$C:$C,符文权重!$D:$D)*$X466/SUMIFS($X:$X,H:H,H466,$C:$C,$C466,$AG:$AG,$AG466)/SUMIF(符文权重!$A:$A,$C466,符文权重!$D:$D))),"")</f>
        <v/>
      </c>
      <c r="O466" s="39" t="str" cm="1">
        <f t="array" ref="O466">IFERROR(IF($A466="","",IF(I466="","",_xlfn.XLOOKUP($C466&amp;"_"&amp;$AG466,符文权重!$A:$A&amp;"_"&amp;符文权重!$C:$C,符文权重!$D:$D)*$X466/SUMIFS($X:$X,I:I,I466,$C:$C,$C466,$AG:$AG,$AG466)/SUMIF(符文权重!$A:$A,$C466,符文权重!$D:$D))),"")</f>
        <v/>
      </c>
      <c r="P466" s="39" cm="1">
        <f t="array" ref="P466">IFERROR(IF($A466="","",IF(J466="","",_xlfn.XLOOKUP($C466&amp;"_"&amp;$AG466,符文权重!$A:$A&amp;"_"&amp;符文权重!$C:$C,符文权重!$D:$D)*$X466/SUMIFS($X:$X,J:J,J466,$C:$C,$C466,$AG:$AG,$AG466)/SUMIF(符文权重!$A:$A,$C466,符文权重!$D:$D))),"")</f>
        <v>0.005625</v>
      </c>
      <c r="Q466" s="39" t="str" cm="1">
        <f t="array" ref="Q466">IFERROR(IF($A466="","",IF(K466="","",_xlfn.XLOOKUP($C466&amp;"_"&amp;$AG466,符文权重!$A:$A&amp;"_"&amp;符文权重!$C:$C,符文权重!$D:$D)*$X466/SUMIFS($X:$X,K:K,K466,$C:$C,$C466,$AG:$AG,$AG466)/SUMIF(符文权重!$A:$A,$C466,符文权重!$D:$D))),"")</f>
        <v/>
      </c>
      <c r="R466" s="26" t="s">
        <v>181</v>
      </c>
      <c r="S466" s="26" t="s">
        <v>227</v>
      </c>
      <c r="T466" s="26" t="e">
        <f>IF(B466="","",SUBSTITUTE(SUBSTITUTE("[{global_atk,"&amp;#REF!*C466&amp;"}]",21,20),9,8))</f>
        <v>#REF!</v>
      </c>
      <c r="U466" s="40" t="str">
        <f t="shared" si="228"/>
        <v>[5505175]</v>
      </c>
      <c r="X466" s="25">
        <v>100</v>
      </c>
      <c r="Z466" s="32" t="s">
        <v>176</v>
      </c>
      <c r="AA466" s="32" t="str">
        <f t="shared" ref="AA466:AA529" si="232">SUBSTITUTE(SUBSTITUTE(SUBSTITUTE(SUBSTITUTE(AL466,"%s",AM466),"&lt;color=#54b76b&gt;",""),"&lt;/color&gt; ",""),"&lt;/color&gt;","")</f>
        <v>召唤师召唤物持续时间+30%</v>
      </c>
      <c r="AB466" s="32"/>
      <c r="AC466" s="32" t="s">
        <v>166</v>
      </c>
      <c r="AD466" s="32">
        <f t="shared" si="226"/>
        <v>1461</v>
      </c>
      <c r="AE466" s="38" t="str">
        <f t="shared" si="202"/>
        <v>5505171</v>
      </c>
      <c r="AF466" s="32" t="str">
        <f t="shared" si="229"/>
        <v>[30]</v>
      </c>
      <c r="AG466" s="26">
        <v>5</v>
      </c>
      <c r="AH466" s="26"/>
      <c r="AI466" s="26">
        <v>0</v>
      </c>
      <c r="AJ466" s="25">
        <v>1</v>
      </c>
      <c r="AK466" s="38">
        <f t="shared" si="230"/>
        <v>5505175</v>
      </c>
      <c r="AL466" s="41" t="str">
        <f t="shared" si="231"/>
        <v>召唤师召唤物持续时间&lt;color=#54b76b&gt;+%s%&lt;/color&gt;</v>
      </c>
      <c r="AM466" s="26">
        <v>30</v>
      </c>
      <c r="AN466" s="25">
        <v>5</v>
      </c>
      <c r="AO466" s="25" t="s">
        <v>28</v>
      </c>
      <c r="AP466" s="20">
        <f t="shared" si="227"/>
        <v>461</v>
      </c>
    </row>
    <row r="467" customHeight="1" spans="1:42">
      <c r="A467" s="38">
        <v>5505176</v>
      </c>
      <c r="B467" s="38" t="str">
        <f t="shared" si="200"/>
        <v>5505171</v>
      </c>
      <c r="C467" s="32">
        <f t="shared" si="201"/>
        <v>6</v>
      </c>
      <c r="D467" s="32"/>
      <c r="E467" s="26" t="s">
        <v>218</v>
      </c>
      <c r="F467" s="26" t="str">
        <f t="shared" si="223"/>
        <v/>
      </c>
      <c r="G467" s="26" t="str">
        <f>IFERROR(IF(--MID($E467,2*COUNTIF($F467:F467,"&gt;"&amp;0)+2,1)=G$1,G$1,""),"")</f>
        <v/>
      </c>
      <c r="H467" s="26" t="str">
        <f>IFERROR(IF(--MID($E467,2*COUNTIF($F467:G467,"&gt;"&amp;0)+2,1)=H$1,H$1,""),"")</f>
        <v/>
      </c>
      <c r="I467" s="26" t="str">
        <f>IFERROR(IF(--MID($E467,2*COUNTIF($F467:H467,"&gt;"&amp;0)+2,1)=I$1,I$1,""),"")</f>
        <v/>
      </c>
      <c r="J467" s="26">
        <f>IFERROR(IF(--MID($E467,2*COUNTIF($F467:I467,"&gt;"&amp;0)+2,1)=J$1,J$1,""),"")</f>
        <v>5</v>
      </c>
      <c r="K467" s="26" t="str">
        <f>IFERROR(IF(--MID($E467,2*COUNTIF($F467:J467,"&gt;"&amp;0)+2,1)=K$1,K$1,""),"")</f>
        <v/>
      </c>
      <c r="L467" s="39" t="str" cm="1">
        <f t="array" ref="L467">IFERROR(IF($A467="","",IF(F467="","",_xlfn.XLOOKUP($C467&amp;"_"&amp;$AG467,符文权重!$A:$A&amp;"_"&amp;符文权重!$C:$C,符文权重!$D:$D)*$X467/SUMIFS($X:$X,F:F,F467,$C:$C,$C467,$AG:$AG,$AG467)/SUMIF(符文权重!$A:$A,$C467,符文权重!$D:$D))),"")</f>
        <v/>
      </c>
      <c r="M467" s="39" t="str" cm="1">
        <f t="array" ref="M467">IFERROR(IF($A467="","",IF(G467="","",_xlfn.XLOOKUP($C467&amp;"_"&amp;$AG467,符文权重!$A:$A&amp;"_"&amp;符文权重!$C:$C,符文权重!$D:$D)*$X467/SUMIFS($X:$X,G:G,G467,$C:$C,$C467,$AG:$AG,$AG467)/SUMIF(符文权重!$A:$A,$C467,符文权重!$D:$D))),"")</f>
        <v/>
      </c>
      <c r="N467" s="39" t="str" cm="1">
        <f t="array" ref="N467">IFERROR(IF($A467="","",IF(H467="","",_xlfn.XLOOKUP($C467&amp;"_"&amp;$AG467,符文权重!$A:$A&amp;"_"&amp;符文权重!$C:$C,符文权重!$D:$D)*$X467/SUMIFS($X:$X,H:H,H467,$C:$C,$C467,$AG:$AG,$AG467)/SUMIF(符文权重!$A:$A,$C467,符文权重!$D:$D))),"")</f>
        <v/>
      </c>
      <c r="O467" s="39" t="str" cm="1">
        <f t="array" ref="O467">IFERROR(IF($A467="","",IF(I467="","",_xlfn.XLOOKUP($C467&amp;"_"&amp;$AG467,符文权重!$A:$A&amp;"_"&amp;符文权重!$C:$C,符文权重!$D:$D)*$X467/SUMIFS($X:$X,I:I,I467,$C:$C,$C467,$AG:$AG,$AG467)/SUMIF(符文权重!$A:$A,$C467,符文权重!$D:$D))),"")</f>
        <v/>
      </c>
      <c r="P467" s="39" cm="1">
        <f t="array" ref="P467">IFERROR(IF($A467="","",IF(J467="","",_xlfn.XLOOKUP($C467&amp;"_"&amp;$AG467,符文权重!$A:$A&amp;"_"&amp;符文权重!$C:$C,符文权重!$D:$D)*$X467/SUMIFS($X:$X,J:J,J467,$C:$C,$C467,$AG:$AG,$AG467)/SUMIF(符文权重!$A:$A,$C467,符文权重!$D:$D))),"")</f>
        <v>0.005625</v>
      </c>
      <c r="Q467" s="39" t="str" cm="1">
        <f t="array" ref="Q467">IFERROR(IF($A467="","",IF(K467="","",_xlfn.XLOOKUP($C467&amp;"_"&amp;$AG467,符文权重!$A:$A&amp;"_"&amp;符文权重!$C:$C,符文权重!$D:$D)*$X467/SUMIFS($X:$X,K:K,K467,$C:$C,$C467,$AG:$AG,$AG467)/SUMIF(符文权重!$A:$A,$C467,符文权重!$D:$D))),"")</f>
        <v/>
      </c>
      <c r="R467" s="26" t="s">
        <v>181</v>
      </c>
      <c r="S467" s="26" t="s">
        <v>227</v>
      </c>
      <c r="T467" s="26" t="e">
        <f>IF(B467="","",SUBSTITUTE(SUBSTITUTE("[{global_atk,"&amp;#REF!*C467&amp;"}]",21,20),9,8))</f>
        <v>#REF!</v>
      </c>
      <c r="U467" s="40" t="str">
        <f t="shared" si="228"/>
        <v>[5505176]</v>
      </c>
      <c r="X467" s="25">
        <v>100</v>
      </c>
      <c r="Z467" s="32" t="s">
        <v>178</v>
      </c>
      <c r="AA467" s="32" t="str">
        <f t="shared" si="232"/>
        <v>召唤师召唤物持续时间+40%</v>
      </c>
      <c r="AB467" s="32"/>
      <c r="AC467" s="32" t="s">
        <v>166</v>
      </c>
      <c r="AD467" s="32">
        <f t="shared" si="226"/>
        <v>1462</v>
      </c>
      <c r="AE467" s="38" t="str">
        <f t="shared" si="202"/>
        <v>5505171</v>
      </c>
      <c r="AF467" s="32" t="str">
        <f t="shared" si="229"/>
        <v>[40]</v>
      </c>
      <c r="AG467" s="26">
        <v>5</v>
      </c>
      <c r="AH467" s="26"/>
      <c r="AI467" s="26">
        <v>0</v>
      </c>
      <c r="AJ467" s="25">
        <v>1</v>
      </c>
      <c r="AK467" s="38">
        <f t="shared" si="230"/>
        <v>5505176</v>
      </c>
      <c r="AL467" s="41" t="str">
        <f t="shared" si="231"/>
        <v>召唤师召唤物持续时间&lt;color=#54b76b&gt;+%s%&lt;/color&gt;</v>
      </c>
      <c r="AM467" s="26">
        <v>40</v>
      </c>
      <c r="AN467" s="25">
        <v>5</v>
      </c>
      <c r="AO467" s="25" t="s">
        <v>28</v>
      </c>
      <c r="AP467" s="20">
        <f t="shared" si="227"/>
        <v>462</v>
      </c>
    </row>
    <row r="468" customHeight="1" spans="1:42">
      <c r="A468" s="38">
        <v>5505177</v>
      </c>
      <c r="B468" s="38" t="str">
        <f t="shared" si="200"/>
        <v>5505171</v>
      </c>
      <c r="C468" s="32">
        <f t="shared" si="201"/>
        <v>7</v>
      </c>
      <c r="D468" s="32"/>
      <c r="E468" s="26" t="s">
        <v>218</v>
      </c>
      <c r="F468" s="26" t="str">
        <f t="shared" si="223"/>
        <v/>
      </c>
      <c r="G468" s="26" t="str">
        <f>IFERROR(IF(--MID($E468,2*COUNTIF($F468:F468,"&gt;"&amp;0)+2,1)=G$1,G$1,""),"")</f>
        <v/>
      </c>
      <c r="H468" s="26" t="str">
        <f>IFERROR(IF(--MID($E468,2*COUNTIF($F468:G468,"&gt;"&amp;0)+2,1)=H$1,H$1,""),"")</f>
        <v/>
      </c>
      <c r="I468" s="26" t="str">
        <f>IFERROR(IF(--MID($E468,2*COUNTIF($F468:H468,"&gt;"&amp;0)+2,1)=I$1,I$1,""),"")</f>
        <v/>
      </c>
      <c r="J468" s="26">
        <f>IFERROR(IF(--MID($E468,2*COUNTIF($F468:I468,"&gt;"&amp;0)+2,1)=J$1,J$1,""),"")</f>
        <v>5</v>
      </c>
      <c r="K468" s="26" t="str">
        <f>IFERROR(IF(--MID($E468,2*COUNTIF($F468:J468,"&gt;"&amp;0)+2,1)=K$1,K$1,""),"")</f>
        <v/>
      </c>
      <c r="L468" s="39" t="str" cm="1">
        <f t="array" ref="L468">IFERROR(IF($A468="","",IF(F468="","",_xlfn.XLOOKUP($C468&amp;"_"&amp;$AG468,符文权重!$A:$A&amp;"_"&amp;符文权重!$C:$C,符文权重!$D:$D)*$X468/SUMIFS($X:$X,F:F,F468,$C:$C,$C468,$AG:$AG,$AG468)/SUMIF(符文权重!$A:$A,$C468,符文权重!$D:$D))),"")</f>
        <v/>
      </c>
      <c r="M468" s="39" t="str" cm="1">
        <f t="array" ref="M468">IFERROR(IF($A468="","",IF(G468="","",_xlfn.XLOOKUP($C468&amp;"_"&amp;$AG468,符文权重!$A:$A&amp;"_"&amp;符文权重!$C:$C,符文权重!$D:$D)*$X468/SUMIFS($X:$X,G:G,G468,$C:$C,$C468,$AG:$AG,$AG468)/SUMIF(符文权重!$A:$A,$C468,符文权重!$D:$D))),"")</f>
        <v/>
      </c>
      <c r="N468" s="39" t="str" cm="1">
        <f t="array" ref="N468">IFERROR(IF($A468="","",IF(H468="","",_xlfn.XLOOKUP($C468&amp;"_"&amp;$AG468,符文权重!$A:$A&amp;"_"&amp;符文权重!$C:$C,符文权重!$D:$D)*$X468/SUMIFS($X:$X,H:H,H468,$C:$C,$C468,$AG:$AG,$AG468)/SUMIF(符文权重!$A:$A,$C468,符文权重!$D:$D))),"")</f>
        <v/>
      </c>
      <c r="O468" s="39" t="str" cm="1">
        <f t="array" ref="O468">IFERROR(IF($A468="","",IF(I468="","",_xlfn.XLOOKUP($C468&amp;"_"&amp;$AG468,符文权重!$A:$A&amp;"_"&amp;符文权重!$C:$C,符文权重!$D:$D)*$X468/SUMIFS($X:$X,I:I,I468,$C:$C,$C468,$AG:$AG,$AG468)/SUMIF(符文权重!$A:$A,$C468,符文权重!$D:$D))),"")</f>
        <v/>
      </c>
      <c r="P468" s="39" cm="1">
        <f t="array" ref="P468">IFERROR(IF($A468="","",IF(J468="","",_xlfn.XLOOKUP($C468&amp;"_"&amp;$AG468,符文权重!$A:$A&amp;"_"&amp;符文权重!$C:$C,符文权重!$D:$D)*$X468/SUMIFS($X:$X,J:J,J468,$C:$C,$C468,$AG:$AG,$AG468)/SUMIF(符文权重!$A:$A,$C468,符文权重!$D:$D))),"")</f>
        <v>0.005625</v>
      </c>
      <c r="Q468" s="39" t="str" cm="1">
        <f t="array" ref="Q468">IFERROR(IF($A468="","",IF(K468="","",_xlfn.XLOOKUP($C468&amp;"_"&amp;$AG468,符文权重!$A:$A&amp;"_"&amp;符文权重!$C:$C,符文权重!$D:$D)*$X468/SUMIFS($X:$X,K:K,K468,$C:$C,$C468,$AG:$AG,$AG468)/SUMIF(符文权重!$A:$A,$C468,符文权重!$D:$D))),"")</f>
        <v/>
      </c>
      <c r="R468" s="26" t="s">
        <v>181</v>
      </c>
      <c r="S468" s="26" t="s">
        <v>227</v>
      </c>
      <c r="T468" s="26" t="e">
        <f>IF(B468="","",SUBSTITUTE(SUBSTITUTE("[{global_atk,"&amp;#REF!*C468&amp;"}]",21,20),9,8))</f>
        <v>#REF!</v>
      </c>
      <c r="U468" s="40" t="str">
        <f t="shared" si="228"/>
        <v>[5505177]</v>
      </c>
      <c r="X468" s="25">
        <v>100</v>
      </c>
      <c r="Z468" s="32" t="s">
        <v>180</v>
      </c>
      <c r="AA468" s="32" t="str">
        <f t="shared" si="232"/>
        <v>召唤师召唤物持续时间+60%</v>
      </c>
      <c r="AB468" s="32"/>
      <c r="AC468" s="32" t="s">
        <v>166</v>
      </c>
      <c r="AD468" s="32">
        <f t="shared" si="226"/>
        <v>1463</v>
      </c>
      <c r="AE468" s="38" t="str">
        <f t="shared" si="202"/>
        <v>5505171</v>
      </c>
      <c r="AF468" s="32" t="str">
        <f t="shared" si="229"/>
        <v>[60]</v>
      </c>
      <c r="AG468" s="26">
        <v>5</v>
      </c>
      <c r="AH468" s="26"/>
      <c r="AI468" s="26">
        <v>0</v>
      </c>
      <c r="AJ468" s="25">
        <v>1</v>
      </c>
      <c r="AK468" s="38">
        <f t="shared" si="230"/>
        <v>5505177</v>
      </c>
      <c r="AL468" s="41" t="str">
        <f t="shared" si="231"/>
        <v>召唤师召唤物持续时间&lt;color=#54b76b&gt;+%s%&lt;/color&gt;</v>
      </c>
      <c r="AM468" s="26">
        <v>60</v>
      </c>
      <c r="AN468" s="25">
        <v>5</v>
      </c>
      <c r="AO468" s="25" t="s">
        <v>28</v>
      </c>
      <c r="AP468" s="20">
        <f t="shared" si="227"/>
        <v>463</v>
      </c>
    </row>
    <row r="469" s="20" customFormat="1" customHeight="1" spans="1:42">
      <c r="A469" s="38" t="s">
        <v>167</v>
      </c>
      <c r="B469" s="38" t="str">
        <f t="shared" ref="B469:B532" si="233">IF(ISBLANK(AK469),"",LEFT(AK469,6)&amp;1)</f>
        <v/>
      </c>
      <c r="C469" s="32" t="str">
        <f t="shared" ref="C469:C532" si="234">IF(ISBLANK(AK469),"",VALUE(RIGHT(A469,1)))</f>
        <v/>
      </c>
      <c r="D469" s="32"/>
      <c r="E469" s="26"/>
      <c r="F469" s="26" t="str">
        <f t="shared" si="223"/>
        <v/>
      </c>
      <c r="G469" s="26" t="str">
        <f>IFERROR(IF(--MID($E469,2*COUNTIF($F469:F469,"&gt;"&amp;0)+2,1)=G$1,G$1,""),"")</f>
        <v/>
      </c>
      <c r="H469" s="26" t="str">
        <f>IFERROR(IF(--MID($E469,2*COUNTIF($F469:G469,"&gt;"&amp;0)+2,1)=H$1,H$1,""),"")</f>
        <v/>
      </c>
      <c r="I469" s="26" t="str">
        <f>IFERROR(IF(--MID($E469,2*COUNTIF($F469:H469,"&gt;"&amp;0)+2,1)=I$1,I$1,""),"")</f>
        <v/>
      </c>
      <c r="J469" s="26" t="str">
        <f>IFERROR(IF(--MID($E469,2*COUNTIF($F469:I469,"&gt;"&amp;0)+2,1)=J$1,J$1,""),"")</f>
        <v/>
      </c>
      <c r="K469" s="26" t="str">
        <f>IFERROR(IF(--MID($E469,2*COUNTIF($F469:J469,"&gt;"&amp;0)+2,1)=K$1,K$1,""),"")</f>
        <v/>
      </c>
      <c r="L469" s="39" t="str" cm="1">
        <f t="array" ref="L469">IFERROR(IF($A469="","",IF(F469="","",_xlfn.XLOOKUP($C469&amp;"_"&amp;$AG469,符文权重!$A:$A&amp;"_"&amp;符文权重!$C:$C,符文权重!$D:$D)*$X469/SUMIFS($X:$X,F:F,F469,$C:$C,$C469,$AG:$AG,$AG469)/SUMIF(符文权重!$A:$A,$C469,符文权重!$D:$D))),"")</f>
        <v/>
      </c>
      <c r="M469" s="39" t="str" cm="1">
        <f t="array" ref="M469">IFERROR(IF($A469="","",IF(G469="","",_xlfn.XLOOKUP($C469&amp;"_"&amp;$AG469,符文权重!$A:$A&amp;"_"&amp;符文权重!$C:$C,符文权重!$D:$D)*$X469/SUMIFS($X:$X,G:G,G469,$C:$C,$C469,$AG:$AG,$AG469)/SUMIF(符文权重!$A:$A,$C469,符文权重!$D:$D))),"")</f>
        <v/>
      </c>
      <c r="N469" s="39" t="str" cm="1">
        <f t="array" ref="N469">IFERROR(IF($A469="","",IF(H469="","",_xlfn.XLOOKUP($C469&amp;"_"&amp;$AG469,符文权重!$A:$A&amp;"_"&amp;符文权重!$C:$C,符文权重!$D:$D)*$X469/SUMIFS($X:$X,H:H,H469,$C:$C,$C469,$AG:$AG,$AG469)/SUMIF(符文权重!$A:$A,$C469,符文权重!$D:$D))),"")</f>
        <v/>
      </c>
      <c r="O469" s="39" t="str" cm="1">
        <f t="array" ref="O469">IFERROR(IF($A469="","",IF(I469="","",_xlfn.XLOOKUP($C469&amp;"_"&amp;$AG469,符文权重!$A:$A&amp;"_"&amp;符文权重!$C:$C,符文权重!$D:$D)*$X469/SUMIFS($X:$X,I:I,I469,$C:$C,$C469,$AG:$AG,$AG469)/SUMIF(符文权重!$A:$A,$C469,符文权重!$D:$D))),"")</f>
        <v/>
      </c>
      <c r="P469" s="39" t="str" cm="1">
        <f t="array" ref="P469">IFERROR(IF($A469="","",IF(J469="","",_xlfn.XLOOKUP($C469&amp;"_"&amp;$AG469,符文权重!$A:$A&amp;"_"&amp;符文权重!$C:$C,符文权重!$D:$D)*$X469/SUMIFS($X:$X,J:J,J469,$C:$C,$C469,$AG:$AG,$AG469)/SUMIF(符文权重!$A:$A,$C469,符文权重!$D:$D))),"")</f>
        <v/>
      </c>
      <c r="Q469" s="39" t="str" cm="1">
        <f t="array" ref="Q469">IFERROR(IF($A469="","",IF(K469="","",_xlfn.XLOOKUP($C469&amp;"_"&amp;$AG469,符文权重!$A:$A&amp;"_"&amp;符文权重!$C:$C,符文权重!$D:$D)*$X469/SUMIFS($X:$X,K:K,K469,$C:$C,$C469,$AG:$AG,$AG469)/SUMIF(符文权重!$A:$A,$C469,符文权重!$D:$D))),"")</f>
        <v/>
      </c>
      <c r="R469" s="26"/>
      <c r="S469" s="26"/>
      <c r="T469" s="26"/>
      <c r="V469" s="31"/>
      <c r="W469" s="25"/>
      <c r="X469" s="25"/>
      <c r="Y469" s="25"/>
      <c r="Z469" s="32" t="s">
        <v>167</v>
      </c>
      <c r="AA469" s="32" t="str">
        <f t="shared" si="232"/>
        <v/>
      </c>
      <c r="AB469" s="32"/>
      <c r="AC469" s="32" t="s">
        <v>166</v>
      </c>
      <c r="AD469" s="32">
        <f t="shared" si="226"/>
        <v>1464</v>
      </c>
      <c r="AE469" s="38" t="str">
        <f t="shared" ref="AE469:AE532" si="235">IF(ISBLANK(AK469),"",B469)</f>
        <v/>
      </c>
      <c r="AF469" s="32" t="str">
        <f t="shared" si="229"/>
        <v/>
      </c>
      <c r="AG469" s="26">
        <v>100</v>
      </c>
      <c r="AH469" s="26"/>
      <c r="AI469" s="26">
        <v>1</v>
      </c>
      <c r="AJ469" s="25" t="s">
        <v>167</v>
      </c>
      <c r="AK469" s="24"/>
      <c r="AL469" s="59"/>
      <c r="AM469" s="26"/>
      <c r="AN469" s="25"/>
      <c r="AO469" s="25"/>
      <c r="AP469" s="20">
        <f t="shared" si="227"/>
        <v>464</v>
      </c>
    </row>
    <row r="470" s="22" customFormat="1" customHeight="1" spans="1:42">
      <c r="A470" s="44">
        <v>5505181</v>
      </c>
      <c r="B470" s="44" t="str">
        <f t="shared" si="233"/>
        <v>5505181</v>
      </c>
      <c r="C470" s="45">
        <f t="shared" si="234"/>
        <v>1</v>
      </c>
      <c r="D470" s="45"/>
      <c r="E470" s="46" t="s">
        <v>209</v>
      </c>
      <c r="F470" s="26" t="str">
        <f t="shared" si="223"/>
        <v/>
      </c>
      <c r="G470" s="26" t="str">
        <f>IFERROR(IF(--MID($E470,2*COUNTIF($F470:F470,"&gt;"&amp;0)+2,1)=G$1,G$1,""),"")</f>
        <v/>
      </c>
      <c r="H470" s="26" t="str">
        <f>IFERROR(IF(--MID($E470,2*COUNTIF($F470:G470,"&gt;"&amp;0)+2,1)=H$1,H$1,""),"")</f>
        <v/>
      </c>
      <c r="I470" s="26" t="str">
        <f>IFERROR(IF(--MID($E470,2*COUNTIF($F470:H470,"&gt;"&amp;0)+2,1)=I$1,I$1,""),"")</f>
        <v/>
      </c>
      <c r="J470" s="26" t="str">
        <f>IFERROR(IF(--MID($E470,2*COUNTIF($F470:I470,"&gt;"&amp;0)+2,1)=J$1,J$1,""),"")</f>
        <v/>
      </c>
      <c r="K470" s="26">
        <f>IFERROR(IF(--MID($E470,2*COUNTIF($F470:J470,"&gt;"&amp;0)+2,1)=K$1,K$1,""),"")</f>
        <v>6</v>
      </c>
      <c r="L470" s="39" t="str" cm="1">
        <f t="array" ref="L470">IFERROR(IF($A470="","",IF(F470="","",_xlfn.XLOOKUP($C470&amp;"_"&amp;$AG470,符文权重!$A:$A&amp;"_"&amp;符文权重!$C:$C,符文权重!$D:$D)*$X470/SUMIFS($X:$X,F:F,F470,$C:$C,$C470,$AG:$AG,$AG470)/SUMIF(符文权重!$A:$A,$C470,符文权重!$D:$D))),"")</f>
        <v/>
      </c>
      <c r="M470" s="39" t="str" cm="1">
        <f t="array" ref="M470">IFERROR(IF($A470="","",IF(G470="","",_xlfn.XLOOKUP($C470&amp;"_"&amp;$AG470,符文权重!$A:$A&amp;"_"&amp;符文权重!$C:$C,符文权重!$D:$D)*$X470/SUMIFS($X:$X,G:G,G470,$C:$C,$C470,$AG:$AG,$AG470)/SUMIF(符文权重!$A:$A,$C470,符文权重!$D:$D))),"")</f>
        <v/>
      </c>
      <c r="N470" s="39" t="str" cm="1">
        <f t="array" ref="N470">IFERROR(IF($A470="","",IF(H470="","",_xlfn.XLOOKUP($C470&amp;"_"&amp;$AG470,符文权重!$A:$A&amp;"_"&amp;符文权重!$C:$C,符文权重!$D:$D)*$X470/SUMIFS($X:$X,H:H,H470,$C:$C,$C470,$AG:$AG,$AG470)/SUMIF(符文权重!$A:$A,$C470,符文权重!$D:$D))),"")</f>
        <v/>
      </c>
      <c r="O470" s="39" t="str" cm="1">
        <f t="array" ref="O470">IFERROR(IF($A470="","",IF(I470="","",_xlfn.XLOOKUP($C470&amp;"_"&amp;$AG470,符文权重!$A:$A&amp;"_"&amp;符文权重!$C:$C,符文权重!$D:$D)*$X470/SUMIFS($X:$X,I:I,I470,$C:$C,$C470,$AG:$AG,$AG470)/SUMIF(符文权重!$A:$A,$C470,符文权重!$D:$D))),"")</f>
        <v/>
      </c>
      <c r="P470" s="39" t="str" cm="1">
        <f t="array" ref="P470">IFERROR(IF($A470="","",IF(J470="","",_xlfn.XLOOKUP($C470&amp;"_"&amp;$AG470,符文权重!$A:$A&amp;"_"&amp;符文权重!$C:$C,符文权重!$D:$D)*$X470/SUMIFS($X:$X,J:J,J470,$C:$C,$C470,$AG:$AG,$AG470)/SUMIF(符文权重!$A:$A,$C470,符文权重!$D:$D))),"")</f>
        <v/>
      </c>
      <c r="Q470" s="39" t="str" cm="1">
        <f t="array" ref="Q470">IFERROR(IF($A470="","",IF(K470="","",_xlfn.XLOOKUP($C470&amp;"_"&amp;$AG470,符文权重!$A:$A&amp;"_"&amp;符文权重!$C:$C,符文权重!$D:$D)*$X470/SUMIFS($X:$X,K:K,K470,$C:$C,$C470,$AG:$AG,$AG470)/SUMIF(符文权重!$A:$A,$C470,符文权重!$D:$D))),"")</f>
        <v/>
      </c>
      <c r="R470" s="46" t="s">
        <v>181</v>
      </c>
      <c r="S470" s="46" t="s">
        <v>227</v>
      </c>
      <c r="T470" s="46" t="e">
        <f>IF(B470="","",SUBSTITUTE(SUBSTITUTE("[{global_atk,"&amp;#REF!*C470&amp;"}]",21,20),9,8))</f>
        <v>#REF!</v>
      </c>
      <c r="U470" s="47" t="str">
        <f t="shared" ref="U470:U476" si="236">"["&amp;A470&amp;"]"</f>
        <v>[5505181]</v>
      </c>
      <c r="V470" s="46"/>
      <c r="W470" s="23"/>
      <c r="X470" s="25">
        <v>100</v>
      </c>
      <c r="Y470" s="23"/>
      <c r="Z470" s="45" t="s">
        <v>165</v>
      </c>
      <c r="AA470" s="32" t="str">
        <f t="shared" si="232"/>
        <v>召唤师召唤物死亡前，无敌0秒</v>
      </c>
      <c r="AB470" s="32"/>
      <c r="AC470" s="32" t="s">
        <v>166</v>
      </c>
      <c r="AD470" s="32">
        <f t="shared" si="226"/>
        <v>1465</v>
      </c>
      <c r="AE470" s="44" t="str">
        <f t="shared" si="235"/>
        <v>5505181</v>
      </c>
      <c r="AF470" s="45" t="str">
        <f t="shared" si="229"/>
        <v>[0]</v>
      </c>
      <c r="AG470" s="26">
        <v>100</v>
      </c>
      <c r="AH470" s="46"/>
      <c r="AI470" s="46">
        <v>1</v>
      </c>
      <c r="AJ470" s="25">
        <v>1</v>
      </c>
      <c r="AK470" s="48">
        <v>5505181</v>
      </c>
      <c r="AL470" s="57" t="s">
        <v>505</v>
      </c>
      <c r="AM470" s="46">
        <v>0</v>
      </c>
      <c r="AN470" s="25"/>
      <c r="AO470" s="25" t="s">
        <v>28</v>
      </c>
      <c r="AP470" s="20">
        <f t="shared" si="227"/>
        <v>465</v>
      </c>
    </row>
    <row r="471" s="23" customFormat="1" customHeight="1" spans="1:42">
      <c r="A471" s="44">
        <v>5505182</v>
      </c>
      <c r="B471" s="44" t="str">
        <f t="shared" si="233"/>
        <v>5505181</v>
      </c>
      <c r="C471" s="45">
        <f t="shared" si="234"/>
        <v>2</v>
      </c>
      <c r="D471" s="45"/>
      <c r="E471" s="46" t="s">
        <v>209</v>
      </c>
      <c r="F471" s="26" t="str">
        <f t="shared" si="223"/>
        <v/>
      </c>
      <c r="G471" s="26" t="str">
        <f>IFERROR(IF(--MID($E471,2*COUNTIF($F471:F471,"&gt;"&amp;0)+2,1)=G$1,G$1,""),"")</f>
        <v/>
      </c>
      <c r="H471" s="26" t="str">
        <f>IFERROR(IF(--MID($E471,2*COUNTIF($F471:G471,"&gt;"&amp;0)+2,1)=H$1,H$1,""),"")</f>
        <v/>
      </c>
      <c r="I471" s="26" t="str">
        <f>IFERROR(IF(--MID($E471,2*COUNTIF($F471:H471,"&gt;"&amp;0)+2,1)=I$1,I$1,""),"")</f>
        <v/>
      </c>
      <c r="J471" s="26" t="str">
        <f>IFERROR(IF(--MID($E471,2*COUNTIF($F471:I471,"&gt;"&amp;0)+2,1)=J$1,J$1,""),"")</f>
        <v/>
      </c>
      <c r="K471" s="26">
        <f>IFERROR(IF(--MID($E471,2*COUNTIF($F471:J471,"&gt;"&amp;0)+2,1)=K$1,K$1,""),"")</f>
        <v>6</v>
      </c>
      <c r="L471" s="39" t="str" cm="1">
        <f t="array" ref="L471">IFERROR(IF($A471="","",IF(F471="","",_xlfn.XLOOKUP($C471&amp;"_"&amp;$AG471,符文权重!$A:$A&amp;"_"&amp;符文权重!$C:$C,符文权重!$D:$D)*$X471/SUMIFS($X:$X,F:F,F471,$C:$C,$C471,$AG:$AG,$AG471)/SUMIF(符文权重!$A:$A,$C471,符文权重!$D:$D))),"")</f>
        <v/>
      </c>
      <c r="M471" s="39" t="str" cm="1">
        <f t="array" ref="M471">IFERROR(IF($A471="","",IF(G471="","",_xlfn.XLOOKUP($C471&amp;"_"&amp;$AG471,符文权重!$A:$A&amp;"_"&amp;符文权重!$C:$C,符文权重!$D:$D)*$X471/SUMIFS($X:$X,G:G,G471,$C:$C,$C471,$AG:$AG,$AG471)/SUMIF(符文权重!$A:$A,$C471,符文权重!$D:$D))),"")</f>
        <v/>
      </c>
      <c r="N471" s="39" t="str" cm="1">
        <f t="array" ref="N471">IFERROR(IF($A471="","",IF(H471="","",_xlfn.XLOOKUP($C471&amp;"_"&amp;$AG471,符文权重!$A:$A&amp;"_"&amp;符文权重!$C:$C,符文权重!$D:$D)*$X471/SUMIFS($X:$X,H:H,H471,$C:$C,$C471,$AG:$AG,$AG471)/SUMIF(符文权重!$A:$A,$C471,符文权重!$D:$D))),"")</f>
        <v/>
      </c>
      <c r="O471" s="39" t="str" cm="1">
        <f t="array" ref="O471">IFERROR(IF($A471="","",IF(I471="","",_xlfn.XLOOKUP($C471&amp;"_"&amp;$AG471,符文权重!$A:$A&amp;"_"&amp;符文权重!$C:$C,符文权重!$D:$D)*$X471/SUMIFS($X:$X,I:I,I471,$C:$C,$C471,$AG:$AG,$AG471)/SUMIF(符文权重!$A:$A,$C471,符文权重!$D:$D))),"")</f>
        <v/>
      </c>
      <c r="P471" s="39" t="str" cm="1">
        <f t="array" ref="P471">IFERROR(IF($A471="","",IF(J471="","",_xlfn.XLOOKUP($C471&amp;"_"&amp;$AG471,符文权重!$A:$A&amp;"_"&amp;符文权重!$C:$C,符文权重!$D:$D)*$X471/SUMIFS($X:$X,J:J,J471,$C:$C,$C471,$AG:$AG,$AG471)/SUMIF(符文权重!$A:$A,$C471,符文权重!$D:$D))),"")</f>
        <v/>
      </c>
      <c r="Q471" s="39" t="str" cm="1">
        <f t="array" ref="Q471">IFERROR(IF($A471="","",IF(K471="","",_xlfn.XLOOKUP($C471&amp;"_"&amp;$AG471,符文权重!$A:$A&amp;"_"&amp;符文权重!$C:$C,符文权重!$D:$D)*$X471/SUMIFS($X:$X,K:K,K471,$C:$C,$C471,$AG:$AG,$AG471)/SUMIF(符文权重!$A:$A,$C471,符文权重!$D:$D))),"")</f>
        <v/>
      </c>
      <c r="R471" s="46" t="s">
        <v>181</v>
      </c>
      <c r="S471" s="46" t="s">
        <v>227</v>
      </c>
      <c r="T471" s="46" t="e">
        <f>IF(B471="","",SUBSTITUTE(SUBSTITUTE("[{global_atk,"&amp;#REF!*C471&amp;"}]",21,20),9,8))</f>
        <v>#REF!</v>
      </c>
      <c r="U471" s="47" t="str">
        <f t="shared" si="236"/>
        <v>[5505182]</v>
      </c>
      <c r="V471" s="46"/>
      <c r="X471" s="25">
        <v>100</v>
      </c>
      <c r="Z471" s="45" t="s">
        <v>170</v>
      </c>
      <c r="AA471" s="32" t="str">
        <f t="shared" si="232"/>
        <v>召唤师召唤物死亡前，无敌0秒</v>
      </c>
      <c r="AB471" s="32"/>
      <c r="AC471" s="32" t="s">
        <v>166</v>
      </c>
      <c r="AD471" s="32">
        <f t="shared" si="226"/>
        <v>1466</v>
      </c>
      <c r="AE471" s="44" t="str">
        <f t="shared" si="235"/>
        <v>5505181</v>
      </c>
      <c r="AF471" s="45" t="str">
        <f t="shared" si="229"/>
        <v>[0]</v>
      </c>
      <c r="AG471" s="26">
        <v>100</v>
      </c>
      <c r="AH471" s="46"/>
      <c r="AI471" s="46">
        <v>1</v>
      </c>
      <c r="AJ471" s="25">
        <v>1</v>
      </c>
      <c r="AK471" s="44">
        <f t="shared" ref="AK471:AK476" si="237">AK470+1</f>
        <v>5505182</v>
      </c>
      <c r="AL471" s="50" t="str">
        <f t="shared" ref="AL471:AL476" si="238">AL470</f>
        <v>召唤师召唤物死亡前，无敌&lt;color=#54b76b&gt;%s&lt;/color&gt;秒</v>
      </c>
      <c r="AM471" s="46">
        <v>0</v>
      </c>
      <c r="AN471" s="25"/>
      <c r="AO471" s="25" t="s">
        <v>28</v>
      </c>
      <c r="AP471" s="20">
        <f t="shared" si="227"/>
        <v>466</v>
      </c>
    </row>
    <row r="472" s="23" customFormat="1" customHeight="1" spans="1:42">
      <c r="A472" s="44">
        <v>5505183</v>
      </c>
      <c r="B472" s="44" t="str">
        <f t="shared" si="233"/>
        <v>5505181</v>
      </c>
      <c r="C472" s="45">
        <f t="shared" si="234"/>
        <v>3</v>
      </c>
      <c r="D472" s="45"/>
      <c r="E472" s="46" t="s">
        <v>209</v>
      </c>
      <c r="F472" s="26" t="str">
        <f t="shared" si="223"/>
        <v/>
      </c>
      <c r="G472" s="26" t="str">
        <f>IFERROR(IF(--MID($E472,2*COUNTIF($F472:F472,"&gt;"&amp;0)+2,1)=G$1,G$1,""),"")</f>
        <v/>
      </c>
      <c r="H472" s="26" t="str">
        <f>IFERROR(IF(--MID($E472,2*COUNTIF($F472:G472,"&gt;"&amp;0)+2,1)=H$1,H$1,""),"")</f>
        <v/>
      </c>
      <c r="I472" s="26" t="str">
        <f>IFERROR(IF(--MID($E472,2*COUNTIF($F472:H472,"&gt;"&amp;0)+2,1)=I$1,I$1,""),"")</f>
        <v/>
      </c>
      <c r="J472" s="26" t="str">
        <f>IFERROR(IF(--MID($E472,2*COUNTIF($F472:I472,"&gt;"&amp;0)+2,1)=J$1,J$1,""),"")</f>
        <v/>
      </c>
      <c r="K472" s="26">
        <f>IFERROR(IF(--MID($E472,2*COUNTIF($F472:J472,"&gt;"&amp;0)+2,1)=K$1,K$1,""),"")</f>
        <v>6</v>
      </c>
      <c r="L472" s="39" t="str" cm="1">
        <f t="array" ref="L472">IFERROR(IF($A472="","",IF(F472="","",_xlfn.XLOOKUP($C472&amp;"_"&amp;$AG472,符文权重!$A:$A&amp;"_"&amp;符文权重!$C:$C,符文权重!$D:$D)*$X472/SUMIFS($X:$X,F:F,F472,$C:$C,$C472,$AG:$AG,$AG472)/SUMIF(符文权重!$A:$A,$C472,符文权重!$D:$D))),"")</f>
        <v/>
      </c>
      <c r="M472" s="39" t="str" cm="1">
        <f t="array" ref="M472">IFERROR(IF($A472="","",IF(G472="","",_xlfn.XLOOKUP($C472&amp;"_"&amp;$AG472,符文权重!$A:$A&amp;"_"&amp;符文权重!$C:$C,符文权重!$D:$D)*$X472/SUMIFS($X:$X,G:G,G472,$C:$C,$C472,$AG:$AG,$AG472)/SUMIF(符文权重!$A:$A,$C472,符文权重!$D:$D))),"")</f>
        <v/>
      </c>
      <c r="N472" s="39" t="str" cm="1">
        <f t="array" ref="N472">IFERROR(IF($A472="","",IF(H472="","",_xlfn.XLOOKUP($C472&amp;"_"&amp;$AG472,符文权重!$A:$A&amp;"_"&amp;符文权重!$C:$C,符文权重!$D:$D)*$X472/SUMIFS($X:$X,H:H,H472,$C:$C,$C472,$AG:$AG,$AG472)/SUMIF(符文权重!$A:$A,$C472,符文权重!$D:$D))),"")</f>
        <v/>
      </c>
      <c r="O472" s="39" t="str" cm="1">
        <f t="array" ref="O472">IFERROR(IF($A472="","",IF(I472="","",_xlfn.XLOOKUP($C472&amp;"_"&amp;$AG472,符文权重!$A:$A&amp;"_"&amp;符文权重!$C:$C,符文权重!$D:$D)*$X472/SUMIFS($X:$X,I:I,I472,$C:$C,$C472,$AG:$AG,$AG472)/SUMIF(符文权重!$A:$A,$C472,符文权重!$D:$D))),"")</f>
        <v/>
      </c>
      <c r="P472" s="39" t="str" cm="1">
        <f t="array" ref="P472">IFERROR(IF($A472="","",IF(J472="","",_xlfn.XLOOKUP($C472&amp;"_"&amp;$AG472,符文权重!$A:$A&amp;"_"&amp;符文权重!$C:$C,符文权重!$D:$D)*$X472/SUMIFS($X:$X,J:J,J472,$C:$C,$C472,$AG:$AG,$AG472)/SUMIF(符文权重!$A:$A,$C472,符文权重!$D:$D))),"")</f>
        <v/>
      </c>
      <c r="Q472" s="39" t="str" cm="1">
        <f t="array" ref="Q472">IFERROR(IF($A472="","",IF(K472="","",_xlfn.XLOOKUP($C472&amp;"_"&amp;$AG472,符文权重!$A:$A&amp;"_"&amp;符文权重!$C:$C,符文权重!$D:$D)*$X472/SUMIFS($X:$X,K:K,K472,$C:$C,$C472,$AG:$AG,$AG472)/SUMIF(符文权重!$A:$A,$C472,符文权重!$D:$D))),"")</f>
        <v/>
      </c>
      <c r="R472" s="46" t="s">
        <v>181</v>
      </c>
      <c r="S472" s="46" t="s">
        <v>227</v>
      </c>
      <c r="T472" s="46" t="e">
        <f>IF(B472="","",SUBSTITUTE(SUBSTITUTE("[{global_atk,"&amp;#REF!*C472&amp;"}]",21,20),9,8))</f>
        <v>#REF!</v>
      </c>
      <c r="U472" s="47" t="str">
        <f t="shared" si="236"/>
        <v>[5505183]</v>
      </c>
      <c r="V472" s="46"/>
      <c r="X472" s="25">
        <v>100</v>
      </c>
      <c r="Z472" s="45" t="s">
        <v>172</v>
      </c>
      <c r="AA472" s="32" t="str">
        <f t="shared" si="232"/>
        <v>召唤师召唤物死亡前，无敌0.5秒</v>
      </c>
      <c r="AB472" s="32"/>
      <c r="AC472" s="32" t="s">
        <v>166</v>
      </c>
      <c r="AD472" s="32">
        <f t="shared" si="226"/>
        <v>1467</v>
      </c>
      <c r="AE472" s="44" t="str">
        <f t="shared" si="235"/>
        <v>5505181</v>
      </c>
      <c r="AF472" s="45" t="str">
        <f t="shared" si="229"/>
        <v>[0.5]</v>
      </c>
      <c r="AG472" s="26">
        <v>100</v>
      </c>
      <c r="AH472" s="46"/>
      <c r="AI472" s="46">
        <v>1</v>
      </c>
      <c r="AJ472" s="25">
        <v>1</v>
      </c>
      <c r="AK472" s="44">
        <f t="shared" si="237"/>
        <v>5505183</v>
      </c>
      <c r="AL472" s="50" t="str">
        <f t="shared" si="238"/>
        <v>召唤师召唤物死亡前，无敌&lt;color=#54b76b&gt;%s&lt;/color&gt;秒</v>
      </c>
      <c r="AM472" s="46">
        <v>0.5</v>
      </c>
      <c r="AN472" s="25"/>
      <c r="AO472" s="25" t="s">
        <v>28</v>
      </c>
      <c r="AP472" s="20">
        <f t="shared" si="227"/>
        <v>467</v>
      </c>
    </row>
    <row r="473" customHeight="1" spans="1:42">
      <c r="A473" s="38">
        <v>5505184</v>
      </c>
      <c r="B473" s="38" t="str">
        <f t="shared" si="233"/>
        <v>5505181</v>
      </c>
      <c r="C473" s="32">
        <f t="shared" si="234"/>
        <v>4</v>
      </c>
      <c r="D473" s="32"/>
      <c r="E473" s="26" t="s">
        <v>209</v>
      </c>
      <c r="F473" s="26" t="str">
        <f t="shared" si="223"/>
        <v/>
      </c>
      <c r="G473" s="26" t="str">
        <f>IFERROR(IF(--MID($E473,2*COUNTIF($F473:F473,"&gt;"&amp;0)+2,1)=G$1,G$1,""),"")</f>
        <v/>
      </c>
      <c r="H473" s="26" t="str">
        <f>IFERROR(IF(--MID($E473,2*COUNTIF($F473:G473,"&gt;"&amp;0)+2,1)=H$1,H$1,""),"")</f>
        <v/>
      </c>
      <c r="I473" s="26" t="str">
        <f>IFERROR(IF(--MID($E473,2*COUNTIF($F473:H473,"&gt;"&amp;0)+2,1)=I$1,I$1,""),"")</f>
        <v/>
      </c>
      <c r="J473" s="26" t="str">
        <f>IFERROR(IF(--MID($E473,2*COUNTIF($F473:I473,"&gt;"&amp;0)+2,1)=J$1,J$1,""),"")</f>
        <v/>
      </c>
      <c r="K473" s="26">
        <f>IFERROR(IF(--MID($E473,2*COUNTIF($F473:J473,"&gt;"&amp;0)+2,1)=K$1,K$1,""),"")</f>
        <v>6</v>
      </c>
      <c r="L473" s="39" t="str" cm="1">
        <f t="array" ref="L473">IFERROR(IF($A473="","",IF(F473="","",_xlfn.XLOOKUP($C473&amp;"_"&amp;$AG473,符文权重!$A:$A&amp;"_"&amp;符文权重!$C:$C,符文权重!$D:$D)*$X473/SUMIFS($X:$X,F:F,F473,$C:$C,$C473,$AG:$AG,$AG473)/SUMIF(符文权重!$A:$A,$C473,符文权重!$D:$D))),"")</f>
        <v/>
      </c>
      <c r="M473" s="39" t="str" cm="1">
        <f t="array" ref="M473">IFERROR(IF($A473="","",IF(G473="","",_xlfn.XLOOKUP($C473&amp;"_"&amp;$AG473,符文权重!$A:$A&amp;"_"&amp;符文权重!$C:$C,符文权重!$D:$D)*$X473/SUMIFS($X:$X,G:G,G473,$C:$C,$C473,$AG:$AG,$AG473)/SUMIF(符文权重!$A:$A,$C473,符文权重!$D:$D))),"")</f>
        <v/>
      </c>
      <c r="N473" s="39" t="str" cm="1">
        <f t="array" ref="N473">IFERROR(IF($A473="","",IF(H473="","",_xlfn.XLOOKUP($C473&amp;"_"&amp;$AG473,符文权重!$A:$A&amp;"_"&amp;符文权重!$C:$C,符文权重!$D:$D)*$X473/SUMIFS($X:$X,H:H,H473,$C:$C,$C473,$AG:$AG,$AG473)/SUMIF(符文权重!$A:$A,$C473,符文权重!$D:$D))),"")</f>
        <v/>
      </c>
      <c r="O473" s="39" t="str" cm="1">
        <f t="array" ref="O473">IFERROR(IF($A473="","",IF(I473="","",_xlfn.XLOOKUP($C473&amp;"_"&amp;$AG473,符文权重!$A:$A&amp;"_"&amp;符文权重!$C:$C,符文权重!$D:$D)*$X473/SUMIFS($X:$X,I:I,I473,$C:$C,$C473,$AG:$AG,$AG473)/SUMIF(符文权重!$A:$A,$C473,符文权重!$D:$D))),"")</f>
        <v/>
      </c>
      <c r="P473" s="39" t="str" cm="1">
        <f t="array" ref="P473">IFERROR(IF($A473="","",IF(J473="","",_xlfn.XLOOKUP($C473&amp;"_"&amp;$AG473,符文权重!$A:$A&amp;"_"&amp;符文权重!$C:$C,符文权重!$D:$D)*$X473/SUMIFS($X:$X,J:J,J473,$C:$C,$C473,$AG:$AG,$AG473)/SUMIF(符文权重!$A:$A,$C473,符文权重!$D:$D))),"")</f>
        <v/>
      </c>
      <c r="Q473" s="58" t="str" cm="1">
        <f t="array" ref="Q473">IFERROR(IF($A473="","",IF(K473="","",_xlfn.XLOOKUP($C473&amp;"_"&amp;$AG473,符文权重!$A:$A&amp;"_"&amp;符文权重!$C:$C,符文权重!$D:$D)*$X473/SUMIFS($X:$X,K:K,K473,$C:$C,$C473,$AG:$AG,$AG473)/SUMIF(符文权重!$A:$A,$C473,符文权重!$D:$D))),"")</f>
        <v/>
      </c>
      <c r="R473" s="26" t="s">
        <v>181</v>
      </c>
      <c r="S473" s="26" t="s">
        <v>227</v>
      </c>
      <c r="T473" s="26" t="e">
        <f>IF(B473="","",SUBSTITUTE(SUBSTITUTE("[{global_atk,"&amp;#REF!*C473&amp;"}]",21,20),9,8))</f>
        <v>#REF!</v>
      </c>
      <c r="U473" s="40" t="str">
        <f t="shared" si="236"/>
        <v>[5505184]</v>
      </c>
      <c r="X473" s="25">
        <v>4</v>
      </c>
      <c r="Z473" s="32" t="s">
        <v>174</v>
      </c>
      <c r="AA473" s="32" t="str">
        <f t="shared" si="232"/>
        <v>召唤师召唤物死亡前，无敌1秒</v>
      </c>
      <c r="AB473" s="32"/>
      <c r="AC473" s="32" t="s">
        <v>166</v>
      </c>
      <c r="AD473" s="32">
        <f t="shared" si="226"/>
        <v>1468</v>
      </c>
      <c r="AE473" s="38" t="str">
        <f t="shared" si="235"/>
        <v>5505181</v>
      </c>
      <c r="AF473" s="32" t="str">
        <f t="shared" si="229"/>
        <v>[1]</v>
      </c>
      <c r="AG473" s="26">
        <v>105</v>
      </c>
      <c r="AH473" s="26"/>
      <c r="AI473" s="26">
        <v>0</v>
      </c>
      <c r="AJ473" s="25">
        <v>1</v>
      </c>
      <c r="AK473" s="38">
        <f t="shared" si="237"/>
        <v>5505184</v>
      </c>
      <c r="AL473" s="41" t="str">
        <f t="shared" si="238"/>
        <v>召唤师召唤物死亡前，无敌&lt;color=#54b76b&gt;%s&lt;/color&gt;秒</v>
      </c>
      <c r="AM473" s="26">
        <v>1</v>
      </c>
      <c r="AN473" s="25">
        <v>5</v>
      </c>
      <c r="AO473" s="25" t="s">
        <v>28</v>
      </c>
      <c r="AP473" s="20">
        <f t="shared" si="227"/>
        <v>468</v>
      </c>
    </row>
    <row r="474" customHeight="1" spans="1:42">
      <c r="A474" s="38">
        <v>5505185</v>
      </c>
      <c r="B474" s="38" t="str">
        <f t="shared" si="233"/>
        <v>5505181</v>
      </c>
      <c r="C474" s="32">
        <f t="shared" si="234"/>
        <v>5</v>
      </c>
      <c r="D474" s="32"/>
      <c r="E474" s="26" t="s">
        <v>209</v>
      </c>
      <c r="F474" s="26" t="str">
        <f t="shared" si="223"/>
        <v/>
      </c>
      <c r="G474" s="26" t="str">
        <f>IFERROR(IF(--MID($E474,2*COUNTIF($F474:F474,"&gt;"&amp;0)+2,1)=G$1,G$1,""),"")</f>
        <v/>
      </c>
      <c r="H474" s="26" t="str">
        <f>IFERROR(IF(--MID($E474,2*COUNTIF($F474:G474,"&gt;"&amp;0)+2,1)=H$1,H$1,""),"")</f>
        <v/>
      </c>
      <c r="I474" s="26" t="str">
        <f>IFERROR(IF(--MID($E474,2*COUNTIF($F474:H474,"&gt;"&amp;0)+2,1)=I$1,I$1,""),"")</f>
        <v/>
      </c>
      <c r="J474" s="26" t="str">
        <f>IFERROR(IF(--MID($E474,2*COUNTIF($F474:I474,"&gt;"&amp;0)+2,1)=J$1,J$1,""),"")</f>
        <v/>
      </c>
      <c r="K474" s="26">
        <f>IFERROR(IF(--MID($E474,2*COUNTIF($F474:J474,"&gt;"&amp;0)+2,1)=K$1,K$1,""),"")</f>
        <v>6</v>
      </c>
      <c r="L474" s="39" t="str" cm="1">
        <f t="array" ref="L474">IFERROR(IF($A474="","",IF(F474="","",_xlfn.XLOOKUP($C474&amp;"_"&amp;$AG474,符文权重!$A:$A&amp;"_"&amp;符文权重!$C:$C,符文权重!$D:$D)*$X474/SUMIFS($X:$X,F:F,F474,$C:$C,$C474,$AG:$AG,$AG474)/SUMIF(符文权重!$A:$A,$C474,符文权重!$D:$D))),"")</f>
        <v/>
      </c>
      <c r="M474" s="39" t="str" cm="1">
        <f t="array" ref="M474">IFERROR(IF($A474="","",IF(G474="","",_xlfn.XLOOKUP($C474&amp;"_"&amp;$AG474,符文权重!$A:$A&amp;"_"&amp;符文权重!$C:$C,符文权重!$D:$D)*$X474/SUMIFS($X:$X,G:G,G474,$C:$C,$C474,$AG:$AG,$AG474)/SUMIF(符文权重!$A:$A,$C474,符文权重!$D:$D))),"")</f>
        <v/>
      </c>
      <c r="N474" s="39" t="str" cm="1">
        <f t="array" ref="N474">IFERROR(IF($A474="","",IF(H474="","",_xlfn.XLOOKUP($C474&amp;"_"&amp;$AG474,符文权重!$A:$A&amp;"_"&amp;符文权重!$C:$C,符文权重!$D:$D)*$X474/SUMIFS($X:$X,H:H,H474,$C:$C,$C474,$AG:$AG,$AG474)/SUMIF(符文权重!$A:$A,$C474,符文权重!$D:$D))),"")</f>
        <v/>
      </c>
      <c r="O474" s="39" t="str" cm="1">
        <f t="array" ref="O474">IFERROR(IF($A474="","",IF(I474="","",_xlfn.XLOOKUP($C474&amp;"_"&amp;$AG474,符文权重!$A:$A&amp;"_"&amp;符文权重!$C:$C,符文权重!$D:$D)*$X474/SUMIFS($X:$X,I:I,I474,$C:$C,$C474,$AG:$AG,$AG474)/SUMIF(符文权重!$A:$A,$C474,符文权重!$D:$D))),"")</f>
        <v/>
      </c>
      <c r="P474" s="39" t="str" cm="1">
        <f t="array" ref="P474">IFERROR(IF($A474="","",IF(J474="","",_xlfn.XLOOKUP($C474&amp;"_"&amp;$AG474,符文权重!$A:$A&amp;"_"&amp;符文权重!$C:$C,符文权重!$D:$D)*$X474/SUMIFS($X:$X,J:J,J474,$C:$C,$C474,$AG:$AG,$AG474)/SUMIF(符文权重!$A:$A,$C474,符文权重!$D:$D))),"")</f>
        <v/>
      </c>
      <c r="Q474" s="39" cm="1">
        <f t="array" ref="Q474">IFERROR(IF($A474="","",IF(K474="","",_xlfn.XLOOKUP($C474&amp;"_"&amp;$AG474,符文权重!$A:$A&amp;"_"&amp;符文权重!$C:$C,符文权重!$D:$D)*$X474/SUMIFS($X:$X,K:K,K474,$C:$C,$C474,$AG:$AG,$AG474)/SUMIF(符文权重!$A:$A,$C474,符文权重!$D:$D))),"")</f>
        <v>0.005625</v>
      </c>
      <c r="R474" s="26" t="s">
        <v>181</v>
      </c>
      <c r="S474" s="26" t="s">
        <v>227</v>
      </c>
      <c r="T474" s="26" t="e">
        <f>IF(B474="","",SUBSTITUTE(SUBSTITUTE("[{global_atk,"&amp;#REF!*C474&amp;"}]",21,20),9,8))</f>
        <v>#REF!</v>
      </c>
      <c r="U474" s="40" t="str">
        <f t="shared" si="236"/>
        <v>[5505185]</v>
      </c>
      <c r="X474" s="25">
        <v>100</v>
      </c>
      <c r="Z474" s="32" t="s">
        <v>176</v>
      </c>
      <c r="AA474" s="32" t="str">
        <f t="shared" si="232"/>
        <v>召唤师召唤物死亡前，无敌1.5秒</v>
      </c>
      <c r="AB474" s="32"/>
      <c r="AC474" s="32" t="s">
        <v>166</v>
      </c>
      <c r="AD474" s="32">
        <f t="shared" si="226"/>
        <v>1469</v>
      </c>
      <c r="AE474" s="38" t="str">
        <f t="shared" si="235"/>
        <v>5505181</v>
      </c>
      <c r="AF474" s="32" t="str">
        <f t="shared" si="229"/>
        <v>[1.5]</v>
      </c>
      <c r="AG474" s="26">
        <v>5</v>
      </c>
      <c r="AH474" s="26"/>
      <c r="AI474" s="26">
        <v>0</v>
      </c>
      <c r="AJ474" s="25">
        <v>1</v>
      </c>
      <c r="AK474" s="38">
        <f t="shared" si="237"/>
        <v>5505185</v>
      </c>
      <c r="AL474" s="41" t="str">
        <f t="shared" si="238"/>
        <v>召唤师召唤物死亡前，无敌&lt;color=#54b76b&gt;%s&lt;/color&gt;秒</v>
      </c>
      <c r="AM474" s="26">
        <v>1.5</v>
      </c>
      <c r="AN474" s="25">
        <v>5</v>
      </c>
      <c r="AO474" s="25" t="s">
        <v>28</v>
      </c>
      <c r="AP474" s="20">
        <f t="shared" si="227"/>
        <v>469</v>
      </c>
    </row>
    <row r="475" customHeight="1" spans="1:42">
      <c r="A475" s="38">
        <v>5505186</v>
      </c>
      <c r="B475" s="38" t="str">
        <f t="shared" si="233"/>
        <v>5505181</v>
      </c>
      <c r="C475" s="32">
        <f t="shared" si="234"/>
        <v>6</v>
      </c>
      <c r="D475" s="32"/>
      <c r="E475" s="26" t="s">
        <v>209</v>
      </c>
      <c r="F475" s="26" t="str">
        <f t="shared" si="223"/>
        <v/>
      </c>
      <c r="G475" s="26" t="str">
        <f>IFERROR(IF(--MID($E475,2*COUNTIF($F475:F475,"&gt;"&amp;0)+2,1)=G$1,G$1,""),"")</f>
        <v/>
      </c>
      <c r="H475" s="26" t="str">
        <f>IFERROR(IF(--MID($E475,2*COUNTIF($F475:G475,"&gt;"&amp;0)+2,1)=H$1,H$1,""),"")</f>
        <v/>
      </c>
      <c r="I475" s="26" t="str">
        <f>IFERROR(IF(--MID($E475,2*COUNTIF($F475:H475,"&gt;"&amp;0)+2,1)=I$1,I$1,""),"")</f>
        <v/>
      </c>
      <c r="J475" s="26" t="str">
        <f>IFERROR(IF(--MID($E475,2*COUNTIF($F475:I475,"&gt;"&amp;0)+2,1)=J$1,J$1,""),"")</f>
        <v/>
      </c>
      <c r="K475" s="26">
        <f>IFERROR(IF(--MID($E475,2*COUNTIF($F475:J475,"&gt;"&amp;0)+2,1)=K$1,K$1,""),"")</f>
        <v>6</v>
      </c>
      <c r="L475" s="39" t="str" cm="1">
        <f t="array" ref="L475">IFERROR(IF($A475="","",IF(F475="","",_xlfn.XLOOKUP($C475&amp;"_"&amp;$AG475,符文权重!$A:$A&amp;"_"&amp;符文权重!$C:$C,符文权重!$D:$D)*$X475/SUMIFS($X:$X,F:F,F475,$C:$C,$C475,$AG:$AG,$AG475)/SUMIF(符文权重!$A:$A,$C475,符文权重!$D:$D))),"")</f>
        <v/>
      </c>
      <c r="M475" s="39" t="str" cm="1">
        <f t="array" ref="M475">IFERROR(IF($A475="","",IF(G475="","",_xlfn.XLOOKUP($C475&amp;"_"&amp;$AG475,符文权重!$A:$A&amp;"_"&amp;符文权重!$C:$C,符文权重!$D:$D)*$X475/SUMIFS($X:$X,G:G,G475,$C:$C,$C475,$AG:$AG,$AG475)/SUMIF(符文权重!$A:$A,$C475,符文权重!$D:$D))),"")</f>
        <v/>
      </c>
      <c r="N475" s="39" t="str" cm="1">
        <f t="array" ref="N475">IFERROR(IF($A475="","",IF(H475="","",_xlfn.XLOOKUP($C475&amp;"_"&amp;$AG475,符文权重!$A:$A&amp;"_"&amp;符文权重!$C:$C,符文权重!$D:$D)*$X475/SUMIFS($X:$X,H:H,H475,$C:$C,$C475,$AG:$AG,$AG475)/SUMIF(符文权重!$A:$A,$C475,符文权重!$D:$D))),"")</f>
        <v/>
      </c>
      <c r="O475" s="39" t="str" cm="1">
        <f t="array" ref="O475">IFERROR(IF($A475="","",IF(I475="","",_xlfn.XLOOKUP($C475&amp;"_"&amp;$AG475,符文权重!$A:$A&amp;"_"&amp;符文权重!$C:$C,符文权重!$D:$D)*$X475/SUMIFS($X:$X,I:I,I475,$C:$C,$C475,$AG:$AG,$AG475)/SUMIF(符文权重!$A:$A,$C475,符文权重!$D:$D))),"")</f>
        <v/>
      </c>
      <c r="P475" s="39" t="str" cm="1">
        <f t="array" ref="P475">IFERROR(IF($A475="","",IF(J475="","",_xlfn.XLOOKUP($C475&amp;"_"&amp;$AG475,符文权重!$A:$A&amp;"_"&amp;符文权重!$C:$C,符文权重!$D:$D)*$X475/SUMIFS($X:$X,J:J,J475,$C:$C,$C475,$AG:$AG,$AG475)/SUMIF(符文权重!$A:$A,$C475,符文权重!$D:$D))),"")</f>
        <v/>
      </c>
      <c r="Q475" s="39" cm="1">
        <f t="array" ref="Q475">IFERROR(IF($A475="","",IF(K475="","",_xlfn.XLOOKUP($C475&amp;"_"&amp;$AG475,符文权重!$A:$A&amp;"_"&amp;符文权重!$C:$C,符文权重!$D:$D)*$X475/SUMIFS($X:$X,K:K,K475,$C:$C,$C475,$AG:$AG,$AG475)/SUMIF(符文权重!$A:$A,$C475,符文权重!$D:$D))),"")</f>
        <v>0.005625</v>
      </c>
      <c r="R475" s="26" t="s">
        <v>181</v>
      </c>
      <c r="S475" s="26" t="s">
        <v>227</v>
      </c>
      <c r="T475" s="26" t="e">
        <f>IF(B475="","",SUBSTITUTE(SUBSTITUTE("[{global_atk,"&amp;#REF!*C475&amp;"}]",21,20),9,8))</f>
        <v>#REF!</v>
      </c>
      <c r="U475" s="40" t="str">
        <f t="shared" si="236"/>
        <v>[5505186]</v>
      </c>
      <c r="X475" s="25">
        <v>100</v>
      </c>
      <c r="Z475" s="32" t="s">
        <v>178</v>
      </c>
      <c r="AA475" s="32" t="str">
        <f t="shared" si="232"/>
        <v>召唤师召唤物死亡前，无敌2秒</v>
      </c>
      <c r="AB475" s="32"/>
      <c r="AC475" s="32" t="s">
        <v>166</v>
      </c>
      <c r="AD475" s="32">
        <f t="shared" si="226"/>
        <v>1470</v>
      </c>
      <c r="AE475" s="38" t="str">
        <f t="shared" si="235"/>
        <v>5505181</v>
      </c>
      <c r="AF475" s="32" t="str">
        <f t="shared" si="229"/>
        <v>[2]</v>
      </c>
      <c r="AG475" s="26">
        <v>5</v>
      </c>
      <c r="AH475" s="26"/>
      <c r="AI475" s="26">
        <v>0</v>
      </c>
      <c r="AJ475" s="25">
        <v>1</v>
      </c>
      <c r="AK475" s="38">
        <f t="shared" si="237"/>
        <v>5505186</v>
      </c>
      <c r="AL475" s="41" t="str">
        <f t="shared" si="238"/>
        <v>召唤师召唤物死亡前，无敌&lt;color=#54b76b&gt;%s&lt;/color&gt;秒</v>
      </c>
      <c r="AM475" s="26">
        <v>2</v>
      </c>
      <c r="AN475" s="25">
        <v>5</v>
      </c>
      <c r="AO475" s="25" t="s">
        <v>28</v>
      </c>
      <c r="AP475" s="20">
        <f t="shared" si="227"/>
        <v>470</v>
      </c>
    </row>
    <row r="476" customHeight="1" spans="1:42">
      <c r="A476" s="38">
        <v>5505187</v>
      </c>
      <c r="B476" s="38" t="str">
        <f t="shared" si="233"/>
        <v>5505181</v>
      </c>
      <c r="C476" s="32">
        <f t="shared" si="234"/>
        <v>7</v>
      </c>
      <c r="D476" s="32"/>
      <c r="E476" s="26" t="s">
        <v>209</v>
      </c>
      <c r="F476" s="26" t="str">
        <f t="shared" si="223"/>
        <v/>
      </c>
      <c r="G476" s="26" t="str">
        <f>IFERROR(IF(--MID($E476,2*COUNTIF($F476:F476,"&gt;"&amp;0)+2,1)=G$1,G$1,""),"")</f>
        <v/>
      </c>
      <c r="H476" s="26" t="str">
        <f>IFERROR(IF(--MID($E476,2*COUNTIF($F476:G476,"&gt;"&amp;0)+2,1)=H$1,H$1,""),"")</f>
        <v/>
      </c>
      <c r="I476" s="26" t="str">
        <f>IFERROR(IF(--MID($E476,2*COUNTIF($F476:H476,"&gt;"&amp;0)+2,1)=I$1,I$1,""),"")</f>
        <v/>
      </c>
      <c r="J476" s="26" t="str">
        <f>IFERROR(IF(--MID($E476,2*COUNTIF($F476:I476,"&gt;"&amp;0)+2,1)=J$1,J$1,""),"")</f>
        <v/>
      </c>
      <c r="K476" s="26">
        <f>IFERROR(IF(--MID($E476,2*COUNTIF($F476:J476,"&gt;"&amp;0)+2,1)=K$1,K$1,""),"")</f>
        <v>6</v>
      </c>
      <c r="L476" s="39" t="str" cm="1">
        <f t="array" ref="L476">IFERROR(IF($A476="","",IF(F476="","",_xlfn.XLOOKUP($C476&amp;"_"&amp;$AG476,符文权重!$A:$A&amp;"_"&amp;符文权重!$C:$C,符文权重!$D:$D)*$X476/SUMIFS($X:$X,F:F,F476,$C:$C,$C476,$AG:$AG,$AG476)/SUMIF(符文权重!$A:$A,$C476,符文权重!$D:$D))),"")</f>
        <v/>
      </c>
      <c r="M476" s="39" t="str" cm="1">
        <f t="array" ref="M476">IFERROR(IF($A476="","",IF(G476="","",_xlfn.XLOOKUP($C476&amp;"_"&amp;$AG476,符文权重!$A:$A&amp;"_"&amp;符文权重!$C:$C,符文权重!$D:$D)*$X476/SUMIFS($X:$X,G:G,G476,$C:$C,$C476,$AG:$AG,$AG476)/SUMIF(符文权重!$A:$A,$C476,符文权重!$D:$D))),"")</f>
        <v/>
      </c>
      <c r="N476" s="39" t="str" cm="1">
        <f t="array" ref="N476">IFERROR(IF($A476="","",IF(H476="","",_xlfn.XLOOKUP($C476&amp;"_"&amp;$AG476,符文权重!$A:$A&amp;"_"&amp;符文权重!$C:$C,符文权重!$D:$D)*$X476/SUMIFS($X:$X,H:H,H476,$C:$C,$C476,$AG:$AG,$AG476)/SUMIF(符文权重!$A:$A,$C476,符文权重!$D:$D))),"")</f>
        <v/>
      </c>
      <c r="O476" s="39" t="str" cm="1">
        <f t="array" ref="O476">IFERROR(IF($A476="","",IF(I476="","",_xlfn.XLOOKUP($C476&amp;"_"&amp;$AG476,符文权重!$A:$A&amp;"_"&amp;符文权重!$C:$C,符文权重!$D:$D)*$X476/SUMIFS($X:$X,I:I,I476,$C:$C,$C476,$AG:$AG,$AG476)/SUMIF(符文权重!$A:$A,$C476,符文权重!$D:$D))),"")</f>
        <v/>
      </c>
      <c r="P476" s="39" t="str" cm="1">
        <f t="array" ref="P476">IFERROR(IF($A476="","",IF(J476="","",_xlfn.XLOOKUP($C476&amp;"_"&amp;$AG476,符文权重!$A:$A&amp;"_"&amp;符文权重!$C:$C,符文权重!$D:$D)*$X476/SUMIFS($X:$X,J:J,J476,$C:$C,$C476,$AG:$AG,$AG476)/SUMIF(符文权重!$A:$A,$C476,符文权重!$D:$D))),"")</f>
        <v/>
      </c>
      <c r="Q476" s="39" cm="1">
        <f t="array" ref="Q476">IFERROR(IF($A476="","",IF(K476="","",_xlfn.XLOOKUP($C476&amp;"_"&amp;$AG476,符文权重!$A:$A&amp;"_"&amp;符文权重!$C:$C,符文权重!$D:$D)*$X476/SUMIFS($X:$X,K:K,K476,$C:$C,$C476,$AG:$AG,$AG476)/SUMIF(符文权重!$A:$A,$C476,符文权重!$D:$D))),"")</f>
        <v>0.005625</v>
      </c>
      <c r="R476" s="26" t="s">
        <v>181</v>
      </c>
      <c r="S476" s="26" t="s">
        <v>227</v>
      </c>
      <c r="T476" s="26" t="e">
        <f>IF(B476="","",SUBSTITUTE(SUBSTITUTE("[{global_atk,"&amp;#REF!*C476&amp;"}]",21,20),9,8))</f>
        <v>#REF!</v>
      </c>
      <c r="U476" s="40" t="str">
        <f t="shared" si="236"/>
        <v>[5505187]</v>
      </c>
      <c r="X476" s="25">
        <v>100</v>
      </c>
      <c r="Z476" s="32" t="s">
        <v>180</v>
      </c>
      <c r="AA476" s="32" t="str">
        <f t="shared" si="232"/>
        <v>召唤师召唤物死亡前，无敌2.5秒</v>
      </c>
      <c r="AB476" s="32"/>
      <c r="AC476" s="32" t="s">
        <v>166</v>
      </c>
      <c r="AD476" s="32">
        <f t="shared" si="226"/>
        <v>1471</v>
      </c>
      <c r="AE476" s="38" t="str">
        <f t="shared" si="235"/>
        <v>5505181</v>
      </c>
      <c r="AF476" s="32" t="str">
        <f t="shared" si="229"/>
        <v>[2.5]</v>
      </c>
      <c r="AG476" s="26">
        <v>5</v>
      </c>
      <c r="AH476" s="26"/>
      <c r="AI476" s="26">
        <v>0</v>
      </c>
      <c r="AJ476" s="25">
        <v>1</v>
      </c>
      <c r="AK476" s="38">
        <f t="shared" si="237"/>
        <v>5505187</v>
      </c>
      <c r="AL476" s="41" t="str">
        <f t="shared" si="238"/>
        <v>召唤师召唤物死亡前，无敌&lt;color=#54b76b&gt;%s&lt;/color&gt;秒</v>
      </c>
      <c r="AM476" s="26">
        <v>2.5</v>
      </c>
      <c r="AN476" s="25">
        <v>5</v>
      </c>
      <c r="AO476" s="25" t="s">
        <v>28</v>
      </c>
      <c r="AP476" s="20">
        <f t="shared" si="227"/>
        <v>471</v>
      </c>
    </row>
    <row r="477" s="20" customFormat="1" customHeight="1" spans="1:42">
      <c r="A477" s="38" t="s">
        <v>167</v>
      </c>
      <c r="B477" s="38" t="str">
        <f t="shared" si="233"/>
        <v/>
      </c>
      <c r="C477" s="32" t="str">
        <f t="shared" si="234"/>
        <v/>
      </c>
      <c r="D477" s="32"/>
      <c r="E477" s="26"/>
      <c r="F477" s="26" t="str">
        <f t="shared" si="223"/>
        <v/>
      </c>
      <c r="G477" s="26" t="str">
        <f>IFERROR(IF(--MID($E477,2*COUNTIF($F477:F477,"&gt;"&amp;0)+2,1)=G$1,G$1,""),"")</f>
        <v/>
      </c>
      <c r="H477" s="26" t="str">
        <f>IFERROR(IF(--MID($E477,2*COUNTIF($F477:G477,"&gt;"&amp;0)+2,1)=H$1,H$1,""),"")</f>
        <v/>
      </c>
      <c r="I477" s="26" t="str">
        <f>IFERROR(IF(--MID($E477,2*COUNTIF($F477:H477,"&gt;"&amp;0)+2,1)=I$1,I$1,""),"")</f>
        <v/>
      </c>
      <c r="J477" s="26" t="str">
        <f>IFERROR(IF(--MID($E477,2*COUNTIF($F477:I477,"&gt;"&amp;0)+2,1)=J$1,J$1,""),"")</f>
        <v/>
      </c>
      <c r="K477" s="26" t="str">
        <f>IFERROR(IF(--MID($E477,2*COUNTIF($F477:J477,"&gt;"&amp;0)+2,1)=K$1,K$1,""),"")</f>
        <v/>
      </c>
      <c r="L477" s="39" t="str" cm="1">
        <f t="array" ref="L477">IFERROR(IF($A477="","",IF(F477="","",_xlfn.XLOOKUP($C477&amp;"_"&amp;$AG477,符文权重!$A:$A&amp;"_"&amp;符文权重!$C:$C,符文权重!$D:$D)*$X477/SUMIFS($X:$X,F:F,F477,$C:$C,$C477,$AG:$AG,$AG477)/SUMIF(符文权重!$A:$A,$C477,符文权重!$D:$D))),"")</f>
        <v/>
      </c>
      <c r="M477" s="39" t="str" cm="1">
        <f t="array" ref="M477">IFERROR(IF($A477="","",IF(G477="","",_xlfn.XLOOKUP($C477&amp;"_"&amp;$AG477,符文权重!$A:$A&amp;"_"&amp;符文权重!$C:$C,符文权重!$D:$D)*$X477/SUMIFS($X:$X,G:G,G477,$C:$C,$C477,$AG:$AG,$AG477)/SUMIF(符文权重!$A:$A,$C477,符文权重!$D:$D))),"")</f>
        <v/>
      </c>
      <c r="N477" s="39" t="str" cm="1">
        <f t="array" ref="N477">IFERROR(IF($A477="","",IF(H477="","",_xlfn.XLOOKUP($C477&amp;"_"&amp;$AG477,符文权重!$A:$A&amp;"_"&amp;符文权重!$C:$C,符文权重!$D:$D)*$X477/SUMIFS($X:$X,H:H,H477,$C:$C,$C477,$AG:$AG,$AG477)/SUMIF(符文权重!$A:$A,$C477,符文权重!$D:$D))),"")</f>
        <v/>
      </c>
      <c r="O477" s="39" t="str" cm="1">
        <f t="array" ref="O477">IFERROR(IF($A477="","",IF(I477="","",_xlfn.XLOOKUP($C477&amp;"_"&amp;$AG477,符文权重!$A:$A&amp;"_"&amp;符文权重!$C:$C,符文权重!$D:$D)*$X477/SUMIFS($X:$X,I:I,I477,$C:$C,$C477,$AG:$AG,$AG477)/SUMIF(符文权重!$A:$A,$C477,符文权重!$D:$D))),"")</f>
        <v/>
      </c>
      <c r="P477" s="39" t="str" cm="1">
        <f t="array" ref="P477">IFERROR(IF($A477="","",IF(J477="","",_xlfn.XLOOKUP($C477&amp;"_"&amp;$AG477,符文权重!$A:$A&amp;"_"&amp;符文权重!$C:$C,符文权重!$D:$D)*$X477/SUMIFS($X:$X,J:J,J477,$C:$C,$C477,$AG:$AG,$AG477)/SUMIF(符文权重!$A:$A,$C477,符文权重!$D:$D))),"")</f>
        <v/>
      </c>
      <c r="Q477" s="39" t="str" cm="1">
        <f t="array" ref="Q477">IFERROR(IF($A477="","",IF(K477="","",_xlfn.XLOOKUP($C477&amp;"_"&amp;$AG477,符文权重!$A:$A&amp;"_"&amp;符文权重!$C:$C,符文权重!$D:$D)*$X477/SUMIFS($X:$X,K:K,K477,$C:$C,$C477,$AG:$AG,$AG477)/SUMIF(符文权重!$A:$A,$C477,符文权重!$D:$D))),"")</f>
        <v/>
      </c>
      <c r="R477" s="26"/>
      <c r="S477" s="26"/>
      <c r="T477" s="26"/>
      <c r="V477" s="31"/>
      <c r="W477" s="25"/>
      <c r="X477" s="25"/>
      <c r="Y477" s="25"/>
      <c r="Z477" s="32" t="s">
        <v>167</v>
      </c>
      <c r="AA477" s="32" t="str">
        <f t="shared" si="232"/>
        <v/>
      </c>
      <c r="AB477" s="32"/>
      <c r="AC477" s="32" t="s">
        <v>166</v>
      </c>
      <c r="AD477" s="32">
        <f t="shared" si="226"/>
        <v>1472</v>
      </c>
      <c r="AE477" s="38" t="str">
        <f t="shared" si="235"/>
        <v/>
      </c>
      <c r="AF477" s="32" t="str">
        <f t="shared" si="229"/>
        <v/>
      </c>
      <c r="AG477" s="26"/>
      <c r="AH477" s="26"/>
      <c r="AI477" s="26"/>
      <c r="AJ477" s="25" t="s">
        <v>167</v>
      </c>
      <c r="AK477" s="24"/>
      <c r="AL477" s="59"/>
      <c r="AM477" s="26"/>
      <c r="AN477" s="25"/>
      <c r="AO477" s="25"/>
      <c r="AP477" s="20">
        <f t="shared" si="227"/>
        <v>472</v>
      </c>
    </row>
    <row r="478" s="22" customFormat="1" customHeight="1" spans="1:42">
      <c r="A478" s="44">
        <v>5505191</v>
      </c>
      <c r="B478" s="44" t="str">
        <f t="shared" si="233"/>
        <v>5505191</v>
      </c>
      <c r="C478" s="45">
        <f t="shared" si="234"/>
        <v>1</v>
      </c>
      <c r="D478" s="45"/>
      <c r="E478" s="46" t="s">
        <v>191</v>
      </c>
      <c r="F478" s="26">
        <f t="shared" si="223"/>
        <v>1</v>
      </c>
      <c r="G478" s="26" t="str">
        <f>IFERROR(IF(--MID($E478,2*COUNTIF($F478:F478,"&gt;"&amp;0)+2,1)=G$1,G$1,""),"")</f>
        <v/>
      </c>
      <c r="H478" s="26" t="str">
        <f>IFERROR(IF(--MID($E478,2*COUNTIF($F478:G478,"&gt;"&amp;0)+2,1)=H$1,H$1,""),"")</f>
        <v/>
      </c>
      <c r="I478" s="26" t="str">
        <f>IFERROR(IF(--MID($E478,2*COUNTIF($F478:H478,"&gt;"&amp;0)+2,1)=I$1,I$1,""),"")</f>
        <v/>
      </c>
      <c r="J478" s="26" t="str">
        <f>IFERROR(IF(--MID($E478,2*COUNTIF($F478:I478,"&gt;"&amp;0)+2,1)=J$1,J$1,""),"")</f>
        <v/>
      </c>
      <c r="K478" s="26" t="str">
        <f>IFERROR(IF(--MID($E478,2*COUNTIF($F478:J478,"&gt;"&amp;0)+2,1)=K$1,K$1,""),"")</f>
        <v/>
      </c>
      <c r="L478" s="39" t="str" cm="1">
        <f t="array" ref="L478">IFERROR(IF($A478="","",IF(F478="","",_xlfn.XLOOKUP($C478&amp;"_"&amp;$AG478,符文权重!$A:$A&amp;"_"&amp;符文权重!$C:$C,符文权重!$D:$D)*$X478/SUMIFS($X:$X,F:F,F478,$C:$C,$C478,$AG:$AG,$AG478)/SUMIF(符文权重!$A:$A,$C478,符文权重!$D:$D))),"")</f>
        <v/>
      </c>
      <c r="M478" s="39" t="str" cm="1">
        <f t="array" ref="M478">IFERROR(IF($A478="","",IF(G478="","",_xlfn.XLOOKUP($C478&amp;"_"&amp;$AG478,符文权重!$A:$A&amp;"_"&amp;符文权重!$C:$C,符文权重!$D:$D)*$X478/SUMIFS($X:$X,G:G,G478,$C:$C,$C478,$AG:$AG,$AG478)/SUMIF(符文权重!$A:$A,$C478,符文权重!$D:$D))),"")</f>
        <v/>
      </c>
      <c r="N478" s="39" t="str" cm="1">
        <f t="array" ref="N478">IFERROR(IF($A478="","",IF(H478="","",_xlfn.XLOOKUP($C478&amp;"_"&amp;$AG478,符文权重!$A:$A&amp;"_"&amp;符文权重!$C:$C,符文权重!$D:$D)*$X478/SUMIFS($X:$X,H:H,H478,$C:$C,$C478,$AG:$AG,$AG478)/SUMIF(符文权重!$A:$A,$C478,符文权重!$D:$D))),"")</f>
        <v/>
      </c>
      <c r="O478" s="39" t="str" cm="1">
        <f t="array" ref="O478">IFERROR(IF($A478="","",IF(I478="","",_xlfn.XLOOKUP($C478&amp;"_"&amp;$AG478,符文权重!$A:$A&amp;"_"&amp;符文权重!$C:$C,符文权重!$D:$D)*$X478/SUMIFS($X:$X,I:I,I478,$C:$C,$C478,$AG:$AG,$AG478)/SUMIF(符文权重!$A:$A,$C478,符文权重!$D:$D))),"")</f>
        <v/>
      </c>
      <c r="P478" s="39" t="str" cm="1">
        <f t="array" ref="P478">IFERROR(IF($A478="","",IF(J478="","",_xlfn.XLOOKUP($C478&amp;"_"&amp;$AG478,符文权重!$A:$A&amp;"_"&amp;符文权重!$C:$C,符文权重!$D:$D)*$X478/SUMIFS($X:$X,J:J,J478,$C:$C,$C478,$AG:$AG,$AG478)/SUMIF(符文权重!$A:$A,$C478,符文权重!$D:$D))),"")</f>
        <v/>
      </c>
      <c r="Q478" s="39" t="str" cm="1">
        <f t="array" ref="Q478">IFERROR(IF($A478="","",IF(K478="","",_xlfn.XLOOKUP($C478&amp;"_"&amp;$AG478,符文权重!$A:$A&amp;"_"&amp;符文权重!$C:$C,符文权重!$D:$D)*$X478/SUMIFS($X:$X,K:K,K478,$C:$C,$C478,$AG:$AG,$AG478)/SUMIF(符文权重!$A:$A,$C478,符文权重!$D:$D))),"")</f>
        <v/>
      </c>
      <c r="R478" s="46" t="s">
        <v>181</v>
      </c>
      <c r="S478" s="46" t="s">
        <v>227</v>
      </c>
      <c r="T478" s="46" t="e">
        <f>IF(B478="","",SUBSTITUTE(SUBSTITUTE("[{global_atk,"&amp;#REF!*C478&amp;"}]",21,20),9,8))</f>
        <v>#REF!</v>
      </c>
      <c r="U478" s="47" t="str">
        <f t="shared" ref="U478:U484" si="239">"["&amp;A478&amp;"]"</f>
        <v>[5505191]</v>
      </c>
      <c r="V478" s="46"/>
      <c r="W478" s="23"/>
      <c r="X478" s="25">
        <v>100</v>
      </c>
      <c r="Y478" s="23"/>
      <c r="Z478" s="45" t="s">
        <v>165</v>
      </c>
      <c r="AA478" s="32" t="str">
        <f t="shared" si="232"/>
        <v>召唤师召唤物每嘲讽1个敌人，召唤物最大生命值+0%</v>
      </c>
      <c r="AB478" s="32"/>
      <c r="AC478" s="32" t="s">
        <v>166</v>
      </c>
      <c r="AD478" s="32">
        <f t="shared" si="226"/>
        <v>1473</v>
      </c>
      <c r="AE478" s="44" t="str">
        <f t="shared" si="235"/>
        <v>5505191</v>
      </c>
      <c r="AF478" s="45" t="str">
        <f t="shared" si="229"/>
        <v>[0]</v>
      </c>
      <c r="AG478" s="26">
        <v>100</v>
      </c>
      <c r="AH478" s="46"/>
      <c r="AI478" s="46">
        <v>1</v>
      </c>
      <c r="AJ478" s="25">
        <v>1</v>
      </c>
      <c r="AK478" s="48">
        <v>5505191</v>
      </c>
      <c r="AL478" s="57" t="s">
        <v>506</v>
      </c>
      <c r="AM478" s="46">
        <v>0</v>
      </c>
      <c r="AN478" s="25"/>
      <c r="AO478" s="25" t="s">
        <v>28</v>
      </c>
      <c r="AP478" s="20">
        <f t="shared" si="227"/>
        <v>473</v>
      </c>
    </row>
    <row r="479" s="23" customFormat="1" customHeight="1" spans="1:42">
      <c r="A479" s="44">
        <v>5505192</v>
      </c>
      <c r="B479" s="44" t="str">
        <f t="shared" si="233"/>
        <v>5505191</v>
      </c>
      <c r="C479" s="45">
        <f t="shared" si="234"/>
        <v>2</v>
      </c>
      <c r="D479" s="45"/>
      <c r="E479" s="46" t="s">
        <v>191</v>
      </c>
      <c r="F479" s="26">
        <f t="shared" si="223"/>
        <v>1</v>
      </c>
      <c r="G479" s="26" t="str">
        <f>IFERROR(IF(--MID($E479,2*COUNTIF($F479:F479,"&gt;"&amp;0)+2,1)=G$1,G$1,""),"")</f>
        <v/>
      </c>
      <c r="H479" s="26" t="str">
        <f>IFERROR(IF(--MID($E479,2*COUNTIF($F479:G479,"&gt;"&amp;0)+2,1)=H$1,H$1,""),"")</f>
        <v/>
      </c>
      <c r="I479" s="26" t="str">
        <f>IFERROR(IF(--MID($E479,2*COUNTIF($F479:H479,"&gt;"&amp;0)+2,1)=I$1,I$1,""),"")</f>
        <v/>
      </c>
      <c r="J479" s="26" t="str">
        <f>IFERROR(IF(--MID($E479,2*COUNTIF($F479:I479,"&gt;"&amp;0)+2,1)=J$1,J$1,""),"")</f>
        <v/>
      </c>
      <c r="K479" s="26" t="str">
        <f>IFERROR(IF(--MID($E479,2*COUNTIF($F479:J479,"&gt;"&amp;0)+2,1)=K$1,K$1,""),"")</f>
        <v/>
      </c>
      <c r="L479" s="39" t="str" cm="1">
        <f t="array" ref="L479">IFERROR(IF($A479="","",IF(F479="","",_xlfn.XLOOKUP($C479&amp;"_"&amp;$AG479,符文权重!$A:$A&amp;"_"&amp;符文权重!$C:$C,符文权重!$D:$D)*$X479/SUMIFS($X:$X,F:F,F479,$C:$C,$C479,$AG:$AG,$AG479)/SUMIF(符文权重!$A:$A,$C479,符文权重!$D:$D))),"")</f>
        <v/>
      </c>
      <c r="M479" s="39" t="str" cm="1">
        <f t="array" ref="M479">IFERROR(IF($A479="","",IF(G479="","",_xlfn.XLOOKUP($C479&amp;"_"&amp;$AG479,符文权重!$A:$A&amp;"_"&amp;符文权重!$C:$C,符文权重!$D:$D)*$X479/SUMIFS($X:$X,G:G,G479,$C:$C,$C479,$AG:$AG,$AG479)/SUMIF(符文权重!$A:$A,$C479,符文权重!$D:$D))),"")</f>
        <v/>
      </c>
      <c r="N479" s="39" t="str" cm="1">
        <f t="array" ref="N479">IFERROR(IF($A479="","",IF(H479="","",_xlfn.XLOOKUP($C479&amp;"_"&amp;$AG479,符文权重!$A:$A&amp;"_"&amp;符文权重!$C:$C,符文权重!$D:$D)*$X479/SUMIFS($X:$X,H:H,H479,$C:$C,$C479,$AG:$AG,$AG479)/SUMIF(符文权重!$A:$A,$C479,符文权重!$D:$D))),"")</f>
        <v/>
      </c>
      <c r="O479" s="39" t="str" cm="1">
        <f t="array" ref="O479">IFERROR(IF($A479="","",IF(I479="","",_xlfn.XLOOKUP($C479&amp;"_"&amp;$AG479,符文权重!$A:$A&amp;"_"&amp;符文权重!$C:$C,符文权重!$D:$D)*$X479/SUMIFS($X:$X,I:I,I479,$C:$C,$C479,$AG:$AG,$AG479)/SUMIF(符文权重!$A:$A,$C479,符文权重!$D:$D))),"")</f>
        <v/>
      </c>
      <c r="P479" s="39" t="str" cm="1">
        <f t="array" ref="P479">IFERROR(IF($A479="","",IF(J479="","",_xlfn.XLOOKUP($C479&amp;"_"&amp;$AG479,符文权重!$A:$A&amp;"_"&amp;符文权重!$C:$C,符文权重!$D:$D)*$X479/SUMIFS($X:$X,J:J,J479,$C:$C,$C479,$AG:$AG,$AG479)/SUMIF(符文权重!$A:$A,$C479,符文权重!$D:$D))),"")</f>
        <v/>
      </c>
      <c r="Q479" s="39" t="str" cm="1">
        <f t="array" ref="Q479">IFERROR(IF($A479="","",IF(K479="","",_xlfn.XLOOKUP($C479&amp;"_"&amp;$AG479,符文权重!$A:$A&amp;"_"&amp;符文权重!$C:$C,符文权重!$D:$D)*$X479/SUMIFS($X:$X,K:K,K479,$C:$C,$C479,$AG:$AG,$AG479)/SUMIF(符文权重!$A:$A,$C479,符文权重!$D:$D))),"")</f>
        <v/>
      </c>
      <c r="R479" s="46" t="s">
        <v>181</v>
      </c>
      <c r="S479" s="46" t="s">
        <v>227</v>
      </c>
      <c r="T479" s="46" t="e">
        <f>IF(B479="","",SUBSTITUTE(SUBSTITUTE("[{global_atk,"&amp;#REF!*C479&amp;"}]",21,20),9,8))</f>
        <v>#REF!</v>
      </c>
      <c r="U479" s="47" t="str">
        <f t="shared" si="239"/>
        <v>[5505192]</v>
      </c>
      <c r="V479" s="46"/>
      <c r="X479" s="25">
        <v>100</v>
      </c>
      <c r="Z479" s="45" t="s">
        <v>170</v>
      </c>
      <c r="AA479" s="32" t="str">
        <f t="shared" si="232"/>
        <v>召唤师召唤物每嘲讽1个敌人，召唤物最大生命值+0%</v>
      </c>
      <c r="AB479" s="32"/>
      <c r="AC479" s="32" t="s">
        <v>166</v>
      </c>
      <c r="AD479" s="32">
        <f t="shared" si="226"/>
        <v>1474</v>
      </c>
      <c r="AE479" s="44" t="str">
        <f t="shared" si="235"/>
        <v>5505191</v>
      </c>
      <c r="AF479" s="45" t="str">
        <f t="shared" si="229"/>
        <v>[0]</v>
      </c>
      <c r="AG479" s="26">
        <v>100</v>
      </c>
      <c r="AH479" s="46"/>
      <c r="AI479" s="46">
        <v>1</v>
      </c>
      <c r="AJ479" s="25">
        <v>1</v>
      </c>
      <c r="AK479" s="44">
        <f t="shared" ref="AK479:AK484" si="240">AK478+1</f>
        <v>5505192</v>
      </c>
      <c r="AL479" s="50" t="str">
        <f t="shared" ref="AL479:AL484" si="241">AL478</f>
        <v>召唤师召唤物每嘲讽1个敌人，召唤物最大生命值&lt;color=#54b76b&gt;+%s%&lt;/color&gt;</v>
      </c>
      <c r="AM479" s="46">
        <v>0</v>
      </c>
      <c r="AN479" s="25"/>
      <c r="AO479" s="25" t="s">
        <v>28</v>
      </c>
      <c r="AP479" s="20">
        <f t="shared" si="227"/>
        <v>474</v>
      </c>
    </row>
    <row r="480" s="23" customFormat="1" customHeight="1" spans="1:42">
      <c r="A480" s="44">
        <v>5505193</v>
      </c>
      <c r="B480" s="44" t="str">
        <f t="shared" si="233"/>
        <v>5505191</v>
      </c>
      <c r="C480" s="45">
        <f t="shared" si="234"/>
        <v>3</v>
      </c>
      <c r="D480" s="45"/>
      <c r="E480" s="46" t="s">
        <v>191</v>
      </c>
      <c r="F480" s="26">
        <f t="shared" si="223"/>
        <v>1</v>
      </c>
      <c r="G480" s="26" t="str">
        <f>IFERROR(IF(--MID($E480,2*COUNTIF($F480:F480,"&gt;"&amp;0)+2,1)=G$1,G$1,""),"")</f>
        <v/>
      </c>
      <c r="H480" s="26" t="str">
        <f>IFERROR(IF(--MID($E480,2*COUNTIF($F480:G480,"&gt;"&amp;0)+2,1)=H$1,H$1,""),"")</f>
        <v/>
      </c>
      <c r="I480" s="26" t="str">
        <f>IFERROR(IF(--MID($E480,2*COUNTIF($F480:H480,"&gt;"&amp;0)+2,1)=I$1,I$1,""),"")</f>
        <v/>
      </c>
      <c r="J480" s="26" t="str">
        <f>IFERROR(IF(--MID($E480,2*COUNTIF($F480:I480,"&gt;"&amp;0)+2,1)=J$1,J$1,""),"")</f>
        <v/>
      </c>
      <c r="K480" s="26" t="str">
        <f>IFERROR(IF(--MID($E480,2*COUNTIF($F480:J480,"&gt;"&amp;0)+2,1)=K$1,K$1,""),"")</f>
        <v/>
      </c>
      <c r="L480" s="39" t="str" cm="1">
        <f t="array" ref="L480">IFERROR(IF($A480="","",IF(F480="","",_xlfn.XLOOKUP($C480&amp;"_"&amp;$AG480,符文权重!$A:$A&amp;"_"&amp;符文权重!$C:$C,符文权重!$D:$D)*$X480/SUMIFS($X:$X,F:F,F480,$C:$C,$C480,$AG:$AG,$AG480)/SUMIF(符文权重!$A:$A,$C480,符文权重!$D:$D))),"")</f>
        <v/>
      </c>
      <c r="M480" s="39" t="str" cm="1">
        <f t="array" ref="M480">IFERROR(IF($A480="","",IF(G480="","",_xlfn.XLOOKUP($C480&amp;"_"&amp;$AG480,符文权重!$A:$A&amp;"_"&amp;符文权重!$C:$C,符文权重!$D:$D)*$X480/SUMIFS($X:$X,G:G,G480,$C:$C,$C480,$AG:$AG,$AG480)/SUMIF(符文权重!$A:$A,$C480,符文权重!$D:$D))),"")</f>
        <v/>
      </c>
      <c r="N480" s="39" t="str" cm="1">
        <f t="array" ref="N480">IFERROR(IF($A480="","",IF(H480="","",_xlfn.XLOOKUP($C480&amp;"_"&amp;$AG480,符文权重!$A:$A&amp;"_"&amp;符文权重!$C:$C,符文权重!$D:$D)*$X480/SUMIFS($X:$X,H:H,H480,$C:$C,$C480,$AG:$AG,$AG480)/SUMIF(符文权重!$A:$A,$C480,符文权重!$D:$D))),"")</f>
        <v/>
      </c>
      <c r="O480" s="39" t="str" cm="1">
        <f t="array" ref="O480">IFERROR(IF($A480="","",IF(I480="","",_xlfn.XLOOKUP($C480&amp;"_"&amp;$AG480,符文权重!$A:$A&amp;"_"&amp;符文权重!$C:$C,符文权重!$D:$D)*$X480/SUMIFS($X:$X,I:I,I480,$C:$C,$C480,$AG:$AG,$AG480)/SUMIF(符文权重!$A:$A,$C480,符文权重!$D:$D))),"")</f>
        <v/>
      </c>
      <c r="P480" s="39" t="str" cm="1">
        <f t="array" ref="P480">IFERROR(IF($A480="","",IF(J480="","",_xlfn.XLOOKUP($C480&amp;"_"&amp;$AG480,符文权重!$A:$A&amp;"_"&amp;符文权重!$C:$C,符文权重!$D:$D)*$X480/SUMIFS($X:$X,J:J,J480,$C:$C,$C480,$AG:$AG,$AG480)/SUMIF(符文权重!$A:$A,$C480,符文权重!$D:$D))),"")</f>
        <v/>
      </c>
      <c r="Q480" s="39" t="str" cm="1">
        <f t="array" ref="Q480">IFERROR(IF($A480="","",IF(K480="","",_xlfn.XLOOKUP($C480&amp;"_"&amp;$AG480,符文权重!$A:$A&amp;"_"&amp;符文权重!$C:$C,符文权重!$D:$D)*$X480/SUMIFS($X:$X,K:K,K480,$C:$C,$C480,$AG:$AG,$AG480)/SUMIF(符文权重!$A:$A,$C480,符文权重!$D:$D))),"")</f>
        <v/>
      </c>
      <c r="R480" s="46" t="s">
        <v>181</v>
      </c>
      <c r="S480" s="46" t="s">
        <v>227</v>
      </c>
      <c r="T480" s="46" t="e">
        <f>IF(B480="","",SUBSTITUTE(SUBSTITUTE("[{global_atk,"&amp;#REF!*C480&amp;"}]",21,20),9,8))</f>
        <v>#REF!</v>
      </c>
      <c r="U480" s="47" t="str">
        <f t="shared" si="239"/>
        <v>[5505193]</v>
      </c>
      <c r="V480" s="46"/>
      <c r="X480" s="25">
        <v>100</v>
      </c>
      <c r="Z480" s="45" t="s">
        <v>172</v>
      </c>
      <c r="AA480" s="32" t="str">
        <f t="shared" si="232"/>
        <v>召唤师召唤物每嘲讽1个敌人，召唤物最大生命值+0%</v>
      </c>
      <c r="AB480" s="32"/>
      <c r="AC480" s="32" t="s">
        <v>166</v>
      </c>
      <c r="AD480" s="32">
        <f t="shared" si="226"/>
        <v>1475</v>
      </c>
      <c r="AE480" s="44" t="str">
        <f t="shared" si="235"/>
        <v>5505191</v>
      </c>
      <c r="AF480" s="45" t="str">
        <f t="shared" si="229"/>
        <v>[0]</v>
      </c>
      <c r="AG480" s="26">
        <v>100</v>
      </c>
      <c r="AH480" s="46"/>
      <c r="AI480" s="46">
        <v>1</v>
      </c>
      <c r="AJ480" s="25">
        <v>1</v>
      </c>
      <c r="AK480" s="44">
        <f t="shared" si="240"/>
        <v>5505193</v>
      </c>
      <c r="AL480" s="50" t="str">
        <f t="shared" si="241"/>
        <v>召唤师召唤物每嘲讽1个敌人，召唤物最大生命值&lt;color=#54b76b&gt;+%s%&lt;/color&gt;</v>
      </c>
      <c r="AM480" s="46">
        <v>0</v>
      </c>
      <c r="AN480" s="25"/>
      <c r="AO480" s="25" t="s">
        <v>28</v>
      </c>
      <c r="AP480" s="20">
        <f t="shared" si="227"/>
        <v>475</v>
      </c>
    </row>
    <row r="481" customHeight="1" spans="1:42">
      <c r="A481" s="38">
        <v>5505194</v>
      </c>
      <c r="B481" s="38" t="str">
        <f t="shared" si="233"/>
        <v>5505191</v>
      </c>
      <c r="C481" s="32">
        <f t="shared" si="234"/>
        <v>4</v>
      </c>
      <c r="D481" s="32"/>
      <c r="E481" s="26" t="s">
        <v>191</v>
      </c>
      <c r="F481" s="26">
        <f t="shared" si="223"/>
        <v>1</v>
      </c>
      <c r="G481" s="26" t="str">
        <f>IFERROR(IF(--MID($E481,2*COUNTIF($F481:F481,"&gt;"&amp;0)+2,1)=G$1,G$1,""),"")</f>
        <v/>
      </c>
      <c r="H481" s="26" t="str">
        <f>IFERROR(IF(--MID($E481,2*COUNTIF($F481:G481,"&gt;"&amp;0)+2,1)=H$1,H$1,""),"")</f>
        <v/>
      </c>
      <c r="I481" s="26" t="str">
        <f>IFERROR(IF(--MID($E481,2*COUNTIF($F481:H481,"&gt;"&amp;0)+2,1)=I$1,I$1,""),"")</f>
        <v/>
      </c>
      <c r="J481" s="26" t="str">
        <f>IFERROR(IF(--MID($E481,2*COUNTIF($F481:I481,"&gt;"&amp;0)+2,1)=J$1,J$1,""),"")</f>
        <v/>
      </c>
      <c r="K481" s="26" t="str">
        <f>IFERROR(IF(--MID($E481,2*COUNTIF($F481:J481,"&gt;"&amp;0)+2,1)=K$1,K$1,""),"")</f>
        <v/>
      </c>
      <c r="L481" s="61" cm="1">
        <f t="array" ref="L481">IFERROR(IF($A481="","",IF(F481="","",_xlfn.XLOOKUP($C481&amp;"_"&amp;$AG481,符文权重!$A:$A&amp;"_"&amp;符文权重!$C:$C,符文权重!$D:$D)*$X481/SUMIFS($X:$X,F:F,F481,$C:$C,$C481,$AG:$AG,$AG481)/SUMIF(符文权重!$A:$A,$C481,符文权重!$D:$D))),"")</f>
        <v>0.00474242424242424</v>
      </c>
      <c r="M481" s="39" t="str" cm="1">
        <f t="array" ref="M481">IFERROR(IF($A481="","",IF(G481="","",_xlfn.XLOOKUP($C481&amp;"_"&amp;$AG481,符文权重!$A:$A&amp;"_"&amp;符文权重!$C:$C,符文权重!$D:$D)*$X481/SUMIFS($X:$X,G:G,G481,$C:$C,$C481,$AG:$AG,$AG481)/SUMIF(符文权重!$A:$A,$C481,符文权重!$D:$D))),"")</f>
        <v/>
      </c>
      <c r="N481" s="39" t="str" cm="1">
        <f t="array" ref="N481">IFERROR(IF($A481="","",IF(H481="","",_xlfn.XLOOKUP($C481&amp;"_"&amp;$AG481,符文权重!$A:$A&amp;"_"&amp;符文权重!$C:$C,符文权重!$D:$D)*$X481/SUMIFS($X:$X,H:H,H481,$C:$C,$C481,$AG:$AG,$AG481)/SUMIF(符文权重!$A:$A,$C481,符文权重!$D:$D))),"")</f>
        <v/>
      </c>
      <c r="O481" s="39" t="str" cm="1">
        <f t="array" ref="O481">IFERROR(IF($A481="","",IF(I481="","",_xlfn.XLOOKUP($C481&amp;"_"&amp;$AG481,符文权重!$A:$A&amp;"_"&amp;符文权重!$C:$C,符文权重!$D:$D)*$X481/SUMIFS($X:$X,I:I,I481,$C:$C,$C481,$AG:$AG,$AG481)/SUMIF(符文权重!$A:$A,$C481,符文权重!$D:$D))),"")</f>
        <v/>
      </c>
      <c r="P481" s="39" t="str" cm="1">
        <f t="array" ref="P481">IFERROR(IF($A481="","",IF(J481="","",_xlfn.XLOOKUP($C481&amp;"_"&amp;$AG481,符文权重!$A:$A&amp;"_"&amp;符文权重!$C:$C,符文权重!$D:$D)*$X481/SUMIFS($X:$X,J:J,J481,$C:$C,$C481,$AG:$AG,$AG481)/SUMIF(符文权重!$A:$A,$C481,符文权重!$D:$D))),"")</f>
        <v/>
      </c>
      <c r="Q481" s="39" t="str" cm="1">
        <f t="array" ref="Q481">IFERROR(IF($A481="","",IF(K481="","",_xlfn.XLOOKUP($C481&amp;"_"&amp;$AG481,符文权重!$A:$A&amp;"_"&amp;符文权重!$C:$C,符文权重!$D:$D)*$X481/SUMIFS($X:$X,K:K,K481,$C:$C,$C481,$AG:$AG,$AG481)/SUMIF(符文权重!$A:$A,$C481,符文权重!$D:$D))),"")</f>
        <v/>
      </c>
      <c r="R481" s="26" t="s">
        <v>181</v>
      </c>
      <c r="S481" s="26" t="s">
        <v>227</v>
      </c>
      <c r="T481" s="26" t="e">
        <f>IF(B481="","",SUBSTITUTE(SUBSTITUTE("[{global_atk,"&amp;#REF!*C481&amp;"}]",21,20),9,8))</f>
        <v>#REF!</v>
      </c>
      <c r="U481" s="40" t="str">
        <f t="shared" si="239"/>
        <v>[5505194]</v>
      </c>
      <c r="X481" s="25">
        <v>4</v>
      </c>
      <c r="Z481" s="32" t="s">
        <v>174</v>
      </c>
      <c r="AA481" s="32" t="str">
        <f t="shared" si="232"/>
        <v>召唤师召唤物每嘲讽1个敌人，召唤物最大生命值+4%</v>
      </c>
      <c r="AB481" s="32"/>
      <c r="AC481" s="32" t="s">
        <v>166</v>
      </c>
      <c r="AD481" s="32">
        <f t="shared" si="226"/>
        <v>1476</v>
      </c>
      <c r="AE481" s="38" t="str">
        <f t="shared" si="235"/>
        <v>5505191</v>
      </c>
      <c r="AF481" s="32" t="str">
        <f t="shared" si="229"/>
        <v>[4]</v>
      </c>
      <c r="AG481" s="26">
        <v>3</v>
      </c>
      <c r="AH481" s="26"/>
      <c r="AI481" s="26">
        <v>0</v>
      </c>
      <c r="AJ481" s="25">
        <v>1</v>
      </c>
      <c r="AK481" s="38">
        <f t="shared" si="240"/>
        <v>5505194</v>
      </c>
      <c r="AL481" s="41" t="str">
        <f t="shared" si="241"/>
        <v>召唤师召唤物每嘲讽1个敌人，召唤物最大生命值&lt;color=#54b76b&gt;+%s%&lt;/color&gt;</v>
      </c>
      <c r="AM481" s="26">
        <v>4</v>
      </c>
      <c r="AN481" s="25">
        <v>5</v>
      </c>
      <c r="AO481" s="25" t="s">
        <v>28</v>
      </c>
      <c r="AP481" s="20">
        <f t="shared" si="227"/>
        <v>476</v>
      </c>
    </row>
    <row r="482" customHeight="1" spans="1:42">
      <c r="A482" s="38">
        <v>5505195</v>
      </c>
      <c r="B482" s="38" t="str">
        <f t="shared" si="233"/>
        <v>5505191</v>
      </c>
      <c r="C482" s="32">
        <f t="shared" si="234"/>
        <v>5</v>
      </c>
      <c r="D482" s="32"/>
      <c r="E482" s="26" t="s">
        <v>191</v>
      </c>
      <c r="F482" s="26">
        <f t="shared" si="223"/>
        <v>1</v>
      </c>
      <c r="G482" s="26" t="str">
        <f>IFERROR(IF(--MID($E482,2*COUNTIF($F482:F482,"&gt;"&amp;0)+2,1)=G$1,G$1,""),"")</f>
        <v/>
      </c>
      <c r="H482" s="26" t="str">
        <f>IFERROR(IF(--MID($E482,2*COUNTIF($F482:G482,"&gt;"&amp;0)+2,1)=H$1,H$1,""),"")</f>
        <v/>
      </c>
      <c r="I482" s="26" t="str">
        <f>IFERROR(IF(--MID($E482,2*COUNTIF($F482:H482,"&gt;"&amp;0)+2,1)=I$1,I$1,""),"")</f>
        <v/>
      </c>
      <c r="J482" s="26" t="str">
        <f>IFERROR(IF(--MID($E482,2*COUNTIF($F482:I482,"&gt;"&amp;0)+2,1)=J$1,J$1,""),"")</f>
        <v/>
      </c>
      <c r="K482" s="26" t="str">
        <f>IFERROR(IF(--MID($E482,2*COUNTIF($F482:J482,"&gt;"&amp;0)+2,1)=K$1,K$1,""),"")</f>
        <v/>
      </c>
      <c r="L482" s="39" cm="1">
        <f t="array" ref="L482">IFERROR(IF($A482="","",IF(F482="","",_xlfn.XLOOKUP($C482&amp;"_"&amp;$AG482,符文权重!$A:$A&amp;"_"&amp;符文权重!$C:$C,符文权重!$D:$D)*$X482/SUMIFS($X:$X,F:F,F482,$C:$C,$C482,$AG:$AG,$AG482)/SUMIF(符文权重!$A:$A,$C482,符文权重!$D:$D))),"")</f>
        <v>0.0075</v>
      </c>
      <c r="M482" s="39" t="str" cm="1">
        <f t="array" ref="M482">IFERROR(IF($A482="","",IF(G482="","",_xlfn.XLOOKUP($C482&amp;"_"&amp;$AG482,符文权重!$A:$A&amp;"_"&amp;符文权重!$C:$C,符文权重!$D:$D)*$X482/SUMIFS($X:$X,G:G,G482,$C:$C,$C482,$AG:$AG,$AG482)/SUMIF(符文权重!$A:$A,$C482,符文权重!$D:$D))),"")</f>
        <v/>
      </c>
      <c r="N482" s="39" t="str" cm="1">
        <f t="array" ref="N482">IFERROR(IF($A482="","",IF(H482="","",_xlfn.XLOOKUP($C482&amp;"_"&amp;$AG482,符文权重!$A:$A&amp;"_"&amp;符文权重!$C:$C,符文权重!$D:$D)*$X482/SUMIFS($X:$X,H:H,H482,$C:$C,$C482,$AG:$AG,$AG482)/SUMIF(符文权重!$A:$A,$C482,符文权重!$D:$D))),"")</f>
        <v/>
      </c>
      <c r="O482" s="39" t="str" cm="1">
        <f t="array" ref="O482">IFERROR(IF($A482="","",IF(I482="","",_xlfn.XLOOKUP($C482&amp;"_"&amp;$AG482,符文权重!$A:$A&amp;"_"&amp;符文权重!$C:$C,符文权重!$D:$D)*$X482/SUMIFS($X:$X,I:I,I482,$C:$C,$C482,$AG:$AG,$AG482)/SUMIF(符文权重!$A:$A,$C482,符文权重!$D:$D))),"")</f>
        <v/>
      </c>
      <c r="P482" s="39" t="str" cm="1">
        <f t="array" ref="P482">IFERROR(IF($A482="","",IF(J482="","",_xlfn.XLOOKUP($C482&amp;"_"&amp;$AG482,符文权重!$A:$A&amp;"_"&amp;符文权重!$C:$C,符文权重!$D:$D)*$X482/SUMIFS($X:$X,J:J,J482,$C:$C,$C482,$AG:$AG,$AG482)/SUMIF(符文权重!$A:$A,$C482,符文权重!$D:$D))),"")</f>
        <v/>
      </c>
      <c r="Q482" s="39" t="str" cm="1">
        <f t="array" ref="Q482">IFERROR(IF($A482="","",IF(K482="","",_xlfn.XLOOKUP($C482&amp;"_"&amp;$AG482,符文权重!$A:$A&amp;"_"&amp;符文权重!$C:$C,符文权重!$D:$D)*$X482/SUMIFS($X:$X,K:K,K482,$C:$C,$C482,$AG:$AG,$AG482)/SUMIF(符文权重!$A:$A,$C482,符文权重!$D:$D))),"")</f>
        <v/>
      </c>
      <c r="R482" s="26" t="s">
        <v>181</v>
      </c>
      <c r="S482" s="26" t="s">
        <v>227</v>
      </c>
      <c r="T482" s="26" t="e">
        <f>IF(B482="","",SUBSTITUTE(SUBSTITUTE("[{global_atk,"&amp;#REF!*C482&amp;"}]",21,20),9,8))</f>
        <v>#REF!</v>
      </c>
      <c r="U482" s="40" t="str">
        <f t="shared" si="239"/>
        <v>[5505195]</v>
      </c>
      <c r="X482" s="25">
        <v>100</v>
      </c>
      <c r="Z482" s="32" t="s">
        <v>176</v>
      </c>
      <c r="AA482" s="32" t="str">
        <f t="shared" si="232"/>
        <v>召唤师召唤物每嘲讽1个敌人，召唤物最大生命值+6%</v>
      </c>
      <c r="AB482" s="32"/>
      <c r="AC482" s="32" t="s">
        <v>166</v>
      </c>
      <c r="AD482" s="32">
        <f t="shared" si="226"/>
        <v>1477</v>
      </c>
      <c r="AE482" s="38" t="str">
        <f t="shared" si="235"/>
        <v>5505191</v>
      </c>
      <c r="AF482" s="32" t="str">
        <f t="shared" si="229"/>
        <v>[6]</v>
      </c>
      <c r="AG482" s="26">
        <v>5</v>
      </c>
      <c r="AH482" s="26"/>
      <c r="AI482" s="26">
        <v>0</v>
      </c>
      <c r="AJ482" s="25">
        <v>1</v>
      </c>
      <c r="AK482" s="38">
        <f t="shared" si="240"/>
        <v>5505195</v>
      </c>
      <c r="AL482" s="41" t="str">
        <f t="shared" si="241"/>
        <v>召唤师召唤物每嘲讽1个敌人，召唤物最大生命值&lt;color=#54b76b&gt;+%s%&lt;/color&gt;</v>
      </c>
      <c r="AM482" s="26">
        <v>6</v>
      </c>
      <c r="AN482" s="25">
        <v>5</v>
      </c>
      <c r="AO482" s="25" t="s">
        <v>28</v>
      </c>
      <c r="AP482" s="20">
        <f t="shared" si="227"/>
        <v>477</v>
      </c>
    </row>
    <row r="483" customHeight="1" spans="1:42">
      <c r="A483" s="38">
        <v>5505196</v>
      </c>
      <c r="B483" s="38" t="str">
        <f t="shared" si="233"/>
        <v>5505191</v>
      </c>
      <c r="C483" s="32">
        <f t="shared" si="234"/>
        <v>6</v>
      </c>
      <c r="D483" s="32"/>
      <c r="E483" s="26" t="s">
        <v>191</v>
      </c>
      <c r="F483" s="26">
        <f t="shared" si="223"/>
        <v>1</v>
      </c>
      <c r="G483" s="26" t="str">
        <f>IFERROR(IF(--MID($E483,2*COUNTIF($F483:F483,"&gt;"&amp;0)+2,1)=G$1,G$1,""),"")</f>
        <v/>
      </c>
      <c r="H483" s="26" t="str">
        <f>IFERROR(IF(--MID($E483,2*COUNTIF($F483:G483,"&gt;"&amp;0)+2,1)=H$1,H$1,""),"")</f>
        <v/>
      </c>
      <c r="I483" s="26" t="str">
        <f>IFERROR(IF(--MID($E483,2*COUNTIF($F483:H483,"&gt;"&amp;0)+2,1)=I$1,I$1,""),"")</f>
        <v/>
      </c>
      <c r="J483" s="26" t="str">
        <f>IFERROR(IF(--MID($E483,2*COUNTIF($F483:I483,"&gt;"&amp;0)+2,1)=J$1,J$1,""),"")</f>
        <v/>
      </c>
      <c r="K483" s="26" t="str">
        <f>IFERROR(IF(--MID($E483,2*COUNTIF($F483:J483,"&gt;"&amp;0)+2,1)=K$1,K$1,""),"")</f>
        <v/>
      </c>
      <c r="L483" s="39" cm="1">
        <f t="array" ref="L483">IFERROR(IF($A483="","",IF(F483="","",_xlfn.XLOOKUP($C483&amp;"_"&amp;$AG483,符文权重!$A:$A&amp;"_"&amp;符文权重!$C:$C,符文权重!$D:$D)*$X483/SUMIFS($X:$X,F:F,F483,$C:$C,$C483,$AG:$AG,$AG483)/SUMIF(符文权重!$A:$A,$C483,符文权重!$D:$D))),"")</f>
        <v>0.0075</v>
      </c>
      <c r="M483" s="39" t="str" cm="1">
        <f t="array" ref="M483">IFERROR(IF($A483="","",IF(G483="","",_xlfn.XLOOKUP($C483&amp;"_"&amp;$AG483,符文权重!$A:$A&amp;"_"&amp;符文权重!$C:$C,符文权重!$D:$D)*$X483/SUMIFS($X:$X,G:G,G483,$C:$C,$C483,$AG:$AG,$AG483)/SUMIF(符文权重!$A:$A,$C483,符文权重!$D:$D))),"")</f>
        <v/>
      </c>
      <c r="N483" s="39" t="str" cm="1">
        <f t="array" ref="N483">IFERROR(IF($A483="","",IF(H483="","",_xlfn.XLOOKUP($C483&amp;"_"&amp;$AG483,符文权重!$A:$A&amp;"_"&amp;符文权重!$C:$C,符文权重!$D:$D)*$X483/SUMIFS($X:$X,H:H,H483,$C:$C,$C483,$AG:$AG,$AG483)/SUMIF(符文权重!$A:$A,$C483,符文权重!$D:$D))),"")</f>
        <v/>
      </c>
      <c r="O483" s="39" t="str" cm="1">
        <f t="array" ref="O483">IFERROR(IF($A483="","",IF(I483="","",_xlfn.XLOOKUP($C483&amp;"_"&amp;$AG483,符文权重!$A:$A&amp;"_"&amp;符文权重!$C:$C,符文权重!$D:$D)*$X483/SUMIFS($X:$X,I:I,I483,$C:$C,$C483,$AG:$AG,$AG483)/SUMIF(符文权重!$A:$A,$C483,符文权重!$D:$D))),"")</f>
        <v/>
      </c>
      <c r="P483" s="39" t="str" cm="1">
        <f t="array" ref="P483">IFERROR(IF($A483="","",IF(J483="","",_xlfn.XLOOKUP($C483&amp;"_"&amp;$AG483,符文权重!$A:$A&amp;"_"&amp;符文权重!$C:$C,符文权重!$D:$D)*$X483/SUMIFS($X:$X,J:J,J483,$C:$C,$C483,$AG:$AG,$AG483)/SUMIF(符文权重!$A:$A,$C483,符文权重!$D:$D))),"")</f>
        <v/>
      </c>
      <c r="Q483" s="39" t="str" cm="1">
        <f t="array" ref="Q483">IFERROR(IF($A483="","",IF(K483="","",_xlfn.XLOOKUP($C483&amp;"_"&amp;$AG483,符文权重!$A:$A&amp;"_"&amp;符文权重!$C:$C,符文权重!$D:$D)*$X483/SUMIFS($X:$X,K:K,K483,$C:$C,$C483,$AG:$AG,$AG483)/SUMIF(符文权重!$A:$A,$C483,符文权重!$D:$D))),"")</f>
        <v/>
      </c>
      <c r="R483" s="26" t="s">
        <v>181</v>
      </c>
      <c r="S483" s="26" t="s">
        <v>227</v>
      </c>
      <c r="T483" s="26" t="e">
        <f>IF(B483="","",SUBSTITUTE(SUBSTITUTE("[{global_atk,"&amp;#REF!*C483&amp;"}]",21,20),9,8))</f>
        <v>#REF!</v>
      </c>
      <c r="U483" s="40" t="str">
        <f t="shared" si="239"/>
        <v>[5505196]</v>
      </c>
      <c r="X483" s="25">
        <v>100</v>
      </c>
      <c r="Z483" s="32" t="s">
        <v>178</v>
      </c>
      <c r="AA483" s="32" t="str">
        <f t="shared" si="232"/>
        <v>召唤师召唤物每嘲讽1个敌人，召唤物最大生命值+8%</v>
      </c>
      <c r="AB483" s="32"/>
      <c r="AC483" s="32" t="s">
        <v>166</v>
      </c>
      <c r="AD483" s="32">
        <f t="shared" si="226"/>
        <v>1478</v>
      </c>
      <c r="AE483" s="38" t="str">
        <f t="shared" si="235"/>
        <v>5505191</v>
      </c>
      <c r="AF483" s="32" t="str">
        <f t="shared" si="229"/>
        <v>[8]</v>
      </c>
      <c r="AG483" s="26">
        <v>5</v>
      </c>
      <c r="AH483" s="26"/>
      <c r="AI483" s="26">
        <v>0</v>
      </c>
      <c r="AJ483" s="25">
        <v>1</v>
      </c>
      <c r="AK483" s="38">
        <f t="shared" si="240"/>
        <v>5505196</v>
      </c>
      <c r="AL483" s="41" t="str">
        <f t="shared" si="241"/>
        <v>召唤师召唤物每嘲讽1个敌人，召唤物最大生命值&lt;color=#54b76b&gt;+%s%&lt;/color&gt;</v>
      </c>
      <c r="AM483" s="26">
        <v>8</v>
      </c>
      <c r="AN483" s="25">
        <v>5</v>
      </c>
      <c r="AO483" s="25" t="s">
        <v>28</v>
      </c>
      <c r="AP483" s="20">
        <f t="shared" si="227"/>
        <v>478</v>
      </c>
    </row>
    <row r="484" customHeight="1" spans="1:42">
      <c r="A484" s="38">
        <v>5505197</v>
      </c>
      <c r="B484" s="38" t="str">
        <f t="shared" si="233"/>
        <v>5505191</v>
      </c>
      <c r="C484" s="32">
        <f t="shared" si="234"/>
        <v>7</v>
      </c>
      <c r="D484" s="32"/>
      <c r="E484" s="26" t="s">
        <v>191</v>
      </c>
      <c r="F484" s="26">
        <f t="shared" si="223"/>
        <v>1</v>
      </c>
      <c r="G484" s="26" t="str">
        <f>IFERROR(IF(--MID($E484,2*COUNTIF($F484:F484,"&gt;"&amp;0)+2,1)=G$1,G$1,""),"")</f>
        <v/>
      </c>
      <c r="H484" s="26" t="str">
        <f>IFERROR(IF(--MID($E484,2*COUNTIF($F484:G484,"&gt;"&amp;0)+2,1)=H$1,H$1,""),"")</f>
        <v/>
      </c>
      <c r="I484" s="26" t="str">
        <f>IFERROR(IF(--MID($E484,2*COUNTIF($F484:H484,"&gt;"&amp;0)+2,1)=I$1,I$1,""),"")</f>
        <v/>
      </c>
      <c r="J484" s="26" t="str">
        <f>IFERROR(IF(--MID($E484,2*COUNTIF($F484:I484,"&gt;"&amp;0)+2,1)=J$1,J$1,""),"")</f>
        <v/>
      </c>
      <c r="K484" s="26" t="str">
        <f>IFERROR(IF(--MID($E484,2*COUNTIF($F484:J484,"&gt;"&amp;0)+2,1)=K$1,K$1,""),"")</f>
        <v/>
      </c>
      <c r="L484" s="39" cm="1">
        <f t="array" ref="L484">IFERROR(IF($A484="","",IF(F484="","",_xlfn.XLOOKUP($C484&amp;"_"&amp;$AG484,符文权重!$A:$A&amp;"_"&amp;符文权重!$C:$C,符文权重!$D:$D)*$X484/SUMIFS($X:$X,F:F,F484,$C:$C,$C484,$AG:$AG,$AG484)/SUMIF(符文权重!$A:$A,$C484,符文权重!$D:$D))),"")</f>
        <v>0.0075</v>
      </c>
      <c r="M484" s="39" t="str" cm="1">
        <f t="array" ref="M484">IFERROR(IF($A484="","",IF(G484="","",_xlfn.XLOOKUP($C484&amp;"_"&amp;$AG484,符文权重!$A:$A&amp;"_"&amp;符文权重!$C:$C,符文权重!$D:$D)*$X484/SUMIFS($X:$X,G:G,G484,$C:$C,$C484,$AG:$AG,$AG484)/SUMIF(符文权重!$A:$A,$C484,符文权重!$D:$D))),"")</f>
        <v/>
      </c>
      <c r="N484" s="39" t="str" cm="1">
        <f t="array" ref="N484">IFERROR(IF($A484="","",IF(H484="","",_xlfn.XLOOKUP($C484&amp;"_"&amp;$AG484,符文权重!$A:$A&amp;"_"&amp;符文权重!$C:$C,符文权重!$D:$D)*$X484/SUMIFS($X:$X,H:H,H484,$C:$C,$C484,$AG:$AG,$AG484)/SUMIF(符文权重!$A:$A,$C484,符文权重!$D:$D))),"")</f>
        <v/>
      </c>
      <c r="O484" s="39" t="str" cm="1">
        <f t="array" ref="O484">IFERROR(IF($A484="","",IF(I484="","",_xlfn.XLOOKUP($C484&amp;"_"&amp;$AG484,符文权重!$A:$A&amp;"_"&amp;符文权重!$C:$C,符文权重!$D:$D)*$X484/SUMIFS($X:$X,I:I,I484,$C:$C,$C484,$AG:$AG,$AG484)/SUMIF(符文权重!$A:$A,$C484,符文权重!$D:$D))),"")</f>
        <v/>
      </c>
      <c r="P484" s="39" t="str" cm="1">
        <f t="array" ref="P484">IFERROR(IF($A484="","",IF(J484="","",_xlfn.XLOOKUP($C484&amp;"_"&amp;$AG484,符文权重!$A:$A&amp;"_"&amp;符文权重!$C:$C,符文权重!$D:$D)*$X484/SUMIFS($X:$X,J:J,J484,$C:$C,$C484,$AG:$AG,$AG484)/SUMIF(符文权重!$A:$A,$C484,符文权重!$D:$D))),"")</f>
        <v/>
      </c>
      <c r="Q484" s="39" t="str" cm="1">
        <f t="array" ref="Q484">IFERROR(IF($A484="","",IF(K484="","",_xlfn.XLOOKUP($C484&amp;"_"&amp;$AG484,符文权重!$A:$A&amp;"_"&amp;符文权重!$C:$C,符文权重!$D:$D)*$X484/SUMIFS($X:$X,K:K,K484,$C:$C,$C484,$AG:$AG,$AG484)/SUMIF(符文权重!$A:$A,$C484,符文权重!$D:$D))),"")</f>
        <v/>
      </c>
      <c r="R484" s="26" t="s">
        <v>181</v>
      </c>
      <c r="S484" s="26" t="s">
        <v>227</v>
      </c>
      <c r="T484" s="26" t="e">
        <f>IF(B484="","",SUBSTITUTE(SUBSTITUTE("[{global_atk,"&amp;#REF!*C484&amp;"}]",21,20),9,8))</f>
        <v>#REF!</v>
      </c>
      <c r="U484" s="40" t="str">
        <f t="shared" si="239"/>
        <v>[5505197]</v>
      </c>
      <c r="X484" s="25">
        <v>100</v>
      </c>
      <c r="Z484" s="32" t="s">
        <v>180</v>
      </c>
      <c r="AA484" s="32" t="str">
        <f t="shared" si="232"/>
        <v>召唤师召唤物每嘲讽1个敌人，召唤物最大生命值+12%</v>
      </c>
      <c r="AB484" s="32"/>
      <c r="AC484" s="32" t="s">
        <v>166</v>
      </c>
      <c r="AD484" s="32">
        <f t="shared" si="226"/>
        <v>1479</v>
      </c>
      <c r="AE484" s="38" t="str">
        <f t="shared" si="235"/>
        <v>5505191</v>
      </c>
      <c r="AF484" s="32" t="str">
        <f t="shared" si="229"/>
        <v>[12]</v>
      </c>
      <c r="AG484" s="26">
        <v>5</v>
      </c>
      <c r="AH484" s="26"/>
      <c r="AI484" s="26">
        <v>0</v>
      </c>
      <c r="AJ484" s="25">
        <v>1</v>
      </c>
      <c r="AK484" s="38">
        <f t="shared" si="240"/>
        <v>5505197</v>
      </c>
      <c r="AL484" s="41" t="str">
        <f t="shared" si="241"/>
        <v>召唤师召唤物每嘲讽1个敌人，召唤物最大生命值&lt;color=#54b76b&gt;+%s%&lt;/color&gt;</v>
      </c>
      <c r="AM484" s="26">
        <v>12</v>
      </c>
      <c r="AN484" s="25">
        <v>5</v>
      </c>
      <c r="AO484" s="25" t="s">
        <v>28</v>
      </c>
      <c r="AP484" s="20">
        <f t="shared" si="227"/>
        <v>479</v>
      </c>
    </row>
    <row r="485" s="20" customFormat="1" customHeight="1" spans="1:42">
      <c r="A485" s="38" t="s">
        <v>167</v>
      </c>
      <c r="B485" s="38" t="str">
        <f t="shared" si="233"/>
        <v/>
      </c>
      <c r="C485" s="32" t="str">
        <f t="shared" si="234"/>
        <v/>
      </c>
      <c r="D485" s="32"/>
      <c r="E485" s="26"/>
      <c r="F485" s="26" t="str">
        <f t="shared" si="223"/>
        <v/>
      </c>
      <c r="G485" s="26" t="str">
        <f>IFERROR(IF(--MID($E485,2*COUNTIF($F485:F485,"&gt;"&amp;0)+2,1)=G$1,G$1,""),"")</f>
        <v/>
      </c>
      <c r="H485" s="26" t="str">
        <f>IFERROR(IF(--MID($E485,2*COUNTIF($F485:G485,"&gt;"&amp;0)+2,1)=H$1,H$1,""),"")</f>
        <v/>
      </c>
      <c r="I485" s="26" t="str">
        <f>IFERROR(IF(--MID($E485,2*COUNTIF($F485:H485,"&gt;"&amp;0)+2,1)=I$1,I$1,""),"")</f>
        <v/>
      </c>
      <c r="J485" s="26" t="str">
        <f>IFERROR(IF(--MID($E485,2*COUNTIF($F485:I485,"&gt;"&amp;0)+2,1)=J$1,J$1,""),"")</f>
        <v/>
      </c>
      <c r="K485" s="26" t="str">
        <f>IFERROR(IF(--MID($E485,2*COUNTIF($F485:J485,"&gt;"&amp;0)+2,1)=K$1,K$1,""),"")</f>
        <v/>
      </c>
      <c r="L485" s="39" t="str" cm="1">
        <f t="array" ref="L485">IFERROR(IF($A485="","",IF(F485="","",_xlfn.XLOOKUP($C485&amp;"_"&amp;$AG485,符文权重!$A:$A&amp;"_"&amp;符文权重!$C:$C,符文权重!$D:$D)*$X485/SUMIFS($X:$X,F:F,F485,$C:$C,$C485,$AG:$AG,$AG485)/SUMIF(符文权重!$A:$A,$C485,符文权重!$D:$D))),"")</f>
        <v/>
      </c>
      <c r="M485" s="39" t="str" cm="1">
        <f t="array" ref="M485">IFERROR(IF($A485="","",IF(G485="","",_xlfn.XLOOKUP($C485&amp;"_"&amp;$AG485,符文权重!$A:$A&amp;"_"&amp;符文权重!$C:$C,符文权重!$D:$D)*$X485/SUMIFS($X:$X,G:G,G485,$C:$C,$C485,$AG:$AG,$AG485)/SUMIF(符文权重!$A:$A,$C485,符文权重!$D:$D))),"")</f>
        <v/>
      </c>
      <c r="N485" s="39" t="str" cm="1">
        <f t="array" ref="N485">IFERROR(IF($A485="","",IF(H485="","",_xlfn.XLOOKUP($C485&amp;"_"&amp;$AG485,符文权重!$A:$A&amp;"_"&amp;符文权重!$C:$C,符文权重!$D:$D)*$X485/SUMIFS($X:$X,H:H,H485,$C:$C,$C485,$AG:$AG,$AG485)/SUMIF(符文权重!$A:$A,$C485,符文权重!$D:$D))),"")</f>
        <v/>
      </c>
      <c r="O485" s="39" t="str" cm="1">
        <f t="array" ref="O485">IFERROR(IF($A485="","",IF(I485="","",_xlfn.XLOOKUP($C485&amp;"_"&amp;$AG485,符文权重!$A:$A&amp;"_"&amp;符文权重!$C:$C,符文权重!$D:$D)*$X485/SUMIFS($X:$X,I:I,I485,$C:$C,$C485,$AG:$AG,$AG485)/SUMIF(符文权重!$A:$A,$C485,符文权重!$D:$D))),"")</f>
        <v/>
      </c>
      <c r="P485" s="39" t="str" cm="1">
        <f t="array" ref="P485">IFERROR(IF($A485="","",IF(J485="","",_xlfn.XLOOKUP($C485&amp;"_"&amp;$AG485,符文权重!$A:$A&amp;"_"&amp;符文权重!$C:$C,符文权重!$D:$D)*$X485/SUMIFS($X:$X,J:J,J485,$C:$C,$C485,$AG:$AG,$AG485)/SUMIF(符文权重!$A:$A,$C485,符文权重!$D:$D))),"")</f>
        <v/>
      </c>
      <c r="Q485" s="39" t="str" cm="1">
        <f t="array" ref="Q485">IFERROR(IF($A485="","",IF(K485="","",_xlfn.XLOOKUP($C485&amp;"_"&amp;$AG485,符文权重!$A:$A&amp;"_"&amp;符文权重!$C:$C,符文权重!$D:$D)*$X485/SUMIFS($X:$X,K:K,K485,$C:$C,$C485,$AG:$AG,$AG485)/SUMIF(符文权重!$A:$A,$C485,符文权重!$D:$D))),"")</f>
        <v/>
      </c>
      <c r="R485" s="26"/>
      <c r="S485" s="26"/>
      <c r="T485" s="26"/>
      <c r="V485" s="31"/>
      <c r="W485" s="25"/>
      <c r="X485" s="25"/>
      <c r="Y485" s="25"/>
      <c r="Z485" s="32" t="s">
        <v>167</v>
      </c>
      <c r="AA485" s="32" t="str">
        <f t="shared" si="232"/>
        <v/>
      </c>
      <c r="AB485" s="32"/>
      <c r="AC485" s="32" t="s">
        <v>166</v>
      </c>
      <c r="AD485" s="32">
        <f t="shared" si="226"/>
        <v>1480</v>
      </c>
      <c r="AE485" s="38" t="str">
        <f t="shared" si="235"/>
        <v/>
      </c>
      <c r="AF485" s="32" t="str">
        <f t="shared" si="229"/>
        <v/>
      </c>
      <c r="AG485" s="26"/>
      <c r="AH485" s="26"/>
      <c r="AI485" s="26"/>
      <c r="AJ485" s="25" t="s">
        <v>167</v>
      </c>
      <c r="AK485" s="24"/>
      <c r="AL485" s="59"/>
      <c r="AM485" s="26"/>
      <c r="AN485" s="25"/>
      <c r="AO485" s="25"/>
      <c r="AP485" s="20">
        <f t="shared" si="227"/>
        <v>480</v>
      </c>
    </row>
    <row r="486" s="23" customFormat="1" customHeight="1" spans="1:42">
      <c r="A486" s="44">
        <v>5506011</v>
      </c>
      <c r="B486" s="44" t="str">
        <f t="shared" si="233"/>
        <v>5506011</v>
      </c>
      <c r="C486" s="45">
        <f t="shared" si="234"/>
        <v>1</v>
      </c>
      <c r="D486" s="45"/>
      <c r="E486" s="46" t="s">
        <v>507</v>
      </c>
      <c r="F486" s="26" t="str">
        <f t="shared" si="223"/>
        <v/>
      </c>
      <c r="G486" s="26" t="str">
        <f>IFERROR(IF(--MID($E486,2*COUNTIF($F486:F486,"&gt;"&amp;0)+2,1)=G$1,G$1,""),"")</f>
        <v/>
      </c>
      <c r="H486" s="26">
        <f>IFERROR(IF(--MID($E486,2*COUNTIF($F486:G486,"&gt;"&amp;0)+2,1)=H$1,H$1,""),"")</f>
        <v>3</v>
      </c>
      <c r="I486" s="26" t="str">
        <f>IFERROR(IF(--MID($E486,2*COUNTIF($F486:H486,"&gt;"&amp;0)+2,1)=I$1,I$1,""),"")</f>
        <v/>
      </c>
      <c r="J486" s="26">
        <f>IFERROR(IF(--MID($E486,2*COUNTIF($F486:I486,"&gt;"&amp;0)+2,1)=J$1,J$1,""),"")</f>
        <v>5</v>
      </c>
      <c r="K486" s="26" t="str">
        <f>IFERROR(IF(--MID($E486,2*COUNTIF($F486:J486,"&gt;"&amp;0)+2,1)=K$1,K$1,""),"")</f>
        <v/>
      </c>
      <c r="L486" s="39" t="str" cm="1">
        <f t="array" ref="L486">IFERROR(IF($A486="","",IF(F486="","",_xlfn.XLOOKUP($C486&amp;"_"&amp;$AG486,符文权重!$A:$A&amp;"_"&amp;符文权重!$C:$C,符文权重!$D:$D)*$X486/SUMIFS($X:$X,F:F,F486,$C:$C,$C486,$AG:$AG,$AG486)/SUMIF(符文权重!$A:$A,$C486,符文权重!$D:$D))),"")</f>
        <v/>
      </c>
      <c r="M486" s="39" t="str" cm="1">
        <f t="array" ref="M486">IFERROR(IF($A486="","",IF(G486="","",_xlfn.XLOOKUP($C486&amp;"_"&amp;$AG486,符文权重!$A:$A&amp;"_"&amp;符文权重!$C:$C,符文权重!$D:$D)*$X486/SUMIFS($X:$X,G:G,G486,$C:$C,$C486,$AG:$AG,$AG486)/SUMIF(符文权重!$A:$A,$C486,符文权重!$D:$D))),"")</f>
        <v/>
      </c>
      <c r="N486" s="39" t="str" cm="1">
        <f t="array" ref="N486">IFERROR(IF($A486="","",IF(H486="","",_xlfn.XLOOKUP($C486&amp;"_"&amp;$AG486,符文权重!$A:$A&amp;"_"&amp;符文权重!$C:$C,符文权重!$D:$D)*$X486/SUMIFS($X:$X,H:H,H486,$C:$C,$C486,$AG:$AG,$AG486)/SUMIF(符文权重!$A:$A,$C486,符文权重!$D:$D))),"")</f>
        <v/>
      </c>
      <c r="O486" s="39" t="str" cm="1">
        <f t="array" ref="O486">IFERROR(IF($A486="","",IF(I486="","",_xlfn.XLOOKUP($C486&amp;"_"&amp;$AG486,符文权重!$A:$A&amp;"_"&amp;符文权重!$C:$C,符文权重!$D:$D)*$X486/SUMIFS($X:$X,I:I,I486,$C:$C,$C486,$AG:$AG,$AG486)/SUMIF(符文权重!$A:$A,$C486,符文权重!$D:$D))),"")</f>
        <v/>
      </c>
      <c r="P486" s="39" t="str" cm="1">
        <f t="array" ref="P486">IFERROR(IF($A486="","",IF(J486="","",_xlfn.XLOOKUP($C486&amp;"_"&amp;$AG486,符文权重!$A:$A&amp;"_"&amp;符文权重!$C:$C,符文权重!$D:$D)*$X486/SUMIFS($X:$X,J:J,J486,$C:$C,$C486,$AG:$AG,$AG486)/SUMIF(符文权重!$A:$A,$C486,符文权重!$D:$D))),"")</f>
        <v/>
      </c>
      <c r="Q486" s="39" t="str" cm="1">
        <f t="array" ref="Q486">IFERROR(IF($A486="","",IF(K486="","",_xlfn.XLOOKUP($C486&amp;"_"&amp;$AG486,符文权重!$A:$A&amp;"_"&amp;符文权重!$C:$C,符文权重!$D:$D)*$X486/SUMIFS($X:$X,K:K,K486,$C:$C,$C486,$AG:$AG,$AG486)/SUMIF(符文权重!$A:$A,$C486,符文权重!$D:$D))),"")</f>
        <v/>
      </c>
      <c r="R486" s="46" t="s">
        <v>163</v>
      </c>
      <c r="S486" s="46"/>
      <c r="T486" s="46" t="e">
        <f>IF(B486="","",SUBSTITUTE(SUBSTITUTE("[{global_atk,"&amp;#REF!*C486&amp;"}]",21,20),9,8))</f>
        <v>#REF!</v>
      </c>
      <c r="U486" s="47" t="str">
        <f t="shared" ref="U486:U492" si="242">"["&amp;A486&amp;"]"</f>
        <v>[5506011]</v>
      </c>
      <c r="V486" s="46"/>
      <c r="X486" s="25">
        <v>100</v>
      </c>
      <c r="Z486" s="45" t="s">
        <v>165</v>
      </c>
      <c r="AA486" s="32" t="str">
        <f t="shared" si="232"/>
        <v>攻击满血怪物时，暴击率+0%</v>
      </c>
      <c r="AB486" s="32"/>
      <c r="AC486" s="32" t="s">
        <v>166</v>
      </c>
      <c r="AD486" s="32">
        <f t="shared" si="226"/>
        <v>1481</v>
      </c>
      <c r="AE486" s="44" t="str">
        <f t="shared" si="235"/>
        <v>5506011</v>
      </c>
      <c r="AF486" s="45" t="str">
        <f t="shared" si="229"/>
        <v>[0]</v>
      </c>
      <c r="AG486" s="26">
        <v>100</v>
      </c>
      <c r="AH486" s="46"/>
      <c r="AI486" s="46">
        <v>1</v>
      </c>
      <c r="AJ486" s="23" t="s">
        <v>167</v>
      </c>
      <c r="AK486" s="48">
        <v>5506011</v>
      </c>
      <c r="AL486" s="55" t="s">
        <v>508</v>
      </c>
      <c r="AM486" s="46">
        <v>0</v>
      </c>
      <c r="AN486" s="25"/>
      <c r="AO486" s="25" t="s">
        <v>25</v>
      </c>
      <c r="AP486" s="20">
        <f t="shared" si="227"/>
        <v>481</v>
      </c>
    </row>
    <row r="487" s="23" customFormat="1" customHeight="1" spans="1:42">
      <c r="A487" s="44">
        <v>5506012</v>
      </c>
      <c r="B487" s="44" t="str">
        <f t="shared" si="233"/>
        <v>5506011</v>
      </c>
      <c r="C487" s="45">
        <f t="shared" si="234"/>
        <v>2</v>
      </c>
      <c r="D487" s="45"/>
      <c r="E487" s="46" t="s">
        <v>507</v>
      </c>
      <c r="F487" s="26" t="str">
        <f t="shared" si="223"/>
        <v/>
      </c>
      <c r="G487" s="26" t="str">
        <f>IFERROR(IF(--MID($E487,2*COUNTIF($F487:F487,"&gt;"&amp;0)+2,1)=G$1,G$1,""),"")</f>
        <v/>
      </c>
      <c r="H487" s="26">
        <f>IFERROR(IF(--MID($E487,2*COUNTIF($F487:G487,"&gt;"&amp;0)+2,1)=H$1,H$1,""),"")</f>
        <v>3</v>
      </c>
      <c r="I487" s="26" t="str">
        <f>IFERROR(IF(--MID($E487,2*COUNTIF($F487:H487,"&gt;"&amp;0)+2,1)=I$1,I$1,""),"")</f>
        <v/>
      </c>
      <c r="J487" s="26">
        <f>IFERROR(IF(--MID($E487,2*COUNTIF($F487:I487,"&gt;"&amp;0)+2,1)=J$1,J$1,""),"")</f>
        <v>5</v>
      </c>
      <c r="K487" s="26" t="str">
        <f>IFERROR(IF(--MID($E487,2*COUNTIF($F487:J487,"&gt;"&amp;0)+2,1)=K$1,K$1,""),"")</f>
        <v/>
      </c>
      <c r="L487" s="39" t="str" cm="1">
        <f t="array" ref="L487">IFERROR(IF($A487="","",IF(F487="","",_xlfn.XLOOKUP($C487&amp;"_"&amp;$AG487,符文权重!$A:$A&amp;"_"&amp;符文权重!$C:$C,符文权重!$D:$D)*$X487/SUMIFS($X:$X,F:F,F487,$C:$C,$C487,$AG:$AG,$AG487)/SUMIF(符文权重!$A:$A,$C487,符文权重!$D:$D))),"")</f>
        <v/>
      </c>
      <c r="M487" s="39" t="str" cm="1">
        <f t="array" ref="M487">IFERROR(IF($A487="","",IF(G487="","",_xlfn.XLOOKUP($C487&amp;"_"&amp;$AG487,符文权重!$A:$A&amp;"_"&amp;符文权重!$C:$C,符文权重!$D:$D)*$X487/SUMIFS($X:$X,G:G,G487,$C:$C,$C487,$AG:$AG,$AG487)/SUMIF(符文权重!$A:$A,$C487,符文权重!$D:$D))),"")</f>
        <v/>
      </c>
      <c r="N487" s="39" t="str" cm="1">
        <f t="array" ref="N487">IFERROR(IF($A487="","",IF(H487="","",_xlfn.XLOOKUP($C487&amp;"_"&amp;$AG487,符文权重!$A:$A&amp;"_"&amp;符文权重!$C:$C,符文权重!$D:$D)*$X487/SUMIFS($X:$X,H:H,H487,$C:$C,$C487,$AG:$AG,$AG487)/SUMIF(符文权重!$A:$A,$C487,符文权重!$D:$D))),"")</f>
        <v/>
      </c>
      <c r="O487" s="39" t="str" cm="1">
        <f t="array" ref="O487">IFERROR(IF($A487="","",IF(I487="","",_xlfn.XLOOKUP($C487&amp;"_"&amp;$AG487,符文权重!$A:$A&amp;"_"&amp;符文权重!$C:$C,符文权重!$D:$D)*$X487/SUMIFS($X:$X,I:I,I487,$C:$C,$C487,$AG:$AG,$AG487)/SUMIF(符文权重!$A:$A,$C487,符文权重!$D:$D))),"")</f>
        <v/>
      </c>
      <c r="P487" s="39" t="str" cm="1">
        <f t="array" ref="P487">IFERROR(IF($A487="","",IF(J487="","",_xlfn.XLOOKUP($C487&amp;"_"&amp;$AG487,符文权重!$A:$A&amp;"_"&amp;符文权重!$C:$C,符文权重!$D:$D)*$X487/SUMIFS($X:$X,J:J,J487,$C:$C,$C487,$AG:$AG,$AG487)/SUMIF(符文权重!$A:$A,$C487,符文权重!$D:$D))),"")</f>
        <v/>
      </c>
      <c r="Q487" s="39" t="str" cm="1">
        <f t="array" ref="Q487">IFERROR(IF($A487="","",IF(K487="","",_xlfn.XLOOKUP($C487&amp;"_"&amp;$AG487,符文权重!$A:$A&amp;"_"&amp;符文权重!$C:$C,符文权重!$D:$D)*$X487/SUMIFS($X:$X,K:K,K487,$C:$C,$C487,$AG:$AG,$AG487)/SUMIF(符文权重!$A:$A,$C487,符文权重!$D:$D))),"")</f>
        <v/>
      </c>
      <c r="R487" s="46" t="s">
        <v>163</v>
      </c>
      <c r="S487" s="46"/>
      <c r="T487" s="46" t="e">
        <f>IF(B487="","",SUBSTITUTE(SUBSTITUTE("[{global_atk,"&amp;#REF!*C487&amp;"}]",21,20),9,8))</f>
        <v>#REF!</v>
      </c>
      <c r="U487" s="47" t="str">
        <f t="shared" si="242"/>
        <v>[5506012]</v>
      </c>
      <c r="V487" s="46"/>
      <c r="X487" s="25">
        <v>100</v>
      </c>
      <c r="Z487" s="45" t="s">
        <v>170</v>
      </c>
      <c r="AA487" s="32" t="str">
        <f t="shared" si="232"/>
        <v>攻击满血怪物时，暴击率+0%</v>
      </c>
      <c r="AB487" s="32"/>
      <c r="AC487" s="32" t="s">
        <v>166</v>
      </c>
      <c r="AD487" s="32">
        <f t="shared" si="226"/>
        <v>1482</v>
      </c>
      <c r="AE487" s="44" t="str">
        <f t="shared" si="235"/>
        <v>5506011</v>
      </c>
      <c r="AF487" s="45" t="str">
        <f t="shared" si="229"/>
        <v>[0]</v>
      </c>
      <c r="AG487" s="26">
        <v>100</v>
      </c>
      <c r="AH487" s="46"/>
      <c r="AI487" s="46">
        <v>1</v>
      </c>
      <c r="AJ487" s="23" t="s">
        <v>167</v>
      </c>
      <c r="AK487" s="44">
        <f t="shared" ref="AK487:AK492" si="243">AK486+1</f>
        <v>5506012</v>
      </c>
      <c r="AL487" s="50" t="str">
        <f t="shared" ref="AL487:AL492" si="244">AL486</f>
        <v>攻击满血怪物时，暴击率&lt;color=#54b76b&gt;+%s%&lt;/color&gt;</v>
      </c>
      <c r="AM487" s="46">
        <v>0</v>
      </c>
      <c r="AN487" s="25"/>
      <c r="AO487" s="25" t="s">
        <v>25</v>
      </c>
      <c r="AP487" s="20">
        <f t="shared" si="227"/>
        <v>482</v>
      </c>
    </row>
    <row r="488" customHeight="1" spans="1:42">
      <c r="A488" s="38">
        <v>5506013</v>
      </c>
      <c r="B488" s="38" t="str">
        <f t="shared" si="233"/>
        <v>5506011</v>
      </c>
      <c r="C488" s="32">
        <f t="shared" si="234"/>
        <v>3</v>
      </c>
      <c r="D488" s="32"/>
      <c r="E488" s="26" t="s">
        <v>507</v>
      </c>
      <c r="F488" s="26" t="str">
        <f t="shared" si="223"/>
        <v/>
      </c>
      <c r="G488" s="26" t="str">
        <f>IFERROR(IF(--MID($E488,2*COUNTIF($F488:F488,"&gt;"&amp;0)+2,1)=G$1,G$1,""),"")</f>
        <v/>
      </c>
      <c r="H488" s="26">
        <f>IFERROR(IF(--MID($E488,2*COUNTIF($F488:G488,"&gt;"&amp;0)+2,1)=H$1,H$1,""),"")</f>
        <v>3</v>
      </c>
      <c r="I488" s="26" t="str">
        <f>IFERROR(IF(--MID($E488,2*COUNTIF($F488:H488,"&gt;"&amp;0)+2,1)=I$1,I$1,""),"")</f>
        <v/>
      </c>
      <c r="J488" s="26">
        <f>IFERROR(IF(--MID($E488,2*COUNTIF($F488:I488,"&gt;"&amp;0)+2,1)=J$1,J$1,""),"")</f>
        <v>5</v>
      </c>
      <c r="K488" s="26" t="str">
        <f>IFERROR(IF(--MID($E488,2*COUNTIF($F488:J488,"&gt;"&amp;0)+2,1)=K$1,K$1,""),"")</f>
        <v/>
      </c>
      <c r="L488" s="39" t="str" cm="1">
        <f t="array" ref="L488">IFERROR(IF($A488="","",IF(F488="","",_xlfn.XLOOKUP($C488&amp;"_"&amp;$AG488,符文权重!$A:$A&amp;"_"&amp;符文权重!$C:$C,符文权重!$D:$D)*$X488/SUMIFS($X:$X,F:F,F488,$C:$C,$C488,$AG:$AG,$AG488)/SUMIF(符文权重!$A:$A,$C488,符文权重!$D:$D))),"")</f>
        <v/>
      </c>
      <c r="M488" s="39" t="str" cm="1">
        <f t="array" ref="M488">IFERROR(IF($A488="","",IF(G488="","",_xlfn.XLOOKUP($C488&amp;"_"&amp;$AG488,符文权重!$A:$A&amp;"_"&amp;符文权重!$C:$C,符文权重!$D:$D)*$X488/SUMIFS($X:$X,G:G,G488,$C:$C,$C488,$AG:$AG,$AG488)/SUMIF(符文权重!$A:$A,$C488,符文权重!$D:$D))),"")</f>
        <v/>
      </c>
      <c r="N488" s="39" t="str" cm="1">
        <f t="array" ref="N488">IFERROR(IF($A488="","",IF(H488="","",_xlfn.XLOOKUP($C488&amp;"_"&amp;$AG488,符文权重!$A:$A&amp;"_"&amp;符文权重!$C:$C,符文权重!$D:$D)*$X488/SUMIFS($X:$X,H:H,H488,$C:$C,$C488,$AG:$AG,$AG488)/SUMIF(符文权重!$A:$A,$C488,符文权重!$D:$D))),"")</f>
        <v/>
      </c>
      <c r="O488" s="39" t="str" cm="1">
        <f t="array" ref="O488">IFERROR(IF($A488="","",IF(I488="","",_xlfn.XLOOKUP($C488&amp;"_"&amp;$AG488,符文权重!$A:$A&amp;"_"&amp;符文权重!$C:$C,符文权重!$D:$D)*$X488/SUMIFS($X:$X,I:I,I488,$C:$C,$C488,$AG:$AG,$AG488)/SUMIF(符文权重!$A:$A,$C488,符文权重!$D:$D))),"")</f>
        <v/>
      </c>
      <c r="P488" s="39" t="str" cm="1">
        <f t="array" ref="P488">IFERROR(IF($A488="","",IF(J488="","",_xlfn.XLOOKUP($C488&amp;"_"&amp;$AG488,符文权重!$A:$A&amp;"_"&amp;符文权重!$C:$C,符文权重!$D:$D)*$X488/SUMIFS($X:$X,J:J,J488,$C:$C,$C488,$AG:$AG,$AG488)/SUMIF(符文权重!$A:$A,$C488,符文权重!$D:$D))),"")</f>
        <v/>
      </c>
      <c r="Q488" s="39" t="str" cm="1">
        <f t="array" ref="Q488">IFERROR(IF($A488="","",IF(K488="","",_xlfn.XLOOKUP($C488&amp;"_"&amp;$AG488,符文权重!$A:$A&amp;"_"&amp;符文权重!$C:$C,符文权重!$D:$D)*$X488/SUMIFS($X:$X,K:K,K488,$C:$C,$C488,$AG:$AG,$AG488)/SUMIF(符文权重!$A:$A,$C488,符文权重!$D:$D))),"")</f>
        <v/>
      </c>
      <c r="R488" s="26" t="s">
        <v>163</v>
      </c>
      <c r="S488" s="26"/>
      <c r="T488" s="26" t="e">
        <f>IF(B488="","",SUBSTITUTE(SUBSTITUTE("[{global_atk,"&amp;#REF!*C488&amp;"}]",21,20),9,8))</f>
        <v>#REF!</v>
      </c>
      <c r="U488" s="40" t="str">
        <f t="shared" si="242"/>
        <v>[5506013]</v>
      </c>
      <c r="X488" s="25">
        <v>5</v>
      </c>
      <c r="Z488" s="32" t="s">
        <v>172</v>
      </c>
      <c r="AA488" s="32" t="str">
        <f t="shared" si="232"/>
        <v>攻击满血怪物时，暴击率+20%</v>
      </c>
      <c r="AB488" s="32"/>
      <c r="AC488" s="32" t="s">
        <v>166</v>
      </c>
      <c r="AD488" s="32">
        <f t="shared" si="226"/>
        <v>1483</v>
      </c>
      <c r="AE488" s="38" t="str">
        <f t="shared" si="235"/>
        <v>5506011</v>
      </c>
      <c r="AF488" s="32" t="str">
        <f t="shared" si="229"/>
        <v>[20]</v>
      </c>
      <c r="AG488" s="62">
        <v>100</v>
      </c>
      <c r="AH488" s="26"/>
      <c r="AI488" s="26">
        <v>1</v>
      </c>
      <c r="AJ488" s="25" t="s">
        <v>167</v>
      </c>
      <c r="AK488" s="38">
        <f t="shared" si="243"/>
        <v>5506013</v>
      </c>
      <c r="AL488" s="41" t="str">
        <f t="shared" si="244"/>
        <v>攻击满血怪物时，暴击率&lt;color=#54b76b&gt;+%s%&lt;/color&gt;</v>
      </c>
      <c r="AM488" s="26">
        <v>20</v>
      </c>
      <c r="AN488" s="25">
        <v>3</v>
      </c>
      <c r="AO488" s="25" t="s">
        <v>25</v>
      </c>
      <c r="AP488" s="20">
        <f t="shared" si="227"/>
        <v>483</v>
      </c>
    </row>
    <row r="489" customHeight="1" spans="1:42">
      <c r="A489" s="38">
        <v>5506014</v>
      </c>
      <c r="B489" s="38" t="str">
        <f t="shared" si="233"/>
        <v>5506011</v>
      </c>
      <c r="C489" s="32">
        <f t="shared" si="234"/>
        <v>4</v>
      </c>
      <c r="D489" s="32"/>
      <c r="E489" s="26" t="s">
        <v>507</v>
      </c>
      <c r="F489" s="26" t="str">
        <f t="shared" si="223"/>
        <v/>
      </c>
      <c r="G489" s="26" t="str">
        <f>IFERROR(IF(--MID($E489,2*COUNTIF($F489:F489,"&gt;"&amp;0)+2,1)=G$1,G$1,""),"")</f>
        <v/>
      </c>
      <c r="H489" s="26">
        <f>IFERROR(IF(--MID($E489,2*COUNTIF($F489:G489,"&gt;"&amp;0)+2,1)=H$1,H$1,""),"")</f>
        <v>3</v>
      </c>
      <c r="I489" s="26" t="str">
        <f>IFERROR(IF(--MID($E489,2*COUNTIF($F489:H489,"&gt;"&amp;0)+2,1)=I$1,I$1,""),"")</f>
        <v/>
      </c>
      <c r="J489" s="26">
        <f>IFERROR(IF(--MID($E489,2*COUNTIF($F489:I489,"&gt;"&amp;0)+2,1)=J$1,J$1,""),"")</f>
        <v>5</v>
      </c>
      <c r="K489" s="26" t="str">
        <f>IFERROR(IF(--MID($E489,2*COUNTIF($F489:J489,"&gt;"&amp;0)+2,1)=K$1,K$1,""),"")</f>
        <v/>
      </c>
      <c r="L489" s="39" t="str" cm="1">
        <f t="array" ref="L489">IFERROR(IF($A489="","",IF(F489="","",_xlfn.XLOOKUP($C489&amp;"_"&amp;$AG489,符文权重!$A:$A&amp;"_"&amp;符文权重!$C:$C,符文权重!$D:$D)*$X489/SUMIFS($X:$X,F:F,F489,$C:$C,$C489,$AG:$AG,$AG489)/SUMIF(符文权重!$A:$A,$C489,符文权重!$D:$D))),"")</f>
        <v/>
      </c>
      <c r="M489" s="39" t="str" cm="1">
        <f t="array" ref="M489">IFERROR(IF($A489="","",IF(G489="","",_xlfn.XLOOKUP($C489&amp;"_"&amp;$AG489,符文权重!$A:$A&amp;"_"&amp;符文权重!$C:$C,符文权重!$D:$D)*$X489/SUMIFS($X:$X,G:G,G489,$C:$C,$C489,$AG:$AG,$AG489)/SUMIF(符文权重!$A:$A,$C489,符文权重!$D:$D))),"")</f>
        <v/>
      </c>
      <c r="N489" s="39" t="str" cm="1">
        <f t="array" ref="N489">IFERROR(IF($A489="","",IF(H489="","",_xlfn.XLOOKUP($C489&amp;"_"&amp;$AG489,符文权重!$A:$A&amp;"_"&amp;符文权重!$C:$C,符文权重!$D:$D)*$X489/SUMIFS($X:$X,H:H,H489,$C:$C,$C489,$AG:$AG,$AG489)/SUMIF(符文权重!$A:$A,$C489,符文权重!$D:$D))),"")</f>
        <v/>
      </c>
      <c r="O489" s="39" t="str" cm="1">
        <f t="array" ref="O489">IFERROR(IF($A489="","",IF(I489="","",_xlfn.XLOOKUP($C489&amp;"_"&amp;$AG489,符文权重!$A:$A&amp;"_"&amp;符文权重!$C:$C,符文权重!$D:$D)*$X489/SUMIFS($X:$X,I:I,I489,$C:$C,$C489,$AG:$AG,$AG489)/SUMIF(符文权重!$A:$A,$C489,符文权重!$D:$D))),"")</f>
        <v/>
      </c>
      <c r="P489" s="39" t="str" cm="1">
        <f t="array" ref="P489">IFERROR(IF($A489="","",IF(J489="","",_xlfn.XLOOKUP($C489&amp;"_"&amp;$AG489,符文权重!$A:$A&amp;"_"&amp;符文权重!$C:$C,符文权重!$D:$D)*$X489/SUMIFS($X:$X,J:J,J489,$C:$C,$C489,$AG:$AG,$AG489)/SUMIF(符文权重!$A:$A,$C489,符文权重!$D:$D))),"")</f>
        <v/>
      </c>
      <c r="Q489" s="39" t="str" cm="1">
        <f t="array" ref="Q489">IFERROR(IF($A489="","",IF(K489="","",_xlfn.XLOOKUP($C489&amp;"_"&amp;$AG489,符文权重!$A:$A&amp;"_"&amp;符文权重!$C:$C,符文权重!$D:$D)*$X489/SUMIFS($X:$X,K:K,K489,$C:$C,$C489,$AG:$AG,$AG489)/SUMIF(符文权重!$A:$A,$C489,符文权重!$D:$D))),"")</f>
        <v/>
      </c>
      <c r="R489" s="26" t="s">
        <v>163</v>
      </c>
      <c r="S489" s="26"/>
      <c r="T489" s="26" t="e">
        <f>IF(B489="","",SUBSTITUTE(SUBSTITUTE("[{global_atk,"&amp;#REF!*C489&amp;"}]",21,20),9,8))</f>
        <v>#REF!</v>
      </c>
      <c r="U489" s="40" t="str">
        <f t="shared" si="242"/>
        <v>[5506014]</v>
      </c>
      <c r="X489" s="25">
        <v>8</v>
      </c>
      <c r="Z489" s="32" t="s">
        <v>174</v>
      </c>
      <c r="AA489" s="32" t="str">
        <f t="shared" si="232"/>
        <v>攻击满血怪物时，暴击率+24%</v>
      </c>
      <c r="AB489" s="32"/>
      <c r="AC489" s="32" t="s">
        <v>166</v>
      </c>
      <c r="AD489" s="32">
        <f t="shared" si="226"/>
        <v>1484</v>
      </c>
      <c r="AE489" s="38" t="str">
        <f t="shared" si="235"/>
        <v>5506011</v>
      </c>
      <c r="AF489" s="32" t="str">
        <f t="shared" si="229"/>
        <v>[24]</v>
      </c>
      <c r="AG489" s="62">
        <v>100</v>
      </c>
      <c r="AH489" s="26"/>
      <c r="AI489" s="26">
        <v>0</v>
      </c>
      <c r="AJ489" s="25" t="s">
        <v>167</v>
      </c>
      <c r="AK489" s="38">
        <f t="shared" si="243"/>
        <v>5506014</v>
      </c>
      <c r="AL489" s="41" t="str">
        <f t="shared" si="244"/>
        <v>攻击满血怪物时，暴击率&lt;color=#54b76b&gt;+%s%&lt;/color&gt;</v>
      </c>
      <c r="AM489" s="26">
        <v>24</v>
      </c>
      <c r="AN489" s="25">
        <v>3</v>
      </c>
      <c r="AO489" s="25" t="s">
        <v>25</v>
      </c>
      <c r="AP489" s="20">
        <f t="shared" si="227"/>
        <v>484</v>
      </c>
    </row>
    <row r="490" customHeight="1" spans="1:42">
      <c r="A490" s="38">
        <v>5506015</v>
      </c>
      <c r="B490" s="38" t="str">
        <f t="shared" si="233"/>
        <v>5506011</v>
      </c>
      <c r="C490" s="32">
        <f t="shared" si="234"/>
        <v>5</v>
      </c>
      <c r="D490" s="32"/>
      <c r="E490" s="26" t="s">
        <v>507</v>
      </c>
      <c r="F490" s="26" t="str">
        <f t="shared" si="223"/>
        <v/>
      </c>
      <c r="G490" s="26" t="str">
        <f>IFERROR(IF(--MID($E490,2*COUNTIF($F490:F490,"&gt;"&amp;0)+2,1)=G$1,G$1,""),"")</f>
        <v/>
      </c>
      <c r="H490" s="26">
        <f>IFERROR(IF(--MID($E490,2*COUNTIF($F490:G490,"&gt;"&amp;0)+2,1)=H$1,H$1,""),"")</f>
        <v>3</v>
      </c>
      <c r="I490" s="26" t="str">
        <f>IFERROR(IF(--MID($E490,2*COUNTIF($F490:H490,"&gt;"&amp;0)+2,1)=I$1,I$1,""),"")</f>
        <v/>
      </c>
      <c r="J490" s="26">
        <f>IFERROR(IF(--MID($E490,2*COUNTIF($F490:I490,"&gt;"&amp;0)+2,1)=J$1,J$1,""),"")</f>
        <v>5</v>
      </c>
      <c r="K490" s="26" t="str">
        <f>IFERROR(IF(--MID($E490,2*COUNTIF($F490:J490,"&gt;"&amp;0)+2,1)=K$1,K$1,""),"")</f>
        <v/>
      </c>
      <c r="L490" s="39" t="str" cm="1">
        <f t="array" ref="L490">IFERROR(IF($A490="","",IF(F490="","",_xlfn.XLOOKUP($C490&amp;"_"&amp;$AG490,符文权重!$A:$A&amp;"_"&amp;符文权重!$C:$C,符文权重!$D:$D)*$X490/SUMIFS($X:$X,F:F,F490,$C:$C,$C490,$AG:$AG,$AG490)/SUMIF(符文权重!$A:$A,$C490,符文权重!$D:$D))),"")</f>
        <v/>
      </c>
      <c r="M490" s="39" t="str" cm="1">
        <f t="array" ref="M490">IFERROR(IF($A490="","",IF(G490="","",_xlfn.XLOOKUP($C490&amp;"_"&amp;$AG490,符文权重!$A:$A&amp;"_"&amp;符文权重!$C:$C,符文权重!$D:$D)*$X490/SUMIFS($X:$X,G:G,G490,$C:$C,$C490,$AG:$AG,$AG490)/SUMIF(符文权重!$A:$A,$C490,符文权重!$D:$D))),"")</f>
        <v/>
      </c>
      <c r="N490" s="39" cm="1">
        <f t="array" ref="N490">IFERROR(IF($A490="","",IF(H490="","",_xlfn.XLOOKUP($C490&amp;"_"&amp;$AG490,符文权重!$A:$A&amp;"_"&amp;符文权重!$C:$C,符文权重!$D:$D)*$X490/SUMIFS($X:$X,H:H,H490,$C:$C,$C490,$AG:$AG,$AG490)/SUMIF(符文权重!$A:$A,$C490,符文权重!$D:$D))),"")</f>
        <v>0.0115384615384615</v>
      </c>
      <c r="O490" s="39" t="str" cm="1">
        <f t="array" ref="O490">IFERROR(IF($A490="","",IF(I490="","",_xlfn.XLOOKUP($C490&amp;"_"&amp;$AG490,符文权重!$A:$A&amp;"_"&amp;符文权重!$C:$C,符文权重!$D:$D)*$X490/SUMIFS($X:$X,I:I,I490,$C:$C,$C490,$AG:$AG,$AG490)/SUMIF(符文权重!$A:$A,$C490,符文权重!$D:$D))),"")</f>
        <v/>
      </c>
      <c r="P490" s="39" cm="1">
        <f t="array" ref="P490">IFERROR(IF($A490="","",IF(J490="","",_xlfn.XLOOKUP($C490&amp;"_"&amp;$AG490,符文权重!$A:$A&amp;"_"&amp;符文权重!$C:$C,符文权重!$D:$D)*$X490/SUMIFS($X:$X,J:J,J490,$C:$C,$C490,$AG:$AG,$AG490)/SUMIF(符文权重!$A:$A,$C490,符文权重!$D:$D))),"")</f>
        <v>0.0107142857142857</v>
      </c>
      <c r="Q490" s="39" t="str" cm="1">
        <f t="array" ref="Q490">IFERROR(IF($A490="","",IF(K490="","",_xlfn.XLOOKUP($C490&amp;"_"&amp;$AG490,符文权重!$A:$A&amp;"_"&amp;符文权重!$C:$C,符文权重!$D:$D)*$X490/SUMIFS($X:$X,K:K,K490,$C:$C,$C490,$AG:$AG,$AG490)/SUMIF(符文权重!$A:$A,$C490,符文权重!$D:$D))),"")</f>
        <v/>
      </c>
      <c r="R490" s="26" t="s">
        <v>163</v>
      </c>
      <c r="S490" s="26"/>
      <c r="T490" s="26" t="e">
        <f>IF(B490="","",SUBSTITUTE(SUBSTITUTE("[{global_atk,"&amp;#REF!*C490&amp;"}]",21,20),9,8))</f>
        <v>#REF!</v>
      </c>
      <c r="U490" s="40" t="str">
        <f t="shared" si="242"/>
        <v>[5506015]</v>
      </c>
      <c r="X490" s="25">
        <v>100</v>
      </c>
      <c r="Z490" s="32" t="s">
        <v>176</v>
      </c>
      <c r="AA490" s="32" t="str">
        <f t="shared" si="232"/>
        <v>攻击满血怪物时，暴击率+28%</v>
      </c>
      <c r="AB490" s="32"/>
      <c r="AC490" s="32" t="s">
        <v>166</v>
      </c>
      <c r="AD490" s="32">
        <f t="shared" si="226"/>
        <v>1485</v>
      </c>
      <c r="AE490" s="38" t="str">
        <f t="shared" si="235"/>
        <v>5506011</v>
      </c>
      <c r="AF490" s="32" t="str">
        <f t="shared" si="229"/>
        <v>[28]</v>
      </c>
      <c r="AG490" s="26">
        <v>4</v>
      </c>
      <c r="AH490" s="26"/>
      <c r="AI490" s="26">
        <v>0</v>
      </c>
      <c r="AJ490" s="25" t="s">
        <v>167</v>
      </c>
      <c r="AK490" s="38">
        <f t="shared" si="243"/>
        <v>5506015</v>
      </c>
      <c r="AL490" s="41" t="str">
        <f t="shared" si="244"/>
        <v>攻击满血怪物时，暴击率&lt;color=#54b76b&gt;+%s%&lt;/color&gt;</v>
      </c>
      <c r="AM490" s="26">
        <v>28</v>
      </c>
      <c r="AN490" s="25">
        <v>3</v>
      </c>
      <c r="AO490" s="25" t="s">
        <v>25</v>
      </c>
      <c r="AP490" s="20">
        <f t="shared" si="227"/>
        <v>485</v>
      </c>
    </row>
    <row r="491" customHeight="1" spans="1:42">
      <c r="A491" s="38">
        <v>5506016</v>
      </c>
      <c r="B491" s="38" t="str">
        <f t="shared" si="233"/>
        <v>5506011</v>
      </c>
      <c r="C491" s="32">
        <f t="shared" si="234"/>
        <v>6</v>
      </c>
      <c r="D491" s="32"/>
      <c r="E491" s="26" t="s">
        <v>507</v>
      </c>
      <c r="F491" s="26" t="str">
        <f t="shared" si="223"/>
        <v/>
      </c>
      <c r="G491" s="26" t="str">
        <f>IFERROR(IF(--MID($E491,2*COUNTIF($F491:F491,"&gt;"&amp;0)+2,1)=G$1,G$1,""),"")</f>
        <v/>
      </c>
      <c r="H491" s="26">
        <f>IFERROR(IF(--MID($E491,2*COUNTIF($F491:G491,"&gt;"&amp;0)+2,1)=H$1,H$1,""),"")</f>
        <v>3</v>
      </c>
      <c r="I491" s="26" t="str">
        <f>IFERROR(IF(--MID($E491,2*COUNTIF($F491:H491,"&gt;"&amp;0)+2,1)=I$1,I$1,""),"")</f>
        <v/>
      </c>
      <c r="J491" s="26">
        <f>IFERROR(IF(--MID($E491,2*COUNTIF($F491:I491,"&gt;"&amp;0)+2,1)=J$1,J$1,""),"")</f>
        <v>5</v>
      </c>
      <c r="K491" s="26" t="str">
        <f>IFERROR(IF(--MID($E491,2*COUNTIF($F491:J491,"&gt;"&amp;0)+2,1)=K$1,K$1,""),"")</f>
        <v/>
      </c>
      <c r="L491" s="39" t="str" cm="1">
        <f t="array" ref="L491">IFERROR(IF($A491="","",IF(F491="","",_xlfn.XLOOKUP($C491&amp;"_"&amp;$AG491,符文权重!$A:$A&amp;"_"&amp;符文权重!$C:$C,符文权重!$D:$D)*$X491/SUMIFS($X:$X,F:F,F491,$C:$C,$C491,$AG:$AG,$AG491)/SUMIF(符文权重!$A:$A,$C491,符文权重!$D:$D))),"")</f>
        <v/>
      </c>
      <c r="M491" s="39" t="str" cm="1">
        <f t="array" ref="M491">IFERROR(IF($A491="","",IF(G491="","",_xlfn.XLOOKUP($C491&amp;"_"&amp;$AG491,符文权重!$A:$A&amp;"_"&amp;符文权重!$C:$C,符文权重!$D:$D)*$X491/SUMIFS($X:$X,G:G,G491,$C:$C,$C491,$AG:$AG,$AG491)/SUMIF(符文权重!$A:$A,$C491,符文权重!$D:$D))),"")</f>
        <v/>
      </c>
      <c r="N491" s="39" cm="1">
        <f t="array" ref="N491">IFERROR(IF($A491="","",IF(H491="","",_xlfn.XLOOKUP($C491&amp;"_"&amp;$AG491,符文权重!$A:$A&amp;"_"&amp;符文权重!$C:$C,符文权重!$D:$D)*$X491/SUMIFS($X:$X,H:H,H491,$C:$C,$C491,$AG:$AG,$AG491)/SUMIF(符文权重!$A:$A,$C491,符文权重!$D:$D))),"")</f>
        <v>0.0115384615384615</v>
      </c>
      <c r="O491" s="39" t="str" cm="1">
        <f t="array" ref="O491">IFERROR(IF($A491="","",IF(I491="","",_xlfn.XLOOKUP($C491&amp;"_"&amp;$AG491,符文权重!$A:$A&amp;"_"&amp;符文权重!$C:$C,符文权重!$D:$D)*$X491/SUMIFS($X:$X,I:I,I491,$C:$C,$C491,$AG:$AG,$AG491)/SUMIF(符文权重!$A:$A,$C491,符文权重!$D:$D))),"")</f>
        <v/>
      </c>
      <c r="P491" s="39" cm="1">
        <f t="array" ref="P491">IFERROR(IF($A491="","",IF(J491="","",_xlfn.XLOOKUP($C491&amp;"_"&amp;$AG491,符文权重!$A:$A&amp;"_"&amp;符文权重!$C:$C,符文权重!$D:$D)*$X491/SUMIFS($X:$X,J:J,J491,$C:$C,$C491,$AG:$AG,$AG491)/SUMIF(符文权重!$A:$A,$C491,符文权重!$D:$D))),"")</f>
        <v>0.0107142857142857</v>
      </c>
      <c r="Q491" s="39" t="str" cm="1">
        <f t="array" ref="Q491">IFERROR(IF($A491="","",IF(K491="","",_xlfn.XLOOKUP($C491&amp;"_"&amp;$AG491,符文权重!$A:$A&amp;"_"&amp;符文权重!$C:$C,符文权重!$D:$D)*$X491/SUMIFS($X:$X,K:K,K491,$C:$C,$C491,$AG:$AG,$AG491)/SUMIF(符文权重!$A:$A,$C491,符文权重!$D:$D))),"")</f>
        <v/>
      </c>
      <c r="R491" s="26" t="s">
        <v>163</v>
      </c>
      <c r="S491" s="26"/>
      <c r="T491" s="26" t="e">
        <f>IF(B491="","",SUBSTITUTE(SUBSTITUTE("[{global_atk,"&amp;#REF!*C491&amp;"}]",21,20),9,8))</f>
        <v>#REF!</v>
      </c>
      <c r="U491" s="40" t="str">
        <f t="shared" si="242"/>
        <v>[5506016]</v>
      </c>
      <c r="X491" s="25">
        <v>100</v>
      </c>
      <c r="Z491" s="32" t="s">
        <v>178</v>
      </c>
      <c r="AA491" s="32" t="str">
        <f t="shared" si="232"/>
        <v>攻击满血怪物时，暴击率+32%</v>
      </c>
      <c r="AB491" s="32"/>
      <c r="AC491" s="32" t="s">
        <v>166</v>
      </c>
      <c r="AD491" s="32">
        <f t="shared" si="226"/>
        <v>1486</v>
      </c>
      <c r="AE491" s="38" t="str">
        <f t="shared" si="235"/>
        <v>5506011</v>
      </c>
      <c r="AF491" s="32" t="str">
        <f t="shared" si="229"/>
        <v>[32]</v>
      </c>
      <c r="AG491" s="26">
        <v>4</v>
      </c>
      <c r="AH491" s="26"/>
      <c r="AI491" s="26">
        <v>0</v>
      </c>
      <c r="AJ491" s="25" t="s">
        <v>167</v>
      </c>
      <c r="AK491" s="38">
        <f t="shared" si="243"/>
        <v>5506016</v>
      </c>
      <c r="AL491" s="41" t="str">
        <f t="shared" si="244"/>
        <v>攻击满血怪物时，暴击率&lt;color=#54b76b&gt;+%s%&lt;/color&gt;</v>
      </c>
      <c r="AM491" s="26">
        <v>32</v>
      </c>
      <c r="AN491" s="25">
        <v>3</v>
      </c>
      <c r="AO491" s="25" t="s">
        <v>25</v>
      </c>
      <c r="AP491" s="20">
        <f t="shared" si="227"/>
        <v>486</v>
      </c>
    </row>
    <row r="492" customHeight="1" spans="1:42">
      <c r="A492" s="38">
        <v>5506017</v>
      </c>
      <c r="B492" s="38" t="str">
        <f t="shared" si="233"/>
        <v>5506011</v>
      </c>
      <c r="C492" s="32">
        <f t="shared" si="234"/>
        <v>7</v>
      </c>
      <c r="D492" s="32"/>
      <c r="E492" s="26" t="s">
        <v>507</v>
      </c>
      <c r="F492" s="26" t="str">
        <f t="shared" si="223"/>
        <v/>
      </c>
      <c r="G492" s="26" t="str">
        <f>IFERROR(IF(--MID($E492,2*COUNTIF($F492:F492,"&gt;"&amp;0)+2,1)=G$1,G$1,""),"")</f>
        <v/>
      </c>
      <c r="H492" s="26">
        <f>IFERROR(IF(--MID($E492,2*COUNTIF($F492:G492,"&gt;"&amp;0)+2,1)=H$1,H$1,""),"")</f>
        <v>3</v>
      </c>
      <c r="I492" s="26" t="str">
        <f>IFERROR(IF(--MID($E492,2*COUNTIF($F492:H492,"&gt;"&amp;0)+2,1)=I$1,I$1,""),"")</f>
        <v/>
      </c>
      <c r="J492" s="26">
        <f>IFERROR(IF(--MID($E492,2*COUNTIF($F492:I492,"&gt;"&amp;0)+2,1)=J$1,J$1,""),"")</f>
        <v>5</v>
      </c>
      <c r="K492" s="26" t="str">
        <f>IFERROR(IF(--MID($E492,2*COUNTIF($F492:J492,"&gt;"&amp;0)+2,1)=K$1,K$1,""),"")</f>
        <v/>
      </c>
      <c r="L492" s="39" t="str" cm="1">
        <f t="array" ref="L492">IFERROR(IF($A492="","",IF(F492="","",_xlfn.XLOOKUP($C492&amp;"_"&amp;$AG492,符文权重!$A:$A&amp;"_"&amp;符文权重!$C:$C,符文权重!$D:$D)*$X492/SUMIFS($X:$X,F:F,F492,$C:$C,$C492,$AG:$AG,$AG492)/SUMIF(符文权重!$A:$A,$C492,符文权重!$D:$D))),"")</f>
        <v/>
      </c>
      <c r="M492" s="39" t="str" cm="1">
        <f t="array" ref="M492">IFERROR(IF($A492="","",IF(G492="","",_xlfn.XLOOKUP($C492&amp;"_"&amp;$AG492,符文权重!$A:$A&amp;"_"&amp;符文权重!$C:$C,符文权重!$D:$D)*$X492/SUMIFS($X:$X,G:G,G492,$C:$C,$C492,$AG:$AG,$AG492)/SUMIF(符文权重!$A:$A,$C492,符文权重!$D:$D))),"")</f>
        <v/>
      </c>
      <c r="N492" s="39" cm="1">
        <f t="array" ref="N492">IFERROR(IF($A492="","",IF(H492="","",_xlfn.XLOOKUP($C492&amp;"_"&amp;$AG492,符文权重!$A:$A&amp;"_"&amp;符文权重!$C:$C,符文权重!$D:$D)*$X492/SUMIFS($X:$X,H:H,H492,$C:$C,$C492,$AG:$AG,$AG492)/SUMIF(符文权重!$A:$A,$C492,符文权重!$D:$D))),"")</f>
        <v>0.0115384615384615</v>
      </c>
      <c r="O492" s="39" t="str" cm="1">
        <f t="array" ref="O492">IFERROR(IF($A492="","",IF(I492="","",_xlfn.XLOOKUP($C492&amp;"_"&amp;$AG492,符文权重!$A:$A&amp;"_"&amp;符文权重!$C:$C,符文权重!$D:$D)*$X492/SUMIFS($X:$X,I:I,I492,$C:$C,$C492,$AG:$AG,$AG492)/SUMIF(符文权重!$A:$A,$C492,符文权重!$D:$D))),"")</f>
        <v/>
      </c>
      <c r="P492" s="39" cm="1">
        <f t="array" ref="P492">IFERROR(IF($A492="","",IF(J492="","",_xlfn.XLOOKUP($C492&amp;"_"&amp;$AG492,符文权重!$A:$A&amp;"_"&amp;符文权重!$C:$C,符文权重!$D:$D)*$X492/SUMIFS($X:$X,J:J,J492,$C:$C,$C492,$AG:$AG,$AG492)/SUMIF(符文权重!$A:$A,$C492,符文权重!$D:$D))),"")</f>
        <v>0.0107142857142857</v>
      </c>
      <c r="Q492" s="39" t="str" cm="1">
        <f t="array" ref="Q492">IFERROR(IF($A492="","",IF(K492="","",_xlfn.XLOOKUP($C492&amp;"_"&amp;$AG492,符文权重!$A:$A&amp;"_"&amp;符文权重!$C:$C,符文权重!$D:$D)*$X492/SUMIFS($X:$X,K:K,K492,$C:$C,$C492,$AG:$AG,$AG492)/SUMIF(符文权重!$A:$A,$C492,符文权重!$D:$D))),"")</f>
        <v/>
      </c>
      <c r="R492" s="26" t="s">
        <v>163</v>
      </c>
      <c r="S492" s="26"/>
      <c r="T492" s="26" t="e">
        <f>IF(B492="","",SUBSTITUTE(SUBSTITUTE("[{global_atk,"&amp;#REF!*C492&amp;"}]",21,20),9,8))</f>
        <v>#REF!</v>
      </c>
      <c r="U492" s="40" t="str">
        <f t="shared" si="242"/>
        <v>[5506017]</v>
      </c>
      <c r="X492" s="25">
        <v>100</v>
      </c>
      <c r="Z492" s="32" t="s">
        <v>180</v>
      </c>
      <c r="AA492" s="32" t="str">
        <f t="shared" si="232"/>
        <v>攻击满血怪物时，暴击率+36%</v>
      </c>
      <c r="AB492" s="32"/>
      <c r="AC492" s="32" t="s">
        <v>166</v>
      </c>
      <c r="AD492" s="32">
        <f t="shared" si="226"/>
        <v>1487</v>
      </c>
      <c r="AE492" s="38" t="str">
        <f t="shared" si="235"/>
        <v>5506011</v>
      </c>
      <c r="AF492" s="32" t="str">
        <f t="shared" si="229"/>
        <v>[36]</v>
      </c>
      <c r="AG492" s="26">
        <v>4</v>
      </c>
      <c r="AH492" s="26"/>
      <c r="AI492" s="26">
        <v>0</v>
      </c>
      <c r="AJ492" s="25" t="s">
        <v>167</v>
      </c>
      <c r="AK492" s="38">
        <f t="shared" si="243"/>
        <v>5506017</v>
      </c>
      <c r="AL492" s="41" t="str">
        <f t="shared" si="244"/>
        <v>攻击满血怪物时，暴击率&lt;color=#54b76b&gt;+%s%&lt;/color&gt;</v>
      </c>
      <c r="AM492" s="26">
        <v>36</v>
      </c>
      <c r="AN492" s="25">
        <v>3</v>
      </c>
      <c r="AO492" s="25" t="s">
        <v>25</v>
      </c>
      <c r="AP492" s="20">
        <f t="shared" si="227"/>
        <v>487</v>
      </c>
    </row>
    <row r="493" s="20" customFormat="1" customHeight="1" spans="1:42">
      <c r="A493" s="38" t="s">
        <v>167</v>
      </c>
      <c r="B493" s="38" t="str">
        <f t="shared" si="233"/>
        <v/>
      </c>
      <c r="C493" s="32" t="str">
        <f t="shared" si="234"/>
        <v/>
      </c>
      <c r="D493" s="32"/>
      <c r="E493" s="26"/>
      <c r="F493" s="26" t="str">
        <f t="shared" si="223"/>
        <v/>
      </c>
      <c r="G493" s="26" t="str">
        <f>IFERROR(IF(--MID($E493,2*COUNTIF($F493:F493,"&gt;"&amp;0)+2,1)=G$1,G$1,""),"")</f>
        <v/>
      </c>
      <c r="H493" s="26" t="str">
        <f>IFERROR(IF(--MID($E493,2*COUNTIF($F493:G493,"&gt;"&amp;0)+2,1)=H$1,H$1,""),"")</f>
        <v/>
      </c>
      <c r="I493" s="26" t="str">
        <f>IFERROR(IF(--MID($E493,2*COUNTIF($F493:H493,"&gt;"&amp;0)+2,1)=I$1,I$1,""),"")</f>
        <v/>
      </c>
      <c r="J493" s="26" t="str">
        <f>IFERROR(IF(--MID($E493,2*COUNTIF($F493:I493,"&gt;"&amp;0)+2,1)=J$1,J$1,""),"")</f>
        <v/>
      </c>
      <c r="K493" s="26" t="str">
        <f>IFERROR(IF(--MID($E493,2*COUNTIF($F493:J493,"&gt;"&amp;0)+2,1)=K$1,K$1,""),"")</f>
        <v/>
      </c>
      <c r="L493" s="39" t="str" cm="1">
        <f t="array" ref="L493">IFERROR(IF($A493="","",IF(F493="","",_xlfn.XLOOKUP($C493&amp;"_"&amp;$AG493,符文权重!$A:$A&amp;"_"&amp;符文权重!$C:$C,符文权重!$D:$D)*$X493/SUMIFS($X:$X,F:F,F493,$C:$C,$C493,$AG:$AG,$AG493)/SUMIF(符文权重!$A:$A,$C493,符文权重!$D:$D))),"")</f>
        <v/>
      </c>
      <c r="M493" s="39" t="str" cm="1">
        <f t="array" ref="M493">IFERROR(IF($A493="","",IF(G493="","",_xlfn.XLOOKUP($C493&amp;"_"&amp;$AG493,符文权重!$A:$A&amp;"_"&amp;符文权重!$C:$C,符文权重!$D:$D)*$X493/SUMIFS($X:$X,G:G,G493,$C:$C,$C493,$AG:$AG,$AG493)/SUMIF(符文权重!$A:$A,$C493,符文权重!$D:$D))),"")</f>
        <v/>
      </c>
      <c r="N493" s="39" t="str" cm="1">
        <f t="array" ref="N493">IFERROR(IF($A493="","",IF(H493="","",_xlfn.XLOOKUP($C493&amp;"_"&amp;$AG493,符文权重!$A:$A&amp;"_"&amp;符文权重!$C:$C,符文权重!$D:$D)*$X493/SUMIFS($X:$X,H:H,H493,$C:$C,$C493,$AG:$AG,$AG493)/SUMIF(符文权重!$A:$A,$C493,符文权重!$D:$D))),"")</f>
        <v/>
      </c>
      <c r="O493" s="39" t="str" cm="1">
        <f t="array" ref="O493">IFERROR(IF($A493="","",IF(I493="","",_xlfn.XLOOKUP($C493&amp;"_"&amp;$AG493,符文权重!$A:$A&amp;"_"&amp;符文权重!$C:$C,符文权重!$D:$D)*$X493/SUMIFS($X:$X,I:I,I493,$C:$C,$C493,$AG:$AG,$AG493)/SUMIF(符文权重!$A:$A,$C493,符文权重!$D:$D))),"")</f>
        <v/>
      </c>
      <c r="P493" s="39" t="str" cm="1">
        <f t="array" ref="P493">IFERROR(IF($A493="","",IF(J493="","",_xlfn.XLOOKUP($C493&amp;"_"&amp;$AG493,符文权重!$A:$A&amp;"_"&amp;符文权重!$C:$C,符文权重!$D:$D)*$X493/SUMIFS($X:$X,J:J,J493,$C:$C,$C493,$AG:$AG,$AG493)/SUMIF(符文权重!$A:$A,$C493,符文权重!$D:$D))),"")</f>
        <v/>
      </c>
      <c r="Q493" s="39" t="str" cm="1">
        <f t="array" ref="Q493">IFERROR(IF($A493="","",IF(K493="","",_xlfn.XLOOKUP($C493&amp;"_"&amp;$AG493,符文权重!$A:$A&amp;"_"&amp;符文权重!$C:$C,符文权重!$D:$D)*$X493/SUMIFS($X:$X,K:K,K493,$C:$C,$C493,$AG:$AG,$AG493)/SUMIF(符文权重!$A:$A,$C493,符文权重!$D:$D))),"")</f>
        <v/>
      </c>
      <c r="R493" s="26"/>
      <c r="S493" s="26"/>
      <c r="T493" s="26"/>
      <c r="V493" s="31"/>
      <c r="W493" s="25"/>
      <c r="X493" s="25"/>
      <c r="Y493" s="25"/>
      <c r="Z493" s="32" t="s">
        <v>167</v>
      </c>
      <c r="AA493" s="32" t="str">
        <f t="shared" si="232"/>
        <v/>
      </c>
      <c r="AB493" s="32"/>
      <c r="AC493" s="32" t="s">
        <v>166</v>
      </c>
      <c r="AD493" s="32">
        <f t="shared" si="226"/>
        <v>1488</v>
      </c>
      <c r="AE493" s="38" t="str">
        <f t="shared" si="235"/>
        <v/>
      </c>
      <c r="AF493" s="32" t="str">
        <f t="shared" si="229"/>
        <v/>
      </c>
      <c r="AG493" s="26"/>
      <c r="AH493" s="26"/>
      <c r="AI493" s="26"/>
      <c r="AJ493" s="25" t="s">
        <v>167</v>
      </c>
      <c r="AK493" s="24"/>
      <c r="AL493" s="59"/>
      <c r="AM493" s="26"/>
      <c r="AN493" s="25"/>
      <c r="AO493" s="25"/>
      <c r="AP493" s="20">
        <f t="shared" si="227"/>
        <v>488</v>
      </c>
    </row>
    <row r="494" customHeight="1" spans="1:42">
      <c r="A494" s="38">
        <v>5506021</v>
      </c>
      <c r="B494" s="38" t="str">
        <f t="shared" si="233"/>
        <v>5506021</v>
      </c>
      <c r="C494" s="32">
        <f t="shared" si="234"/>
        <v>1</v>
      </c>
      <c r="D494" s="32"/>
      <c r="E494" s="26" t="s">
        <v>200</v>
      </c>
      <c r="F494" s="26" t="str">
        <f t="shared" si="223"/>
        <v/>
      </c>
      <c r="G494" s="26">
        <f>IFERROR(IF(--MID($E494,2*COUNTIF($F494:F494,"&gt;"&amp;0)+2,1)=G$1,G$1,""),"")</f>
        <v>2</v>
      </c>
      <c r="H494" s="26" t="str">
        <f>IFERROR(IF(--MID($E494,2*COUNTIF($F494:G494,"&gt;"&amp;0)+2,1)=H$1,H$1,""),"")</f>
        <v/>
      </c>
      <c r="I494" s="26" t="str">
        <f>IFERROR(IF(--MID($E494,2*COUNTIF($F494:H494,"&gt;"&amp;0)+2,1)=I$1,I$1,""),"")</f>
        <v/>
      </c>
      <c r="J494" s="26" t="str">
        <f>IFERROR(IF(--MID($E494,2*COUNTIF($F494:I494,"&gt;"&amp;0)+2,1)=J$1,J$1,""),"")</f>
        <v/>
      </c>
      <c r="K494" s="26" t="str">
        <f>IFERROR(IF(--MID($E494,2*COUNTIF($F494:J494,"&gt;"&amp;0)+2,1)=K$1,K$1,""),"")</f>
        <v/>
      </c>
      <c r="L494" s="39" t="str" cm="1">
        <f t="array" ref="L494">IFERROR(IF($A494="","",IF(F494="","",_xlfn.XLOOKUP($C494&amp;"_"&amp;$AG494,符文权重!$A:$A&amp;"_"&amp;符文权重!$C:$C,符文权重!$D:$D)*$X494/SUMIFS($X:$X,F:F,F494,$C:$C,$C494,$AG:$AG,$AG494)/SUMIF(符文权重!$A:$A,$C494,符文权重!$D:$D))),"")</f>
        <v/>
      </c>
      <c r="M494" s="39" t="str" cm="1">
        <f t="array" ref="M494">IFERROR(IF($A494="","",IF(G494="","",_xlfn.XLOOKUP($C494&amp;"_"&amp;$AG494,符文权重!$A:$A&amp;"_"&amp;符文权重!$C:$C,符文权重!$D:$D)*$X494/SUMIFS($X:$X,G:G,G494,$C:$C,$C494,$AG:$AG,$AG494)/SUMIF(符文权重!$A:$A,$C494,符文权重!$D:$D))),"")</f>
        <v/>
      </c>
      <c r="N494" s="39" t="str" cm="1">
        <f t="array" ref="N494">IFERROR(IF($A494="","",IF(H494="","",_xlfn.XLOOKUP($C494&amp;"_"&amp;$AG494,符文权重!$A:$A&amp;"_"&amp;符文权重!$C:$C,符文权重!$D:$D)*$X494/SUMIFS($X:$X,H:H,H494,$C:$C,$C494,$AG:$AG,$AG494)/SUMIF(符文权重!$A:$A,$C494,符文权重!$D:$D))),"")</f>
        <v/>
      </c>
      <c r="O494" s="39" t="str" cm="1">
        <f t="array" ref="O494">IFERROR(IF($A494="","",IF(I494="","",_xlfn.XLOOKUP($C494&amp;"_"&amp;$AG494,符文权重!$A:$A&amp;"_"&amp;符文权重!$C:$C,符文权重!$D:$D)*$X494/SUMIFS($X:$X,I:I,I494,$C:$C,$C494,$AG:$AG,$AG494)/SUMIF(符文权重!$A:$A,$C494,符文权重!$D:$D))),"")</f>
        <v/>
      </c>
      <c r="P494" s="39" t="str" cm="1">
        <f t="array" ref="P494">IFERROR(IF($A494="","",IF(J494="","",_xlfn.XLOOKUP($C494&amp;"_"&amp;$AG494,符文权重!$A:$A&amp;"_"&amp;符文权重!$C:$C,符文权重!$D:$D)*$X494/SUMIFS($X:$X,J:J,J494,$C:$C,$C494,$AG:$AG,$AG494)/SUMIF(符文权重!$A:$A,$C494,符文权重!$D:$D))),"")</f>
        <v/>
      </c>
      <c r="Q494" s="39" t="str" cm="1">
        <f t="array" ref="Q494">IFERROR(IF($A494="","",IF(K494="","",_xlfn.XLOOKUP($C494&amp;"_"&amp;$AG494,符文权重!$A:$A&amp;"_"&amp;符文权重!$C:$C,符文权重!$D:$D)*$X494/SUMIFS($X:$X,K:K,K494,$C:$C,$C494,$AG:$AG,$AG494)/SUMIF(符文权重!$A:$A,$C494,符文权重!$D:$D))),"")</f>
        <v/>
      </c>
      <c r="R494" s="26" t="s">
        <v>163</v>
      </c>
      <c r="S494" s="26"/>
      <c r="T494" s="26" t="e">
        <f>IF(B494="","",SUBSTITUTE(SUBSTITUTE("[{global_atk,"&amp;#REF!*C494&amp;"}]",21,20),9,8))</f>
        <v>#REF!</v>
      </c>
      <c r="U494" s="40" t="str">
        <f t="shared" ref="U494:U500" si="245">"["&amp;A494&amp;"]"</f>
        <v>[5506021]</v>
      </c>
      <c r="X494" s="25">
        <v>100</v>
      </c>
      <c r="Z494" s="32" t="s">
        <v>165</v>
      </c>
      <c r="AA494" s="32" t="str">
        <f t="shared" si="232"/>
        <v>无视怪物所有类型0%的抗性</v>
      </c>
      <c r="AB494" s="32"/>
      <c r="AC494" s="32" t="s">
        <v>166</v>
      </c>
      <c r="AD494" s="32">
        <f t="shared" si="226"/>
        <v>1489</v>
      </c>
      <c r="AE494" s="38" t="str">
        <f t="shared" si="235"/>
        <v>5506021</v>
      </c>
      <c r="AF494" s="32" t="str">
        <f t="shared" si="229"/>
        <v>[0]</v>
      </c>
      <c r="AG494" s="26">
        <v>100</v>
      </c>
      <c r="AH494" s="26"/>
      <c r="AI494" s="26">
        <v>1</v>
      </c>
      <c r="AJ494" s="25">
        <v>1</v>
      </c>
      <c r="AK494" s="24">
        <v>5506021</v>
      </c>
      <c r="AL494" s="56" t="s">
        <v>509</v>
      </c>
      <c r="AM494" s="26">
        <v>0</v>
      </c>
      <c r="AN494" s="25">
        <v>6</v>
      </c>
      <c r="AO494" s="25" t="s">
        <v>25</v>
      </c>
      <c r="AP494" s="20">
        <f t="shared" si="227"/>
        <v>489</v>
      </c>
    </row>
    <row r="495" customHeight="1" spans="1:42">
      <c r="A495" s="38">
        <v>5506022</v>
      </c>
      <c r="B495" s="38" t="str">
        <f t="shared" si="233"/>
        <v>5506021</v>
      </c>
      <c r="C495" s="32">
        <f t="shared" si="234"/>
        <v>2</v>
      </c>
      <c r="D495" s="32"/>
      <c r="E495" s="26" t="s">
        <v>200</v>
      </c>
      <c r="F495" s="26" t="str">
        <f t="shared" si="223"/>
        <v/>
      </c>
      <c r="G495" s="26">
        <f>IFERROR(IF(--MID($E495,2*COUNTIF($F495:F495,"&gt;"&amp;0)+2,1)=G$1,G$1,""),"")</f>
        <v>2</v>
      </c>
      <c r="H495" s="26" t="str">
        <f>IFERROR(IF(--MID($E495,2*COUNTIF($F495:G495,"&gt;"&amp;0)+2,1)=H$1,H$1,""),"")</f>
        <v/>
      </c>
      <c r="I495" s="26" t="str">
        <f>IFERROR(IF(--MID($E495,2*COUNTIF($F495:H495,"&gt;"&amp;0)+2,1)=I$1,I$1,""),"")</f>
        <v/>
      </c>
      <c r="J495" s="26" t="str">
        <f>IFERROR(IF(--MID($E495,2*COUNTIF($F495:I495,"&gt;"&amp;0)+2,1)=J$1,J$1,""),"")</f>
        <v/>
      </c>
      <c r="K495" s="26" t="str">
        <f>IFERROR(IF(--MID($E495,2*COUNTIF($F495:J495,"&gt;"&amp;0)+2,1)=K$1,K$1,""),"")</f>
        <v/>
      </c>
      <c r="L495" s="39" t="str" cm="1">
        <f t="array" ref="L495">IFERROR(IF($A495="","",IF(F495="","",_xlfn.XLOOKUP($C495&amp;"_"&amp;$AG495,符文权重!$A:$A&amp;"_"&amp;符文权重!$C:$C,符文权重!$D:$D)*$X495/SUMIFS($X:$X,F:F,F495,$C:$C,$C495,$AG:$AG,$AG495)/SUMIF(符文权重!$A:$A,$C495,符文权重!$D:$D))),"")</f>
        <v/>
      </c>
      <c r="M495" s="39" t="str" cm="1">
        <f t="array" ref="M495">IFERROR(IF($A495="","",IF(G495="","",_xlfn.XLOOKUP($C495&amp;"_"&amp;$AG495,符文权重!$A:$A&amp;"_"&amp;符文权重!$C:$C,符文权重!$D:$D)*$X495/SUMIFS($X:$X,G:G,G495,$C:$C,$C495,$AG:$AG,$AG495)/SUMIF(符文权重!$A:$A,$C495,符文权重!$D:$D))),"")</f>
        <v/>
      </c>
      <c r="N495" s="39" t="str" cm="1">
        <f t="array" ref="N495">IFERROR(IF($A495="","",IF(H495="","",_xlfn.XLOOKUP($C495&amp;"_"&amp;$AG495,符文权重!$A:$A&amp;"_"&amp;符文权重!$C:$C,符文权重!$D:$D)*$X495/SUMIFS($X:$X,H:H,H495,$C:$C,$C495,$AG:$AG,$AG495)/SUMIF(符文权重!$A:$A,$C495,符文权重!$D:$D))),"")</f>
        <v/>
      </c>
      <c r="O495" s="39" t="str" cm="1">
        <f t="array" ref="O495">IFERROR(IF($A495="","",IF(I495="","",_xlfn.XLOOKUP($C495&amp;"_"&amp;$AG495,符文权重!$A:$A&amp;"_"&amp;符文权重!$C:$C,符文权重!$D:$D)*$X495/SUMIFS($X:$X,I:I,I495,$C:$C,$C495,$AG:$AG,$AG495)/SUMIF(符文权重!$A:$A,$C495,符文权重!$D:$D))),"")</f>
        <v/>
      </c>
      <c r="P495" s="39" t="str" cm="1">
        <f t="array" ref="P495">IFERROR(IF($A495="","",IF(J495="","",_xlfn.XLOOKUP($C495&amp;"_"&amp;$AG495,符文权重!$A:$A&amp;"_"&amp;符文权重!$C:$C,符文权重!$D:$D)*$X495/SUMIFS($X:$X,J:J,J495,$C:$C,$C495,$AG:$AG,$AG495)/SUMIF(符文权重!$A:$A,$C495,符文权重!$D:$D))),"")</f>
        <v/>
      </c>
      <c r="Q495" s="39" t="str" cm="1">
        <f t="array" ref="Q495">IFERROR(IF($A495="","",IF(K495="","",_xlfn.XLOOKUP($C495&amp;"_"&amp;$AG495,符文权重!$A:$A&amp;"_"&amp;符文权重!$C:$C,符文权重!$D:$D)*$X495/SUMIFS($X:$X,K:K,K495,$C:$C,$C495,$AG:$AG,$AG495)/SUMIF(符文权重!$A:$A,$C495,符文权重!$D:$D))),"")</f>
        <v/>
      </c>
      <c r="R495" s="26" t="s">
        <v>163</v>
      </c>
      <c r="S495" s="26"/>
      <c r="T495" s="26" t="e">
        <f>IF(B495="","",SUBSTITUTE(SUBSTITUTE("[{global_atk,"&amp;#REF!*C495&amp;"}]",21,20),9,8))</f>
        <v>#REF!</v>
      </c>
      <c r="U495" s="40" t="str">
        <f t="shared" si="245"/>
        <v>[5506022]</v>
      </c>
      <c r="X495" s="25">
        <v>100</v>
      </c>
      <c r="Z495" s="32" t="s">
        <v>170</v>
      </c>
      <c r="AA495" s="32" t="str">
        <f t="shared" si="232"/>
        <v>无视怪物所有类型0%的抗性</v>
      </c>
      <c r="AB495" s="32"/>
      <c r="AC495" s="32" t="s">
        <v>166</v>
      </c>
      <c r="AD495" s="32">
        <f t="shared" si="226"/>
        <v>1490</v>
      </c>
      <c r="AE495" s="38" t="str">
        <f t="shared" si="235"/>
        <v>5506021</v>
      </c>
      <c r="AF495" s="32" t="str">
        <f t="shared" si="229"/>
        <v>[0]</v>
      </c>
      <c r="AG495" s="26">
        <v>100</v>
      </c>
      <c r="AH495" s="26"/>
      <c r="AI495" s="26">
        <v>1</v>
      </c>
      <c r="AJ495" s="25">
        <v>1</v>
      </c>
      <c r="AK495" s="38">
        <f t="shared" ref="AK495:AK500" si="246">AK494+1</f>
        <v>5506022</v>
      </c>
      <c r="AL495" s="41" t="str">
        <f t="shared" ref="AL495:AL500" si="247">AL494</f>
        <v>无视怪物所有类型&lt;color=#54b76b&gt;%s%&lt;/color&gt;的抗性</v>
      </c>
      <c r="AM495" s="26">
        <v>0</v>
      </c>
      <c r="AN495" s="25">
        <v>6</v>
      </c>
      <c r="AO495" s="25" t="s">
        <v>25</v>
      </c>
      <c r="AP495" s="20">
        <f t="shared" si="227"/>
        <v>490</v>
      </c>
    </row>
    <row r="496" customHeight="1" spans="1:42">
      <c r="A496" s="38">
        <v>5506023</v>
      </c>
      <c r="B496" s="38" t="str">
        <f t="shared" si="233"/>
        <v>5506021</v>
      </c>
      <c r="C496" s="32">
        <f t="shared" si="234"/>
        <v>3</v>
      </c>
      <c r="D496" s="32"/>
      <c r="E496" s="26" t="s">
        <v>200</v>
      </c>
      <c r="F496" s="26" t="str">
        <f t="shared" si="223"/>
        <v/>
      </c>
      <c r="G496" s="26">
        <f>IFERROR(IF(--MID($E496,2*COUNTIF($F496:F496,"&gt;"&amp;0)+2,1)=G$1,G$1,""),"")</f>
        <v>2</v>
      </c>
      <c r="H496" s="26" t="str">
        <f>IFERROR(IF(--MID($E496,2*COUNTIF($F496:G496,"&gt;"&amp;0)+2,1)=H$1,H$1,""),"")</f>
        <v/>
      </c>
      <c r="I496" s="26" t="str">
        <f>IFERROR(IF(--MID($E496,2*COUNTIF($F496:H496,"&gt;"&amp;0)+2,1)=I$1,I$1,""),"")</f>
        <v/>
      </c>
      <c r="J496" s="26" t="str">
        <f>IFERROR(IF(--MID($E496,2*COUNTIF($F496:I496,"&gt;"&amp;0)+2,1)=J$1,J$1,""),"")</f>
        <v/>
      </c>
      <c r="K496" s="26" t="str">
        <f>IFERROR(IF(--MID($E496,2*COUNTIF($F496:J496,"&gt;"&amp;0)+2,1)=K$1,K$1,""),"")</f>
        <v/>
      </c>
      <c r="L496" s="39" t="str" cm="1">
        <f t="array" ref="L496">IFERROR(IF($A496="","",IF(F496="","",_xlfn.XLOOKUP($C496&amp;"_"&amp;$AG496,符文权重!$A:$A&amp;"_"&amp;符文权重!$C:$C,符文权重!$D:$D)*$X496/SUMIFS($X:$X,F:F,F496,$C:$C,$C496,$AG:$AG,$AG496)/SUMIF(符文权重!$A:$A,$C496,符文权重!$D:$D))),"")</f>
        <v/>
      </c>
      <c r="M496" s="39" t="str" cm="1">
        <f t="array" ref="M496">IFERROR(IF($A496="","",IF(G496="","",_xlfn.XLOOKUP($C496&amp;"_"&amp;$AG496,符文权重!$A:$A&amp;"_"&amp;符文权重!$C:$C,符文权重!$D:$D)*$X496/SUMIFS($X:$X,G:G,G496,$C:$C,$C496,$AG:$AG,$AG496)/SUMIF(符文权重!$A:$A,$C496,符文权重!$D:$D))),"")</f>
        <v/>
      </c>
      <c r="N496" s="39" t="str" cm="1">
        <f t="array" ref="N496">IFERROR(IF($A496="","",IF(H496="","",_xlfn.XLOOKUP($C496&amp;"_"&amp;$AG496,符文权重!$A:$A&amp;"_"&amp;符文权重!$C:$C,符文权重!$D:$D)*$X496/SUMIFS($X:$X,H:H,H496,$C:$C,$C496,$AG:$AG,$AG496)/SUMIF(符文权重!$A:$A,$C496,符文权重!$D:$D))),"")</f>
        <v/>
      </c>
      <c r="O496" s="39" t="str" cm="1">
        <f t="array" ref="O496">IFERROR(IF($A496="","",IF(I496="","",_xlfn.XLOOKUP($C496&amp;"_"&amp;$AG496,符文权重!$A:$A&amp;"_"&amp;符文权重!$C:$C,符文权重!$D:$D)*$X496/SUMIFS($X:$X,I:I,I496,$C:$C,$C496,$AG:$AG,$AG496)/SUMIF(符文权重!$A:$A,$C496,符文权重!$D:$D))),"")</f>
        <v/>
      </c>
      <c r="P496" s="39" t="str" cm="1">
        <f t="array" ref="P496">IFERROR(IF($A496="","",IF(J496="","",_xlfn.XLOOKUP($C496&amp;"_"&amp;$AG496,符文权重!$A:$A&amp;"_"&amp;符文权重!$C:$C,符文权重!$D:$D)*$X496/SUMIFS($X:$X,J:J,J496,$C:$C,$C496,$AG:$AG,$AG496)/SUMIF(符文权重!$A:$A,$C496,符文权重!$D:$D))),"")</f>
        <v/>
      </c>
      <c r="Q496" s="39" t="str" cm="1">
        <f t="array" ref="Q496">IFERROR(IF($A496="","",IF(K496="","",_xlfn.XLOOKUP($C496&amp;"_"&amp;$AG496,符文权重!$A:$A&amp;"_"&amp;符文权重!$C:$C,符文权重!$D:$D)*$X496/SUMIFS($X:$X,K:K,K496,$C:$C,$C496,$AG:$AG,$AG496)/SUMIF(符文权重!$A:$A,$C496,符文权重!$D:$D))),"")</f>
        <v/>
      </c>
      <c r="R496" s="26" t="s">
        <v>163</v>
      </c>
      <c r="S496" s="26"/>
      <c r="T496" s="26" t="e">
        <f>IF(B496="","",SUBSTITUTE(SUBSTITUTE("[{global_atk,"&amp;#REF!*C496&amp;"}]",21,20),9,8))</f>
        <v>#REF!</v>
      </c>
      <c r="U496" s="40" t="str">
        <f t="shared" si="245"/>
        <v>[5506023]</v>
      </c>
      <c r="X496" s="25">
        <v>100</v>
      </c>
      <c r="Z496" s="32" t="s">
        <v>172</v>
      </c>
      <c r="AA496" s="32" t="str">
        <f t="shared" si="232"/>
        <v>无视怪物所有类型0%的抗性</v>
      </c>
      <c r="AB496" s="32"/>
      <c r="AC496" s="32" t="s">
        <v>166</v>
      </c>
      <c r="AD496" s="32">
        <f t="shared" si="226"/>
        <v>1491</v>
      </c>
      <c r="AE496" s="38" t="str">
        <f t="shared" si="235"/>
        <v>5506021</v>
      </c>
      <c r="AF496" s="32" t="str">
        <f t="shared" si="229"/>
        <v>[0]</v>
      </c>
      <c r="AG496" s="26">
        <v>100</v>
      </c>
      <c r="AH496" s="26"/>
      <c r="AI496" s="26">
        <v>1</v>
      </c>
      <c r="AJ496" s="25">
        <v>1</v>
      </c>
      <c r="AK496" s="38">
        <f t="shared" si="246"/>
        <v>5506023</v>
      </c>
      <c r="AL496" s="41" t="str">
        <f t="shared" si="247"/>
        <v>无视怪物所有类型&lt;color=#54b76b&gt;%s%&lt;/color&gt;的抗性</v>
      </c>
      <c r="AM496" s="26">
        <v>0</v>
      </c>
      <c r="AN496" s="25">
        <v>6</v>
      </c>
      <c r="AO496" s="25" t="s">
        <v>25</v>
      </c>
      <c r="AP496" s="20">
        <f t="shared" si="227"/>
        <v>491</v>
      </c>
    </row>
    <row r="497" customHeight="1" spans="1:42">
      <c r="A497" s="38">
        <v>5506024</v>
      </c>
      <c r="B497" s="38" t="str">
        <f t="shared" si="233"/>
        <v>5506021</v>
      </c>
      <c r="C497" s="32">
        <f t="shared" si="234"/>
        <v>4</v>
      </c>
      <c r="D497" s="32"/>
      <c r="E497" s="26" t="s">
        <v>200</v>
      </c>
      <c r="F497" s="26" t="str">
        <f t="shared" si="223"/>
        <v/>
      </c>
      <c r="G497" s="26">
        <f>IFERROR(IF(--MID($E497,2*COUNTIF($F497:F497,"&gt;"&amp;0)+2,1)=G$1,G$1,""),"")</f>
        <v>2</v>
      </c>
      <c r="H497" s="26" t="str">
        <f>IFERROR(IF(--MID($E497,2*COUNTIF($F497:G497,"&gt;"&amp;0)+2,1)=H$1,H$1,""),"")</f>
        <v/>
      </c>
      <c r="I497" s="26" t="str">
        <f>IFERROR(IF(--MID($E497,2*COUNTIF($F497:H497,"&gt;"&amp;0)+2,1)=I$1,I$1,""),"")</f>
        <v/>
      </c>
      <c r="J497" s="26" t="str">
        <f>IFERROR(IF(--MID($E497,2*COUNTIF($F497:I497,"&gt;"&amp;0)+2,1)=J$1,J$1,""),"")</f>
        <v/>
      </c>
      <c r="K497" s="26" t="str">
        <f>IFERROR(IF(--MID($E497,2*COUNTIF($F497:J497,"&gt;"&amp;0)+2,1)=K$1,K$1,""),"")</f>
        <v/>
      </c>
      <c r="L497" s="39" t="str" cm="1">
        <f t="array" ref="L497">IFERROR(IF($A497="","",IF(F497="","",_xlfn.XLOOKUP($C497&amp;"_"&amp;$AG497,符文权重!$A:$A&amp;"_"&amp;符文权重!$C:$C,符文权重!$D:$D)*$X497/SUMIFS($X:$X,F:F,F497,$C:$C,$C497,$AG:$AG,$AG497)/SUMIF(符文权重!$A:$A,$C497,符文权重!$D:$D))),"")</f>
        <v/>
      </c>
      <c r="M497" s="39" t="str" cm="1">
        <f t="array" ref="M497">IFERROR(IF($A497="","",IF(G497="","",_xlfn.XLOOKUP($C497&amp;"_"&amp;$AG497,符文权重!$A:$A&amp;"_"&amp;符文权重!$C:$C,符文权重!$D:$D)*$X497/SUMIFS($X:$X,G:G,G497,$C:$C,$C497,$AG:$AG,$AG497)/SUMIF(符文权重!$A:$A,$C497,符文权重!$D:$D))),"")</f>
        <v/>
      </c>
      <c r="N497" s="39" t="str" cm="1">
        <f t="array" ref="N497">IFERROR(IF($A497="","",IF(H497="","",_xlfn.XLOOKUP($C497&amp;"_"&amp;$AG497,符文权重!$A:$A&amp;"_"&amp;符文权重!$C:$C,符文权重!$D:$D)*$X497/SUMIFS($X:$X,H:H,H497,$C:$C,$C497,$AG:$AG,$AG497)/SUMIF(符文权重!$A:$A,$C497,符文权重!$D:$D))),"")</f>
        <v/>
      </c>
      <c r="O497" s="39" t="str" cm="1">
        <f t="array" ref="O497">IFERROR(IF($A497="","",IF(I497="","",_xlfn.XLOOKUP($C497&amp;"_"&amp;$AG497,符文权重!$A:$A&amp;"_"&amp;符文权重!$C:$C,符文权重!$D:$D)*$X497/SUMIFS($X:$X,I:I,I497,$C:$C,$C497,$AG:$AG,$AG497)/SUMIF(符文权重!$A:$A,$C497,符文权重!$D:$D))),"")</f>
        <v/>
      </c>
      <c r="P497" s="39" t="str" cm="1">
        <f t="array" ref="P497">IFERROR(IF($A497="","",IF(J497="","",_xlfn.XLOOKUP($C497&amp;"_"&amp;$AG497,符文权重!$A:$A&amp;"_"&amp;符文权重!$C:$C,符文权重!$D:$D)*$X497/SUMIFS($X:$X,J:J,J497,$C:$C,$C497,$AG:$AG,$AG497)/SUMIF(符文权重!$A:$A,$C497,符文权重!$D:$D))),"")</f>
        <v/>
      </c>
      <c r="Q497" s="39" t="str" cm="1">
        <f t="array" ref="Q497">IFERROR(IF($A497="","",IF(K497="","",_xlfn.XLOOKUP($C497&amp;"_"&amp;$AG497,符文权重!$A:$A&amp;"_"&amp;符文权重!$C:$C,符文权重!$D:$D)*$X497/SUMIFS($X:$X,K:K,K497,$C:$C,$C497,$AG:$AG,$AG497)/SUMIF(符文权重!$A:$A,$C497,符文权重!$D:$D))),"")</f>
        <v/>
      </c>
      <c r="R497" s="26" t="s">
        <v>163</v>
      </c>
      <c r="S497" s="26"/>
      <c r="T497" s="26" t="e">
        <f>IF(B497="","",SUBSTITUTE(SUBSTITUTE("[{global_atk,"&amp;#REF!*C497&amp;"}]",21,20),9,8))</f>
        <v>#REF!</v>
      </c>
      <c r="U497" s="40" t="str">
        <f t="shared" si="245"/>
        <v>[5506024]</v>
      </c>
      <c r="V497" s="26" t="s">
        <v>510</v>
      </c>
      <c r="X497" s="25">
        <v>20</v>
      </c>
      <c r="Z497" s="32" t="s">
        <v>174</v>
      </c>
      <c r="AA497" s="32" t="str">
        <f t="shared" si="232"/>
        <v>无视怪物所有类型30%的抗性</v>
      </c>
      <c r="AB497" s="32"/>
      <c r="AC497" s="32" t="s">
        <v>166</v>
      </c>
      <c r="AD497" s="32">
        <f t="shared" si="226"/>
        <v>1492</v>
      </c>
      <c r="AE497" s="38" t="str">
        <f t="shared" si="235"/>
        <v>5506021</v>
      </c>
      <c r="AF497" s="32" t="str">
        <f t="shared" si="229"/>
        <v>[30]</v>
      </c>
      <c r="AG497" s="62">
        <v>100</v>
      </c>
      <c r="AH497" s="26"/>
      <c r="AI497" s="26">
        <v>0</v>
      </c>
      <c r="AJ497" s="25">
        <v>1</v>
      </c>
      <c r="AK497" s="38">
        <f t="shared" si="246"/>
        <v>5506024</v>
      </c>
      <c r="AL497" s="41" t="str">
        <f t="shared" si="247"/>
        <v>无视怪物所有类型&lt;color=#54b76b&gt;%s%&lt;/color&gt;的抗性</v>
      </c>
      <c r="AM497" s="26">
        <v>30</v>
      </c>
      <c r="AN497" s="25">
        <v>6</v>
      </c>
      <c r="AO497" s="25" t="s">
        <v>25</v>
      </c>
      <c r="AP497" s="20">
        <f t="shared" si="227"/>
        <v>492</v>
      </c>
    </row>
    <row r="498" customHeight="1" spans="1:42">
      <c r="A498" s="38">
        <v>5506025</v>
      </c>
      <c r="B498" s="38" t="str">
        <f t="shared" si="233"/>
        <v>5506021</v>
      </c>
      <c r="C498" s="32">
        <f t="shared" si="234"/>
        <v>5</v>
      </c>
      <c r="D498" s="32"/>
      <c r="E498" s="26" t="s">
        <v>200</v>
      </c>
      <c r="F498" s="26" t="str">
        <f t="shared" si="223"/>
        <v/>
      </c>
      <c r="G498" s="26">
        <f>IFERROR(IF(--MID($E498,2*COUNTIF($F498:F498,"&gt;"&amp;0)+2,1)=G$1,G$1,""),"")</f>
        <v>2</v>
      </c>
      <c r="H498" s="26" t="str">
        <f>IFERROR(IF(--MID($E498,2*COUNTIF($F498:G498,"&gt;"&amp;0)+2,1)=H$1,H$1,""),"")</f>
        <v/>
      </c>
      <c r="I498" s="26" t="str">
        <f>IFERROR(IF(--MID($E498,2*COUNTIF($F498:H498,"&gt;"&amp;0)+2,1)=I$1,I$1,""),"")</f>
        <v/>
      </c>
      <c r="J498" s="26" t="str">
        <f>IFERROR(IF(--MID($E498,2*COUNTIF($F498:I498,"&gt;"&amp;0)+2,1)=J$1,J$1,""),"")</f>
        <v/>
      </c>
      <c r="K498" s="26" t="str">
        <f>IFERROR(IF(--MID($E498,2*COUNTIF($F498:J498,"&gt;"&amp;0)+2,1)=K$1,K$1,""),"")</f>
        <v/>
      </c>
      <c r="L498" s="39" t="str" cm="1">
        <f t="array" ref="L498">IFERROR(IF($A498="","",IF(F498="","",_xlfn.XLOOKUP($C498&amp;"_"&amp;$AG498,符文权重!$A:$A&amp;"_"&amp;符文权重!$C:$C,符文权重!$D:$D)*$X498/SUMIFS($X:$X,F:F,F498,$C:$C,$C498,$AG:$AG,$AG498)/SUMIF(符文权重!$A:$A,$C498,符文权重!$D:$D))),"")</f>
        <v/>
      </c>
      <c r="M498" s="39" cm="1">
        <f t="array" ref="M498">IFERROR(IF($A498="","",IF(G498="","",_xlfn.XLOOKUP($C498&amp;"_"&amp;$AG498,符文权重!$A:$A&amp;"_"&amp;符文权重!$C:$C,符文权重!$D:$D)*$X498/SUMIFS($X:$X,G:G,G498,$C:$C,$C498,$AG:$AG,$AG498)/SUMIF(符文权重!$A:$A,$C498,符文权重!$D:$D))),"")</f>
        <v>0.00300429184549356</v>
      </c>
      <c r="N498" s="39" t="str" cm="1">
        <f t="array" ref="N498">IFERROR(IF($A498="","",IF(H498="","",_xlfn.XLOOKUP($C498&amp;"_"&amp;$AG498,符文权重!$A:$A&amp;"_"&amp;符文权重!$C:$C,符文权重!$D:$D)*$X498/SUMIFS($X:$X,H:H,H498,$C:$C,$C498,$AG:$AG,$AG498)/SUMIF(符文权重!$A:$A,$C498,符文权重!$D:$D))),"")</f>
        <v/>
      </c>
      <c r="O498" s="39" t="str" cm="1">
        <f t="array" ref="O498">IFERROR(IF($A498="","",IF(I498="","",_xlfn.XLOOKUP($C498&amp;"_"&amp;$AG498,符文权重!$A:$A&amp;"_"&amp;符文权重!$C:$C,符文权重!$D:$D)*$X498/SUMIFS($X:$X,I:I,I498,$C:$C,$C498,$AG:$AG,$AG498)/SUMIF(符文权重!$A:$A,$C498,符文权重!$D:$D))),"")</f>
        <v/>
      </c>
      <c r="P498" s="39" t="str" cm="1">
        <f t="array" ref="P498">IFERROR(IF($A498="","",IF(J498="","",_xlfn.XLOOKUP($C498&amp;"_"&amp;$AG498,符文权重!$A:$A&amp;"_"&amp;符文权重!$C:$C,符文权重!$D:$D)*$X498/SUMIFS($X:$X,J:J,J498,$C:$C,$C498,$AG:$AG,$AG498)/SUMIF(符文权重!$A:$A,$C498,符文权重!$D:$D))),"")</f>
        <v/>
      </c>
      <c r="Q498" s="39" t="str" cm="1">
        <f t="array" ref="Q498">IFERROR(IF($A498="","",IF(K498="","",_xlfn.XLOOKUP($C498&amp;"_"&amp;$AG498,符文权重!$A:$A&amp;"_"&amp;符文权重!$C:$C,符文权重!$D:$D)*$X498/SUMIFS($X:$X,K:K,K498,$C:$C,$C498,$AG:$AG,$AG498)/SUMIF(符文权重!$A:$A,$C498,符文权重!$D:$D))),"")</f>
        <v/>
      </c>
      <c r="R498" s="26" t="s">
        <v>163</v>
      </c>
      <c r="S498" s="26"/>
      <c r="T498" s="26" t="e">
        <f>IF(B498="","",SUBSTITUTE(SUBSTITUTE("[{global_atk,"&amp;#REF!*C498&amp;"}]",21,20),9,8))</f>
        <v>#REF!</v>
      </c>
      <c r="U498" s="40" t="str">
        <f t="shared" si="245"/>
        <v>[5506025]</v>
      </c>
      <c r="V498" s="26" t="s">
        <v>511</v>
      </c>
      <c r="X498" s="25">
        <v>100</v>
      </c>
      <c r="Z498" s="32" t="s">
        <v>176</v>
      </c>
      <c r="AA498" s="32" t="str">
        <f t="shared" si="232"/>
        <v>无视怪物所有类型40%的抗性</v>
      </c>
      <c r="AB498" s="32"/>
      <c r="AC498" s="32" t="s">
        <v>166</v>
      </c>
      <c r="AD498" s="32">
        <f t="shared" si="226"/>
        <v>1493</v>
      </c>
      <c r="AE498" s="38" t="str">
        <f t="shared" si="235"/>
        <v>5506021</v>
      </c>
      <c r="AF498" s="32" t="str">
        <f t="shared" si="229"/>
        <v>[40]</v>
      </c>
      <c r="AG498" s="26">
        <v>6</v>
      </c>
      <c r="AH498" s="26"/>
      <c r="AI498" s="26">
        <v>0</v>
      </c>
      <c r="AJ498" s="25">
        <v>1</v>
      </c>
      <c r="AK498" s="38">
        <f t="shared" si="246"/>
        <v>5506025</v>
      </c>
      <c r="AL498" s="41" t="str">
        <f t="shared" si="247"/>
        <v>无视怪物所有类型&lt;color=#54b76b&gt;%s%&lt;/color&gt;的抗性</v>
      </c>
      <c r="AM498" s="26">
        <v>40</v>
      </c>
      <c r="AN498" s="25">
        <v>6</v>
      </c>
      <c r="AO498" s="25" t="s">
        <v>25</v>
      </c>
      <c r="AP498" s="20">
        <f t="shared" si="227"/>
        <v>493</v>
      </c>
    </row>
    <row r="499" customHeight="1" spans="1:42">
      <c r="A499" s="38">
        <v>5506026</v>
      </c>
      <c r="B499" s="38" t="str">
        <f t="shared" si="233"/>
        <v>5506021</v>
      </c>
      <c r="C499" s="32">
        <f t="shared" si="234"/>
        <v>6</v>
      </c>
      <c r="D499" s="32"/>
      <c r="E499" s="26" t="s">
        <v>200</v>
      </c>
      <c r="F499" s="26" t="str">
        <f t="shared" si="223"/>
        <v/>
      </c>
      <c r="G499" s="26">
        <f>IFERROR(IF(--MID($E499,2*COUNTIF($F499:F499,"&gt;"&amp;0)+2,1)=G$1,G$1,""),"")</f>
        <v>2</v>
      </c>
      <c r="H499" s="26" t="str">
        <f>IFERROR(IF(--MID($E499,2*COUNTIF($F499:G499,"&gt;"&amp;0)+2,1)=H$1,H$1,""),"")</f>
        <v/>
      </c>
      <c r="I499" s="26" t="str">
        <f>IFERROR(IF(--MID($E499,2*COUNTIF($F499:H499,"&gt;"&amp;0)+2,1)=I$1,I$1,""),"")</f>
        <v/>
      </c>
      <c r="J499" s="26" t="str">
        <f>IFERROR(IF(--MID($E499,2*COUNTIF($F499:I499,"&gt;"&amp;0)+2,1)=J$1,J$1,""),"")</f>
        <v/>
      </c>
      <c r="K499" s="26" t="str">
        <f>IFERROR(IF(--MID($E499,2*COUNTIF($F499:J499,"&gt;"&amp;0)+2,1)=K$1,K$1,""),"")</f>
        <v/>
      </c>
      <c r="L499" s="39" t="str" cm="1">
        <f t="array" ref="L499">IFERROR(IF($A499="","",IF(F499="","",_xlfn.XLOOKUP($C499&amp;"_"&amp;$AG499,符文权重!$A:$A&amp;"_"&amp;符文权重!$C:$C,符文权重!$D:$D)*$X499/SUMIFS($X:$X,F:F,F499,$C:$C,$C499,$AG:$AG,$AG499)/SUMIF(符文权重!$A:$A,$C499,符文权重!$D:$D))),"")</f>
        <v/>
      </c>
      <c r="M499" s="39" cm="1">
        <f t="array" ref="M499">IFERROR(IF($A499="","",IF(G499="","",_xlfn.XLOOKUP($C499&amp;"_"&amp;$AG499,符文权重!$A:$A&amp;"_"&amp;符文权重!$C:$C,符文权重!$D:$D)*$X499/SUMIFS($X:$X,G:G,G499,$C:$C,$C499,$AG:$AG,$AG499)/SUMIF(符文权重!$A:$A,$C499,符文权重!$D:$D))),"")</f>
        <v>0.00300429184549356</v>
      </c>
      <c r="N499" s="39" t="str" cm="1">
        <f t="array" ref="N499">IFERROR(IF($A499="","",IF(H499="","",_xlfn.XLOOKUP($C499&amp;"_"&amp;$AG499,符文权重!$A:$A&amp;"_"&amp;符文权重!$C:$C,符文权重!$D:$D)*$X499/SUMIFS($X:$X,H:H,H499,$C:$C,$C499,$AG:$AG,$AG499)/SUMIF(符文权重!$A:$A,$C499,符文权重!$D:$D))),"")</f>
        <v/>
      </c>
      <c r="O499" s="39" t="str" cm="1">
        <f t="array" ref="O499">IFERROR(IF($A499="","",IF(I499="","",_xlfn.XLOOKUP($C499&amp;"_"&amp;$AG499,符文权重!$A:$A&amp;"_"&amp;符文权重!$C:$C,符文权重!$D:$D)*$X499/SUMIFS($X:$X,I:I,I499,$C:$C,$C499,$AG:$AG,$AG499)/SUMIF(符文权重!$A:$A,$C499,符文权重!$D:$D))),"")</f>
        <v/>
      </c>
      <c r="P499" s="39" t="str" cm="1">
        <f t="array" ref="P499">IFERROR(IF($A499="","",IF(J499="","",_xlfn.XLOOKUP($C499&amp;"_"&amp;$AG499,符文权重!$A:$A&amp;"_"&amp;符文权重!$C:$C,符文权重!$D:$D)*$X499/SUMIFS($X:$X,J:J,J499,$C:$C,$C499,$AG:$AG,$AG499)/SUMIF(符文权重!$A:$A,$C499,符文权重!$D:$D))),"")</f>
        <v/>
      </c>
      <c r="Q499" s="39" t="str" cm="1">
        <f t="array" ref="Q499">IFERROR(IF($A499="","",IF(K499="","",_xlfn.XLOOKUP($C499&amp;"_"&amp;$AG499,符文权重!$A:$A&amp;"_"&amp;符文权重!$C:$C,符文权重!$D:$D)*$X499/SUMIFS($X:$X,K:K,K499,$C:$C,$C499,$AG:$AG,$AG499)/SUMIF(符文权重!$A:$A,$C499,符文权重!$D:$D))),"")</f>
        <v/>
      </c>
      <c r="R499" s="26" t="s">
        <v>163</v>
      </c>
      <c r="S499" s="26"/>
      <c r="T499" s="26" t="e">
        <f>IF(B499="","",SUBSTITUTE(SUBSTITUTE("[{global_atk,"&amp;#REF!*C499&amp;"}]",21,20),9,8))</f>
        <v>#REF!</v>
      </c>
      <c r="U499" s="40" t="str">
        <f t="shared" si="245"/>
        <v>[5506026]</v>
      </c>
      <c r="V499" s="26" t="s">
        <v>512</v>
      </c>
      <c r="X499" s="25">
        <v>100</v>
      </c>
      <c r="Z499" s="32" t="s">
        <v>178</v>
      </c>
      <c r="AA499" s="32" t="str">
        <f t="shared" si="232"/>
        <v>无视怪物所有类型50%的抗性</v>
      </c>
      <c r="AB499" s="32"/>
      <c r="AC499" s="32" t="s">
        <v>166</v>
      </c>
      <c r="AD499" s="32">
        <f t="shared" si="226"/>
        <v>1494</v>
      </c>
      <c r="AE499" s="38" t="str">
        <f t="shared" si="235"/>
        <v>5506021</v>
      </c>
      <c r="AF499" s="32" t="str">
        <f t="shared" si="229"/>
        <v>[50]</v>
      </c>
      <c r="AG499" s="26">
        <v>6</v>
      </c>
      <c r="AH499" s="26"/>
      <c r="AI499" s="26">
        <v>0</v>
      </c>
      <c r="AJ499" s="25">
        <v>1</v>
      </c>
      <c r="AK499" s="38">
        <f t="shared" si="246"/>
        <v>5506026</v>
      </c>
      <c r="AL499" s="41" t="str">
        <f t="shared" si="247"/>
        <v>无视怪物所有类型&lt;color=#54b76b&gt;%s%&lt;/color&gt;的抗性</v>
      </c>
      <c r="AM499" s="26">
        <v>50</v>
      </c>
      <c r="AN499" s="25">
        <v>6</v>
      </c>
      <c r="AO499" s="25" t="s">
        <v>25</v>
      </c>
      <c r="AP499" s="20">
        <f t="shared" si="227"/>
        <v>494</v>
      </c>
    </row>
    <row r="500" customHeight="1" spans="1:42">
      <c r="A500" s="38">
        <v>5506027</v>
      </c>
      <c r="B500" s="38" t="str">
        <f t="shared" si="233"/>
        <v>5506021</v>
      </c>
      <c r="C500" s="32">
        <f t="shared" si="234"/>
        <v>7</v>
      </c>
      <c r="D500" s="32"/>
      <c r="E500" s="26" t="s">
        <v>200</v>
      </c>
      <c r="F500" s="26" t="str">
        <f t="shared" si="223"/>
        <v/>
      </c>
      <c r="G500" s="26">
        <f>IFERROR(IF(--MID($E500,2*COUNTIF($F500:F500,"&gt;"&amp;0)+2,1)=G$1,G$1,""),"")</f>
        <v>2</v>
      </c>
      <c r="H500" s="26" t="str">
        <f>IFERROR(IF(--MID($E500,2*COUNTIF($F500:G500,"&gt;"&amp;0)+2,1)=H$1,H$1,""),"")</f>
        <v/>
      </c>
      <c r="I500" s="26" t="str">
        <f>IFERROR(IF(--MID($E500,2*COUNTIF($F500:H500,"&gt;"&amp;0)+2,1)=I$1,I$1,""),"")</f>
        <v/>
      </c>
      <c r="J500" s="26" t="str">
        <f>IFERROR(IF(--MID($E500,2*COUNTIF($F500:I500,"&gt;"&amp;0)+2,1)=J$1,J$1,""),"")</f>
        <v/>
      </c>
      <c r="K500" s="26" t="str">
        <f>IFERROR(IF(--MID($E500,2*COUNTIF($F500:J500,"&gt;"&amp;0)+2,1)=K$1,K$1,""),"")</f>
        <v/>
      </c>
      <c r="L500" s="39" t="str" cm="1">
        <f t="array" ref="L500">IFERROR(IF($A500="","",IF(F500="","",_xlfn.XLOOKUP($C500&amp;"_"&amp;$AG500,符文权重!$A:$A&amp;"_"&amp;符文权重!$C:$C,符文权重!$D:$D)*$X500/SUMIFS($X:$X,F:F,F500,$C:$C,$C500,$AG:$AG,$AG500)/SUMIF(符文权重!$A:$A,$C500,符文权重!$D:$D))),"")</f>
        <v/>
      </c>
      <c r="M500" s="39" cm="1">
        <f t="array" ref="M500">IFERROR(IF($A500="","",IF(G500="","",_xlfn.XLOOKUP($C500&amp;"_"&amp;$AG500,符文权重!$A:$A&amp;"_"&amp;符文权重!$C:$C,符文权重!$D:$D)*$X500/SUMIFS($X:$X,G:G,G500,$C:$C,$C500,$AG:$AG,$AG500)/SUMIF(符文权重!$A:$A,$C500,符文权重!$D:$D))),"")</f>
        <v>0.00300429184549356</v>
      </c>
      <c r="N500" s="39" t="str" cm="1">
        <f t="array" ref="N500">IFERROR(IF($A500="","",IF(H500="","",_xlfn.XLOOKUP($C500&amp;"_"&amp;$AG500,符文权重!$A:$A&amp;"_"&amp;符文权重!$C:$C,符文权重!$D:$D)*$X500/SUMIFS($X:$X,H:H,H500,$C:$C,$C500,$AG:$AG,$AG500)/SUMIF(符文权重!$A:$A,$C500,符文权重!$D:$D))),"")</f>
        <v/>
      </c>
      <c r="O500" s="39" t="str" cm="1">
        <f t="array" ref="O500">IFERROR(IF($A500="","",IF(I500="","",_xlfn.XLOOKUP($C500&amp;"_"&amp;$AG500,符文权重!$A:$A&amp;"_"&amp;符文权重!$C:$C,符文权重!$D:$D)*$X500/SUMIFS($X:$X,I:I,I500,$C:$C,$C500,$AG:$AG,$AG500)/SUMIF(符文权重!$A:$A,$C500,符文权重!$D:$D))),"")</f>
        <v/>
      </c>
      <c r="P500" s="39" t="str" cm="1">
        <f t="array" ref="P500">IFERROR(IF($A500="","",IF(J500="","",_xlfn.XLOOKUP($C500&amp;"_"&amp;$AG500,符文权重!$A:$A&amp;"_"&amp;符文权重!$C:$C,符文权重!$D:$D)*$X500/SUMIFS($X:$X,J:J,J500,$C:$C,$C500,$AG:$AG,$AG500)/SUMIF(符文权重!$A:$A,$C500,符文权重!$D:$D))),"")</f>
        <v/>
      </c>
      <c r="Q500" s="39" t="str" cm="1">
        <f t="array" ref="Q500">IFERROR(IF($A500="","",IF(K500="","",_xlfn.XLOOKUP($C500&amp;"_"&amp;$AG500,符文权重!$A:$A&amp;"_"&amp;符文权重!$C:$C,符文权重!$D:$D)*$X500/SUMIFS($X:$X,K:K,K500,$C:$C,$C500,$AG:$AG,$AG500)/SUMIF(符文权重!$A:$A,$C500,符文权重!$D:$D))),"")</f>
        <v/>
      </c>
      <c r="R500" s="26" t="s">
        <v>163</v>
      </c>
      <c r="S500" s="26"/>
      <c r="T500" s="26" t="e">
        <f>IF(B500="","",SUBSTITUTE(SUBSTITUTE("[{global_atk,"&amp;#REF!*C500&amp;"}]",21,20),9,8))</f>
        <v>#REF!</v>
      </c>
      <c r="U500" s="40" t="str">
        <f t="shared" si="245"/>
        <v>[5506027]</v>
      </c>
      <c r="V500" s="26" t="s">
        <v>513</v>
      </c>
      <c r="X500" s="25">
        <v>100</v>
      </c>
      <c r="Z500" s="32" t="s">
        <v>180</v>
      </c>
      <c r="AA500" s="32" t="str">
        <f t="shared" si="232"/>
        <v>无视怪物所有类型60%的抗性</v>
      </c>
      <c r="AB500" s="32"/>
      <c r="AC500" s="32" t="s">
        <v>166</v>
      </c>
      <c r="AD500" s="32">
        <f t="shared" si="226"/>
        <v>1495</v>
      </c>
      <c r="AE500" s="38" t="str">
        <f t="shared" si="235"/>
        <v>5506021</v>
      </c>
      <c r="AF500" s="32" t="str">
        <f t="shared" si="229"/>
        <v>[60]</v>
      </c>
      <c r="AG500" s="26">
        <v>6</v>
      </c>
      <c r="AH500" s="26"/>
      <c r="AI500" s="26">
        <v>0</v>
      </c>
      <c r="AJ500" s="25">
        <v>1</v>
      </c>
      <c r="AK500" s="38">
        <f t="shared" si="246"/>
        <v>5506027</v>
      </c>
      <c r="AL500" s="41" t="str">
        <f t="shared" si="247"/>
        <v>无视怪物所有类型&lt;color=#54b76b&gt;%s%&lt;/color&gt;的抗性</v>
      </c>
      <c r="AM500" s="26">
        <v>60</v>
      </c>
      <c r="AN500" s="25">
        <v>6</v>
      </c>
      <c r="AO500" s="25" t="s">
        <v>25</v>
      </c>
      <c r="AP500" s="20">
        <f t="shared" si="227"/>
        <v>495</v>
      </c>
    </row>
    <row r="501" s="20" customFormat="1" customHeight="1" spans="1:42">
      <c r="A501" s="38" t="s">
        <v>167</v>
      </c>
      <c r="B501" s="38" t="str">
        <f t="shared" si="233"/>
        <v/>
      </c>
      <c r="C501" s="32" t="str">
        <f t="shared" si="234"/>
        <v/>
      </c>
      <c r="D501" s="32"/>
      <c r="E501" s="26"/>
      <c r="F501" s="26" t="str">
        <f t="shared" si="223"/>
        <v/>
      </c>
      <c r="G501" s="26" t="str">
        <f>IFERROR(IF(--MID($E501,2*COUNTIF($F501:F501,"&gt;"&amp;0)+2,1)=G$1,G$1,""),"")</f>
        <v/>
      </c>
      <c r="H501" s="26" t="str">
        <f>IFERROR(IF(--MID($E501,2*COUNTIF($F501:G501,"&gt;"&amp;0)+2,1)=H$1,H$1,""),"")</f>
        <v/>
      </c>
      <c r="I501" s="26" t="str">
        <f>IFERROR(IF(--MID($E501,2*COUNTIF($F501:H501,"&gt;"&amp;0)+2,1)=I$1,I$1,""),"")</f>
        <v/>
      </c>
      <c r="J501" s="26" t="str">
        <f>IFERROR(IF(--MID($E501,2*COUNTIF($F501:I501,"&gt;"&amp;0)+2,1)=J$1,J$1,""),"")</f>
        <v/>
      </c>
      <c r="K501" s="26" t="str">
        <f>IFERROR(IF(--MID($E501,2*COUNTIF($F501:J501,"&gt;"&amp;0)+2,1)=K$1,K$1,""),"")</f>
        <v/>
      </c>
      <c r="L501" s="39" t="str" cm="1">
        <f t="array" ref="L501">IFERROR(IF($A501="","",IF(F501="","",_xlfn.XLOOKUP($C501&amp;"_"&amp;$AG501,符文权重!$A:$A&amp;"_"&amp;符文权重!$C:$C,符文权重!$D:$D)*$X501/SUMIFS($X:$X,F:F,F501,$C:$C,$C501,$AG:$AG,$AG501)/SUMIF(符文权重!$A:$A,$C501,符文权重!$D:$D))),"")</f>
        <v/>
      </c>
      <c r="M501" s="39" t="str" cm="1">
        <f t="array" ref="M501">IFERROR(IF($A501="","",IF(G501="","",_xlfn.XLOOKUP($C501&amp;"_"&amp;$AG501,符文权重!$A:$A&amp;"_"&amp;符文权重!$C:$C,符文权重!$D:$D)*$X501/SUMIFS($X:$X,G:G,G501,$C:$C,$C501,$AG:$AG,$AG501)/SUMIF(符文权重!$A:$A,$C501,符文权重!$D:$D))),"")</f>
        <v/>
      </c>
      <c r="N501" s="39" t="str" cm="1">
        <f t="array" ref="N501">IFERROR(IF($A501="","",IF(H501="","",_xlfn.XLOOKUP($C501&amp;"_"&amp;$AG501,符文权重!$A:$A&amp;"_"&amp;符文权重!$C:$C,符文权重!$D:$D)*$X501/SUMIFS($X:$X,H:H,H501,$C:$C,$C501,$AG:$AG,$AG501)/SUMIF(符文权重!$A:$A,$C501,符文权重!$D:$D))),"")</f>
        <v/>
      </c>
      <c r="O501" s="39" t="str" cm="1">
        <f t="array" ref="O501">IFERROR(IF($A501="","",IF(I501="","",_xlfn.XLOOKUP($C501&amp;"_"&amp;$AG501,符文权重!$A:$A&amp;"_"&amp;符文权重!$C:$C,符文权重!$D:$D)*$X501/SUMIFS($X:$X,I:I,I501,$C:$C,$C501,$AG:$AG,$AG501)/SUMIF(符文权重!$A:$A,$C501,符文权重!$D:$D))),"")</f>
        <v/>
      </c>
      <c r="P501" s="39" t="str" cm="1">
        <f t="array" ref="P501">IFERROR(IF($A501="","",IF(J501="","",_xlfn.XLOOKUP($C501&amp;"_"&amp;$AG501,符文权重!$A:$A&amp;"_"&amp;符文权重!$C:$C,符文权重!$D:$D)*$X501/SUMIFS($X:$X,J:J,J501,$C:$C,$C501,$AG:$AG,$AG501)/SUMIF(符文权重!$A:$A,$C501,符文权重!$D:$D))),"")</f>
        <v/>
      </c>
      <c r="Q501" s="39" t="str" cm="1">
        <f t="array" ref="Q501">IFERROR(IF($A501="","",IF(K501="","",_xlfn.XLOOKUP($C501&amp;"_"&amp;$AG501,符文权重!$A:$A&amp;"_"&amp;符文权重!$C:$C,符文权重!$D:$D)*$X501/SUMIFS($X:$X,K:K,K501,$C:$C,$C501,$AG:$AG,$AG501)/SUMIF(符文权重!$A:$A,$C501,符文权重!$D:$D))),"")</f>
        <v/>
      </c>
      <c r="R501" s="26"/>
      <c r="S501" s="26"/>
      <c r="T501" s="26"/>
      <c r="V501" s="31"/>
      <c r="W501" s="25"/>
      <c r="X501" s="25"/>
      <c r="Y501" s="25"/>
      <c r="Z501" s="32" t="s">
        <v>167</v>
      </c>
      <c r="AA501" s="32" t="str">
        <f t="shared" si="232"/>
        <v/>
      </c>
      <c r="AB501" s="32"/>
      <c r="AC501" s="32" t="s">
        <v>166</v>
      </c>
      <c r="AD501" s="32">
        <f t="shared" si="226"/>
        <v>1496</v>
      </c>
      <c r="AE501" s="38" t="str">
        <f t="shared" si="235"/>
        <v/>
      </c>
      <c r="AF501" s="32" t="str">
        <f t="shared" si="229"/>
        <v/>
      </c>
      <c r="AG501" s="26"/>
      <c r="AH501" s="26"/>
      <c r="AI501" s="26"/>
      <c r="AJ501" s="25" t="s">
        <v>167</v>
      </c>
      <c r="AK501" s="24"/>
      <c r="AL501" s="59"/>
      <c r="AM501" s="26"/>
      <c r="AN501" s="25"/>
      <c r="AO501" s="25"/>
      <c r="AP501" s="20">
        <f t="shared" si="227"/>
        <v>496</v>
      </c>
    </row>
    <row r="502" customHeight="1" spans="1:42">
      <c r="A502" s="38">
        <v>5506031</v>
      </c>
      <c r="B502" s="38" t="str">
        <f t="shared" si="233"/>
        <v>5506031</v>
      </c>
      <c r="C502" s="32">
        <f t="shared" si="234"/>
        <v>1</v>
      </c>
      <c r="D502" s="32"/>
      <c r="E502" s="26" t="s">
        <v>375</v>
      </c>
      <c r="F502" s="26" t="str">
        <f t="shared" si="223"/>
        <v/>
      </c>
      <c r="G502" s="26" t="str">
        <f>IFERROR(IF(--MID($E502,2*COUNTIF($F502:F502,"&gt;"&amp;0)+2,1)=G$1,G$1,""),"")</f>
        <v/>
      </c>
      <c r="H502" s="26" t="str">
        <f>IFERROR(IF(--MID($E502,2*COUNTIF($F502:G502,"&gt;"&amp;0)+2,1)=H$1,H$1,""),"")</f>
        <v/>
      </c>
      <c r="I502" s="26">
        <f>IFERROR(IF(--MID($E502,2*COUNTIF($F502:H502,"&gt;"&amp;0)+2,1)=I$1,I$1,""),"")</f>
        <v>4</v>
      </c>
      <c r="J502" s="26" t="str">
        <f>IFERROR(IF(--MID($E502,2*COUNTIF($F502:I502,"&gt;"&amp;0)+2,1)=J$1,J$1,""),"")</f>
        <v/>
      </c>
      <c r="K502" s="26" t="str">
        <f>IFERROR(IF(--MID($E502,2*COUNTIF($F502:J502,"&gt;"&amp;0)+2,1)=K$1,K$1,""),"")</f>
        <v/>
      </c>
      <c r="L502" s="39" t="str" cm="1">
        <f t="array" ref="L502">IFERROR(IF($A502="","",IF(F502="","",_xlfn.XLOOKUP($C502&amp;"_"&amp;$AG502,符文权重!$A:$A&amp;"_"&amp;符文权重!$C:$C,符文权重!$D:$D)*$X502/SUMIFS($X:$X,F:F,F502,$C:$C,$C502,$AG:$AG,$AG502)/SUMIF(符文权重!$A:$A,$C502,符文权重!$D:$D))),"")</f>
        <v/>
      </c>
      <c r="M502" s="39" t="str" cm="1">
        <f t="array" ref="M502">IFERROR(IF($A502="","",IF(G502="","",_xlfn.XLOOKUP($C502&amp;"_"&amp;$AG502,符文权重!$A:$A&amp;"_"&amp;符文权重!$C:$C,符文权重!$D:$D)*$X502/SUMIFS($X:$X,G:G,G502,$C:$C,$C502,$AG:$AG,$AG502)/SUMIF(符文权重!$A:$A,$C502,符文权重!$D:$D))),"")</f>
        <v/>
      </c>
      <c r="N502" s="39" t="str" cm="1">
        <f t="array" ref="N502">IFERROR(IF($A502="","",IF(H502="","",_xlfn.XLOOKUP($C502&amp;"_"&amp;$AG502,符文权重!$A:$A&amp;"_"&amp;符文权重!$C:$C,符文权重!$D:$D)*$X502/SUMIFS($X:$X,H:H,H502,$C:$C,$C502,$AG:$AG,$AG502)/SUMIF(符文权重!$A:$A,$C502,符文权重!$D:$D))),"")</f>
        <v/>
      </c>
      <c r="O502" s="39" t="str" cm="1">
        <f t="array" ref="O502">IFERROR(IF($A502="","",IF(I502="","",_xlfn.XLOOKUP($C502&amp;"_"&amp;$AG502,符文权重!$A:$A&amp;"_"&amp;符文权重!$C:$C,符文权重!$D:$D)*$X502/SUMIFS($X:$X,I:I,I502,$C:$C,$C502,$AG:$AG,$AG502)/SUMIF(符文权重!$A:$A,$C502,符文权重!$D:$D))),"")</f>
        <v/>
      </c>
      <c r="P502" s="39" t="str" cm="1">
        <f t="array" ref="P502">IFERROR(IF($A502="","",IF(J502="","",_xlfn.XLOOKUP($C502&amp;"_"&amp;$AG502,符文权重!$A:$A&amp;"_"&amp;符文权重!$C:$C,符文权重!$D:$D)*$X502/SUMIFS($X:$X,J:J,J502,$C:$C,$C502,$AG:$AG,$AG502)/SUMIF(符文权重!$A:$A,$C502,符文权重!$D:$D))),"")</f>
        <v/>
      </c>
      <c r="Q502" s="39" t="str" cm="1">
        <f t="array" ref="Q502">IFERROR(IF($A502="","",IF(K502="","",_xlfn.XLOOKUP($C502&amp;"_"&amp;$AG502,符文权重!$A:$A&amp;"_"&amp;符文权重!$C:$C,符文权重!$D:$D)*$X502/SUMIFS($X:$X,K:K,K502,$C:$C,$C502,$AG:$AG,$AG502)/SUMIF(符文权重!$A:$A,$C502,符文权重!$D:$D))),"")</f>
        <v/>
      </c>
      <c r="R502" s="26" t="s">
        <v>163</v>
      </c>
      <c r="S502" s="26"/>
      <c r="T502" s="26" t="e">
        <f>IF(B502="","",SUBSTITUTE(SUBSTITUTE("[{global_atk,"&amp;#REF!*C502&amp;"}]",21,20),9,8))</f>
        <v>#REF!</v>
      </c>
      <c r="U502" s="40" t="str">
        <f t="shared" ref="U502:U508" si="248">"["&amp;A502&amp;"]"</f>
        <v>[5506031]</v>
      </c>
      <c r="X502" s="25">
        <v>100</v>
      </c>
      <c r="Z502" s="32" t="s">
        <v>165</v>
      </c>
      <c r="AA502" s="32" t="str">
        <f t="shared" si="232"/>
        <v>伤害在80%~0%之间浮动</v>
      </c>
      <c r="AB502" s="32"/>
      <c r="AC502" s="32" t="s">
        <v>166</v>
      </c>
      <c r="AD502" s="32">
        <f t="shared" si="226"/>
        <v>1497</v>
      </c>
      <c r="AE502" s="38" t="str">
        <f t="shared" si="235"/>
        <v>5506031</v>
      </c>
      <c r="AF502" s="32" t="str">
        <f t="shared" si="229"/>
        <v>[0]</v>
      </c>
      <c r="AG502" s="26">
        <v>100</v>
      </c>
      <c r="AH502" s="26"/>
      <c r="AI502" s="26">
        <v>1</v>
      </c>
      <c r="AJ502" s="25">
        <v>1</v>
      </c>
      <c r="AK502" s="24">
        <v>5506031</v>
      </c>
      <c r="AL502" s="42" t="s">
        <v>514</v>
      </c>
      <c r="AM502" s="26">
        <v>0</v>
      </c>
      <c r="AN502" s="25">
        <v>6</v>
      </c>
      <c r="AO502" s="25" t="s">
        <v>25</v>
      </c>
      <c r="AP502" s="20">
        <f t="shared" si="227"/>
        <v>497</v>
      </c>
    </row>
    <row r="503" customHeight="1" spans="1:42">
      <c r="A503" s="38">
        <v>5506032</v>
      </c>
      <c r="B503" s="38" t="str">
        <f t="shared" si="233"/>
        <v>5506031</v>
      </c>
      <c r="C503" s="32">
        <f t="shared" si="234"/>
        <v>2</v>
      </c>
      <c r="D503" s="32"/>
      <c r="E503" s="26" t="s">
        <v>375</v>
      </c>
      <c r="F503" s="26" t="str">
        <f t="shared" si="223"/>
        <v/>
      </c>
      <c r="G503" s="26" t="str">
        <f>IFERROR(IF(--MID($E503,2*COUNTIF($F503:F503,"&gt;"&amp;0)+2,1)=G$1,G$1,""),"")</f>
        <v/>
      </c>
      <c r="H503" s="26" t="str">
        <f>IFERROR(IF(--MID($E503,2*COUNTIF($F503:G503,"&gt;"&amp;0)+2,1)=H$1,H$1,""),"")</f>
        <v/>
      </c>
      <c r="I503" s="26">
        <f>IFERROR(IF(--MID($E503,2*COUNTIF($F503:H503,"&gt;"&amp;0)+2,1)=I$1,I$1,""),"")</f>
        <v>4</v>
      </c>
      <c r="J503" s="26" t="str">
        <f>IFERROR(IF(--MID($E503,2*COUNTIF($F503:I503,"&gt;"&amp;0)+2,1)=J$1,J$1,""),"")</f>
        <v/>
      </c>
      <c r="K503" s="26" t="str">
        <f>IFERROR(IF(--MID($E503,2*COUNTIF($F503:J503,"&gt;"&amp;0)+2,1)=K$1,K$1,""),"")</f>
        <v/>
      </c>
      <c r="L503" s="39" t="str" cm="1">
        <f t="array" ref="L503">IFERROR(IF($A503="","",IF(F503="","",_xlfn.XLOOKUP($C503&amp;"_"&amp;$AG503,符文权重!$A:$A&amp;"_"&amp;符文权重!$C:$C,符文权重!$D:$D)*$X503/SUMIFS($X:$X,F:F,F503,$C:$C,$C503,$AG:$AG,$AG503)/SUMIF(符文权重!$A:$A,$C503,符文权重!$D:$D))),"")</f>
        <v/>
      </c>
      <c r="M503" s="39" t="str" cm="1">
        <f t="array" ref="M503">IFERROR(IF($A503="","",IF(G503="","",_xlfn.XLOOKUP($C503&amp;"_"&amp;$AG503,符文权重!$A:$A&amp;"_"&amp;符文权重!$C:$C,符文权重!$D:$D)*$X503/SUMIFS($X:$X,G:G,G503,$C:$C,$C503,$AG:$AG,$AG503)/SUMIF(符文权重!$A:$A,$C503,符文权重!$D:$D))),"")</f>
        <v/>
      </c>
      <c r="N503" s="39" t="str" cm="1">
        <f t="array" ref="N503">IFERROR(IF($A503="","",IF(H503="","",_xlfn.XLOOKUP($C503&amp;"_"&amp;$AG503,符文权重!$A:$A&amp;"_"&amp;符文权重!$C:$C,符文权重!$D:$D)*$X503/SUMIFS($X:$X,H:H,H503,$C:$C,$C503,$AG:$AG,$AG503)/SUMIF(符文权重!$A:$A,$C503,符文权重!$D:$D))),"")</f>
        <v/>
      </c>
      <c r="O503" s="39" t="str" cm="1">
        <f t="array" ref="O503">IFERROR(IF($A503="","",IF(I503="","",_xlfn.XLOOKUP($C503&amp;"_"&amp;$AG503,符文权重!$A:$A&amp;"_"&amp;符文权重!$C:$C,符文权重!$D:$D)*$X503/SUMIFS($X:$X,I:I,I503,$C:$C,$C503,$AG:$AG,$AG503)/SUMIF(符文权重!$A:$A,$C503,符文权重!$D:$D))),"")</f>
        <v/>
      </c>
      <c r="P503" s="39" t="str" cm="1">
        <f t="array" ref="P503">IFERROR(IF($A503="","",IF(J503="","",_xlfn.XLOOKUP($C503&amp;"_"&amp;$AG503,符文权重!$A:$A&amp;"_"&amp;符文权重!$C:$C,符文权重!$D:$D)*$X503/SUMIFS($X:$X,J:J,J503,$C:$C,$C503,$AG:$AG,$AG503)/SUMIF(符文权重!$A:$A,$C503,符文权重!$D:$D))),"")</f>
        <v/>
      </c>
      <c r="Q503" s="39" t="str" cm="1">
        <f t="array" ref="Q503">IFERROR(IF($A503="","",IF(K503="","",_xlfn.XLOOKUP($C503&amp;"_"&amp;$AG503,符文权重!$A:$A&amp;"_"&amp;符文权重!$C:$C,符文权重!$D:$D)*$X503/SUMIFS($X:$X,K:K,K503,$C:$C,$C503,$AG:$AG,$AG503)/SUMIF(符文权重!$A:$A,$C503,符文权重!$D:$D))),"")</f>
        <v/>
      </c>
      <c r="R503" s="26" t="s">
        <v>163</v>
      </c>
      <c r="S503" s="26"/>
      <c r="T503" s="26" t="e">
        <f>IF(B503="","",SUBSTITUTE(SUBSTITUTE("[{global_atk,"&amp;#REF!*C503&amp;"}]",21,20),9,8))</f>
        <v>#REF!</v>
      </c>
      <c r="U503" s="40" t="str">
        <f t="shared" si="248"/>
        <v>[5506032]</v>
      </c>
      <c r="X503" s="25">
        <v>100</v>
      </c>
      <c r="Z503" s="32" t="s">
        <v>170</v>
      </c>
      <c r="AA503" s="32" t="str">
        <f t="shared" si="232"/>
        <v>伤害在80%~0%之间浮动</v>
      </c>
      <c r="AB503" s="32"/>
      <c r="AC503" s="32" t="s">
        <v>166</v>
      </c>
      <c r="AD503" s="32">
        <f t="shared" si="226"/>
        <v>1498</v>
      </c>
      <c r="AE503" s="38" t="str">
        <f t="shared" si="235"/>
        <v>5506031</v>
      </c>
      <c r="AF503" s="32" t="str">
        <f t="shared" si="229"/>
        <v>[0]</v>
      </c>
      <c r="AG503" s="26">
        <v>100</v>
      </c>
      <c r="AH503" s="26"/>
      <c r="AI503" s="26">
        <v>1</v>
      </c>
      <c r="AJ503" s="25">
        <v>1</v>
      </c>
      <c r="AK503" s="38">
        <f t="shared" ref="AK503:AK508" si="249">AK502+1</f>
        <v>5506032</v>
      </c>
      <c r="AL503" s="41" t="str">
        <f t="shared" ref="AL503:AL508" si="250">AL502</f>
        <v>伤害在80%~&lt;color=#54b76b&gt;%s%&lt;/color&gt;之间浮动</v>
      </c>
      <c r="AM503" s="26">
        <v>0</v>
      </c>
      <c r="AN503" s="25">
        <v>6</v>
      </c>
      <c r="AO503" s="25" t="s">
        <v>25</v>
      </c>
      <c r="AP503" s="20">
        <f t="shared" si="227"/>
        <v>498</v>
      </c>
    </row>
    <row r="504" customHeight="1" spans="1:42">
      <c r="A504" s="38">
        <v>5506033</v>
      </c>
      <c r="B504" s="38" t="str">
        <f t="shared" si="233"/>
        <v>5506031</v>
      </c>
      <c r="C504" s="32">
        <f t="shared" si="234"/>
        <v>3</v>
      </c>
      <c r="D504" s="32"/>
      <c r="E504" s="26" t="s">
        <v>375</v>
      </c>
      <c r="F504" s="26" t="str">
        <f t="shared" si="223"/>
        <v/>
      </c>
      <c r="G504" s="26" t="str">
        <f>IFERROR(IF(--MID($E504,2*COUNTIF($F504:F504,"&gt;"&amp;0)+2,1)=G$1,G$1,""),"")</f>
        <v/>
      </c>
      <c r="H504" s="26" t="str">
        <f>IFERROR(IF(--MID($E504,2*COUNTIF($F504:G504,"&gt;"&amp;0)+2,1)=H$1,H$1,""),"")</f>
        <v/>
      </c>
      <c r="I504" s="26">
        <f>IFERROR(IF(--MID($E504,2*COUNTIF($F504:H504,"&gt;"&amp;0)+2,1)=I$1,I$1,""),"")</f>
        <v>4</v>
      </c>
      <c r="J504" s="26" t="str">
        <f>IFERROR(IF(--MID($E504,2*COUNTIF($F504:I504,"&gt;"&amp;0)+2,1)=J$1,J$1,""),"")</f>
        <v/>
      </c>
      <c r="K504" s="26" t="str">
        <f>IFERROR(IF(--MID($E504,2*COUNTIF($F504:J504,"&gt;"&amp;0)+2,1)=K$1,K$1,""),"")</f>
        <v/>
      </c>
      <c r="L504" s="39" t="str" cm="1">
        <f t="array" ref="L504">IFERROR(IF($A504="","",IF(F504="","",_xlfn.XLOOKUP($C504&amp;"_"&amp;$AG504,符文权重!$A:$A&amp;"_"&amp;符文权重!$C:$C,符文权重!$D:$D)*$X504/SUMIFS($X:$X,F:F,F504,$C:$C,$C504,$AG:$AG,$AG504)/SUMIF(符文权重!$A:$A,$C504,符文权重!$D:$D))),"")</f>
        <v/>
      </c>
      <c r="M504" s="39" t="str" cm="1">
        <f t="array" ref="M504">IFERROR(IF($A504="","",IF(G504="","",_xlfn.XLOOKUP($C504&amp;"_"&amp;$AG504,符文权重!$A:$A&amp;"_"&amp;符文权重!$C:$C,符文权重!$D:$D)*$X504/SUMIFS($X:$X,G:G,G504,$C:$C,$C504,$AG:$AG,$AG504)/SUMIF(符文权重!$A:$A,$C504,符文权重!$D:$D))),"")</f>
        <v/>
      </c>
      <c r="N504" s="39" t="str" cm="1">
        <f t="array" ref="N504">IFERROR(IF($A504="","",IF(H504="","",_xlfn.XLOOKUP($C504&amp;"_"&amp;$AG504,符文权重!$A:$A&amp;"_"&amp;符文权重!$C:$C,符文权重!$D:$D)*$X504/SUMIFS($X:$X,H:H,H504,$C:$C,$C504,$AG:$AG,$AG504)/SUMIF(符文权重!$A:$A,$C504,符文权重!$D:$D))),"")</f>
        <v/>
      </c>
      <c r="O504" s="39" t="str" cm="1">
        <f t="array" ref="O504">IFERROR(IF($A504="","",IF(I504="","",_xlfn.XLOOKUP($C504&amp;"_"&amp;$AG504,符文权重!$A:$A&amp;"_"&amp;符文权重!$C:$C,符文权重!$D:$D)*$X504/SUMIFS($X:$X,I:I,I504,$C:$C,$C504,$AG:$AG,$AG504)/SUMIF(符文权重!$A:$A,$C504,符文权重!$D:$D))),"")</f>
        <v/>
      </c>
      <c r="P504" s="39" t="str" cm="1">
        <f t="array" ref="P504">IFERROR(IF($A504="","",IF(J504="","",_xlfn.XLOOKUP($C504&amp;"_"&amp;$AG504,符文权重!$A:$A&amp;"_"&amp;符文权重!$C:$C,符文权重!$D:$D)*$X504/SUMIFS($X:$X,J:J,J504,$C:$C,$C504,$AG:$AG,$AG504)/SUMIF(符文权重!$A:$A,$C504,符文权重!$D:$D))),"")</f>
        <v/>
      </c>
      <c r="Q504" s="39" t="str" cm="1">
        <f t="array" ref="Q504">IFERROR(IF($A504="","",IF(K504="","",_xlfn.XLOOKUP($C504&amp;"_"&amp;$AG504,符文权重!$A:$A&amp;"_"&amp;符文权重!$C:$C,符文权重!$D:$D)*$X504/SUMIFS($X:$X,K:K,K504,$C:$C,$C504,$AG:$AG,$AG504)/SUMIF(符文权重!$A:$A,$C504,符文权重!$D:$D))),"")</f>
        <v/>
      </c>
      <c r="R504" s="26" t="s">
        <v>163</v>
      </c>
      <c r="S504" s="26"/>
      <c r="T504" s="26" t="e">
        <f>IF(B504="","",SUBSTITUTE(SUBSTITUTE("[{global_atk,"&amp;#REF!*C504&amp;"}]",21,20),9,8))</f>
        <v>#REF!</v>
      </c>
      <c r="U504" s="40" t="str">
        <f t="shared" si="248"/>
        <v>[5506033]</v>
      </c>
      <c r="X504" s="25">
        <v>100</v>
      </c>
      <c r="Z504" s="32" t="s">
        <v>172</v>
      </c>
      <c r="AA504" s="32" t="str">
        <f t="shared" si="232"/>
        <v>伤害在80%~0%之间浮动</v>
      </c>
      <c r="AB504" s="32"/>
      <c r="AC504" s="32" t="s">
        <v>166</v>
      </c>
      <c r="AD504" s="32">
        <f t="shared" si="226"/>
        <v>1499</v>
      </c>
      <c r="AE504" s="38" t="str">
        <f t="shared" si="235"/>
        <v>5506031</v>
      </c>
      <c r="AF504" s="32" t="str">
        <f t="shared" si="229"/>
        <v>[0]</v>
      </c>
      <c r="AG504" s="26">
        <v>100</v>
      </c>
      <c r="AH504" s="26"/>
      <c r="AI504" s="26">
        <v>1</v>
      </c>
      <c r="AJ504" s="25">
        <v>1</v>
      </c>
      <c r="AK504" s="38">
        <f t="shared" si="249"/>
        <v>5506033</v>
      </c>
      <c r="AL504" s="41" t="str">
        <f t="shared" si="250"/>
        <v>伤害在80%~&lt;color=#54b76b&gt;%s%&lt;/color&gt;之间浮动</v>
      </c>
      <c r="AM504" s="26">
        <v>0</v>
      </c>
      <c r="AN504" s="25">
        <v>6</v>
      </c>
      <c r="AO504" s="25" t="s">
        <v>25</v>
      </c>
      <c r="AP504" s="20">
        <f t="shared" si="227"/>
        <v>499</v>
      </c>
    </row>
    <row r="505" customHeight="1" spans="1:42">
      <c r="A505" s="38">
        <v>5506034</v>
      </c>
      <c r="B505" s="38" t="str">
        <f t="shared" si="233"/>
        <v>5506031</v>
      </c>
      <c r="C505" s="32">
        <f t="shared" si="234"/>
        <v>4</v>
      </c>
      <c r="D505" s="32"/>
      <c r="E505" s="26" t="s">
        <v>375</v>
      </c>
      <c r="F505" s="26" t="str">
        <f t="shared" si="223"/>
        <v/>
      </c>
      <c r="G505" s="26" t="str">
        <f>IFERROR(IF(--MID($E505,2*COUNTIF($F505:F505,"&gt;"&amp;0)+2,1)=G$1,G$1,""),"")</f>
        <v/>
      </c>
      <c r="H505" s="26" t="str">
        <f>IFERROR(IF(--MID($E505,2*COUNTIF($F505:G505,"&gt;"&amp;0)+2,1)=H$1,H$1,""),"")</f>
        <v/>
      </c>
      <c r="I505" s="26">
        <f>IFERROR(IF(--MID($E505,2*COUNTIF($F505:H505,"&gt;"&amp;0)+2,1)=I$1,I$1,""),"")</f>
        <v>4</v>
      </c>
      <c r="J505" s="26" t="str">
        <f>IFERROR(IF(--MID($E505,2*COUNTIF($F505:I505,"&gt;"&amp;0)+2,1)=J$1,J$1,""),"")</f>
        <v/>
      </c>
      <c r="K505" s="26" t="str">
        <f>IFERROR(IF(--MID($E505,2*COUNTIF($F505:J505,"&gt;"&amp;0)+2,1)=K$1,K$1,""),"")</f>
        <v/>
      </c>
      <c r="L505" s="39" t="str" cm="1">
        <f t="array" ref="L505">IFERROR(IF($A505="","",IF(F505="","",_xlfn.XLOOKUP($C505&amp;"_"&amp;$AG505,符文权重!$A:$A&amp;"_"&amp;符文权重!$C:$C,符文权重!$D:$D)*$X505/SUMIFS($X:$X,F:F,F505,$C:$C,$C505,$AG:$AG,$AG505)/SUMIF(符文权重!$A:$A,$C505,符文权重!$D:$D))),"")</f>
        <v/>
      </c>
      <c r="M505" s="39" t="str" cm="1">
        <f t="array" ref="M505">IFERROR(IF($A505="","",IF(G505="","",_xlfn.XLOOKUP($C505&amp;"_"&amp;$AG505,符文权重!$A:$A&amp;"_"&amp;符文权重!$C:$C,符文权重!$D:$D)*$X505/SUMIFS($X:$X,G:G,G505,$C:$C,$C505,$AG:$AG,$AG505)/SUMIF(符文权重!$A:$A,$C505,符文权重!$D:$D))),"")</f>
        <v/>
      </c>
      <c r="N505" s="39" t="str" cm="1">
        <f t="array" ref="N505">IFERROR(IF($A505="","",IF(H505="","",_xlfn.XLOOKUP($C505&amp;"_"&amp;$AG505,符文权重!$A:$A&amp;"_"&amp;符文权重!$C:$C,符文权重!$D:$D)*$X505/SUMIFS($X:$X,H:H,H505,$C:$C,$C505,$AG:$AG,$AG505)/SUMIF(符文权重!$A:$A,$C505,符文权重!$D:$D))),"")</f>
        <v/>
      </c>
      <c r="O505" s="39" t="str" cm="1">
        <f t="array" ref="O505">IFERROR(IF($A505="","",IF(I505="","",_xlfn.XLOOKUP($C505&amp;"_"&amp;$AG505,符文权重!$A:$A&amp;"_"&amp;符文权重!$C:$C,符文权重!$D:$D)*$X505/SUMIFS($X:$X,I:I,I505,$C:$C,$C505,$AG:$AG,$AG505)/SUMIF(符文权重!$A:$A,$C505,符文权重!$D:$D))),"")</f>
        <v/>
      </c>
      <c r="P505" s="39" t="str" cm="1">
        <f t="array" ref="P505">IFERROR(IF($A505="","",IF(J505="","",_xlfn.XLOOKUP($C505&amp;"_"&amp;$AG505,符文权重!$A:$A&amp;"_"&amp;符文权重!$C:$C,符文权重!$D:$D)*$X505/SUMIFS($X:$X,J:J,J505,$C:$C,$C505,$AG:$AG,$AG505)/SUMIF(符文权重!$A:$A,$C505,符文权重!$D:$D))),"")</f>
        <v/>
      </c>
      <c r="Q505" s="39" t="str" cm="1">
        <f t="array" ref="Q505">IFERROR(IF($A505="","",IF(K505="","",_xlfn.XLOOKUP($C505&amp;"_"&amp;$AG505,符文权重!$A:$A&amp;"_"&amp;符文权重!$C:$C,符文权重!$D:$D)*$X505/SUMIFS($X:$X,K:K,K505,$C:$C,$C505,$AG:$AG,$AG505)/SUMIF(符文权重!$A:$A,$C505,符文权重!$D:$D))),"")</f>
        <v/>
      </c>
      <c r="R505" s="26" t="s">
        <v>163</v>
      </c>
      <c r="S505" s="26"/>
      <c r="T505" s="26" t="e">
        <f>IF(B505="","",SUBSTITUTE(SUBSTITUTE("[{global_atk,"&amp;#REF!*C505&amp;"}]",21,20),9,8))</f>
        <v>#REF!</v>
      </c>
      <c r="U505" s="40" t="str">
        <f t="shared" si="248"/>
        <v>[5506034]</v>
      </c>
      <c r="X505" s="25">
        <v>20</v>
      </c>
      <c r="Z505" s="32" t="s">
        <v>174</v>
      </c>
      <c r="AA505" s="32" t="str">
        <f t="shared" si="232"/>
        <v>伤害在80%~130%之间浮动</v>
      </c>
      <c r="AB505" s="32"/>
      <c r="AC505" s="32" t="s">
        <v>166</v>
      </c>
      <c r="AD505" s="32">
        <f t="shared" si="226"/>
        <v>1500</v>
      </c>
      <c r="AE505" s="38" t="str">
        <f t="shared" si="235"/>
        <v>5506031</v>
      </c>
      <c r="AF505" s="32" t="str">
        <f t="shared" si="229"/>
        <v>[130]</v>
      </c>
      <c r="AG505" s="62">
        <v>100</v>
      </c>
      <c r="AH505" s="26"/>
      <c r="AI505" s="26">
        <v>0</v>
      </c>
      <c r="AJ505" s="25">
        <v>1</v>
      </c>
      <c r="AK505" s="38">
        <f t="shared" si="249"/>
        <v>5506034</v>
      </c>
      <c r="AL505" s="41" t="str">
        <f t="shared" si="250"/>
        <v>伤害在80%~&lt;color=#54b76b&gt;%s%&lt;/color&gt;之间浮动</v>
      </c>
      <c r="AM505" s="26">
        <v>130</v>
      </c>
      <c r="AN505" s="25">
        <v>6</v>
      </c>
      <c r="AO505" s="25" t="s">
        <v>25</v>
      </c>
      <c r="AP505" s="20">
        <f t="shared" si="227"/>
        <v>500</v>
      </c>
    </row>
    <row r="506" customHeight="1" spans="1:42">
      <c r="A506" s="38">
        <v>5506035</v>
      </c>
      <c r="B506" s="38" t="str">
        <f t="shared" si="233"/>
        <v>5506031</v>
      </c>
      <c r="C506" s="32">
        <f t="shared" si="234"/>
        <v>5</v>
      </c>
      <c r="D506" s="32"/>
      <c r="E506" s="26" t="s">
        <v>375</v>
      </c>
      <c r="F506" s="26" t="str">
        <f t="shared" si="223"/>
        <v/>
      </c>
      <c r="G506" s="26" t="str">
        <f>IFERROR(IF(--MID($E506,2*COUNTIF($F506:F506,"&gt;"&amp;0)+2,1)=G$1,G$1,""),"")</f>
        <v/>
      </c>
      <c r="H506" s="26" t="str">
        <f>IFERROR(IF(--MID($E506,2*COUNTIF($F506:G506,"&gt;"&amp;0)+2,1)=H$1,H$1,""),"")</f>
        <v/>
      </c>
      <c r="I506" s="26">
        <f>IFERROR(IF(--MID($E506,2*COUNTIF($F506:H506,"&gt;"&amp;0)+2,1)=I$1,I$1,""),"")</f>
        <v>4</v>
      </c>
      <c r="J506" s="26" t="str">
        <f>IFERROR(IF(--MID($E506,2*COUNTIF($F506:I506,"&gt;"&amp;0)+2,1)=J$1,J$1,""),"")</f>
        <v/>
      </c>
      <c r="K506" s="26" t="str">
        <f>IFERROR(IF(--MID($E506,2*COUNTIF($F506:J506,"&gt;"&amp;0)+2,1)=K$1,K$1,""),"")</f>
        <v/>
      </c>
      <c r="L506" s="39" t="str" cm="1">
        <f t="array" ref="L506">IFERROR(IF($A506="","",IF(F506="","",_xlfn.XLOOKUP($C506&amp;"_"&amp;$AG506,符文权重!$A:$A&amp;"_"&amp;符文权重!$C:$C,符文权重!$D:$D)*$X506/SUMIFS($X:$X,F:F,F506,$C:$C,$C506,$AG:$AG,$AG506)/SUMIF(符文权重!$A:$A,$C506,符文权重!$D:$D))),"")</f>
        <v/>
      </c>
      <c r="M506" s="39" t="str" cm="1">
        <f t="array" ref="M506">IFERROR(IF($A506="","",IF(G506="","",_xlfn.XLOOKUP($C506&amp;"_"&amp;$AG506,符文权重!$A:$A&amp;"_"&amp;符文权重!$C:$C,符文权重!$D:$D)*$X506/SUMIFS($X:$X,G:G,G506,$C:$C,$C506,$AG:$AG,$AG506)/SUMIF(符文权重!$A:$A,$C506,符文权重!$D:$D))),"")</f>
        <v/>
      </c>
      <c r="N506" s="39" t="str" cm="1">
        <f t="array" ref="N506">IFERROR(IF($A506="","",IF(H506="","",_xlfn.XLOOKUP($C506&amp;"_"&amp;$AG506,符文权重!$A:$A&amp;"_"&amp;符文权重!$C:$C,符文权重!$D:$D)*$X506/SUMIFS($X:$X,H:H,H506,$C:$C,$C506,$AG:$AG,$AG506)/SUMIF(符文权重!$A:$A,$C506,符文权重!$D:$D))),"")</f>
        <v/>
      </c>
      <c r="O506" s="39" cm="1">
        <f t="array" ref="O506">IFERROR(IF($A506="","",IF(I506="","",_xlfn.XLOOKUP($C506&amp;"_"&amp;$AG506,符文权重!$A:$A&amp;"_"&amp;符文权重!$C:$C,符文权重!$D:$D)*$X506/SUMIFS($X:$X,I:I,I506,$C:$C,$C506,$AG:$AG,$AG506)/SUMIF(符文权重!$A:$A,$C506,符文权重!$D:$D))),"")</f>
        <v>0.00300429184549356</v>
      </c>
      <c r="P506" s="39" t="str" cm="1">
        <f t="array" ref="P506">IFERROR(IF($A506="","",IF(J506="","",_xlfn.XLOOKUP($C506&amp;"_"&amp;$AG506,符文权重!$A:$A&amp;"_"&amp;符文权重!$C:$C,符文权重!$D:$D)*$X506/SUMIFS($X:$X,J:J,J506,$C:$C,$C506,$AG:$AG,$AG506)/SUMIF(符文权重!$A:$A,$C506,符文权重!$D:$D))),"")</f>
        <v/>
      </c>
      <c r="Q506" s="39" t="str" cm="1">
        <f t="array" ref="Q506">IFERROR(IF($A506="","",IF(K506="","",_xlfn.XLOOKUP($C506&amp;"_"&amp;$AG506,符文权重!$A:$A&amp;"_"&amp;符文权重!$C:$C,符文权重!$D:$D)*$X506/SUMIFS($X:$X,K:K,K506,$C:$C,$C506,$AG:$AG,$AG506)/SUMIF(符文权重!$A:$A,$C506,符文权重!$D:$D))),"")</f>
        <v/>
      </c>
      <c r="R506" s="26" t="s">
        <v>163</v>
      </c>
      <c r="S506" s="26"/>
      <c r="T506" s="26" t="e">
        <f>IF(B506="","",SUBSTITUTE(SUBSTITUTE("[{global_atk,"&amp;#REF!*C506&amp;"}]",21,20),9,8))</f>
        <v>#REF!</v>
      </c>
      <c r="U506" s="40" t="str">
        <f t="shared" si="248"/>
        <v>[5506035]</v>
      </c>
      <c r="X506" s="25">
        <v>100</v>
      </c>
      <c r="Z506" s="32" t="s">
        <v>176</v>
      </c>
      <c r="AA506" s="32" t="str">
        <f t="shared" si="232"/>
        <v>伤害在80%~150%之间浮动</v>
      </c>
      <c r="AB506" s="32"/>
      <c r="AC506" s="32" t="s">
        <v>166</v>
      </c>
      <c r="AD506" s="32">
        <f t="shared" si="226"/>
        <v>1501</v>
      </c>
      <c r="AE506" s="38" t="str">
        <f t="shared" si="235"/>
        <v>5506031</v>
      </c>
      <c r="AF506" s="32" t="str">
        <f t="shared" si="229"/>
        <v>[150]</v>
      </c>
      <c r="AG506" s="26">
        <v>6</v>
      </c>
      <c r="AH506" s="26"/>
      <c r="AI506" s="26">
        <v>0</v>
      </c>
      <c r="AJ506" s="25">
        <v>1</v>
      </c>
      <c r="AK506" s="38">
        <f t="shared" si="249"/>
        <v>5506035</v>
      </c>
      <c r="AL506" s="41" t="str">
        <f t="shared" si="250"/>
        <v>伤害在80%~&lt;color=#54b76b&gt;%s%&lt;/color&gt;之间浮动</v>
      </c>
      <c r="AM506" s="26">
        <v>150</v>
      </c>
      <c r="AN506" s="25">
        <v>6</v>
      </c>
      <c r="AO506" s="25" t="s">
        <v>25</v>
      </c>
      <c r="AP506" s="20">
        <f t="shared" si="227"/>
        <v>501</v>
      </c>
    </row>
    <row r="507" customHeight="1" spans="1:42">
      <c r="A507" s="38">
        <v>5506036</v>
      </c>
      <c r="B507" s="38" t="str">
        <f t="shared" si="233"/>
        <v>5506031</v>
      </c>
      <c r="C507" s="32">
        <f t="shared" si="234"/>
        <v>6</v>
      </c>
      <c r="D507" s="32"/>
      <c r="E507" s="26" t="s">
        <v>375</v>
      </c>
      <c r="F507" s="26" t="str">
        <f t="shared" si="223"/>
        <v/>
      </c>
      <c r="G507" s="26" t="str">
        <f>IFERROR(IF(--MID($E507,2*COUNTIF($F507:F507,"&gt;"&amp;0)+2,1)=G$1,G$1,""),"")</f>
        <v/>
      </c>
      <c r="H507" s="26" t="str">
        <f>IFERROR(IF(--MID($E507,2*COUNTIF($F507:G507,"&gt;"&amp;0)+2,1)=H$1,H$1,""),"")</f>
        <v/>
      </c>
      <c r="I507" s="26">
        <f>IFERROR(IF(--MID($E507,2*COUNTIF($F507:H507,"&gt;"&amp;0)+2,1)=I$1,I$1,""),"")</f>
        <v>4</v>
      </c>
      <c r="J507" s="26" t="str">
        <f>IFERROR(IF(--MID($E507,2*COUNTIF($F507:I507,"&gt;"&amp;0)+2,1)=J$1,J$1,""),"")</f>
        <v/>
      </c>
      <c r="K507" s="26" t="str">
        <f>IFERROR(IF(--MID($E507,2*COUNTIF($F507:J507,"&gt;"&amp;0)+2,1)=K$1,K$1,""),"")</f>
        <v/>
      </c>
      <c r="L507" s="39" t="str" cm="1">
        <f t="array" ref="L507">IFERROR(IF($A507="","",IF(F507="","",_xlfn.XLOOKUP($C507&amp;"_"&amp;$AG507,符文权重!$A:$A&amp;"_"&amp;符文权重!$C:$C,符文权重!$D:$D)*$X507/SUMIFS($X:$X,F:F,F507,$C:$C,$C507,$AG:$AG,$AG507)/SUMIF(符文权重!$A:$A,$C507,符文权重!$D:$D))),"")</f>
        <v/>
      </c>
      <c r="M507" s="39" t="str" cm="1">
        <f t="array" ref="M507">IFERROR(IF($A507="","",IF(G507="","",_xlfn.XLOOKUP($C507&amp;"_"&amp;$AG507,符文权重!$A:$A&amp;"_"&amp;符文权重!$C:$C,符文权重!$D:$D)*$X507/SUMIFS($X:$X,G:G,G507,$C:$C,$C507,$AG:$AG,$AG507)/SUMIF(符文权重!$A:$A,$C507,符文权重!$D:$D))),"")</f>
        <v/>
      </c>
      <c r="N507" s="39" t="str" cm="1">
        <f t="array" ref="N507">IFERROR(IF($A507="","",IF(H507="","",_xlfn.XLOOKUP($C507&amp;"_"&amp;$AG507,符文权重!$A:$A&amp;"_"&amp;符文权重!$C:$C,符文权重!$D:$D)*$X507/SUMIFS($X:$X,H:H,H507,$C:$C,$C507,$AG:$AG,$AG507)/SUMIF(符文权重!$A:$A,$C507,符文权重!$D:$D))),"")</f>
        <v/>
      </c>
      <c r="O507" s="39" cm="1">
        <f t="array" ref="O507">IFERROR(IF($A507="","",IF(I507="","",_xlfn.XLOOKUP($C507&amp;"_"&amp;$AG507,符文权重!$A:$A&amp;"_"&amp;符文权重!$C:$C,符文权重!$D:$D)*$X507/SUMIFS($X:$X,I:I,I507,$C:$C,$C507,$AG:$AG,$AG507)/SUMIF(符文权重!$A:$A,$C507,符文权重!$D:$D))),"")</f>
        <v>0.00300429184549356</v>
      </c>
      <c r="P507" s="39" t="str" cm="1">
        <f t="array" ref="P507">IFERROR(IF($A507="","",IF(J507="","",_xlfn.XLOOKUP($C507&amp;"_"&amp;$AG507,符文权重!$A:$A&amp;"_"&amp;符文权重!$C:$C,符文权重!$D:$D)*$X507/SUMIFS($X:$X,J:J,J507,$C:$C,$C507,$AG:$AG,$AG507)/SUMIF(符文权重!$A:$A,$C507,符文权重!$D:$D))),"")</f>
        <v/>
      </c>
      <c r="Q507" s="39" t="str" cm="1">
        <f t="array" ref="Q507">IFERROR(IF($A507="","",IF(K507="","",_xlfn.XLOOKUP($C507&amp;"_"&amp;$AG507,符文权重!$A:$A&amp;"_"&amp;符文权重!$C:$C,符文权重!$D:$D)*$X507/SUMIFS($X:$X,K:K,K507,$C:$C,$C507,$AG:$AG,$AG507)/SUMIF(符文权重!$A:$A,$C507,符文权重!$D:$D))),"")</f>
        <v/>
      </c>
      <c r="R507" s="26" t="s">
        <v>163</v>
      </c>
      <c r="S507" s="26"/>
      <c r="T507" s="26" t="e">
        <f>IF(B507="","",SUBSTITUTE(SUBSTITUTE("[{global_atk,"&amp;#REF!*C507&amp;"}]",21,20),9,8))</f>
        <v>#REF!</v>
      </c>
      <c r="U507" s="40" t="str">
        <f t="shared" si="248"/>
        <v>[5506036]</v>
      </c>
      <c r="X507" s="25">
        <v>100</v>
      </c>
      <c r="Z507" s="32" t="s">
        <v>178</v>
      </c>
      <c r="AA507" s="32" t="str">
        <f t="shared" si="232"/>
        <v>伤害在80%~180%之间浮动</v>
      </c>
      <c r="AB507" s="32"/>
      <c r="AC507" s="32" t="s">
        <v>166</v>
      </c>
      <c r="AD507" s="32">
        <f t="shared" si="226"/>
        <v>1502</v>
      </c>
      <c r="AE507" s="38" t="str">
        <f t="shared" si="235"/>
        <v>5506031</v>
      </c>
      <c r="AF507" s="32" t="str">
        <f t="shared" si="229"/>
        <v>[180]</v>
      </c>
      <c r="AG507" s="26">
        <v>6</v>
      </c>
      <c r="AH507" s="26"/>
      <c r="AI507" s="26">
        <v>0</v>
      </c>
      <c r="AJ507" s="25">
        <v>1</v>
      </c>
      <c r="AK507" s="38">
        <f t="shared" si="249"/>
        <v>5506036</v>
      </c>
      <c r="AL507" s="41" t="str">
        <f t="shared" si="250"/>
        <v>伤害在80%~&lt;color=#54b76b&gt;%s%&lt;/color&gt;之间浮动</v>
      </c>
      <c r="AM507" s="26">
        <v>180</v>
      </c>
      <c r="AN507" s="25">
        <v>6</v>
      </c>
      <c r="AO507" s="25" t="s">
        <v>25</v>
      </c>
      <c r="AP507" s="20">
        <f t="shared" si="227"/>
        <v>502</v>
      </c>
    </row>
    <row r="508" customHeight="1" spans="1:42">
      <c r="A508" s="38">
        <v>5506037</v>
      </c>
      <c r="B508" s="38" t="str">
        <f t="shared" si="233"/>
        <v>5506031</v>
      </c>
      <c r="C508" s="32">
        <f t="shared" si="234"/>
        <v>7</v>
      </c>
      <c r="D508" s="32"/>
      <c r="E508" s="26" t="s">
        <v>375</v>
      </c>
      <c r="F508" s="26" t="str">
        <f t="shared" si="223"/>
        <v/>
      </c>
      <c r="G508" s="26" t="str">
        <f>IFERROR(IF(--MID($E508,2*COUNTIF($F508:F508,"&gt;"&amp;0)+2,1)=G$1,G$1,""),"")</f>
        <v/>
      </c>
      <c r="H508" s="26" t="str">
        <f>IFERROR(IF(--MID($E508,2*COUNTIF($F508:G508,"&gt;"&amp;0)+2,1)=H$1,H$1,""),"")</f>
        <v/>
      </c>
      <c r="I508" s="26">
        <f>IFERROR(IF(--MID($E508,2*COUNTIF($F508:H508,"&gt;"&amp;0)+2,1)=I$1,I$1,""),"")</f>
        <v>4</v>
      </c>
      <c r="J508" s="26" t="str">
        <f>IFERROR(IF(--MID($E508,2*COUNTIF($F508:I508,"&gt;"&amp;0)+2,1)=J$1,J$1,""),"")</f>
        <v/>
      </c>
      <c r="K508" s="26" t="str">
        <f>IFERROR(IF(--MID($E508,2*COUNTIF($F508:J508,"&gt;"&amp;0)+2,1)=K$1,K$1,""),"")</f>
        <v/>
      </c>
      <c r="L508" s="39" t="str" cm="1">
        <f t="array" ref="L508">IFERROR(IF($A508="","",IF(F508="","",_xlfn.XLOOKUP($C508&amp;"_"&amp;$AG508,符文权重!$A:$A&amp;"_"&amp;符文权重!$C:$C,符文权重!$D:$D)*$X508/SUMIFS($X:$X,F:F,F508,$C:$C,$C508,$AG:$AG,$AG508)/SUMIF(符文权重!$A:$A,$C508,符文权重!$D:$D))),"")</f>
        <v/>
      </c>
      <c r="M508" s="39" t="str" cm="1">
        <f t="array" ref="M508">IFERROR(IF($A508="","",IF(G508="","",_xlfn.XLOOKUP($C508&amp;"_"&amp;$AG508,符文权重!$A:$A&amp;"_"&amp;符文权重!$C:$C,符文权重!$D:$D)*$X508/SUMIFS($X:$X,G:G,G508,$C:$C,$C508,$AG:$AG,$AG508)/SUMIF(符文权重!$A:$A,$C508,符文权重!$D:$D))),"")</f>
        <v/>
      </c>
      <c r="N508" s="39" t="str" cm="1">
        <f t="array" ref="N508">IFERROR(IF($A508="","",IF(H508="","",_xlfn.XLOOKUP($C508&amp;"_"&amp;$AG508,符文权重!$A:$A&amp;"_"&amp;符文权重!$C:$C,符文权重!$D:$D)*$X508/SUMIFS($X:$X,H:H,H508,$C:$C,$C508,$AG:$AG,$AG508)/SUMIF(符文权重!$A:$A,$C508,符文权重!$D:$D))),"")</f>
        <v/>
      </c>
      <c r="O508" s="39" cm="1">
        <f t="array" ref="O508">IFERROR(IF($A508="","",IF(I508="","",_xlfn.XLOOKUP($C508&amp;"_"&amp;$AG508,符文权重!$A:$A&amp;"_"&amp;符文权重!$C:$C,符文权重!$D:$D)*$X508/SUMIFS($X:$X,I:I,I508,$C:$C,$C508,$AG:$AG,$AG508)/SUMIF(符文权重!$A:$A,$C508,符文权重!$D:$D))),"")</f>
        <v>0.00300429184549356</v>
      </c>
      <c r="P508" s="39" t="str" cm="1">
        <f t="array" ref="P508">IFERROR(IF($A508="","",IF(J508="","",_xlfn.XLOOKUP($C508&amp;"_"&amp;$AG508,符文权重!$A:$A&amp;"_"&amp;符文权重!$C:$C,符文权重!$D:$D)*$X508/SUMIFS($X:$X,J:J,J508,$C:$C,$C508,$AG:$AG,$AG508)/SUMIF(符文权重!$A:$A,$C508,符文权重!$D:$D))),"")</f>
        <v/>
      </c>
      <c r="Q508" s="39" t="str" cm="1">
        <f t="array" ref="Q508">IFERROR(IF($A508="","",IF(K508="","",_xlfn.XLOOKUP($C508&amp;"_"&amp;$AG508,符文权重!$A:$A&amp;"_"&amp;符文权重!$C:$C,符文权重!$D:$D)*$X508/SUMIFS($X:$X,K:K,K508,$C:$C,$C508,$AG:$AG,$AG508)/SUMIF(符文权重!$A:$A,$C508,符文权重!$D:$D))),"")</f>
        <v/>
      </c>
      <c r="R508" s="26" t="s">
        <v>163</v>
      </c>
      <c r="S508" s="26"/>
      <c r="T508" s="26" t="e">
        <f>IF(B508="","",SUBSTITUTE(SUBSTITUTE("[{global_atk,"&amp;#REF!*C508&amp;"}]",21,20),9,8))</f>
        <v>#REF!</v>
      </c>
      <c r="U508" s="40" t="str">
        <f t="shared" si="248"/>
        <v>[5506037]</v>
      </c>
      <c r="X508" s="25">
        <v>100</v>
      </c>
      <c r="Z508" s="32" t="s">
        <v>180</v>
      </c>
      <c r="AA508" s="32" t="str">
        <f t="shared" si="232"/>
        <v>伤害在80%~210%之间浮动</v>
      </c>
      <c r="AB508" s="32"/>
      <c r="AC508" s="32" t="s">
        <v>166</v>
      </c>
      <c r="AD508" s="32">
        <f t="shared" si="226"/>
        <v>1503</v>
      </c>
      <c r="AE508" s="38" t="str">
        <f t="shared" si="235"/>
        <v>5506031</v>
      </c>
      <c r="AF508" s="32" t="str">
        <f t="shared" si="229"/>
        <v>[210]</v>
      </c>
      <c r="AG508" s="26">
        <v>6</v>
      </c>
      <c r="AH508" s="26"/>
      <c r="AI508" s="26">
        <v>0</v>
      </c>
      <c r="AJ508" s="25">
        <v>1</v>
      </c>
      <c r="AK508" s="38">
        <f t="shared" si="249"/>
        <v>5506037</v>
      </c>
      <c r="AL508" s="41" t="str">
        <f t="shared" si="250"/>
        <v>伤害在80%~&lt;color=#54b76b&gt;%s%&lt;/color&gt;之间浮动</v>
      </c>
      <c r="AM508" s="26">
        <v>210</v>
      </c>
      <c r="AN508" s="25">
        <v>6</v>
      </c>
      <c r="AO508" s="25" t="s">
        <v>25</v>
      </c>
      <c r="AP508" s="20">
        <f t="shared" si="227"/>
        <v>503</v>
      </c>
    </row>
    <row r="509" s="20" customFormat="1" customHeight="1" spans="1:42">
      <c r="A509" s="38" t="s">
        <v>167</v>
      </c>
      <c r="B509" s="38" t="str">
        <f t="shared" si="233"/>
        <v/>
      </c>
      <c r="C509" s="32" t="str">
        <f t="shared" si="234"/>
        <v/>
      </c>
      <c r="D509" s="32"/>
      <c r="E509" s="26"/>
      <c r="F509" s="26" t="str">
        <f t="shared" si="223"/>
        <v/>
      </c>
      <c r="G509" s="26" t="str">
        <f>IFERROR(IF(--MID($E509,2*COUNTIF($F509:F509,"&gt;"&amp;0)+2,1)=G$1,G$1,""),"")</f>
        <v/>
      </c>
      <c r="H509" s="26" t="str">
        <f>IFERROR(IF(--MID($E509,2*COUNTIF($F509:G509,"&gt;"&amp;0)+2,1)=H$1,H$1,""),"")</f>
        <v/>
      </c>
      <c r="I509" s="26" t="str">
        <f>IFERROR(IF(--MID($E509,2*COUNTIF($F509:H509,"&gt;"&amp;0)+2,1)=I$1,I$1,""),"")</f>
        <v/>
      </c>
      <c r="J509" s="26" t="str">
        <f>IFERROR(IF(--MID($E509,2*COUNTIF($F509:I509,"&gt;"&amp;0)+2,1)=J$1,J$1,""),"")</f>
        <v/>
      </c>
      <c r="K509" s="26" t="str">
        <f>IFERROR(IF(--MID($E509,2*COUNTIF($F509:J509,"&gt;"&amp;0)+2,1)=K$1,K$1,""),"")</f>
        <v/>
      </c>
      <c r="L509" s="39" t="str" cm="1">
        <f t="array" ref="L509">IFERROR(IF($A509="","",IF(F509="","",_xlfn.XLOOKUP($C509&amp;"_"&amp;$AG509,符文权重!$A:$A&amp;"_"&amp;符文权重!$C:$C,符文权重!$D:$D)*$X509/SUMIFS($X:$X,F:F,F509,$C:$C,$C509,$AG:$AG,$AG509)/SUMIF(符文权重!$A:$A,$C509,符文权重!$D:$D))),"")</f>
        <v/>
      </c>
      <c r="M509" s="39" t="str" cm="1">
        <f t="array" ref="M509">IFERROR(IF($A509="","",IF(G509="","",_xlfn.XLOOKUP($C509&amp;"_"&amp;$AG509,符文权重!$A:$A&amp;"_"&amp;符文权重!$C:$C,符文权重!$D:$D)*$X509/SUMIFS($X:$X,G:G,G509,$C:$C,$C509,$AG:$AG,$AG509)/SUMIF(符文权重!$A:$A,$C509,符文权重!$D:$D))),"")</f>
        <v/>
      </c>
      <c r="N509" s="39" t="str" cm="1">
        <f t="array" ref="N509">IFERROR(IF($A509="","",IF(H509="","",_xlfn.XLOOKUP($C509&amp;"_"&amp;$AG509,符文权重!$A:$A&amp;"_"&amp;符文权重!$C:$C,符文权重!$D:$D)*$X509/SUMIFS($X:$X,H:H,H509,$C:$C,$C509,$AG:$AG,$AG509)/SUMIF(符文权重!$A:$A,$C509,符文权重!$D:$D))),"")</f>
        <v/>
      </c>
      <c r="O509" s="39" t="str" cm="1">
        <f t="array" ref="O509">IFERROR(IF($A509="","",IF(I509="","",_xlfn.XLOOKUP($C509&amp;"_"&amp;$AG509,符文权重!$A:$A&amp;"_"&amp;符文权重!$C:$C,符文权重!$D:$D)*$X509/SUMIFS($X:$X,I:I,I509,$C:$C,$C509,$AG:$AG,$AG509)/SUMIF(符文权重!$A:$A,$C509,符文权重!$D:$D))),"")</f>
        <v/>
      </c>
      <c r="P509" s="39" t="str" cm="1">
        <f t="array" ref="P509">IFERROR(IF($A509="","",IF(J509="","",_xlfn.XLOOKUP($C509&amp;"_"&amp;$AG509,符文权重!$A:$A&amp;"_"&amp;符文权重!$C:$C,符文权重!$D:$D)*$X509/SUMIFS($X:$X,J:J,J509,$C:$C,$C509,$AG:$AG,$AG509)/SUMIF(符文权重!$A:$A,$C509,符文权重!$D:$D))),"")</f>
        <v/>
      </c>
      <c r="Q509" s="39" t="str" cm="1">
        <f t="array" ref="Q509">IFERROR(IF($A509="","",IF(K509="","",_xlfn.XLOOKUP($C509&amp;"_"&amp;$AG509,符文权重!$A:$A&amp;"_"&amp;符文权重!$C:$C,符文权重!$D:$D)*$X509/SUMIFS($X:$X,K:K,K509,$C:$C,$C509,$AG:$AG,$AG509)/SUMIF(符文权重!$A:$A,$C509,符文权重!$D:$D))),"")</f>
        <v/>
      </c>
      <c r="R509" s="26"/>
      <c r="S509" s="26"/>
      <c r="T509" s="26"/>
      <c r="V509" s="31"/>
      <c r="W509" s="25"/>
      <c r="X509" s="25"/>
      <c r="Y509" s="25"/>
      <c r="Z509" s="32" t="s">
        <v>167</v>
      </c>
      <c r="AA509" s="32" t="str">
        <f t="shared" si="232"/>
        <v/>
      </c>
      <c r="AB509" s="32"/>
      <c r="AC509" s="32" t="s">
        <v>166</v>
      </c>
      <c r="AD509" s="32">
        <f t="shared" si="226"/>
        <v>1504</v>
      </c>
      <c r="AE509" s="38" t="str">
        <f t="shared" si="235"/>
        <v/>
      </c>
      <c r="AF509" s="32" t="str">
        <f t="shared" si="229"/>
        <v/>
      </c>
      <c r="AG509" s="26"/>
      <c r="AH509" s="26"/>
      <c r="AI509" s="26"/>
      <c r="AJ509" s="25" t="s">
        <v>167</v>
      </c>
      <c r="AK509" s="24"/>
      <c r="AL509" s="59"/>
      <c r="AM509" s="26"/>
      <c r="AN509" s="25"/>
      <c r="AO509" s="25"/>
      <c r="AP509" s="20">
        <f t="shared" si="227"/>
        <v>504</v>
      </c>
    </row>
    <row r="510" customHeight="1" spans="1:42">
      <c r="A510" s="38">
        <v>5506041</v>
      </c>
      <c r="B510" s="38" t="str">
        <f t="shared" si="233"/>
        <v>5506041</v>
      </c>
      <c r="C510" s="32">
        <f t="shared" si="234"/>
        <v>1</v>
      </c>
      <c r="D510" s="32"/>
      <c r="E510" s="26" t="s">
        <v>162</v>
      </c>
      <c r="F510" s="26">
        <f t="shared" si="223"/>
        <v>1</v>
      </c>
      <c r="G510" s="26">
        <f>IFERROR(IF(--MID($E510,2*COUNTIF($F510:F510,"&gt;"&amp;0)+2,1)=G$1,G$1,""),"")</f>
        <v>2</v>
      </c>
      <c r="H510" s="26">
        <f>IFERROR(IF(--MID($E510,2*COUNTIF($F510:G510,"&gt;"&amp;0)+2,1)=H$1,H$1,""),"")</f>
        <v>3</v>
      </c>
      <c r="I510" s="26">
        <f>IFERROR(IF(--MID($E510,2*COUNTIF($F510:H510,"&gt;"&amp;0)+2,1)=I$1,I$1,""),"")</f>
        <v>4</v>
      </c>
      <c r="J510" s="26">
        <f>IFERROR(IF(--MID($E510,2*COUNTIF($F510:I510,"&gt;"&amp;0)+2,1)=J$1,J$1,""),"")</f>
        <v>5</v>
      </c>
      <c r="K510" s="26">
        <f>IFERROR(IF(--MID($E510,2*COUNTIF($F510:J510,"&gt;"&amp;0)+2,1)=K$1,K$1,""),"")</f>
        <v>6</v>
      </c>
      <c r="L510" s="39" t="str" cm="1">
        <f t="array" ref="L510">IFERROR(IF($A510="","",IF(F510="","",_xlfn.XLOOKUP($C510&amp;"_"&amp;$AG510,符文权重!$A:$A&amp;"_"&amp;符文权重!$C:$C,符文权重!$D:$D)*$X510/SUMIFS($X:$X,F:F,F510,$C:$C,$C510,$AG:$AG,$AG510)/SUMIF(符文权重!$A:$A,$C510,符文权重!$D:$D))),"")</f>
        <v/>
      </c>
      <c r="M510" s="39" t="str" cm="1">
        <f t="array" ref="M510">IFERROR(IF($A510="","",IF(G510="","",_xlfn.XLOOKUP($C510&amp;"_"&amp;$AG510,符文权重!$A:$A&amp;"_"&amp;符文权重!$C:$C,符文权重!$D:$D)*$X510/SUMIFS($X:$X,G:G,G510,$C:$C,$C510,$AG:$AG,$AG510)/SUMIF(符文权重!$A:$A,$C510,符文权重!$D:$D))),"")</f>
        <v/>
      </c>
      <c r="N510" s="39" t="str" cm="1">
        <f t="array" ref="N510">IFERROR(IF($A510="","",IF(H510="","",_xlfn.XLOOKUP($C510&amp;"_"&amp;$AG510,符文权重!$A:$A&amp;"_"&amp;符文权重!$C:$C,符文权重!$D:$D)*$X510/SUMIFS($X:$X,H:H,H510,$C:$C,$C510,$AG:$AG,$AG510)/SUMIF(符文权重!$A:$A,$C510,符文权重!$D:$D))),"")</f>
        <v/>
      </c>
      <c r="O510" s="39" t="str" cm="1">
        <f t="array" ref="O510">IFERROR(IF($A510="","",IF(I510="","",_xlfn.XLOOKUP($C510&amp;"_"&amp;$AG510,符文权重!$A:$A&amp;"_"&amp;符文权重!$C:$C,符文权重!$D:$D)*$X510/SUMIFS($X:$X,I:I,I510,$C:$C,$C510,$AG:$AG,$AG510)/SUMIF(符文权重!$A:$A,$C510,符文权重!$D:$D))),"")</f>
        <v/>
      </c>
      <c r="P510" s="39" t="str" cm="1">
        <f t="array" ref="P510">IFERROR(IF($A510="","",IF(J510="","",_xlfn.XLOOKUP($C510&amp;"_"&amp;$AG510,符文权重!$A:$A&amp;"_"&amp;符文权重!$C:$C,符文权重!$D:$D)*$X510/SUMIFS($X:$X,J:J,J510,$C:$C,$C510,$AG:$AG,$AG510)/SUMIF(符文权重!$A:$A,$C510,符文权重!$D:$D))),"")</f>
        <v/>
      </c>
      <c r="Q510" s="39" t="str" cm="1">
        <f t="array" ref="Q510">IFERROR(IF($A510="","",IF(K510="","",_xlfn.XLOOKUP($C510&amp;"_"&amp;$AG510,符文权重!$A:$A&amp;"_"&amp;符文权重!$C:$C,符文权重!$D:$D)*$X510/SUMIFS($X:$X,K:K,K510,$C:$C,$C510,$AG:$AG,$AG510)/SUMIF(符文权重!$A:$A,$C510,符文权重!$D:$D))),"")</f>
        <v/>
      </c>
      <c r="R510" s="26" t="s">
        <v>163</v>
      </c>
      <c r="S510" s="26"/>
      <c r="T510" s="26" t="e">
        <f>IF(B510="","",SUBSTITUTE(SUBSTITUTE("[{global_atk,"&amp;#REF!*C510&amp;"}]",21,20),9,8))</f>
        <v>#REF!</v>
      </c>
      <c r="U510" s="40" t="str">
        <f t="shared" ref="U510:U516" si="251">"["&amp;A510&amp;"]"</f>
        <v>[5506041]</v>
      </c>
      <c r="X510" s="25">
        <v>100</v>
      </c>
      <c r="Z510" s="32" t="s">
        <v>165</v>
      </c>
      <c r="AA510" s="32" t="str">
        <f t="shared" si="232"/>
        <v>梦灵暴击率+0%</v>
      </c>
      <c r="AB510" s="32"/>
      <c r="AC510" s="32" t="s">
        <v>166</v>
      </c>
      <c r="AD510" s="32">
        <f t="shared" si="226"/>
        <v>1505</v>
      </c>
      <c r="AE510" s="38" t="str">
        <f t="shared" si="235"/>
        <v>5506041</v>
      </c>
      <c r="AF510" s="32" t="str">
        <f t="shared" si="229"/>
        <v>[0]</v>
      </c>
      <c r="AG510" s="26">
        <v>100</v>
      </c>
      <c r="AH510" s="26"/>
      <c r="AI510" s="26">
        <v>1</v>
      </c>
      <c r="AJ510" s="25">
        <v>1</v>
      </c>
      <c r="AK510" s="24">
        <v>5506041</v>
      </c>
      <c r="AL510" s="42" t="s">
        <v>515</v>
      </c>
      <c r="AM510" s="26">
        <v>0</v>
      </c>
      <c r="AN510" s="25">
        <v>6</v>
      </c>
      <c r="AO510" s="25" t="s">
        <v>25</v>
      </c>
      <c r="AP510" s="20">
        <f t="shared" si="227"/>
        <v>505</v>
      </c>
    </row>
    <row r="511" customHeight="1" spans="1:42">
      <c r="A511" s="38">
        <v>5506042</v>
      </c>
      <c r="B511" s="38" t="str">
        <f t="shared" si="233"/>
        <v>5506041</v>
      </c>
      <c r="C511" s="32">
        <f t="shared" si="234"/>
        <v>2</v>
      </c>
      <c r="D511" s="32"/>
      <c r="E511" s="26" t="s">
        <v>162</v>
      </c>
      <c r="F511" s="26">
        <f t="shared" si="223"/>
        <v>1</v>
      </c>
      <c r="G511" s="26">
        <f>IFERROR(IF(--MID($E511,2*COUNTIF($F511:F511,"&gt;"&amp;0)+2,1)=G$1,G$1,""),"")</f>
        <v>2</v>
      </c>
      <c r="H511" s="26">
        <f>IFERROR(IF(--MID($E511,2*COUNTIF($F511:G511,"&gt;"&amp;0)+2,1)=H$1,H$1,""),"")</f>
        <v>3</v>
      </c>
      <c r="I511" s="26">
        <f>IFERROR(IF(--MID($E511,2*COUNTIF($F511:H511,"&gt;"&amp;0)+2,1)=I$1,I$1,""),"")</f>
        <v>4</v>
      </c>
      <c r="J511" s="26">
        <f>IFERROR(IF(--MID($E511,2*COUNTIF($F511:I511,"&gt;"&amp;0)+2,1)=J$1,J$1,""),"")</f>
        <v>5</v>
      </c>
      <c r="K511" s="26">
        <f>IFERROR(IF(--MID($E511,2*COUNTIF($F511:J511,"&gt;"&amp;0)+2,1)=K$1,K$1,""),"")</f>
        <v>6</v>
      </c>
      <c r="L511" s="39" t="str" cm="1">
        <f t="array" ref="L511">IFERROR(IF($A511="","",IF(F511="","",_xlfn.XLOOKUP($C511&amp;"_"&amp;$AG511,符文权重!$A:$A&amp;"_"&amp;符文权重!$C:$C,符文权重!$D:$D)*$X511/SUMIFS($X:$X,F:F,F511,$C:$C,$C511,$AG:$AG,$AG511)/SUMIF(符文权重!$A:$A,$C511,符文权重!$D:$D))),"")</f>
        <v/>
      </c>
      <c r="M511" s="39" t="str" cm="1">
        <f t="array" ref="M511">IFERROR(IF($A511="","",IF(G511="","",_xlfn.XLOOKUP($C511&amp;"_"&amp;$AG511,符文权重!$A:$A&amp;"_"&amp;符文权重!$C:$C,符文权重!$D:$D)*$X511/SUMIFS($X:$X,G:G,G511,$C:$C,$C511,$AG:$AG,$AG511)/SUMIF(符文权重!$A:$A,$C511,符文权重!$D:$D))),"")</f>
        <v/>
      </c>
      <c r="N511" s="39" t="str" cm="1">
        <f t="array" ref="N511">IFERROR(IF($A511="","",IF(H511="","",_xlfn.XLOOKUP($C511&amp;"_"&amp;$AG511,符文权重!$A:$A&amp;"_"&amp;符文权重!$C:$C,符文权重!$D:$D)*$X511/SUMIFS($X:$X,H:H,H511,$C:$C,$C511,$AG:$AG,$AG511)/SUMIF(符文权重!$A:$A,$C511,符文权重!$D:$D))),"")</f>
        <v/>
      </c>
      <c r="O511" s="39" t="str" cm="1">
        <f t="array" ref="O511">IFERROR(IF($A511="","",IF(I511="","",_xlfn.XLOOKUP($C511&amp;"_"&amp;$AG511,符文权重!$A:$A&amp;"_"&amp;符文权重!$C:$C,符文权重!$D:$D)*$X511/SUMIFS($X:$X,I:I,I511,$C:$C,$C511,$AG:$AG,$AG511)/SUMIF(符文权重!$A:$A,$C511,符文权重!$D:$D))),"")</f>
        <v/>
      </c>
      <c r="P511" s="39" t="str" cm="1">
        <f t="array" ref="P511">IFERROR(IF($A511="","",IF(J511="","",_xlfn.XLOOKUP($C511&amp;"_"&amp;$AG511,符文权重!$A:$A&amp;"_"&amp;符文权重!$C:$C,符文权重!$D:$D)*$X511/SUMIFS($X:$X,J:J,J511,$C:$C,$C511,$AG:$AG,$AG511)/SUMIF(符文权重!$A:$A,$C511,符文权重!$D:$D))),"")</f>
        <v/>
      </c>
      <c r="Q511" s="39" t="str" cm="1">
        <f t="array" ref="Q511">IFERROR(IF($A511="","",IF(K511="","",_xlfn.XLOOKUP($C511&amp;"_"&amp;$AG511,符文权重!$A:$A&amp;"_"&amp;符文权重!$C:$C,符文权重!$D:$D)*$X511/SUMIFS($X:$X,K:K,K511,$C:$C,$C511,$AG:$AG,$AG511)/SUMIF(符文权重!$A:$A,$C511,符文权重!$D:$D))),"")</f>
        <v/>
      </c>
      <c r="R511" s="26" t="s">
        <v>163</v>
      </c>
      <c r="S511" s="26"/>
      <c r="T511" s="26" t="e">
        <f>IF(B511="","",SUBSTITUTE(SUBSTITUTE("[{global_atk,"&amp;#REF!*C511&amp;"}]",21,20),9,8))</f>
        <v>#REF!</v>
      </c>
      <c r="U511" s="40" t="str">
        <f t="shared" si="251"/>
        <v>[5506042]</v>
      </c>
      <c r="X511" s="25">
        <v>100</v>
      </c>
      <c r="Z511" s="32" t="s">
        <v>170</v>
      </c>
      <c r="AA511" s="32" t="str">
        <f t="shared" si="232"/>
        <v>梦灵暴击率+0%</v>
      </c>
      <c r="AB511" s="32"/>
      <c r="AC511" s="32" t="s">
        <v>166</v>
      </c>
      <c r="AD511" s="32">
        <f t="shared" si="226"/>
        <v>1506</v>
      </c>
      <c r="AE511" s="38" t="str">
        <f t="shared" si="235"/>
        <v>5506041</v>
      </c>
      <c r="AF511" s="32" t="str">
        <f t="shared" si="229"/>
        <v>[0]</v>
      </c>
      <c r="AG511" s="26">
        <v>100</v>
      </c>
      <c r="AH511" s="26"/>
      <c r="AI511" s="26">
        <v>1</v>
      </c>
      <c r="AJ511" s="25">
        <v>1</v>
      </c>
      <c r="AK511" s="38">
        <f t="shared" ref="AK511:AK516" si="252">AK510+1</f>
        <v>5506042</v>
      </c>
      <c r="AL511" s="41" t="str">
        <f t="shared" ref="AL511:AL516" si="253">AL510</f>
        <v>梦灵暴击率&lt;color=#54b76b&gt;+%s%&lt;/color&gt;</v>
      </c>
      <c r="AM511" s="26">
        <v>0</v>
      </c>
      <c r="AN511" s="25">
        <v>6</v>
      </c>
      <c r="AO511" s="25" t="s">
        <v>25</v>
      </c>
      <c r="AP511" s="20">
        <f t="shared" si="227"/>
        <v>506</v>
      </c>
    </row>
    <row r="512" customHeight="1" spans="1:42">
      <c r="A512" s="38">
        <v>5506043</v>
      </c>
      <c r="B512" s="38" t="str">
        <f t="shared" si="233"/>
        <v>5506041</v>
      </c>
      <c r="C512" s="32">
        <f t="shared" si="234"/>
        <v>3</v>
      </c>
      <c r="D512" s="32"/>
      <c r="E512" s="26" t="s">
        <v>162</v>
      </c>
      <c r="F512" s="26">
        <f t="shared" si="223"/>
        <v>1</v>
      </c>
      <c r="G512" s="26">
        <f>IFERROR(IF(--MID($E512,2*COUNTIF($F512:F512,"&gt;"&amp;0)+2,1)=G$1,G$1,""),"")</f>
        <v>2</v>
      </c>
      <c r="H512" s="26">
        <f>IFERROR(IF(--MID($E512,2*COUNTIF($F512:G512,"&gt;"&amp;0)+2,1)=H$1,H$1,""),"")</f>
        <v>3</v>
      </c>
      <c r="I512" s="26">
        <f>IFERROR(IF(--MID($E512,2*COUNTIF($F512:H512,"&gt;"&amp;0)+2,1)=I$1,I$1,""),"")</f>
        <v>4</v>
      </c>
      <c r="J512" s="26">
        <f>IFERROR(IF(--MID($E512,2*COUNTIF($F512:I512,"&gt;"&amp;0)+2,1)=J$1,J$1,""),"")</f>
        <v>5</v>
      </c>
      <c r="K512" s="26">
        <f>IFERROR(IF(--MID($E512,2*COUNTIF($F512:J512,"&gt;"&amp;0)+2,1)=K$1,K$1,""),"")</f>
        <v>6</v>
      </c>
      <c r="L512" s="39" t="str" cm="1">
        <f t="array" ref="L512">IFERROR(IF($A512="","",IF(F512="","",_xlfn.XLOOKUP($C512&amp;"_"&amp;$AG512,符文权重!$A:$A&amp;"_"&amp;符文权重!$C:$C,符文权重!$D:$D)*$X512/SUMIFS($X:$X,F:F,F512,$C:$C,$C512,$AG:$AG,$AG512)/SUMIF(符文权重!$A:$A,$C512,符文权重!$D:$D))),"")</f>
        <v/>
      </c>
      <c r="M512" s="39" t="str" cm="1">
        <f t="array" ref="M512">IFERROR(IF($A512="","",IF(G512="","",_xlfn.XLOOKUP($C512&amp;"_"&amp;$AG512,符文权重!$A:$A&amp;"_"&amp;符文权重!$C:$C,符文权重!$D:$D)*$X512/SUMIFS($X:$X,G:G,G512,$C:$C,$C512,$AG:$AG,$AG512)/SUMIF(符文权重!$A:$A,$C512,符文权重!$D:$D))),"")</f>
        <v/>
      </c>
      <c r="N512" s="39" t="str" cm="1">
        <f t="array" ref="N512">IFERROR(IF($A512="","",IF(H512="","",_xlfn.XLOOKUP($C512&amp;"_"&amp;$AG512,符文权重!$A:$A&amp;"_"&amp;符文权重!$C:$C,符文权重!$D:$D)*$X512/SUMIFS($X:$X,H:H,H512,$C:$C,$C512,$AG:$AG,$AG512)/SUMIF(符文权重!$A:$A,$C512,符文权重!$D:$D))),"")</f>
        <v/>
      </c>
      <c r="O512" s="39" t="str" cm="1">
        <f t="array" ref="O512">IFERROR(IF($A512="","",IF(I512="","",_xlfn.XLOOKUP($C512&amp;"_"&amp;$AG512,符文权重!$A:$A&amp;"_"&amp;符文权重!$C:$C,符文权重!$D:$D)*$X512/SUMIFS($X:$X,I:I,I512,$C:$C,$C512,$AG:$AG,$AG512)/SUMIF(符文权重!$A:$A,$C512,符文权重!$D:$D))),"")</f>
        <v/>
      </c>
      <c r="P512" s="39" t="str" cm="1">
        <f t="array" ref="P512">IFERROR(IF($A512="","",IF(J512="","",_xlfn.XLOOKUP($C512&amp;"_"&amp;$AG512,符文权重!$A:$A&amp;"_"&amp;符文权重!$C:$C,符文权重!$D:$D)*$X512/SUMIFS($X:$X,J:J,J512,$C:$C,$C512,$AG:$AG,$AG512)/SUMIF(符文权重!$A:$A,$C512,符文权重!$D:$D))),"")</f>
        <v/>
      </c>
      <c r="Q512" s="39" t="str" cm="1">
        <f t="array" ref="Q512">IFERROR(IF($A512="","",IF(K512="","",_xlfn.XLOOKUP($C512&amp;"_"&amp;$AG512,符文权重!$A:$A&amp;"_"&amp;符文权重!$C:$C,符文权重!$D:$D)*$X512/SUMIFS($X:$X,K:K,K512,$C:$C,$C512,$AG:$AG,$AG512)/SUMIF(符文权重!$A:$A,$C512,符文权重!$D:$D))),"")</f>
        <v/>
      </c>
      <c r="R512" s="26" t="s">
        <v>163</v>
      </c>
      <c r="S512" s="26"/>
      <c r="T512" s="26" t="e">
        <f>IF(B512="","",SUBSTITUTE(SUBSTITUTE("[{global_atk,"&amp;#REF!*C512&amp;"}]",21,20),9,8))</f>
        <v>#REF!</v>
      </c>
      <c r="U512" s="40" t="str">
        <f t="shared" si="251"/>
        <v>[5506043]</v>
      </c>
      <c r="X512" s="25">
        <v>100</v>
      </c>
      <c r="Z512" s="32" t="s">
        <v>172</v>
      </c>
      <c r="AA512" s="32" t="str">
        <f t="shared" si="232"/>
        <v>梦灵暴击率+0%</v>
      </c>
      <c r="AB512" s="32"/>
      <c r="AC512" s="32" t="s">
        <v>166</v>
      </c>
      <c r="AD512" s="32">
        <f t="shared" si="226"/>
        <v>1507</v>
      </c>
      <c r="AE512" s="38" t="str">
        <f t="shared" si="235"/>
        <v>5506041</v>
      </c>
      <c r="AF512" s="32" t="str">
        <f t="shared" si="229"/>
        <v>[0]</v>
      </c>
      <c r="AG512" s="26">
        <v>100</v>
      </c>
      <c r="AH512" s="26"/>
      <c r="AI512" s="26">
        <v>1</v>
      </c>
      <c r="AJ512" s="25">
        <v>1</v>
      </c>
      <c r="AK512" s="38">
        <f t="shared" si="252"/>
        <v>5506043</v>
      </c>
      <c r="AL512" s="41" t="str">
        <f t="shared" si="253"/>
        <v>梦灵暴击率&lt;color=#54b76b&gt;+%s%&lt;/color&gt;</v>
      </c>
      <c r="AM512" s="26">
        <v>0</v>
      </c>
      <c r="AN512" s="25">
        <v>6</v>
      </c>
      <c r="AO512" s="25" t="s">
        <v>25</v>
      </c>
      <c r="AP512" s="20">
        <f t="shared" si="227"/>
        <v>507</v>
      </c>
    </row>
    <row r="513" customHeight="1" spans="1:42">
      <c r="A513" s="38">
        <v>5506044</v>
      </c>
      <c r="B513" s="38" t="str">
        <f t="shared" si="233"/>
        <v>5506041</v>
      </c>
      <c r="C513" s="32">
        <f t="shared" si="234"/>
        <v>4</v>
      </c>
      <c r="D513" s="32"/>
      <c r="E513" s="26" t="s">
        <v>162</v>
      </c>
      <c r="F513" s="26">
        <f t="shared" si="223"/>
        <v>1</v>
      </c>
      <c r="G513" s="26">
        <f>IFERROR(IF(--MID($E513,2*COUNTIF($F513:F513,"&gt;"&amp;0)+2,1)=G$1,G$1,""),"")</f>
        <v>2</v>
      </c>
      <c r="H513" s="26">
        <f>IFERROR(IF(--MID($E513,2*COUNTIF($F513:G513,"&gt;"&amp;0)+2,1)=H$1,H$1,""),"")</f>
        <v>3</v>
      </c>
      <c r="I513" s="26">
        <f>IFERROR(IF(--MID($E513,2*COUNTIF($F513:H513,"&gt;"&amp;0)+2,1)=I$1,I$1,""),"")</f>
        <v>4</v>
      </c>
      <c r="J513" s="26">
        <f>IFERROR(IF(--MID($E513,2*COUNTIF($F513:I513,"&gt;"&amp;0)+2,1)=J$1,J$1,""),"")</f>
        <v>5</v>
      </c>
      <c r="K513" s="26">
        <f>IFERROR(IF(--MID($E513,2*COUNTIF($F513:J513,"&gt;"&amp;0)+2,1)=K$1,K$1,""),"")</f>
        <v>6</v>
      </c>
      <c r="L513" s="39" cm="1">
        <f t="array" ref="L513">IFERROR(IF($A513="","",IF(F513="","",_xlfn.XLOOKUP($C513&amp;"_"&amp;$AG513,符文权重!$A:$A&amp;"_"&amp;符文权重!$C:$C,符文权重!$D:$D)*$X513/SUMIFS($X:$X,F:F,F513,$C:$C,$C513,$AG:$AG,$AG513)/SUMIF(符文权重!$A:$A,$C513,符文权重!$D:$D))),"")</f>
        <v>0.001</v>
      </c>
      <c r="M513" s="39" cm="1">
        <f t="array" ref="M513">IFERROR(IF($A513="","",IF(G513="","",_xlfn.XLOOKUP($C513&amp;"_"&amp;$AG513,符文权重!$A:$A&amp;"_"&amp;符文权重!$C:$C,符文权重!$D:$D)*$X513/SUMIFS($X:$X,G:G,G513,$C:$C,$C513,$AG:$AG,$AG513)/SUMIF(符文权重!$A:$A,$C513,符文权重!$D:$D))),"")</f>
        <v>0.001</v>
      </c>
      <c r="N513" s="39" cm="1">
        <f t="array" ref="N513">IFERROR(IF($A513="","",IF(H513="","",_xlfn.XLOOKUP($C513&amp;"_"&amp;$AG513,符文权重!$A:$A&amp;"_"&amp;符文权重!$C:$C,符文权重!$D:$D)*$X513/SUMIFS($X:$X,H:H,H513,$C:$C,$C513,$AG:$AG,$AG513)/SUMIF(符文权重!$A:$A,$C513,符文权重!$D:$D))),"")</f>
        <v>0.001</v>
      </c>
      <c r="O513" s="39" cm="1">
        <f t="array" ref="O513">IFERROR(IF($A513="","",IF(I513="","",_xlfn.XLOOKUP($C513&amp;"_"&amp;$AG513,符文权重!$A:$A&amp;"_"&amp;符文权重!$C:$C,符文权重!$D:$D)*$X513/SUMIFS($X:$X,I:I,I513,$C:$C,$C513,$AG:$AG,$AG513)/SUMIF(符文权重!$A:$A,$C513,符文权重!$D:$D))),"")</f>
        <v>0.001</v>
      </c>
      <c r="P513" s="39" cm="1">
        <f t="array" ref="P513">IFERROR(IF($A513="","",IF(J513="","",_xlfn.XLOOKUP($C513&amp;"_"&amp;$AG513,符文权重!$A:$A&amp;"_"&amp;符文权重!$C:$C,符文权重!$D:$D)*$X513/SUMIFS($X:$X,J:J,J513,$C:$C,$C513,$AG:$AG,$AG513)/SUMIF(符文权重!$A:$A,$C513,符文权重!$D:$D))),"")</f>
        <v>0.001</v>
      </c>
      <c r="Q513" s="39" cm="1">
        <f t="array" ref="Q513">IFERROR(IF($A513="","",IF(K513="","",_xlfn.XLOOKUP($C513&amp;"_"&amp;$AG513,符文权重!$A:$A&amp;"_"&amp;符文权重!$C:$C,符文权重!$D:$D)*$X513/SUMIFS($X:$X,K:K,K513,$C:$C,$C513,$AG:$AG,$AG513)/SUMIF(符文权重!$A:$A,$C513,符文权重!$D:$D))),"")</f>
        <v>0.001</v>
      </c>
      <c r="R513" s="26" t="s">
        <v>163</v>
      </c>
      <c r="S513" s="26"/>
      <c r="T513" s="26" t="e">
        <f>IF(B513="","",SUBSTITUTE(SUBSTITUTE("[{global_atk,"&amp;#REF!*C513&amp;"}]",21,20),9,8))</f>
        <v>#REF!</v>
      </c>
      <c r="U513" s="40" t="str">
        <f t="shared" si="251"/>
        <v>[5506044]</v>
      </c>
      <c r="V513" s="26" t="s">
        <v>516</v>
      </c>
      <c r="X513" s="25">
        <v>16</v>
      </c>
      <c r="Z513" s="32" t="s">
        <v>174</v>
      </c>
      <c r="AA513" s="32" t="str">
        <f t="shared" si="232"/>
        <v>梦灵暴击率+4%</v>
      </c>
      <c r="AB513" s="32"/>
      <c r="AC513" s="32" t="s">
        <v>166</v>
      </c>
      <c r="AD513" s="32">
        <f t="shared" si="226"/>
        <v>1508</v>
      </c>
      <c r="AE513" s="38" t="str">
        <f t="shared" si="235"/>
        <v>5506041</v>
      </c>
      <c r="AF513" s="32" t="str">
        <f t="shared" si="229"/>
        <v>[4]</v>
      </c>
      <c r="AG513" s="26">
        <v>10</v>
      </c>
      <c r="AH513" s="26"/>
      <c r="AI513" s="26">
        <v>0</v>
      </c>
      <c r="AJ513" s="25">
        <v>1</v>
      </c>
      <c r="AK513" s="38">
        <f t="shared" si="252"/>
        <v>5506044</v>
      </c>
      <c r="AL513" s="41" t="str">
        <f t="shared" si="253"/>
        <v>梦灵暴击率&lt;color=#54b76b&gt;+%s%&lt;/color&gt;</v>
      </c>
      <c r="AM513" s="26">
        <v>4</v>
      </c>
      <c r="AN513" s="25">
        <v>6</v>
      </c>
      <c r="AO513" s="25" t="s">
        <v>25</v>
      </c>
      <c r="AP513" s="20">
        <f t="shared" si="227"/>
        <v>508</v>
      </c>
    </row>
    <row r="514" customHeight="1" spans="1:42">
      <c r="A514" s="38">
        <v>5506045</v>
      </c>
      <c r="B514" s="38" t="str">
        <f t="shared" si="233"/>
        <v>5506041</v>
      </c>
      <c r="C514" s="32">
        <f t="shared" si="234"/>
        <v>5</v>
      </c>
      <c r="D514" s="32"/>
      <c r="E514" s="26" t="s">
        <v>162</v>
      </c>
      <c r="F514" s="26">
        <f t="shared" si="223"/>
        <v>1</v>
      </c>
      <c r="G514" s="26">
        <f>IFERROR(IF(--MID($E514,2*COUNTIF($F514:F514,"&gt;"&amp;0)+2,1)=G$1,G$1,""),"")</f>
        <v>2</v>
      </c>
      <c r="H514" s="26">
        <f>IFERROR(IF(--MID($E514,2*COUNTIF($F514:G514,"&gt;"&amp;0)+2,1)=H$1,H$1,""),"")</f>
        <v>3</v>
      </c>
      <c r="I514" s="26">
        <f>IFERROR(IF(--MID($E514,2*COUNTIF($F514:H514,"&gt;"&amp;0)+2,1)=I$1,I$1,""),"")</f>
        <v>4</v>
      </c>
      <c r="J514" s="26">
        <f>IFERROR(IF(--MID($E514,2*COUNTIF($F514:I514,"&gt;"&amp;0)+2,1)=J$1,J$1,""),"")</f>
        <v>5</v>
      </c>
      <c r="K514" s="26">
        <f>IFERROR(IF(--MID($E514,2*COUNTIF($F514:J514,"&gt;"&amp;0)+2,1)=K$1,K$1,""),"")</f>
        <v>6</v>
      </c>
      <c r="L514" s="39" cm="1">
        <f t="array" ref="L514">IFERROR(IF($A514="","",IF(F514="","",_xlfn.XLOOKUP($C514&amp;"_"&amp;$AG514,符文权重!$A:$A&amp;"_"&amp;符文权重!$C:$C,符文权重!$D:$D)*$X514/SUMIFS($X:$X,F:F,F514,$C:$C,$C514,$AG:$AG,$AG514)/SUMIF(符文权重!$A:$A,$C514,符文权重!$D:$D))),"")</f>
        <v>0.000991416309012875</v>
      </c>
      <c r="M514" s="39" cm="1">
        <f t="array" ref="M514">IFERROR(IF($A514="","",IF(G514="","",_xlfn.XLOOKUP($C514&amp;"_"&amp;$AG514,符文权重!$A:$A&amp;"_"&amp;符文权重!$C:$C,符文权重!$D:$D)*$X514/SUMIFS($X:$X,G:G,G514,$C:$C,$C514,$AG:$AG,$AG514)/SUMIF(符文权重!$A:$A,$C514,符文权重!$D:$D))),"")</f>
        <v>0.000991416309012875</v>
      </c>
      <c r="N514" s="39" cm="1">
        <f t="array" ref="N514">IFERROR(IF($A514="","",IF(H514="","",_xlfn.XLOOKUP($C514&amp;"_"&amp;$AG514,符文权重!$A:$A&amp;"_"&amp;符文权重!$C:$C,符文权重!$D:$D)*$X514/SUMIFS($X:$X,H:H,H514,$C:$C,$C514,$AG:$AG,$AG514)/SUMIF(符文权重!$A:$A,$C514,符文权重!$D:$D))),"")</f>
        <v>0.000991416309012875</v>
      </c>
      <c r="O514" s="39" cm="1">
        <f t="array" ref="O514">IFERROR(IF($A514="","",IF(I514="","",_xlfn.XLOOKUP($C514&amp;"_"&amp;$AG514,符文权重!$A:$A&amp;"_"&amp;符文权重!$C:$C,符文权重!$D:$D)*$X514/SUMIFS($X:$X,I:I,I514,$C:$C,$C514,$AG:$AG,$AG514)/SUMIF(符文权重!$A:$A,$C514,符文权重!$D:$D))),"")</f>
        <v>0.000991416309012875</v>
      </c>
      <c r="P514" s="39" cm="1">
        <f t="array" ref="P514">IFERROR(IF($A514="","",IF(J514="","",_xlfn.XLOOKUP($C514&amp;"_"&amp;$AG514,符文权重!$A:$A&amp;"_"&amp;符文权重!$C:$C,符文权重!$D:$D)*$X514/SUMIFS($X:$X,J:J,J514,$C:$C,$C514,$AG:$AG,$AG514)/SUMIF(符文权重!$A:$A,$C514,符文权重!$D:$D))),"")</f>
        <v>0.000991416309012875</v>
      </c>
      <c r="Q514" s="39" cm="1">
        <f t="array" ref="Q514">IFERROR(IF($A514="","",IF(K514="","",_xlfn.XLOOKUP($C514&amp;"_"&amp;$AG514,符文权重!$A:$A&amp;"_"&amp;符文权重!$C:$C,符文权重!$D:$D)*$X514/SUMIFS($X:$X,K:K,K514,$C:$C,$C514,$AG:$AG,$AG514)/SUMIF(符文权重!$A:$A,$C514,符文权重!$D:$D))),"")</f>
        <v>0.000991416309012875</v>
      </c>
      <c r="R514" s="26" t="s">
        <v>163</v>
      </c>
      <c r="S514" s="26"/>
      <c r="T514" s="26" t="e">
        <f>IF(B514="","",SUBSTITUTE(SUBSTITUTE("[{global_atk,"&amp;#REF!*C514&amp;"}]",21,20),9,8))</f>
        <v>#REF!</v>
      </c>
      <c r="U514" s="40" t="str">
        <f t="shared" si="251"/>
        <v>[5506045]</v>
      </c>
      <c r="V514" s="26" t="s">
        <v>517</v>
      </c>
      <c r="X514" s="25">
        <v>33</v>
      </c>
      <c r="Z514" s="32" t="s">
        <v>176</v>
      </c>
      <c r="AA514" s="32" t="str">
        <f t="shared" si="232"/>
        <v>梦灵暴击率+5%</v>
      </c>
      <c r="AB514" s="32"/>
      <c r="AC514" s="32" t="s">
        <v>166</v>
      </c>
      <c r="AD514" s="32">
        <f t="shared" si="226"/>
        <v>1509</v>
      </c>
      <c r="AE514" s="38" t="str">
        <f t="shared" si="235"/>
        <v>5506041</v>
      </c>
      <c r="AF514" s="32" t="str">
        <f t="shared" si="229"/>
        <v>[5]</v>
      </c>
      <c r="AG514" s="26">
        <v>6</v>
      </c>
      <c r="AH514" s="26"/>
      <c r="AI514" s="26">
        <v>0</v>
      </c>
      <c r="AJ514" s="25">
        <v>1</v>
      </c>
      <c r="AK514" s="38">
        <f t="shared" si="252"/>
        <v>5506045</v>
      </c>
      <c r="AL514" s="41" t="str">
        <f t="shared" si="253"/>
        <v>梦灵暴击率&lt;color=#54b76b&gt;+%s%&lt;/color&gt;</v>
      </c>
      <c r="AM514" s="26">
        <v>5</v>
      </c>
      <c r="AN514" s="25">
        <v>6</v>
      </c>
      <c r="AO514" s="25" t="s">
        <v>25</v>
      </c>
      <c r="AP514" s="20">
        <f t="shared" si="227"/>
        <v>509</v>
      </c>
    </row>
    <row r="515" customHeight="1" spans="1:42">
      <c r="A515" s="38">
        <v>5506046</v>
      </c>
      <c r="B515" s="38" t="str">
        <f t="shared" si="233"/>
        <v>5506041</v>
      </c>
      <c r="C515" s="32">
        <f t="shared" si="234"/>
        <v>6</v>
      </c>
      <c r="D515" s="32"/>
      <c r="E515" s="26" t="s">
        <v>162</v>
      </c>
      <c r="F515" s="26">
        <f t="shared" si="223"/>
        <v>1</v>
      </c>
      <c r="G515" s="26">
        <f>IFERROR(IF(--MID($E515,2*COUNTIF($F515:F515,"&gt;"&amp;0)+2,1)=G$1,G$1,""),"")</f>
        <v>2</v>
      </c>
      <c r="H515" s="26">
        <f>IFERROR(IF(--MID($E515,2*COUNTIF($F515:G515,"&gt;"&amp;0)+2,1)=H$1,H$1,""),"")</f>
        <v>3</v>
      </c>
      <c r="I515" s="26">
        <f>IFERROR(IF(--MID($E515,2*COUNTIF($F515:H515,"&gt;"&amp;0)+2,1)=I$1,I$1,""),"")</f>
        <v>4</v>
      </c>
      <c r="J515" s="26">
        <f>IFERROR(IF(--MID($E515,2*COUNTIF($F515:I515,"&gt;"&amp;0)+2,1)=J$1,J$1,""),"")</f>
        <v>5</v>
      </c>
      <c r="K515" s="26">
        <f>IFERROR(IF(--MID($E515,2*COUNTIF($F515:J515,"&gt;"&amp;0)+2,1)=K$1,K$1,""),"")</f>
        <v>6</v>
      </c>
      <c r="L515" s="39" cm="1">
        <f t="array" ref="L515">IFERROR(IF($A515="","",IF(F515="","",_xlfn.XLOOKUP($C515&amp;"_"&amp;$AG515,符文权重!$A:$A&amp;"_"&amp;符文权重!$C:$C,符文权重!$D:$D)*$X515/SUMIFS($X:$X,F:F,F515,$C:$C,$C515,$AG:$AG,$AG515)/SUMIF(符文权重!$A:$A,$C515,符文权重!$D:$D))),"")</f>
        <v>0.000991416309012875</v>
      </c>
      <c r="M515" s="39" cm="1">
        <f t="array" ref="M515">IFERROR(IF($A515="","",IF(G515="","",_xlfn.XLOOKUP($C515&amp;"_"&amp;$AG515,符文权重!$A:$A&amp;"_"&amp;符文权重!$C:$C,符文权重!$D:$D)*$X515/SUMIFS($X:$X,G:G,G515,$C:$C,$C515,$AG:$AG,$AG515)/SUMIF(符文权重!$A:$A,$C515,符文权重!$D:$D))),"")</f>
        <v>0.000991416309012875</v>
      </c>
      <c r="N515" s="39" cm="1">
        <f t="array" ref="N515">IFERROR(IF($A515="","",IF(H515="","",_xlfn.XLOOKUP($C515&amp;"_"&amp;$AG515,符文权重!$A:$A&amp;"_"&amp;符文权重!$C:$C,符文权重!$D:$D)*$X515/SUMIFS($X:$X,H:H,H515,$C:$C,$C515,$AG:$AG,$AG515)/SUMIF(符文权重!$A:$A,$C515,符文权重!$D:$D))),"")</f>
        <v>0.000991416309012875</v>
      </c>
      <c r="O515" s="39" cm="1">
        <f t="array" ref="O515">IFERROR(IF($A515="","",IF(I515="","",_xlfn.XLOOKUP($C515&amp;"_"&amp;$AG515,符文权重!$A:$A&amp;"_"&amp;符文权重!$C:$C,符文权重!$D:$D)*$X515/SUMIFS($X:$X,I:I,I515,$C:$C,$C515,$AG:$AG,$AG515)/SUMIF(符文权重!$A:$A,$C515,符文权重!$D:$D))),"")</f>
        <v>0.000991416309012875</v>
      </c>
      <c r="P515" s="39" cm="1">
        <f t="array" ref="P515">IFERROR(IF($A515="","",IF(J515="","",_xlfn.XLOOKUP($C515&amp;"_"&amp;$AG515,符文权重!$A:$A&amp;"_"&amp;符文权重!$C:$C,符文权重!$D:$D)*$X515/SUMIFS($X:$X,J:J,J515,$C:$C,$C515,$AG:$AG,$AG515)/SUMIF(符文权重!$A:$A,$C515,符文权重!$D:$D))),"")</f>
        <v>0.000991416309012875</v>
      </c>
      <c r="Q515" s="39" cm="1">
        <f t="array" ref="Q515">IFERROR(IF($A515="","",IF(K515="","",_xlfn.XLOOKUP($C515&amp;"_"&amp;$AG515,符文权重!$A:$A&amp;"_"&amp;符文权重!$C:$C,符文权重!$D:$D)*$X515/SUMIFS($X:$X,K:K,K515,$C:$C,$C515,$AG:$AG,$AG515)/SUMIF(符文权重!$A:$A,$C515,符文权重!$D:$D))),"")</f>
        <v>0.000991416309012875</v>
      </c>
      <c r="R515" s="26" t="s">
        <v>163</v>
      </c>
      <c r="S515" s="26"/>
      <c r="T515" s="26" t="e">
        <f>IF(B515="","",SUBSTITUTE(SUBSTITUTE("[{global_atk,"&amp;#REF!*C515&amp;"}]",21,20),9,8))</f>
        <v>#REF!</v>
      </c>
      <c r="U515" s="40" t="str">
        <f t="shared" si="251"/>
        <v>[5506046]</v>
      </c>
      <c r="V515" s="26" t="s">
        <v>518</v>
      </c>
      <c r="X515" s="25">
        <v>33</v>
      </c>
      <c r="Z515" s="32" t="s">
        <v>178</v>
      </c>
      <c r="AA515" s="32" t="str">
        <f t="shared" si="232"/>
        <v>梦灵暴击率+6%</v>
      </c>
      <c r="AB515" s="32"/>
      <c r="AC515" s="32" t="s">
        <v>166</v>
      </c>
      <c r="AD515" s="32">
        <f t="shared" si="226"/>
        <v>1510</v>
      </c>
      <c r="AE515" s="38" t="str">
        <f t="shared" si="235"/>
        <v>5506041</v>
      </c>
      <c r="AF515" s="32" t="str">
        <f t="shared" si="229"/>
        <v>[6]</v>
      </c>
      <c r="AG515" s="26">
        <v>6</v>
      </c>
      <c r="AH515" s="26"/>
      <c r="AI515" s="26">
        <v>0</v>
      </c>
      <c r="AJ515" s="25">
        <v>1</v>
      </c>
      <c r="AK515" s="38">
        <f t="shared" si="252"/>
        <v>5506046</v>
      </c>
      <c r="AL515" s="41" t="str">
        <f t="shared" si="253"/>
        <v>梦灵暴击率&lt;color=#54b76b&gt;+%s%&lt;/color&gt;</v>
      </c>
      <c r="AM515" s="26">
        <v>6</v>
      </c>
      <c r="AN515" s="25">
        <v>6</v>
      </c>
      <c r="AO515" s="25" t="s">
        <v>25</v>
      </c>
      <c r="AP515" s="20">
        <f t="shared" si="227"/>
        <v>510</v>
      </c>
    </row>
    <row r="516" customHeight="1" spans="1:42">
      <c r="A516" s="38">
        <v>5506047</v>
      </c>
      <c r="B516" s="38" t="str">
        <f t="shared" si="233"/>
        <v>5506041</v>
      </c>
      <c r="C516" s="32">
        <f t="shared" si="234"/>
        <v>7</v>
      </c>
      <c r="D516" s="32"/>
      <c r="E516" s="26" t="s">
        <v>162</v>
      </c>
      <c r="F516" s="26">
        <f t="shared" si="223"/>
        <v>1</v>
      </c>
      <c r="G516" s="26">
        <f>IFERROR(IF(--MID($E516,2*COUNTIF($F516:F516,"&gt;"&amp;0)+2,1)=G$1,G$1,""),"")</f>
        <v>2</v>
      </c>
      <c r="H516" s="26">
        <f>IFERROR(IF(--MID($E516,2*COUNTIF($F516:G516,"&gt;"&amp;0)+2,1)=H$1,H$1,""),"")</f>
        <v>3</v>
      </c>
      <c r="I516" s="26">
        <f>IFERROR(IF(--MID($E516,2*COUNTIF($F516:H516,"&gt;"&amp;0)+2,1)=I$1,I$1,""),"")</f>
        <v>4</v>
      </c>
      <c r="J516" s="26">
        <f>IFERROR(IF(--MID($E516,2*COUNTIF($F516:I516,"&gt;"&amp;0)+2,1)=J$1,J$1,""),"")</f>
        <v>5</v>
      </c>
      <c r="K516" s="26">
        <f>IFERROR(IF(--MID($E516,2*COUNTIF($F516:J516,"&gt;"&amp;0)+2,1)=K$1,K$1,""),"")</f>
        <v>6</v>
      </c>
      <c r="L516" s="39" cm="1">
        <f t="array" ref="L516">IFERROR(IF($A516="","",IF(F516="","",_xlfn.XLOOKUP($C516&amp;"_"&amp;$AG516,符文权重!$A:$A&amp;"_"&amp;符文权重!$C:$C,符文权重!$D:$D)*$X516/SUMIFS($X:$X,F:F,F516,$C:$C,$C516,$AG:$AG,$AG516)/SUMIF(符文权重!$A:$A,$C516,符文权重!$D:$D))),"")</f>
        <v>0.000991416309012875</v>
      </c>
      <c r="M516" s="39" cm="1">
        <f t="array" ref="M516">IFERROR(IF($A516="","",IF(G516="","",_xlfn.XLOOKUP($C516&amp;"_"&amp;$AG516,符文权重!$A:$A&amp;"_"&amp;符文权重!$C:$C,符文权重!$D:$D)*$X516/SUMIFS($X:$X,G:G,G516,$C:$C,$C516,$AG:$AG,$AG516)/SUMIF(符文权重!$A:$A,$C516,符文权重!$D:$D))),"")</f>
        <v>0.000991416309012875</v>
      </c>
      <c r="N516" s="39" cm="1">
        <f t="array" ref="N516">IFERROR(IF($A516="","",IF(H516="","",_xlfn.XLOOKUP($C516&amp;"_"&amp;$AG516,符文权重!$A:$A&amp;"_"&amp;符文权重!$C:$C,符文权重!$D:$D)*$X516/SUMIFS($X:$X,H:H,H516,$C:$C,$C516,$AG:$AG,$AG516)/SUMIF(符文权重!$A:$A,$C516,符文权重!$D:$D))),"")</f>
        <v>0.000991416309012875</v>
      </c>
      <c r="O516" s="39" cm="1">
        <f t="array" ref="O516">IFERROR(IF($A516="","",IF(I516="","",_xlfn.XLOOKUP($C516&amp;"_"&amp;$AG516,符文权重!$A:$A&amp;"_"&amp;符文权重!$C:$C,符文权重!$D:$D)*$X516/SUMIFS($X:$X,I:I,I516,$C:$C,$C516,$AG:$AG,$AG516)/SUMIF(符文权重!$A:$A,$C516,符文权重!$D:$D))),"")</f>
        <v>0.000991416309012875</v>
      </c>
      <c r="P516" s="39" cm="1">
        <f t="array" ref="P516">IFERROR(IF($A516="","",IF(J516="","",_xlfn.XLOOKUP($C516&amp;"_"&amp;$AG516,符文权重!$A:$A&amp;"_"&amp;符文权重!$C:$C,符文权重!$D:$D)*$X516/SUMIFS($X:$X,J:J,J516,$C:$C,$C516,$AG:$AG,$AG516)/SUMIF(符文权重!$A:$A,$C516,符文权重!$D:$D))),"")</f>
        <v>0.000991416309012875</v>
      </c>
      <c r="Q516" s="39" cm="1">
        <f t="array" ref="Q516">IFERROR(IF($A516="","",IF(K516="","",_xlfn.XLOOKUP($C516&amp;"_"&amp;$AG516,符文权重!$A:$A&amp;"_"&amp;符文权重!$C:$C,符文权重!$D:$D)*$X516/SUMIFS($X:$X,K:K,K516,$C:$C,$C516,$AG:$AG,$AG516)/SUMIF(符文权重!$A:$A,$C516,符文权重!$D:$D))),"")</f>
        <v>0.000991416309012875</v>
      </c>
      <c r="R516" s="26" t="s">
        <v>163</v>
      </c>
      <c r="S516" s="26"/>
      <c r="T516" s="26" t="e">
        <f>IF(B516="","",SUBSTITUTE(SUBSTITUTE("[{global_atk,"&amp;#REF!*C516&amp;"}]",21,20),9,8))</f>
        <v>#REF!</v>
      </c>
      <c r="U516" s="40" t="str">
        <f t="shared" si="251"/>
        <v>[5506047]</v>
      </c>
      <c r="V516" s="26" t="s">
        <v>519</v>
      </c>
      <c r="X516" s="25">
        <v>33</v>
      </c>
      <c r="Z516" s="32" t="s">
        <v>180</v>
      </c>
      <c r="AA516" s="32" t="str">
        <f t="shared" si="232"/>
        <v>梦灵暴击率+7%</v>
      </c>
      <c r="AB516" s="32"/>
      <c r="AC516" s="32" t="s">
        <v>166</v>
      </c>
      <c r="AD516" s="32">
        <f t="shared" si="226"/>
        <v>1511</v>
      </c>
      <c r="AE516" s="38" t="str">
        <f t="shared" si="235"/>
        <v>5506041</v>
      </c>
      <c r="AF516" s="32" t="str">
        <f t="shared" si="229"/>
        <v>[7]</v>
      </c>
      <c r="AG516" s="26">
        <v>6</v>
      </c>
      <c r="AH516" s="26"/>
      <c r="AI516" s="26">
        <v>0</v>
      </c>
      <c r="AJ516" s="25">
        <v>1</v>
      </c>
      <c r="AK516" s="38">
        <f t="shared" si="252"/>
        <v>5506047</v>
      </c>
      <c r="AL516" s="41" t="str">
        <f t="shared" si="253"/>
        <v>梦灵暴击率&lt;color=#54b76b&gt;+%s%&lt;/color&gt;</v>
      </c>
      <c r="AM516" s="26">
        <v>7</v>
      </c>
      <c r="AN516" s="25">
        <v>6</v>
      </c>
      <c r="AO516" s="25" t="s">
        <v>25</v>
      </c>
      <c r="AP516" s="20">
        <f t="shared" si="227"/>
        <v>511</v>
      </c>
    </row>
    <row r="517" s="20" customFormat="1" customHeight="1" spans="1:42">
      <c r="A517" s="38" t="s">
        <v>167</v>
      </c>
      <c r="B517" s="38" t="str">
        <f t="shared" si="233"/>
        <v/>
      </c>
      <c r="C517" s="32" t="str">
        <f t="shared" si="234"/>
        <v/>
      </c>
      <c r="D517" s="32"/>
      <c r="E517" s="26"/>
      <c r="F517" s="26" t="str">
        <f t="shared" si="223"/>
        <v/>
      </c>
      <c r="G517" s="26" t="str">
        <f>IFERROR(IF(--MID($E517,2*COUNTIF($F517:F517,"&gt;"&amp;0)+2,1)=G$1,G$1,""),"")</f>
        <v/>
      </c>
      <c r="H517" s="26" t="str">
        <f>IFERROR(IF(--MID($E517,2*COUNTIF($F517:G517,"&gt;"&amp;0)+2,1)=H$1,H$1,""),"")</f>
        <v/>
      </c>
      <c r="I517" s="26" t="str">
        <f>IFERROR(IF(--MID($E517,2*COUNTIF($F517:H517,"&gt;"&amp;0)+2,1)=I$1,I$1,""),"")</f>
        <v/>
      </c>
      <c r="J517" s="26" t="str">
        <f>IFERROR(IF(--MID($E517,2*COUNTIF($F517:I517,"&gt;"&amp;0)+2,1)=J$1,J$1,""),"")</f>
        <v/>
      </c>
      <c r="K517" s="26" t="str">
        <f>IFERROR(IF(--MID($E517,2*COUNTIF($F517:J517,"&gt;"&amp;0)+2,1)=K$1,K$1,""),"")</f>
        <v/>
      </c>
      <c r="L517" s="39" t="str" cm="1">
        <f t="array" ref="L517">IFERROR(IF($A517="","",IF(F517="","",_xlfn.XLOOKUP($C517&amp;"_"&amp;$AG517,符文权重!$A:$A&amp;"_"&amp;符文权重!$C:$C,符文权重!$D:$D)*$X517/SUMIFS($X:$X,F:F,F517,$C:$C,$C517,$AG:$AG,$AG517)/SUMIF(符文权重!$A:$A,$C517,符文权重!$D:$D))),"")</f>
        <v/>
      </c>
      <c r="M517" s="39" t="str" cm="1">
        <f t="array" ref="M517">IFERROR(IF($A517="","",IF(G517="","",_xlfn.XLOOKUP($C517&amp;"_"&amp;$AG517,符文权重!$A:$A&amp;"_"&amp;符文权重!$C:$C,符文权重!$D:$D)*$X517/SUMIFS($X:$X,G:G,G517,$C:$C,$C517,$AG:$AG,$AG517)/SUMIF(符文权重!$A:$A,$C517,符文权重!$D:$D))),"")</f>
        <v/>
      </c>
      <c r="N517" s="39" t="str" cm="1">
        <f t="array" ref="N517">IFERROR(IF($A517="","",IF(H517="","",_xlfn.XLOOKUP($C517&amp;"_"&amp;$AG517,符文权重!$A:$A&amp;"_"&amp;符文权重!$C:$C,符文权重!$D:$D)*$X517/SUMIFS($X:$X,H:H,H517,$C:$C,$C517,$AG:$AG,$AG517)/SUMIF(符文权重!$A:$A,$C517,符文权重!$D:$D))),"")</f>
        <v/>
      </c>
      <c r="O517" s="39" t="str" cm="1">
        <f t="array" ref="O517">IFERROR(IF($A517="","",IF(I517="","",_xlfn.XLOOKUP($C517&amp;"_"&amp;$AG517,符文权重!$A:$A&amp;"_"&amp;符文权重!$C:$C,符文权重!$D:$D)*$X517/SUMIFS($X:$X,I:I,I517,$C:$C,$C517,$AG:$AG,$AG517)/SUMIF(符文权重!$A:$A,$C517,符文权重!$D:$D))),"")</f>
        <v/>
      </c>
      <c r="P517" s="39" t="str" cm="1">
        <f t="array" ref="P517">IFERROR(IF($A517="","",IF(J517="","",_xlfn.XLOOKUP($C517&amp;"_"&amp;$AG517,符文权重!$A:$A&amp;"_"&amp;符文权重!$C:$C,符文权重!$D:$D)*$X517/SUMIFS($X:$X,J:J,J517,$C:$C,$C517,$AG:$AG,$AG517)/SUMIF(符文权重!$A:$A,$C517,符文权重!$D:$D))),"")</f>
        <v/>
      </c>
      <c r="Q517" s="39" t="str" cm="1">
        <f t="array" ref="Q517">IFERROR(IF($A517="","",IF(K517="","",_xlfn.XLOOKUP($C517&amp;"_"&amp;$AG517,符文权重!$A:$A&amp;"_"&amp;符文权重!$C:$C,符文权重!$D:$D)*$X517/SUMIFS($X:$X,K:K,K517,$C:$C,$C517,$AG:$AG,$AG517)/SUMIF(符文权重!$A:$A,$C517,符文权重!$D:$D))),"")</f>
        <v/>
      </c>
      <c r="R517" s="26"/>
      <c r="S517" s="26"/>
      <c r="T517" s="26"/>
      <c r="V517" s="31"/>
      <c r="W517" s="25"/>
      <c r="X517" s="25"/>
      <c r="Y517" s="25"/>
      <c r="Z517" s="32" t="s">
        <v>167</v>
      </c>
      <c r="AA517" s="32" t="str">
        <f t="shared" si="232"/>
        <v/>
      </c>
      <c r="AB517" s="32"/>
      <c r="AC517" s="32" t="s">
        <v>166</v>
      </c>
      <c r="AD517" s="32">
        <f t="shared" si="226"/>
        <v>1512</v>
      </c>
      <c r="AE517" s="38" t="str">
        <f t="shared" si="235"/>
        <v/>
      </c>
      <c r="AF517" s="32" t="str">
        <f t="shared" si="229"/>
        <v/>
      </c>
      <c r="AG517" s="26"/>
      <c r="AH517" s="26"/>
      <c r="AI517" s="26"/>
      <c r="AJ517" s="25" t="s">
        <v>167</v>
      </c>
      <c r="AK517" s="24"/>
      <c r="AL517" s="59"/>
      <c r="AM517" s="26"/>
      <c r="AN517" s="25"/>
      <c r="AO517" s="25"/>
      <c r="AP517" s="20">
        <f t="shared" si="227"/>
        <v>512</v>
      </c>
    </row>
    <row r="518" s="20" customFormat="1" customHeight="1" spans="1:42">
      <c r="A518" s="38">
        <v>5506051</v>
      </c>
      <c r="B518" s="38" t="str">
        <f t="shared" si="233"/>
        <v>5506051</v>
      </c>
      <c r="C518" s="32">
        <f t="shared" si="234"/>
        <v>1</v>
      </c>
      <c r="D518" s="32"/>
      <c r="E518" s="26" t="s">
        <v>182</v>
      </c>
      <c r="F518" s="26" t="str">
        <f t="shared" si="223"/>
        <v/>
      </c>
      <c r="G518" s="26" t="str">
        <f>IFERROR(IF(--MID($E518,2*COUNTIF($F518:F518,"&gt;"&amp;0)+2,1)=G$1,G$1,""),"")</f>
        <v/>
      </c>
      <c r="H518" s="26">
        <f>IFERROR(IF(--MID($E518,2*COUNTIF($F518:G518,"&gt;"&amp;0)+2,1)=H$1,H$1,""),"")</f>
        <v>3</v>
      </c>
      <c r="I518" s="26" t="str">
        <f>IFERROR(IF(--MID($E518,2*COUNTIF($F518:H518,"&gt;"&amp;0)+2,1)=I$1,I$1,""),"")</f>
        <v/>
      </c>
      <c r="J518" s="26" t="str">
        <f>IFERROR(IF(--MID($E518,2*COUNTIF($F518:I518,"&gt;"&amp;0)+2,1)=J$1,J$1,""),"")</f>
        <v/>
      </c>
      <c r="K518" s="26" t="str">
        <f>IFERROR(IF(--MID($E518,2*COUNTIF($F518:J518,"&gt;"&amp;0)+2,1)=K$1,K$1,""),"")</f>
        <v/>
      </c>
      <c r="L518" s="39" t="str" cm="1">
        <f t="array" ref="L518">IFERROR(IF($A518="","",IF(F518="","",_xlfn.XLOOKUP($C518&amp;"_"&amp;$AG518,符文权重!$A:$A&amp;"_"&amp;符文权重!$C:$C,符文权重!$D:$D)*$X518/SUMIFS($X:$X,F:F,F518,$C:$C,$C518,$AG:$AG,$AG518)/SUMIF(符文权重!$A:$A,$C518,符文权重!$D:$D))),"")</f>
        <v/>
      </c>
      <c r="M518" s="39" t="str" cm="1">
        <f t="array" ref="M518">IFERROR(IF($A518="","",IF(G518="","",_xlfn.XLOOKUP($C518&amp;"_"&amp;$AG518,符文权重!$A:$A&amp;"_"&amp;符文权重!$C:$C,符文权重!$D:$D)*$X518/SUMIFS($X:$X,G:G,G518,$C:$C,$C518,$AG:$AG,$AG518)/SUMIF(符文权重!$A:$A,$C518,符文权重!$D:$D))),"")</f>
        <v/>
      </c>
      <c r="N518" s="39" t="str" cm="1">
        <f t="array" ref="N518">IFERROR(IF($A518="","",IF(H518="","",_xlfn.XLOOKUP($C518&amp;"_"&amp;$AG518,符文权重!$A:$A&amp;"_"&amp;符文权重!$C:$C,符文权重!$D:$D)*$X518/SUMIFS($X:$X,H:H,H518,$C:$C,$C518,$AG:$AG,$AG518)/SUMIF(符文权重!$A:$A,$C518,符文权重!$D:$D))),"")</f>
        <v/>
      </c>
      <c r="O518" s="39" t="str" cm="1">
        <f t="array" ref="O518">IFERROR(IF($A518="","",IF(I518="","",_xlfn.XLOOKUP($C518&amp;"_"&amp;$AG518,符文权重!$A:$A&amp;"_"&amp;符文权重!$C:$C,符文权重!$D:$D)*$X518/SUMIFS($X:$X,I:I,I518,$C:$C,$C518,$AG:$AG,$AG518)/SUMIF(符文权重!$A:$A,$C518,符文权重!$D:$D))),"")</f>
        <v/>
      </c>
      <c r="P518" s="39" t="str" cm="1">
        <f t="array" ref="P518">IFERROR(IF($A518="","",IF(J518="","",_xlfn.XLOOKUP($C518&amp;"_"&amp;$AG518,符文权重!$A:$A&amp;"_"&amp;符文权重!$C:$C,符文权重!$D:$D)*$X518/SUMIFS($X:$X,J:J,J518,$C:$C,$C518,$AG:$AG,$AG518)/SUMIF(符文权重!$A:$A,$C518,符文权重!$D:$D))),"")</f>
        <v/>
      </c>
      <c r="Q518" s="39" t="str" cm="1">
        <f t="array" ref="Q518">IFERROR(IF($A518="","",IF(K518="","",_xlfn.XLOOKUP($C518&amp;"_"&amp;$AG518,符文权重!$A:$A&amp;"_"&amp;符文权重!$C:$C,符文权重!$D:$D)*$X518/SUMIFS($X:$X,K:K,K518,$C:$C,$C518,$AG:$AG,$AG518)/SUMIF(符文权重!$A:$A,$C518,符文权重!$D:$D))),"")</f>
        <v/>
      </c>
      <c r="R518" s="26" t="s">
        <v>163</v>
      </c>
      <c r="S518" s="26"/>
      <c r="T518" s="26" t="e">
        <f>IF(B518="","",SUBSTITUTE(SUBSTITUTE("[{global_atk,"&amp;#REF!*C518&amp;"}]",21,20),9,8))</f>
        <v>#REF!</v>
      </c>
      <c r="U518" s="40" t="str">
        <f t="shared" ref="U518:U524" si="254">"["&amp;A518&amp;"]"</f>
        <v>[5506051]</v>
      </c>
      <c r="V518" s="26"/>
      <c r="W518" s="25"/>
      <c r="X518" s="25">
        <v>100</v>
      </c>
      <c r="Y518" s="25"/>
      <c r="Z518" s="32" t="s">
        <v>165</v>
      </c>
      <c r="AA518" s="32" t="str">
        <f t="shared" si="232"/>
        <v>释放普攻时0%概率额外释放1次</v>
      </c>
      <c r="AB518" s="32"/>
      <c r="AC518" s="32" t="s">
        <v>166</v>
      </c>
      <c r="AD518" s="32">
        <f t="shared" si="226"/>
        <v>1513</v>
      </c>
      <c r="AE518" s="38" t="str">
        <f t="shared" si="235"/>
        <v>5506051</v>
      </c>
      <c r="AF518" s="32" t="str">
        <f t="shared" si="229"/>
        <v>[0]</v>
      </c>
      <c r="AG518" s="26">
        <v>100</v>
      </c>
      <c r="AH518" s="26"/>
      <c r="AI518" s="26">
        <v>1</v>
      </c>
      <c r="AJ518" s="25">
        <v>1</v>
      </c>
      <c r="AK518" s="24">
        <v>5506051</v>
      </c>
      <c r="AL518" s="42" t="s">
        <v>520</v>
      </c>
      <c r="AM518" s="26">
        <v>0</v>
      </c>
      <c r="AN518" s="25">
        <v>6</v>
      </c>
      <c r="AO518" s="25" t="s">
        <v>25</v>
      </c>
      <c r="AP518" s="20">
        <f t="shared" si="227"/>
        <v>513</v>
      </c>
    </row>
    <row r="519" customHeight="1" spans="1:42">
      <c r="A519" s="38">
        <v>5506052</v>
      </c>
      <c r="B519" s="38" t="str">
        <f t="shared" si="233"/>
        <v>5506051</v>
      </c>
      <c r="C519" s="32">
        <f t="shared" si="234"/>
        <v>2</v>
      </c>
      <c r="D519" s="32"/>
      <c r="E519" s="26" t="s">
        <v>182</v>
      </c>
      <c r="F519" s="26" t="str">
        <f t="shared" ref="F519:F582" si="255">IF(LEFT(E519,2)="[1",1,"")</f>
        <v/>
      </c>
      <c r="G519" s="26" t="str">
        <f>IFERROR(IF(--MID($E519,2*COUNTIF($F519:F519,"&gt;"&amp;0)+2,1)=G$1,G$1,""),"")</f>
        <v/>
      </c>
      <c r="H519" s="26">
        <f>IFERROR(IF(--MID($E519,2*COUNTIF($F519:G519,"&gt;"&amp;0)+2,1)=H$1,H$1,""),"")</f>
        <v>3</v>
      </c>
      <c r="I519" s="26" t="str">
        <f>IFERROR(IF(--MID($E519,2*COUNTIF($F519:H519,"&gt;"&amp;0)+2,1)=I$1,I$1,""),"")</f>
        <v/>
      </c>
      <c r="J519" s="26" t="str">
        <f>IFERROR(IF(--MID($E519,2*COUNTIF($F519:I519,"&gt;"&amp;0)+2,1)=J$1,J$1,""),"")</f>
        <v/>
      </c>
      <c r="K519" s="26" t="str">
        <f>IFERROR(IF(--MID($E519,2*COUNTIF($F519:J519,"&gt;"&amp;0)+2,1)=K$1,K$1,""),"")</f>
        <v/>
      </c>
      <c r="L519" s="39" t="str" cm="1">
        <f t="array" ref="L519">IFERROR(IF($A519="","",IF(F519="","",_xlfn.XLOOKUP($C519&amp;"_"&amp;$AG519,符文权重!$A:$A&amp;"_"&amp;符文权重!$C:$C,符文权重!$D:$D)*$X519/SUMIFS($X:$X,F:F,F519,$C:$C,$C519,$AG:$AG,$AG519)/SUMIF(符文权重!$A:$A,$C519,符文权重!$D:$D))),"")</f>
        <v/>
      </c>
      <c r="M519" s="39" t="str" cm="1">
        <f t="array" ref="M519">IFERROR(IF($A519="","",IF(G519="","",_xlfn.XLOOKUP($C519&amp;"_"&amp;$AG519,符文权重!$A:$A&amp;"_"&amp;符文权重!$C:$C,符文权重!$D:$D)*$X519/SUMIFS($X:$X,G:G,G519,$C:$C,$C519,$AG:$AG,$AG519)/SUMIF(符文权重!$A:$A,$C519,符文权重!$D:$D))),"")</f>
        <v/>
      </c>
      <c r="N519" s="39" t="str" cm="1">
        <f t="array" ref="N519">IFERROR(IF($A519="","",IF(H519="","",_xlfn.XLOOKUP($C519&amp;"_"&amp;$AG519,符文权重!$A:$A&amp;"_"&amp;符文权重!$C:$C,符文权重!$D:$D)*$X519/SUMIFS($X:$X,H:H,H519,$C:$C,$C519,$AG:$AG,$AG519)/SUMIF(符文权重!$A:$A,$C519,符文权重!$D:$D))),"")</f>
        <v/>
      </c>
      <c r="O519" s="39" t="str" cm="1">
        <f t="array" ref="O519">IFERROR(IF($A519="","",IF(I519="","",_xlfn.XLOOKUP($C519&amp;"_"&amp;$AG519,符文权重!$A:$A&amp;"_"&amp;符文权重!$C:$C,符文权重!$D:$D)*$X519/SUMIFS($X:$X,I:I,I519,$C:$C,$C519,$AG:$AG,$AG519)/SUMIF(符文权重!$A:$A,$C519,符文权重!$D:$D))),"")</f>
        <v/>
      </c>
      <c r="P519" s="39" t="str" cm="1">
        <f t="array" ref="P519">IFERROR(IF($A519="","",IF(J519="","",_xlfn.XLOOKUP($C519&amp;"_"&amp;$AG519,符文权重!$A:$A&amp;"_"&amp;符文权重!$C:$C,符文权重!$D:$D)*$X519/SUMIFS($X:$X,J:J,J519,$C:$C,$C519,$AG:$AG,$AG519)/SUMIF(符文权重!$A:$A,$C519,符文权重!$D:$D))),"")</f>
        <v/>
      </c>
      <c r="Q519" s="39" t="str" cm="1">
        <f t="array" ref="Q519">IFERROR(IF($A519="","",IF(K519="","",_xlfn.XLOOKUP($C519&amp;"_"&amp;$AG519,符文权重!$A:$A&amp;"_"&amp;符文权重!$C:$C,符文权重!$D:$D)*$X519/SUMIFS($X:$X,K:K,K519,$C:$C,$C519,$AG:$AG,$AG519)/SUMIF(符文权重!$A:$A,$C519,符文权重!$D:$D))),"")</f>
        <v/>
      </c>
      <c r="R519" s="26" t="s">
        <v>163</v>
      </c>
      <c r="S519" s="26"/>
      <c r="T519" s="26" t="e">
        <f>IF(B519="","",SUBSTITUTE(SUBSTITUTE("[{global_atk,"&amp;#REF!*C519&amp;"}]",21,20),9,8))</f>
        <v>#REF!</v>
      </c>
      <c r="U519" s="40" t="str">
        <f t="shared" si="254"/>
        <v>[5506052]</v>
      </c>
      <c r="X519" s="25">
        <v>100</v>
      </c>
      <c r="Z519" s="32" t="s">
        <v>170</v>
      </c>
      <c r="AA519" s="32" t="str">
        <f t="shared" si="232"/>
        <v>释放普攻时0%概率额外释放1次</v>
      </c>
      <c r="AB519" s="32"/>
      <c r="AC519" s="32" t="s">
        <v>166</v>
      </c>
      <c r="AD519" s="32">
        <f t="shared" si="226"/>
        <v>1514</v>
      </c>
      <c r="AE519" s="38" t="str">
        <f t="shared" si="235"/>
        <v>5506051</v>
      </c>
      <c r="AF519" s="32" t="str">
        <f t="shared" si="229"/>
        <v>[0]</v>
      </c>
      <c r="AG519" s="26">
        <v>100</v>
      </c>
      <c r="AH519" s="26"/>
      <c r="AI519" s="26">
        <v>1</v>
      </c>
      <c r="AJ519" s="25">
        <v>1</v>
      </c>
      <c r="AK519" s="38">
        <f t="shared" ref="AK519:AK524" si="256">AK518+1</f>
        <v>5506052</v>
      </c>
      <c r="AL519" s="41" t="str">
        <f t="shared" ref="AL519:AL524" si="257">AL518</f>
        <v>释放普攻时&lt;color=#54b76b&gt;%s%&lt;/color&gt;概率额外释放1次</v>
      </c>
      <c r="AM519" s="26">
        <v>0</v>
      </c>
      <c r="AN519" s="25">
        <v>6</v>
      </c>
      <c r="AO519" s="25" t="s">
        <v>25</v>
      </c>
      <c r="AP519" s="20">
        <f t="shared" si="227"/>
        <v>514</v>
      </c>
    </row>
    <row r="520" customHeight="1" spans="1:42">
      <c r="A520" s="38">
        <v>5506053</v>
      </c>
      <c r="B520" s="38" t="str">
        <f t="shared" si="233"/>
        <v>5506051</v>
      </c>
      <c r="C520" s="32">
        <f t="shared" si="234"/>
        <v>3</v>
      </c>
      <c r="D520" s="32"/>
      <c r="E520" s="26" t="s">
        <v>182</v>
      </c>
      <c r="F520" s="26" t="str">
        <f t="shared" si="255"/>
        <v/>
      </c>
      <c r="G520" s="26" t="str">
        <f>IFERROR(IF(--MID($E520,2*COUNTIF($F520:F520,"&gt;"&amp;0)+2,1)=G$1,G$1,""),"")</f>
        <v/>
      </c>
      <c r="H520" s="26">
        <f>IFERROR(IF(--MID($E520,2*COUNTIF($F520:G520,"&gt;"&amp;0)+2,1)=H$1,H$1,""),"")</f>
        <v>3</v>
      </c>
      <c r="I520" s="26" t="str">
        <f>IFERROR(IF(--MID($E520,2*COUNTIF($F520:H520,"&gt;"&amp;0)+2,1)=I$1,I$1,""),"")</f>
        <v/>
      </c>
      <c r="J520" s="26" t="str">
        <f>IFERROR(IF(--MID($E520,2*COUNTIF($F520:I520,"&gt;"&amp;0)+2,1)=J$1,J$1,""),"")</f>
        <v/>
      </c>
      <c r="K520" s="26" t="str">
        <f>IFERROR(IF(--MID($E520,2*COUNTIF($F520:J520,"&gt;"&amp;0)+2,1)=K$1,K$1,""),"")</f>
        <v/>
      </c>
      <c r="L520" s="39" t="str" cm="1">
        <f t="array" ref="L520">IFERROR(IF($A520="","",IF(F520="","",_xlfn.XLOOKUP($C520&amp;"_"&amp;$AG520,符文权重!$A:$A&amp;"_"&amp;符文权重!$C:$C,符文权重!$D:$D)*$X520/SUMIFS($X:$X,F:F,F520,$C:$C,$C520,$AG:$AG,$AG520)/SUMIF(符文权重!$A:$A,$C520,符文权重!$D:$D))),"")</f>
        <v/>
      </c>
      <c r="M520" s="39" t="str" cm="1">
        <f t="array" ref="M520">IFERROR(IF($A520="","",IF(G520="","",_xlfn.XLOOKUP($C520&amp;"_"&amp;$AG520,符文权重!$A:$A&amp;"_"&amp;符文权重!$C:$C,符文权重!$D:$D)*$X520/SUMIFS($X:$X,G:G,G520,$C:$C,$C520,$AG:$AG,$AG520)/SUMIF(符文权重!$A:$A,$C520,符文权重!$D:$D))),"")</f>
        <v/>
      </c>
      <c r="N520" s="39" t="str" cm="1">
        <f t="array" ref="N520">IFERROR(IF($A520="","",IF(H520="","",_xlfn.XLOOKUP($C520&amp;"_"&amp;$AG520,符文权重!$A:$A&amp;"_"&amp;符文权重!$C:$C,符文权重!$D:$D)*$X520/SUMIFS($X:$X,H:H,H520,$C:$C,$C520,$AG:$AG,$AG520)/SUMIF(符文权重!$A:$A,$C520,符文权重!$D:$D))),"")</f>
        <v/>
      </c>
      <c r="O520" s="39" t="str" cm="1">
        <f t="array" ref="O520">IFERROR(IF($A520="","",IF(I520="","",_xlfn.XLOOKUP($C520&amp;"_"&amp;$AG520,符文权重!$A:$A&amp;"_"&amp;符文权重!$C:$C,符文权重!$D:$D)*$X520/SUMIFS($X:$X,I:I,I520,$C:$C,$C520,$AG:$AG,$AG520)/SUMIF(符文权重!$A:$A,$C520,符文权重!$D:$D))),"")</f>
        <v/>
      </c>
      <c r="P520" s="39" t="str" cm="1">
        <f t="array" ref="P520">IFERROR(IF($A520="","",IF(J520="","",_xlfn.XLOOKUP($C520&amp;"_"&amp;$AG520,符文权重!$A:$A&amp;"_"&amp;符文权重!$C:$C,符文权重!$D:$D)*$X520/SUMIFS($X:$X,J:J,J520,$C:$C,$C520,$AG:$AG,$AG520)/SUMIF(符文权重!$A:$A,$C520,符文权重!$D:$D))),"")</f>
        <v/>
      </c>
      <c r="Q520" s="39" t="str" cm="1">
        <f t="array" ref="Q520">IFERROR(IF($A520="","",IF(K520="","",_xlfn.XLOOKUP($C520&amp;"_"&amp;$AG520,符文权重!$A:$A&amp;"_"&amp;符文权重!$C:$C,符文权重!$D:$D)*$X520/SUMIFS($X:$X,K:K,K520,$C:$C,$C520,$AG:$AG,$AG520)/SUMIF(符文权重!$A:$A,$C520,符文权重!$D:$D))),"")</f>
        <v/>
      </c>
      <c r="R520" s="26" t="s">
        <v>163</v>
      </c>
      <c r="S520" s="26"/>
      <c r="T520" s="26" t="e">
        <f>IF(B520="","",SUBSTITUTE(SUBSTITUTE("[{global_atk,"&amp;#REF!*C520&amp;"}]",21,20),9,8))</f>
        <v>#REF!</v>
      </c>
      <c r="U520" s="40" t="str">
        <f t="shared" si="254"/>
        <v>[5506053]</v>
      </c>
      <c r="X520" s="25">
        <v>100</v>
      </c>
      <c r="Z520" s="32" t="s">
        <v>172</v>
      </c>
      <c r="AA520" s="32" t="str">
        <f t="shared" si="232"/>
        <v>释放普攻时0%概率额外释放1次</v>
      </c>
      <c r="AB520" s="32"/>
      <c r="AC520" s="32" t="s">
        <v>166</v>
      </c>
      <c r="AD520" s="32">
        <f t="shared" ref="AD520:AD583" si="258">AD519+1</f>
        <v>1515</v>
      </c>
      <c r="AE520" s="38" t="str">
        <f t="shared" si="235"/>
        <v>5506051</v>
      </c>
      <c r="AF520" s="32" t="str">
        <f t="shared" si="229"/>
        <v>[0]</v>
      </c>
      <c r="AG520" s="26">
        <v>100</v>
      </c>
      <c r="AH520" s="26"/>
      <c r="AI520" s="26">
        <v>1</v>
      </c>
      <c r="AJ520" s="25">
        <v>1</v>
      </c>
      <c r="AK520" s="38">
        <f t="shared" si="256"/>
        <v>5506053</v>
      </c>
      <c r="AL520" s="41" t="str">
        <f t="shared" si="257"/>
        <v>释放普攻时&lt;color=#54b76b&gt;%s%&lt;/color&gt;概率额外释放1次</v>
      </c>
      <c r="AM520" s="26">
        <v>0</v>
      </c>
      <c r="AN520" s="25">
        <v>6</v>
      </c>
      <c r="AO520" s="25" t="s">
        <v>25</v>
      </c>
      <c r="AP520" s="20">
        <f t="shared" ref="AP520:AP583" si="259">AP519+1</f>
        <v>515</v>
      </c>
    </row>
    <row r="521" customHeight="1" spans="1:42">
      <c r="A521" s="38">
        <v>5506054</v>
      </c>
      <c r="B521" s="38" t="str">
        <f t="shared" si="233"/>
        <v>5506051</v>
      </c>
      <c r="C521" s="32">
        <f t="shared" si="234"/>
        <v>4</v>
      </c>
      <c r="D521" s="32"/>
      <c r="E521" s="26" t="s">
        <v>182</v>
      </c>
      <c r="F521" s="26" t="str">
        <f t="shared" si="255"/>
        <v/>
      </c>
      <c r="G521" s="26" t="str">
        <f>IFERROR(IF(--MID($E521,2*COUNTIF($F521:F521,"&gt;"&amp;0)+2,1)=G$1,G$1,""),"")</f>
        <v/>
      </c>
      <c r="H521" s="26">
        <f>IFERROR(IF(--MID($E521,2*COUNTIF($F521:G521,"&gt;"&amp;0)+2,1)=H$1,H$1,""),"")</f>
        <v>3</v>
      </c>
      <c r="I521" s="26" t="str">
        <f>IFERROR(IF(--MID($E521,2*COUNTIF($F521:H521,"&gt;"&amp;0)+2,1)=I$1,I$1,""),"")</f>
        <v/>
      </c>
      <c r="J521" s="26" t="str">
        <f>IFERROR(IF(--MID($E521,2*COUNTIF($F521:I521,"&gt;"&amp;0)+2,1)=J$1,J$1,""),"")</f>
        <v/>
      </c>
      <c r="K521" s="26" t="str">
        <f>IFERROR(IF(--MID($E521,2*COUNTIF($F521:J521,"&gt;"&amp;0)+2,1)=K$1,K$1,""),"")</f>
        <v/>
      </c>
      <c r="L521" s="39" t="str" cm="1">
        <f t="array" ref="L521">IFERROR(IF($A521="","",IF(F521="","",_xlfn.XLOOKUP($C521&amp;"_"&amp;$AG521,符文权重!$A:$A&amp;"_"&amp;符文权重!$C:$C,符文权重!$D:$D)*$X521/SUMIFS($X:$X,F:F,F521,$C:$C,$C521,$AG:$AG,$AG521)/SUMIF(符文权重!$A:$A,$C521,符文权重!$D:$D))),"")</f>
        <v/>
      </c>
      <c r="M521" s="39" t="str" cm="1">
        <f t="array" ref="M521">IFERROR(IF($A521="","",IF(G521="","",_xlfn.XLOOKUP($C521&amp;"_"&amp;$AG521,符文权重!$A:$A&amp;"_"&amp;符文权重!$C:$C,符文权重!$D:$D)*$X521/SUMIFS($X:$X,G:G,G521,$C:$C,$C521,$AG:$AG,$AG521)/SUMIF(符文权重!$A:$A,$C521,符文权重!$D:$D))),"")</f>
        <v/>
      </c>
      <c r="N521" s="39" t="str" cm="1">
        <f t="array" ref="N521">IFERROR(IF($A521="","",IF(H521="","",_xlfn.XLOOKUP($C521&amp;"_"&amp;$AG521,符文权重!$A:$A&amp;"_"&amp;符文权重!$C:$C,符文权重!$D:$D)*$X521/SUMIFS($X:$X,H:H,H521,$C:$C,$C521,$AG:$AG,$AG521)/SUMIF(符文权重!$A:$A,$C521,符文权重!$D:$D))),"")</f>
        <v/>
      </c>
      <c r="O521" s="39" t="str" cm="1">
        <f t="array" ref="O521">IFERROR(IF($A521="","",IF(I521="","",_xlfn.XLOOKUP($C521&amp;"_"&amp;$AG521,符文权重!$A:$A&amp;"_"&amp;符文权重!$C:$C,符文权重!$D:$D)*$X521/SUMIFS($X:$X,I:I,I521,$C:$C,$C521,$AG:$AG,$AG521)/SUMIF(符文权重!$A:$A,$C521,符文权重!$D:$D))),"")</f>
        <v/>
      </c>
      <c r="P521" s="39" t="str" cm="1">
        <f t="array" ref="P521">IFERROR(IF($A521="","",IF(J521="","",_xlfn.XLOOKUP($C521&amp;"_"&amp;$AG521,符文权重!$A:$A&amp;"_"&amp;符文权重!$C:$C,符文权重!$D:$D)*$X521/SUMIFS($X:$X,J:J,J521,$C:$C,$C521,$AG:$AG,$AG521)/SUMIF(符文权重!$A:$A,$C521,符文权重!$D:$D))),"")</f>
        <v/>
      </c>
      <c r="Q521" s="39" t="str" cm="1">
        <f t="array" ref="Q521">IFERROR(IF($A521="","",IF(K521="","",_xlfn.XLOOKUP($C521&amp;"_"&amp;$AG521,符文权重!$A:$A&amp;"_"&amp;符文权重!$C:$C,符文权重!$D:$D)*$X521/SUMIFS($X:$X,K:K,K521,$C:$C,$C521,$AG:$AG,$AG521)/SUMIF(符文权重!$A:$A,$C521,符文权重!$D:$D))),"")</f>
        <v/>
      </c>
      <c r="R521" s="26" t="s">
        <v>163</v>
      </c>
      <c r="S521" s="26"/>
      <c r="T521" s="26" t="e">
        <f>IF(B521="","",SUBSTITUTE(SUBSTITUTE("[{global_atk,"&amp;#REF!*C521&amp;"}]",21,20),9,8))</f>
        <v>#REF!</v>
      </c>
      <c r="U521" s="40" t="str">
        <f t="shared" si="254"/>
        <v>[5506054]</v>
      </c>
      <c r="X521" s="25">
        <v>20</v>
      </c>
      <c r="Z521" s="32" t="s">
        <v>174</v>
      </c>
      <c r="AA521" s="32" t="str">
        <f t="shared" si="232"/>
        <v>释放普攻时10%概率额外释放1次</v>
      </c>
      <c r="AB521" s="32"/>
      <c r="AC521" s="32" t="s">
        <v>166</v>
      </c>
      <c r="AD521" s="32">
        <f t="shared" si="258"/>
        <v>1516</v>
      </c>
      <c r="AE521" s="38" t="str">
        <f t="shared" si="235"/>
        <v>5506051</v>
      </c>
      <c r="AF521" s="32" t="str">
        <f t="shared" si="229"/>
        <v>[10]</v>
      </c>
      <c r="AG521" s="62">
        <v>100</v>
      </c>
      <c r="AH521" s="26"/>
      <c r="AI521" s="26">
        <v>0</v>
      </c>
      <c r="AJ521" s="25">
        <v>1</v>
      </c>
      <c r="AK521" s="38">
        <f t="shared" si="256"/>
        <v>5506054</v>
      </c>
      <c r="AL521" s="41" t="str">
        <f t="shared" si="257"/>
        <v>释放普攻时&lt;color=#54b76b&gt;%s%&lt;/color&gt;概率额外释放1次</v>
      </c>
      <c r="AM521" s="26">
        <v>10</v>
      </c>
      <c r="AN521" s="25">
        <v>6</v>
      </c>
      <c r="AO521" s="25" t="s">
        <v>25</v>
      </c>
      <c r="AP521" s="20">
        <f t="shared" si="259"/>
        <v>516</v>
      </c>
    </row>
    <row r="522" customHeight="1" spans="1:42">
      <c r="A522" s="38">
        <v>5506055</v>
      </c>
      <c r="B522" s="38" t="str">
        <f t="shared" si="233"/>
        <v>5506051</v>
      </c>
      <c r="C522" s="32">
        <f t="shared" si="234"/>
        <v>5</v>
      </c>
      <c r="D522" s="32"/>
      <c r="E522" s="26" t="s">
        <v>182</v>
      </c>
      <c r="F522" s="26" t="str">
        <f t="shared" si="255"/>
        <v/>
      </c>
      <c r="G522" s="26" t="str">
        <f>IFERROR(IF(--MID($E522,2*COUNTIF($F522:F522,"&gt;"&amp;0)+2,1)=G$1,G$1,""),"")</f>
        <v/>
      </c>
      <c r="H522" s="26">
        <f>IFERROR(IF(--MID($E522,2*COUNTIF($F522:G522,"&gt;"&amp;0)+2,1)=H$1,H$1,""),"")</f>
        <v>3</v>
      </c>
      <c r="I522" s="26" t="str">
        <f>IFERROR(IF(--MID($E522,2*COUNTIF($F522:H522,"&gt;"&amp;0)+2,1)=I$1,I$1,""),"")</f>
        <v/>
      </c>
      <c r="J522" s="26" t="str">
        <f>IFERROR(IF(--MID($E522,2*COUNTIF($F522:I522,"&gt;"&amp;0)+2,1)=J$1,J$1,""),"")</f>
        <v/>
      </c>
      <c r="K522" s="26" t="str">
        <f>IFERROR(IF(--MID($E522,2*COUNTIF($F522:J522,"&gt;"&amp;0)+2,1)=K$1,K$1,""),"")</f>
        <v/>
      </c>
      <c r="L522" s="39" t="str" cm="1">
        <f t="array" ref="L522">IFERROR(IF($A522="","",IF(F522="","",_xlfn.XLOOKUP($C522&amp;"_"&amp;$AG522,符文权重!$A:$A&amp;"_"&amp;符文权重!$C:$C,符文权重!$D:$D)*$X522/SUMIFS($X:$X,F:F,F522,$C:$C,$C522,$AG:$AG,$AG522)/SUMIF(符文权重!$A:$A,$C522,符文权重!$D:$D))),"")</f>
        <v/>
      </c>
      <c r="M522" s="39" t="str" cm="1">
        <f t="array" ref="M522">IFERROR(IF($A522="","",IF(G522="","",_xlfn.XLOOKUP($C522&amp;"_"&amp;$AG522,符文权重!$A:$A&amp;"_"&amp;符文权重!$C:$C,符文权重!$D:$D)*$X522/SUMIFS($X:$X,G:G,G522,$C:$C,$C522,$AG:$AG,$AG522)/SUMIF(符文权重!$A:$A,$C522,符文权重!$D:$D))),"")</f>
        <v/>
      </c>
      <c r="N522" s="39" cm="1">
        <f t="array" ref="N522">IFERROR(IF($A522="","",IF(H522="","",_xlfn.XLOOKUP($C522&amp;"_"&amp;$AG522,符文权重!$A:$A&amp;"_"&amp;符文权重!$C:$C,符文权重!$D:$D)*$X522/SUMIFS($X:$X,H:H,H522,$C:$C,$C522,$AG:$AG,$AG522)/SUMIF(符文权重!$A:$A,$C522,符文权重!$D:$D))),"")</f>
        <v>0.00300429184549356</v>
      </c>
      <c r="O522" s="39" t="str" cm="1">
        <f t="array" ref="O522">IFERROR(IF($A522="","",IF(I522="","",_xlfn.XLOOKUP($C522&amp;"_"&amp;$AG522,符文权重!$A:$A&amp;"_"&amp;符文权重!$C:$C,符文权重!$D:$D)*$X522/SUMIFS($X:$X,I:I,I522,$C:$C,$C522,$AG:$AG,$AG522)/SUMIF(符文权重!$A:$A,$C522,符文权重!$D:$D))),"")</f>
        <v/>
      </c>
      <c r="P522" s="39" t="str" cm="1">
        <f t="array" ref="P522">IFERROR(IF($A522="","",IF(J522="","",_xlfn.XLOOKUP($C522&amp;"_"&amp;$AG522,符文权重!$A:$A&amp;"_"&amp;符文权重!$C:$C,符文权重!$D:$D)*$X522/SUMIFS($X:$X,J:J,J522,$C:$C,$C522,$AG:$AG,$AG522)/SUMIF(符文权重!$A:$A,$C522,符文权重!$D:$D))),"")</f>
        <v/>
      </c>
      <c r="Q522" s="39" t="str" cm="1">
        <f t="array" ref="Q522">IFERROR(IF($A522="","",IF(K522="","",_xlfn.XLOOKUP($C522&amp;"_"&amp;$AG522,符文权重!$A:$A&amp;"_"&amp;符文权重!$C:$C,符文权重!$D:$D)*$X522/SUMIFS($X:$X,K:K,K522,$C:$C,$C522,$AG:$AG,$AG522)/SUMIF(符文权重!$A:$A,$C522,符文权重!$D:$D))),"")</f>
        <v/>
      </c>
      <c r="R522" s="26" t="s">
        <v>163</v>
      </c>
      <c r="S522" s="26"/>
      <c r="T522" s="26" t="e">
        <f>IF(B522="","",SUBSTITUTE(SUBSTITUTE("[{global_atk,"&amp;#REF!*C522&amp;"}]",21,20),9,8))</f>
        <v>#REF!</v>
      </c>
      <c r="U522" s="40" t="str">
        <f t="shared" si="254"/>
        <v>[5506055]</v>
      </c>
      <c r="X522" s="25">
        <v>100</v>
      </c>
      <c r="Z522" s="32" t="s">
        <v>176</v>
      </c>
      <c r="AA522" s="32" t="str">
        <f t="shared" si="232"/>
        <v>释放普攻时16%概率额外释放1次</v>
      </c>
      <c r="AB522" s="32"/>
      <c r="AC522" s="32" t="s">
        <v>166</v>
      </c>
      <c r="AD522" s="32">
        <f t="shared" si="258"/>
        <v>1517</v>
      </c>
      <c r="AE522" s="38" t="str">
        <f t="shared" si="235"/>
        <v>5506051</v>
      </c>
      <c r="AF522" s="32" t="str">
        <f t="shared" si="229"/>
        <v>[16]</v>
      </c>
      <c r="AG522" s="26">
        <v>6</v>
      </c>
      <c r="AH522" s="26"/>
      <c r="AI522" s="26">
        <v>0</v>
      </c>
      <c r="AJ522" s="25">
        <v>1</v>
      </c>
      <c r="AK522" s="38">
        <f t="shared" si="256"/>
        <v>5506055</v>
      </c>
      <c r="AL522" s="41" t="str">
        <f t="shared" si="257"/>
        <v>释放普攻时&lt;color=#54b76b&gt;%s%&lt;/color&gt;概率额外释放1次</v>
      </c>
      <c r="AM522" s="26">
        <v>16</v>
      </c>
      <c r="AN522" s="25">
        <v>6</v>
      </c>
      <c r="AO522" s="25" t="s">
        <v>25</v>
      </c>
      <c r="AP522" s="20">
        <f t="shared" si="259"/>
        <v>517</v>
      </c>
    </row>
    <row r="523" customHeight="1" spans="1:42">
      <c r="A523" s="38">
        <v>5506056</v>
      </c>
      <c r="B523" s="38" t="str">
        <f t="shared" si="233"/>
        <v>5506051</v>
      </c>
      <c r="C523" s="32">
        <f t="shared" si="234"/>
        <v>6</v>
      </c>
      <c r="D523" s="32"/>
      <c r="E523" s="26" t="s">
        <v>182</v>
      </c>
      <c r="F523" s="26" t="str">
        <f t="shared" si="255"/>
        <v/>
      </c>
      <c r="G523" s="26" t="str">
        <f>IFERROR(IF(--MID($E523,2*COUNTIF($F523:F523,"&gt;"&amp;0)+2,1)=G$1,G$1,""),"")</f>
        <v/>
      </c>
      <c r="H523" s="26">
        <f>IFERROR(IF(--MID($E523,2*COUNTIF($F523:G523,"&gt;"&amp;0)+2,1)=H$1,H$1,""),"")</f>
        <v>3</v>
      </c>
      <c r="I523" s="26" t="str">
        <f>IFERROR(IF(--MID($E523,2*COUNTIF($F523:H523,"&gt;"&amp;0)+2,1)=I$1,I$1,""),"")</f>
        <v/>
      </c>
      <c r="J523" s="26" t="str">
        <f>IFERROR(IF(--MID($E523,2*COUNTIF($F523:I523,"&gt;"&amp;0)+2,1)=J$1,J$1,""),"")</f>
        <v/>
      </c>
      <c r="K523" s="26" t="str">
        <f>IFERROR(IF(--MID($E523,2*COUNTIF($F523:J523,"&gt;"&amp;0)+2,1)=K$1,K$1,""),"")</f>
        <v/>
      </c>
      <c r="L523" s="39" t="str" cm="1">
        <f t="array" ref="L523">IFERROR(IF($A523="","",IF(F523="","",_xlfn.XLOOKUP($C523&amp;"_"&amp;$AG523,符文权重!$A:$A&amp;"_"&amp;符文权重!$C:$C,符文权重!$D:$D)*$X523/SUMIFS($X:$X,F:F,F523,$C:$C,$C523,$AG:$AG,$AG523)/SUMIF(符文权重!$A:$A,$C523,符文权重!$D:$D))),"")</f>
        <v/>
      </c>
      <c r="M523" s="39" t="str" cm="1">
        <f t="array" ref="M523">IFERROR(IF($A523="","",IF(G523="","",_xlfn.XLOOKUP($C523&amp;"_"&amp;$AG523,符文权重!$A:$A&amp;"_"&amp;符文权重!$C:$C,符文权重!$D:$D)*$X523/SUMIFS($X:$X,G:G,G523,$C:$C,$C523,$AG:$AG,$AG523)/SUMIF(符文权重!$A:$A,$C523,符文权重!$D:$D))),"")</f>
        <v/>
      </c>
      <c r="N523" s="39" cm="1">
        <f t="array" ref="N523">IFERROR(IF($A523="","",IF(H523="","",_xlfn.XLOOKUP($C523&amp;"_"&amp;$AG523,符文权重!$A:$A&amp;"_"&amp;符文权重!$C:$C,符文权重!$D:$D)*$X523/SUMIFS($X:$X,H:H,H523,$C:$C,$C523,$AG:$AG,$AG523)/SUMIF(符文权重!$A:$A,$C523,符文权重!$D:$D))),"")</f>
        <v>0.00300429184549356</v>
      </c>
      <c r="O523" s="39" t="str" cm="1">
        <f t="array" ref="O523">IFERROR(IF($A523="","",IF(I523="","",_xlfn.XLOOKUP($C523&amp;"_"&amp;$AG523,符文权重!$A:$A&amp;"_"&amp;符文权重!$C:$C,符文权重!$D:$D)*$X523/SUMIFS($X:$X,I:I,I523,$C:$C,$C523,$AG:$AG,$AG523)/SUMIF(符文权重!$A:$A,$C523,符文权重!$D:$D))),"")</f>
        <v/>
      </c>
      <c r="P523" s="39" t="str" cm="1">
        <f t="array" ref="P523">IFERROR(IF($A523="","",IF(J523="","",_xlfn.XLOOKUP($C523&amp;"_"&amp;$AG523,符文权重!$A:$A&amp;"_"&amp;符文权重!$C:$C,符文权重!$D:$D)*$X523/SUMIFS($X:$X,J:J,J523,$C:$C,$C523,$AG:$AG,$AG523)/SUMIF(符文权重!$A:$A,$C523,符文权重!$D:$D))),"")</f>
        <v/>
      </c>
      <c r="Q523" s="39" t="str" cm="1">
        <f t="array" ref="Q523">IFERROR(IF($A523="","",IF(K523="","",_xlfn.XLOOKUP($C523&amp;"_"&amp;$AG523,符文权重!$A:$A&amp;"_"&amp;符文权重!$C:$C,符文权重!$D:$D)*$X523/SUMIFS($X:$X,K:K,K523,$C:$C,$C523,$AG:$AG,$AG523)/SUMIF(符文权重!$A:$A,$C523,符文权重!$D:$D))),"")</f>
        <v/>
      </c>
      <c r="R523" s="26" t="s">
        <v>163</v>
      </c>
      <c r="S523" s="26"/>
      <c r="T523" s="26" t="e">
        <f>IF(B523="","",SUBSTITUTE(SUBSTITUTE("[{global_atk,"&amp;#REF!*C523&amp;"}]",21,20),9,8))</f>
        <v>#REF!</v>
      </c>
      <c r="U523" s="40" t="str">
        <f t="shared" si="254"/>
        <v>[5506056]</v>
      </c>
      <c r="X523" s="25">
        <v>100</v>
      </c>
      <c r="Z523" s="32" t="s">
        <v>178</v>
      </c>
      <c r="AA523" s="32" t="str">
        <f t="shared" si="232"/>
        <v>释放普攻时22%概率额外释放1次</v>
      </c>
      <c r="AB523" s="32"/>
      <c r="AC523" s="32" t="s">
        <v>166</v>
      </c>
      <c r="AD523" s="32">
        <f t="shared" si="258"/>
        <v>1518</v>
      </c>
      <c r="AE523" s="38" t="str">
        <f t="shared" si="235"/>
        <v>5506051</v>
      </c>
      <c r="AF523" s="32" t="str">
        <f t="shared" si="229"/>
        <v>[22]</v>
      </c>
      <c r="AG523" s="26">
        <v>6</v>
      </c>
      <c r="AH523" s="26"/>
      <c r="AI523" s="26">
        <v>0</v>
      </c>
      <c r="AJ523" s="25">
        <v>1</v>
      </c>
      <c r="AK523" s="38">
        <f t="shared" si="256"/>
        <v>5506056</v>
      </c>
      <c r="AL523" s="41" t="str">
        <f t="shared" si="257"/>
        <v>释放普攻时&lt;color=#54b76b&gt;%s%&lt;/color&gt;概率额外释放1次</v>
      </c>
      <c r="AM523" s="26">
        <v>22</v>
      </c>
      <c r="AN523" s="25">
        <v>6</v>
      </c>
      <c r="AO523" s="25" t="s">
        <v>25</v>
      </c>
      <c r="AP523" s="20">
        <f t="shared" si="259"/>
        <v>518</v>
      </c>
    </row>
    <row r="524" customHeight="1" spans="1:42">
      <c r="A524" s="38">
        <v>5506057</v>
      </c>
      <c r="B524" s="38" t="str">
        <f t="shared" si="233"/>
        <v>5506051</v>
      </c>
      <c r="C524" s="32">
        <f t="shared" si="234"/>
        <v>7</v>
      </c>
      <c r="D524" s="32"/>
      <c r="E524" s="26" t="s">
        <v>182</v>
      </c>
      <c r="F524" s="26" t="str">
        <f t="shared" si="255"/>
        <v/>
      </c>
      <c r="G524" s="26" t="str">
        <f>IFERROR(IF(--MID($E524,2*COUNTIF($F524:F524,"&gt;"&amp;0)+2,1)=G$1,G$1,""),"")</f>
        <v/>
      </c>
      <c r="H524" s="26">
        <f>IFERROR(IF(--MID($E524,2*COUNTIF($F524:G524,"&gt;"&amp;0)+2,1)=H$1,H$1,""),"")</f>
        <v>3</v>
      </c>
      <c r="I524" s="26" t="str">
        <f>IFERROR(IF(--MID($E524,2*COUNTIF($F524:H524,"&gt;"&amp;0)+2,1)=I$1,I$1,""),"")</f>
        <v/>
      </c>
      <c r="J524" s="26" t="str">
        <f>IFERROR(IF(--MID($E524,2*COUNTIF($F524:I524,"&gt;"&amp;0)+2,1)=J$1,J$1,""),"")</f>
        <v/>
      </c>
      <c r="K524" s="26" t="str">
        <f>IFERROR(IF(--MID($E524,2*COUNTIF($F524:J524,"&gt;"&amp;0)+2,1)=K$1,K$1,""),"")</f>
        <v/>
      </c>
      <c r="L524" s="39" t="str" cm="1">
        <f t="array" ref="L524">IFERROR(IF($A524="","",IF(F524="","",_xlfn.XLOOKUP($C524&amp;"_"&amp;$AG524,符文权重!$A:$A&amp;"_"&amp;符文权重!$C:$C,符文权重!$D:$D)*$X524/SUMIFS($X:$X,F:F,F524,$C:$C,$C524,$AG:$AG,$AG524)/SUMIF(符文权重!$A:$A,$C524,符文权重!$D:$D))),"")</f>
        <v/>
      </c>
      <c r="M524" s="39" t="str" cm="1">
        <f t="array" ref="M524">IFERROR(IF($A524="","",IF(G524="","",_xlfn.XLOOKUP($C524&amp;"_"&amp;$AG524,符文权重!$A:$A&amp;"_"&amp;符文权重!$C:$C,符文权重!$D:$D)*$X524/SUMIFS($X:$X,G:G,G524,$C:$C,$C524,$AG:$AG,$AG524)/SUMIF(符文权重!$A:$A,$C524,符文权重!$D:$D))),"")</f>
        <v/>
      </c>
      <c r="N524" s="39" cm="1">
        <f t="array" ref="N524">IFERROR(IF($A524="","",IF(H524="","",_xlfn.XLOOKUP($C524&amp;"_"&amp;$AG524,符文权重!$A:$A&amp;"_"&amp;符文权重!$C:$C,符文权重!$D:$D)*$X524/SUMIFS($X:$X,H:H,H524,$C:$C,$C524,$AG:$AG,$AG524)/SUMIF(符文权重!$A:$A,$C524,符文权重!$D:$D))),"")</f>
        <v>0.00300429184549356</v>
      </c>
      <c r="O524" s="39" t="str" cm="1">
        <f t="array" ref="O524">IFERROR(IF($A524="","",IF(I524="","",_xlfn.XLOOKUP($C524&amp;"_"&amp;$AG524,符文权重!$A:$A&amp;"_"&amp;符文权重!$C:$C,符文权重!$D:$D)*$X524/SUMIFS($X:$X,I:I,I524,$C:$C,$C524,$AG:$AG,$AG524)/SUMIF(符文权重!$A:$A,$C524,符文权重!$D:$D))),"")</f>
        <v/>
      </c>
      <c r="P524" s="39" t="str" cm="1">
        <f t="array" ref="P524">IFERROR(IF($A524="","",IF(J524="","",_xlfn.XLOOKUP($C524&amp;"_"&amp;$AG524,符文权重!$A:$A&amp;"_"&amp;符文权重!$C:$C,符文权重!$D:$D)*$X524/SUMIFS($X:$X,J:J,J524,$C:$C,$C524,$AG:$AG,$AG524)/SUMIF(符文权重!$A:$A,$C524,符文权重!$D:$D))),"")</f>
        <v/>
      </c>
      <c r="Q524" s="39" t="str" cm="1">
        <f t="array" ref="Q524">IFERROR(IF($A524="","",IF(K524="","",_xlfn.XLOOKUP($C524&amp;"_"&amp;$AG524,符文权重!$A:$A&amp;"_"&amp;符文权重!$C:$C,符文权重!$D:$D)*$X524/SUMIFS($X:$X,K:K,K524,$C:$C,$C524,$AG:$AG,$AG524)/SUMIF(符文权重!$A:$A,$C524,符文权重!$D:$D))),"")</f>
        <v/>
      </c>
      <c r="R524" s="26" t="s">
        <v>163</v>
      </c>
      <c r="S524" s="26"/>
      <c r="T524" s="26" t="e">
        <f>IF(B524="","",SUBSTITUTE(SUBSTITUTE("[{global_atk,"&amp;#REF!*C524&amp;"}]",21,20),9,8))</f>
        <v>#REF!</v>
      </c>
      <c r="U524" s="40" t="str">
        <f t="shared" si="254"/>
        <v>[5506057]</v>
      </c>
      <c r="X524" s="25">
        <v>100</v>
      </c>
      <c r="Z524" s="32" t="s">
        <v>180</v>
      </c>
      <c r="AA524" s="32" t="str">
        <f t="shared" si="232"/>
        <v>释放普攻时28%概率额外释放1次</v>
      </c>
      <c r="AB524" s="32"/>
      <c r="AC524" s="32" t="s">
        <v>166</v>
      </c>
      <c r="AD524" s="32">
        <f t="shared" si="258"/>
        <v>1519</v>
      </c>
      <c r="AE524" s="38" t="str">
        <f t="shared" si="235"/>
        <v>5506051</v>
      </c>
      <c r="AF524" s="32" t="str">
        <f t="shared" si="229"/>
        <v>[28]</v>
      </c>
      <c r="AG524" s="26">
        <v>6</v>
      </c>
      <c r="AH524" s="26"/>
      <c r="AI524" s="26">
        <v>0</v>
      </c>
      <c r="AJ524" s="25">
        <v>1</v>
      </c>
      <c r="AK524" s="38">
        <f t="shared" si="256"/>
        <v>5506057</v>
      </c>
      <c r="AL524" s="41" t="str">
        <f t="shared" si="257"/>
        <v>释放普攻时&lt;color=#54b76b&gt;%s%&lt;/color&gt;概率额外释放1次</v>
      </c>
      <c r="AM524" s="26">
        <v>28</v>
      </c>
      <c r="AN524" s="25">
        <v>6</v>
      </c>
      <c r="AO524" s="25" t="s">
        <v>25</v>
      </c>
      <c r="AP524" s="20">
        <f t="shared" si="259"/>
        <v>519</v>
      </c>
    </row>
    <row r="525" s="20" customFormat="1" customHeight="1" spans="1:42">
      <c r="A525" s="38" t="s">
        <v>167</v>
      </c>
      <c r="B525" s="38" t="str">
        <f t="shared" si="233"/>
        <v/>
      </c>
      <c r="C525" s="32" t="str">
        <f t="shared" si="234"/>
        <v/>
      </c>
      <c r="D525" s="32"/>
      <c r="E525" s="26"/>
      <c r="F525" s="26" t="str">
        <f t="shared" si="255"/>
        <v/>
      </c>
      <c r="G525" s="26" t="str">
        <f>IFERROR(IF(--MID($E525,2*COUNTIF($F525:F525,"&gt;"&amp;0)+2,1)=G$1,G$1,""),"")</f>
        <v/>
      </c>
      <c r="H525" s="26" t="str">
        <f>IFERROR(IF(--MID($E525,2*COUNTIF($F525:G525,"&gt;"&amp;0)+2,1)=H$1,H$1,""),"")</f>
        <v/>
      </c>
      <c r="I525" s="26" t="str">
        <f>IFERROR(IF(--MID($E525,2*COUNTIF($F525:H525,"&gt;"&amp;0)+2,1)=I$1,I$1,""),"")</f>
        <v/>
      </c>
      <c r="J525" s="26" t="str">
        <f>IFERROR(IF(--MID($E525,2*COUNTIF($F525:I525,"&gt;"&amp;0)+2,1)=J$1,J$1,""),"")</f>
        <v/>
      </c>
      <c r="K525" s="26" t="str">
        <f>IFERROR(IF(--MID($E525,2*COUNTIF($F525:J525,"&gt;"&amp;0)+2,1)=K$1,K$1,""),"")</f>
        <v/>
      </c>
      <c r="L525" s="39" t="str" cm="1">
        <f t="array" ref="L525">IFERROR(IF($A525="","",IF(F525="","",_xlfn.XLOOKUP($C525&amp;"_"&amp;$AG525,符文权重!$A:$A&amp;"_"&amp;符文权重!$C:$C,符文权重!$D:$D)*$X525/SUMIFS($X:$X,F:F,F525,$C:$C,$C525,$AG:$AG,$AG525)/SUMIF(符文权重!$A:$A,$C525,符文权重!$D:$D))),"")</f>
        <v/>
      </c>
      <c r="M525" s="39" t="str" cm="1">
        <f t="array" ref="M525">IFERROR(IF($A525="","",IF(G525="","",_xlfn.XLOOKUP($C525&amp;"_"&amp;$AG525,符文权重!$A:$A&amp;"_"&amp;符文权重!$C:$C,符文权重!$D:$D)*$X525/SUMIFS($X:$X,G:G,G525,$C:$C,$C525,$AG:$AG,$AG525)/SUMIF(符文权重!$A:$A,$C525,符文权重!$D:$D))),"")</f>
        <v/>
      </c>
      <c r="N525" s="39" t="str" cm="1">
        <f t="array" ref="N525">IFERROR(IF($A525="","",IF(H525="","",_xlfn.XLOOKUP($C525&amp;"_"&amp;$AG525,符文权重!$A:$A&amp;"_"&amp;符文权重!$C:$C,符文权重!$D:$D)*$X525/SUMIFS($X:$X,H:H,H525,$C:$C,$C525,$AG:$AG,$AG525)/SUMIF(符文权重!$A:$A,$C525,符文权重!$D:$D))),"")</f>
        <v/>
      </c>
      <c r="O525" s="39" t="str" cm="1">
        <f t="array" ref="O525">IFERROR(IF($A525="","",IF(I525="","",_xlfn.XLOOKUP($C525&amp;"_"&amp;$AG525,符文权重!$A:$A&amp;"_"&amp;符文权重!$C:$C,符文权重!$D:$D)*$X525/SUMIFS($X:$X,I:I,I525,$C:$C,$C525,$AG:$AG,$AG525)/SUMIF(符文权重!$A:$A,$C525,符文权重!$D:$D))),"")</f>
        <v/>
      </c>
      <c r="P525" s="39" t="str" cm="1">
        <f t="array" ref="P525">IFERROR(IF($A525="","",IF(J525="","",_xlfn.XLOOKUP($C525&amp;"_"&amp;$AG525,符文权重!$A:$A&amp;"_"&amp;符文权重!$C:$C,符文权重!$D:$D)*$X525/SUMIFS($X:$X,J:J,J525,$C:$C,$C525,$AG:$AG,$AG525)/SUMIF(符文权重!$A:$A,$C525,符文权重!$D:$D))),"")</f>
        <v/>
      </c>
      <c r="Q525" s="39" t="str" cm="1">
        <f t="array" ref="Q525">IFERROR(IF($A525="","",IF(K525="","",_xlfn.XLOOKUP($C525&amp;"_"&amp;$AG525,符文权重!$A:$A&amp;"_"&amp;符文权重!$C:$C,符文权重!$D:$D)*$X525/SUMIFS($X:$X,K:K,K525,$C:$C,$C525,$AG:$AG,$AG525)/SUMIF(符文权重!$A:$A,$C525,符文权重!$D:$D))),"")</f>
        <v/>
      </c>
      <c r="R525" s="26"/>
      <c r="S525" s="26"/>
      <c r="T525" s="26"/>
      <c r="V525" s="31"/>
      <c r="W525" s="25"/>
      <c r="X525" s="25"/>
      <c r="Y525" s="25"/>
      <c r="Z525" s="32" t="s">
        <v>167</v>
      </c>
      <c r="AA525" s="32" t="str">
        <f t="shared" si="232"/>
        <v/>
      </c>
      <c r="AB525" s="32"/>
      <c r="AC525" s="32" t="s">
        <v>166</v>
      </c>
      <c r="AD525" s="32">
        <f t="shared" si="258"/>
        <v>1520</v>
      </c>
      <c r="AE525" s="38" t="str">
        <f t="shared" si="235"/>
        <v/>
      </c>
      <c r="AF525" s="32" t="str">
        <f t="shared" si="229"/>
        <v/>
      </c>
      <c r="AG525" s="26"/>
      <c r="AH525" s="26"/>
      <c r="AI525" s="26"/>
      <c r="AJ525" s="25" t="s">
        <v>167</v>
      </c>
      <c r="AK525" s="24"/>
      <c r="AL525" s="42"/>
      <c r="AM525" s="26"/>
      <c r="AN525" s="25"/>
      <c r="AO525" s="25"/>
      <c r="AP525" s="20">
        <f t="shared" si="259"/>
        <v>520</v>
      </c>
    </row>
    <row r="526" s="20" customFormat="1" customHeight="1" spans="1:42">
      <c r="A526" s="38">
        <v>5506061</v>
      </c>
      <c r="B526" s="38" t="str">
        <f t="shared" si="233"/>
        <v>5506061</v>
      </c>
      <c r="C526" s="32">
        <f t="shared" si="234"/>
        <v>1</v>
      </c>
      <c r="D526" s="32"/>
      <c r="E526" s="26" t="s">
        <v>218</v>
      </c>
      <c r="F526" s="26" t="str">
        <f t="shared" si="255"/>
        <v/>
      </c>
      <c r="G526" s="26" t="str">
        <f>IFERROR(IF(--MID($E526,2*COUNTIF($F526:F526,"&gt;"&amp;0)+2,1)=G$1,G$1,""),"")</f>
        <v/>
      </c>
      <c r="H526" s="26" t="str">
        <f>IFERROR(IF(--MID($E526,2*COUNTIF($F526:G526,"&gt;"&amp;0)+2,1)=H$1,H$1,""),"")</f>
        <v/>
      </c>
      <c r="I526" s="26" t="str">
        <f>IFERROR(IF(--MID($E526,2*COUNTIF($F526:H526,"&gt;"&amp;0)+2,1)=I$1,I$1,""),"")</f>
        <v/>
      </c>
      <c r="J526" s="26">
        <f>IFERROR(IF(--MID($E526,2*COUNTIF($F526:I526,"&gt;"&amp;0)+2,1)=J$1,J$1,""),"")</f>
        <v>5</v>
      </c>
      <c r="K526" s="26" t="str">
        <f>IFERROR(IF(--MID($E526,2*COUNTIF($F526:J526,"&gt;"&amp;0)+2,1)=K$1,K$1,""),"")</f>
        <v/>
      </c>
      <c r="L526" s="39" t="str" cm="1">
        <f t="array" ref="L526">IFERROR(IF($A526="","",IF(F526="","",_xlfn.XLOOKUP($C526&amp;"_"&amp;$AG526,符文权重!$A:$A&amp;"_"&amp;符文权重!$C:$C,符文权重!$D:$D)*$X526/SUMIFS($X:$X,F:F,F526,$C:$C,$C526,$AG:$AG,$AG526)/SUMIF(符文权重!$A:$A,$C526,符文权重!$D:$D))),"")</f>
        <v/>
      </c>
      <c r="M526" s="39" t="str" cm="1">
        <f t="array" ref="M526">IFERROR(IF($A526="","",IF(G526="","",_xlfn.XLOOKUP($C526&amp;"_"&amp;$AG526,符文权重!$A:$A&amp;"_"&amp;符文权重!$C:$C,符文权重!$D:$D)*$X526/SUMIFS($X:$X,G:G,G526,$C:$C,$C526,$AG:$AG,$AG526)/SUMIF(符文权重!$A:$A,$C526,符文权重!$D:$D))),"")</f>
        <v/>
      </c>
      <c r="N526" s="39" t="str" cm="1">
        <f t="array" ref="N526">IFERROR(IF($A526="","",IF(H526="","",_xlfn.XLOOKUP($C526&amp;"_"&amp;$AG526,符文权重!$A:$A&amp;"_"&amp;符文权重!$C:$C,符文权重!$D:$D)*$X526/SUMIFS($X:$X,H:H,H526,$C:$C,$C526,$AG:$AG,$AG526)/SUMIF(符文权重!$A:$A,$C526,符文权重!$D:$D))),"")</f>
        <v/>
      </c>
      <c r="O526" s="39" t="str" cm="1">
        <f t="array" ref="O526">IFERROR(IF($A526="","",IF(I526="","",_xlfn.XLOOKUP($C526&amp;"_"&amp;$AG526,符文权重!$A:$A&amp;"_"&amp;符文权重!$C:$C,符文权重!$D:$D)*$X526/SUMIFS($X:$X,I:I,I526,$C:$C,$C526,$AG:$AG,$AG526)/SUMIF(符文权重!$A:$A,$C526,符文权重!$D:$D))),"")</f>
        <v/>
      </c>
      <c r="P526" s="39" t="str" cm="1">
        <f t="array" ref="P526">IFERROR(IF($A526="","",IF(J526="","",_xlfn.XLOOKUP($C526&amp;"_"&amp;$AG526,符文权重!$A:$A&amp;"_"&amp;符文权重!$C:$C,符文权重!$D:$D)*$X526/SUMIFS($X:$X,J:J,J526,$C:$C,$C526,$AG:$AG,$AG526)/SUMIF(符文权重!$A:$A,$C526,符文权重!$D:$D))),"")</f>
        <v/>
      </c>
      <c r="Q526" s="39" t="str" cm="1">
        <f t="array" ref="Q526">IFERROR(IF($A526="","",IF(K526="","",_xlfn.XLOOKUP($C526&amp;"_"&amp;$AG526,符文权重!$A:$A&amp;"_"&amp;符文权重!$C:$C,符文权重!$D:$D)*$X526/SUMIFS($X:$X,K:K,K526,$C:$C,$C526,$AG:$AG,$AG526)/SUMIF(符文权重!$A:$A,$C526,符文权重!$D:$D))),"")</f>
        <v/>
      </c>
      <c r="R526" s="26" t="s">
        <v>163</v>
      </c>
      <c r="S526" s="26"/>
      <c r="T526" s="26" t="e">
        <f>IF(B526="","",SUBSTITUTE(SUBSTITUTE("[{global_atk,"&amp;#REF!*C526&amp;"}]",21,20),9,8))</f>
        <v>#REF!</v>
      </c>
      <c r="U526" s="40" t="str">
        <f t="shared" ref="U526:U532" si="260">"["&amp;A526&amp;"]"</f>
        <v>[5506061]</v>
      </c>
      <c r="V526" s="26"/>
      <c r="W526" s="25"/>
      <c r="X526" s="25">
        <v>100</v>
      </c>
      <c r="Y526" s="25"/>
      <c r="Z526" s="32" t="s">
        <v>165</v>
      </c>
      <c r="AA526" s="32" t="str">
        <f t="shared" si="232"/>
        <v>伤害有0%概率造成2次命中</v>
      </c>
      <c r="AB526" s="32"/>
      <c r="AC526" s="32" t="s">
        <v>166</v>
      </c>
      <c r="AD526" s="32">
        <f t="shared" si="258"/>
        <v>1521</v>
      </c>
      <c r="AE526" s="38" t="str">
        <f t="shared" si="235"/>
        <v>5506061</v>
      </c>
      <c r="AF526" s="32" t="str">
        <f t="shared" ref="AF526:AF572" si="261">IF(ISBLANK(AM526),"","["&amp;AM526&amp;"]")</f>
        <v>[0]</v>
      </c>
      <c r="AG526" s="26">
        <v>100</v>
      </c>
      <c r="AH526" s="26"/>
      <c r="AI526" s="26">
        <v>1</v>
      </c>
      <c r="AJ526" s="25">
        <v>1</v>
      </c>
      <c r="AK526" s="24">
        <v>5506061</v>
      </c>
      <c r="AL526" s="42" t="s">
        <v>521</v>
      </c>
      <c r="AM526" s="26">
        <v>0</v>
      </c>
      <c r="AN526" s="25">
        <v>6</v>
      </c>
      <c r="AO526" s="25" t="s">
        <v>25</v>
      </c>
      <c r="AP526" s="20">
        <f t="shared" si="259"/>
        <v>521</v>
      </c>
    </row>
    <row r="527" customHeight="1" spans="1:42">
      <c r="A527" s="38">
        <v>5506062</v>
      </c>
      <c r="B527" s="38" t="str">
        <f t="shared" si="233"/>
        <v>5506061</v>
      </c>
      <c r="C527" s="32">
        <f t="shared" si="234"/>
        <v>2</v>
      </c>
      <c r="D527" s="32"/>
      <c r="E527" s="26" t="s">
        <v>218</v>
      </c>
      <c r="F527" s="26" t="str">
        <f t="shared" si="255"/>
        <v/>
      </c>
      <c r="G527" s="26" t="str">
        <f>IFERROR(IF(--MID($E527,2*COUNTIF($F527:F527,"&gt;"&amp;0)+2,1)=G$1,G$1,""),"")</f>
        <v/>
      </c>
      <c r="H527" s="26" t="str">
        <f>IFERROR(IF(--MID($E527,2*COUNTIF($F527:G527,"&gt;"&amp;0)+2,1)=H$1,H$1,""),"")</f>
        <v/>
      </c>
      <c r="I527" s="26" t="str">
        <f>IFERROR(IF(--MID($E527,2*COUNTIF($F527:H527,"&gt;"&amp;0)+2,1)=I$1,I$1,""),"")</f>
        <v/>
      </c>
      <c r="J527" s="26">
        <f>IFERROR(IF(--MID($E527,2*COUNTIF($F527:I527,"&gt;"&amp;0)+2,1)=J$1,J$1,""),"")</f>
        <v>5</v>
      </c>
      <c r="K527" s="26" t="str">
        <f>IFERROR(IF(--MID($E527,2*COUNTIF($F527:J527,"&gt;"&amp;0)+2,1)=K$1,K$1,""),"")</f>
        <v/>
      </c>
      <c r="L527" s="39" t="str" cm="1">
        <f t="array" ref="L527">IFERROR(IF($A527="","",IF(F527="","",_xlfn.XLOOKUP($C527&amp;"_"&amp;$AG527,符文权重!$A:$A&amp;"_"&amp;符文权重!$C:$C,符文权重!$D:$D)*$X527/SUMIFS($X:$X,F:F,F527,$C:$C,$C527,$AG:$AG,$AG527)/SUMIF(符文权重!$A:$A,$C527,符文权重!$D:$D))),"")</f>
        <v/>
      </c>
      <c r="M527" s="39" t="str" cm="1">
        <f t="array" ref="M527">IFERROR(IF($A527="","",IF(G527="","",_xlfn.XLOOKUP($C527&amp;"_"&amp;$AG527,符文权重!$A:$A&amp;"_"&amp;符文权重!$C:$C,符文权重!$D:$D)*$X527/SUMIFS($X:$X,G:G,G527,$C:$C,$C527,$AG:$AG,$AG527)/SUMIF(符文权重!$A:$A,$C527,符文权重!$D:$D))),"")</f>
        <v/>
      </c>
      <c r="N527" s="39" t="str" cm="1">
        <f t="array" ref="N527">IFERROR(IF($A527="","",IF(H527="","",_xlfn.XLOOKUP($C527&amp;"_"&amp;$AG527,符文权重!$A:$A&amp;"_"&amp;符文权重!$C:$C,符文权重!$D:$D)*$X527/SUMIFS($X:$X,H:H,H527,$C:$C,$C527,$AG:$AG,$AG527)/SUMIF(符文权重!$A:$A,$C527,符文权重!$D:$D))),"")</f>
        <v/>
      </c>
      <c r="O527" s="39" t="str" cm="1">
        <f t="array" ref="O527">IFERROR(IF($A527="","",IF(I527="","",_xlfn.XLOOKUP($C527&amp;"_"&amp;$AG527,符文权重!$A:$A&amp;"_"&amp;符文权重!$C:$C,符文权重!$D:$D)*$X527/SUMIFS($X:$X,I:I,I527,$C:$C,$C527,$AG:$AG,$AG527)/SUMIF(符文权重!$A:$A,$C527,符文权重!$D:$D))),"")</f>
        <v/>
      </c>
      <c r="P527" s="39" t="str" cm="1">
        <f t="array" ref="P527">IFERROR(IF($A527="","",IF(J527="","",_xlfn.XLOOKUP($C527&amp;"_"&amp;$AG527,符文权重!$A:$A&amp;"_"&amp;符文权重!$C:$C,符文权重!$D:$D)*$X527/SUMIFS($X:$X,J:J,J527,$C:$C,$C527,$AG:$AG,$AG527)/SUMIF(符文权重!$A:$A,$C527,符文权重!$D:$D))),"")</f>
        <v/>
      </c>
      <c r="Q527" s="39" t="str" cm="1">
        <f t="array" ref="Q527">IFERROR(IF($A527="","",IF(K527="","",_xlfn.XLOOKUP($C527&amp;"_"&amp;$AG527,符文权重!$A:$A&amp;"_"&amp;符文权重!$C:$C,符文权重!$D:$D)*$X527/SUMIFS($X:$X,K:K,K527,$C:$C,$C527,$AG:$AG,$AG527)/SUMIF(符文权重!$A:$A,$C527,符文权重!$D:$D))),"")</f>
        <v/>
      </c>
      <c r="R527" s="26" t="s">
        <v>163</v>
      </c>
      <c r="S527" s="26"/>
      <c r="T527" s="26" t="e">
        <f>IF(B527="","",SUBSTITUTE(SUBSTITUTE("[{global_atk,"&amp;#REF!*C527&amp;"}]",21,20),9,8))</f>
        <v>#REF!</v>
      </c>
      <c r="U527" s="40" t="str">
        <f t="shared" si="260"/>
        <v>[5506062]</v>
      </c>
      <c r="X527" s="25">
        <v>100</v>
      </c>
      <c r="Z527" s="32" t="s">
        <v>170</v>
      </c>
      <c r="AA527" s="32" t="str">
        <f t="shared" si="232"/>
        <v>伤害有0%概率造成2次命中</v>
      </c>
      <c r="AB527" s="32"/>
      <c r="AC527" s="32" t="s">
        <v>166</v>
      </c>
      <c r="AD527" s="32">
        <f t="shared" si="258"/>
        <v>1522</v>
      </c>
      <c r="AE527" s="38" t="str">
        <f t="shared" si="235"/>
        <v>5506061</v>
      </c>
      <c r="AF527" s="32" t="str">
        <f t="shared" si="261"/>
        <v>[0]</v>
      </c>
      <c r="AG527" s="26">
        <v>100</v>
      </c>
      <c r="AH527" s="26"/>
      <c r="AI527" s="26">
        <v>1</v>
      </c>
      <c r="AJ527" s="25">
        <v>1</v>
      </c>
      <c r="AK527" s="38">
        <f t="shared" ref="AK527:AK532" si="262">AK526+1</f>
        <v>5506062</v>
      </c>
      <c r="AL527" s="41" t="str">
        <f t="shared" ref="AL527:AL532" si="263">AL526</f>
        <v>伤害有&lt;color=#54b76b&gt;%s%&lt;/color&gt;概率造成2次命中</v>
      </c>
      <c r="AM527" s="26">
        <v>0</v>
      </c>
      <c r="AN527" s="25">
        <v>6</v>
      </c>
      <c r="AO527" s="25" t="s">
        <v>25</v>
      </c>
      <c r="AP527" s="20">
        <f t="shared" si="259"/>
        <v>522</v>
      </c>
    </row>
    <row r="528" customHeight="1" spans="1:42">
      <c r="A528" s="38">
        <v>5506063</v>
      </c>
      <c r="B528" s="38" t="str">
        <f t="shared" si="233"/>
        <v>5506061</v>
      </c>
      <c r="C528" s="32">
        <f t="shared" si="234"/>
        <v>3</v>
      </c>
      <c r="D528" s="32"/>
      <c r="E528" s="26" t="s">
        <v>218</v>
      </c>
      <c r="F528" s="26" t="str">
        <f t="shared" si="255"/>
        <v/>
      </c>
      <c r="G528" s="26" t="str">
        <f>IFERROR(IF(--MID($E528,2*COUNTIF($F528:F528,"&gt;"&amp;0)+2,1)=G$1,G$1,""),"")</f>
        <v/>
      </c>
      <c r="H528" s="26" t="str">
        <f>IFERROR(IF(--MID($E528,2*COUNTIF($F528:G528,"&gt;"&amp;0)+2,1)=H$1,H$1,""),"")</f>
        <v/>
      </c>
      <c r="I528" s="26" t="str">
        <f>IFERROR(IF(--MID($E528,2*COUNTIF($F528:H528,"&gt;"&amp;0)+2,1)=I$1,I$1,""),"")</f>
        <v/>
      </c>
      <c r="J528" s="26">
        <f>IFERROR(IF(--MID($E528,2*COUNTIF($F528:I528,"&gt;"&amp;0)+2,1)=J$1,J$1,""),"")</f>
        <v>5</v>
      </c>
      <c r="K528" s="26" t="str">
        <f>IFERROR(IF(--MID($E528,2*COUNTIF($F528:J528,"&gt;"&amp;0)+2,1)=K$1,K$1,""),"")</f>
        <v/>
      </c>
      <c r="L528" s="39" t="str" cm="1">
        <f t="array" ref="L528">IFERROR(IF($A528="","",IF(F528="","",_xlfn.XLOOKUP($C528&amp;"_"&amp;$AG528,符文权重!$A:$A&amp;"_"&amp;符文权重!$C:$C,符文权重!$D:$D)*$X528/SUMIFS($X:$X,F:F,F528,$C:$C,$C528,$AG:$AG,$AG528)/SUMIF(符文权重!$A:$A,$C528,符文权重!$D:$D))),"")</f>
        <v/>
      </c>
      <c r="M528" s="39" t="str" cm="1">
        <f t="array" ref="M528">IFERROR(IF($A528="","",IF(G528="","",_xlfn.XLOOKUP($C528&amp;"_"&amp;$AG528,符文权重!$A:$A&amp;"_"&amp;符文权重!$C:$C,符文权重!$D:$D)*$X528/SUMIFS($X:$X,G:G,G528,$C:$C,$C528,$AG:$AG,$AG528)/SUMIF(符文权重!$A:$A,$C528,符文权重!$D:$D))),"")</f>
        <v/>
      </c>
      <c r="N528" s="39" t="str" cm="1">
        <f t="array" ref="N528">IFERROR(IF($A528="","",IF(H528="","",_xlfn.XLOOKUP($C528&amp;"_"&amp;$AG528,符文权重!$A:$A&amp;"_"&amp;符文权重!$C:$C,符文权重!$D:$D)*$X528/SUMIFS($X:$X,H:H,H528,$C:$C,$C528,$AG:$AG,$AG528)/SUMIF(符文权重!$A:$A,$C528,符文权重!$D:$D))),"")</f>
        <v/>
      </c>
      <c r="O528" s="39" t="str" cm="1">
        <f t="array" ref="O528">IFERROR(IF($A528="","",IF(I528="","",_xlfn.XLOOKUP($C528&amp;"_"&amp;$AG528,符文权重!$A:$A&amp;"_"&amp;符文权重!$C:$C,符文权重!$D:$D)*$X528/SUMIFS($X:$X,I:I,I528,$C:$C,$C528,$AG:$AG,$AG528)/SUMIF(符文权重!$A:$A,$C528,符文权重!$D:$D))),"")</f>
        <v/>
      </c>
      <c r="P528" s="39" t="str" cm="1">
        <f t="array" ref="P528">IFERROR(IF($A528="","",IF(J528="","",_xlfn.XLOOKUP($C528&amp;"_"&amp;$AG528,符文权重!$A:$A&amp;"_"&amp;符文权重!$C:$C,符文权重!$D:$D)*$X528/SUMIFS($X:$X,J:J,J528,$C:$C,$C528,$AG:$AG,$AG528)/SUMIF(符文权重!$A:$A,$C528,符文权重!$D:$D))),"")</f>
        <v/>
      </c>
      <c r="Q528" s="39" t="str" cm="1">
        <f t="array" ref="Q528">IFERROR(IF($A528="","",IF(K528="","",_xlfn.XLOOKUP($C528&amp;"_"&amp;$AG528,符文权重!$A:$A&amp;"_"&amp;符文权重!$C:$C,符文权重!$D:$D)*$X528/SUMIFS($X:$X,K:K,K528,$C:$C,$C528,$AG:$AG,$AG528)/SUMIF(符文权重!$A:$A,$C528,符文权重!$D:$D))),"")</f>
        <v/>
      </c>
      <c r="R528" s="26" t="s">
        <v>163</v>
      </c>
      <c r="S528" s="26"/>
      <c r="T528" s="26" t="e">
        <f>IF(B528="","",SUBSTITUTE(SUBSTITUTE("[{global_atk,"&amp;#REF!*C528&amp;"}]",21,20),9,8))</f>
        <v>#REF!</v>
      </c>
      <c r="U528" s="40" t="str">
        <f t="shared" si="260"/>
        <v>[5506063]</v>
      </c>
      <c r="X528" s="25">
        <v>100</v>
      </c>
      <c r="Z528" s="32" t="s">
        <v>172</v>
      </c>
      <c r="AA528" s="32" t="str">
        <f t="shared" si="232"/>
        <v>伤害有0%概率造成2次命中</v>
      </c>
      <c r="AB528" s="32"/>
      <c r="AC528" s="32" t="s">
        <v>166</v>
      </c>
      <c r="AD528" s="32">
        <f t="shared" si="258"/>
        <v>1523</v>
      </c>
      <c r="AE528" s="38" t="str">
        <f t="shared" si="235"/>
        <v>5506061</v>
      </c>
      <c r="AF528" s="32" t="str">
        <f t="shared" si="261"/>
        <v>[0]</v>
      </c>
      <c r="AG528" s="26">
        <v>100</v>
      </c>
      <c r="AH528" s="26"/>
      <c r="AI528" s="26">
        <v>1</v>
      </c>
      <c r="AJ528" s="25">
        <v>1</v>
      </c>
      <c r="AK528" s="38">
        <f t="shared" si="262"/>
        <v>5506063</v>
      </c>
      <c r="AL528" s="41" t="str">
        <f t="shared" si="263"/>
        <v>伤害有&lt;color=#54b76b&gt;%s%&lt;/color&gt;概率造成2次命中</v>
      </c>
      <c r="AM528" s="26">
        <v>0</v>
      </c>
      <c r="AN528" s="25">
        <v>6</v>
      </c>
      <c r="AO528" s="25" t="s">
        <v>25</v>
      </c>
      <c r="AP528" s="20">
        <f t="shared" si="259"/>
        <v>523</v>
      </c>
    </row>
    <row r="529" customHeight="1" spans="1:42">
      <c r="A529" s="38">
        <v>5506064</v>
      </c>
      <c r="B529" s="38" t="str">
        <f t="shared" si="233"/>
        <v>5506061</v>
      </c>
      <c r="C529" s="32">
        <f t="shared" si="234"/>
        <v>4</v>
      </c>
      <c r="D529" s="32"/>
      <c r="E529" s="26" t="s">
        <v>218</v>
      </c>
      <c r="F529" s="26" t="str">
        <f t="shared" si="255"/>
        <v/>
      </c>
      <c r="G529" s="26" t="str">
        <f>IFERROR(IF(--MID($E529,2*COUNTIF($F529:F529,"&gt;"&amp;0)+2,1)=G$1,G$1,""),"")</f>
        <v/>
      </c>
      <c r="H529" s="26" t="str">
        <f>IFERROR(IF(--MID($E529,2*COUNTIF($F529:G529,"&gt;"&amp;0)+2,1)=H$1,H$1,""),"")</f>
        <v/>
      </c>
      <c r="I529" s="26" t="str">
        <f>IFERROR(IF(--MID($E529,2*COUNTIF($F529:H529,"&gt;"&amp;0)+2,1)=I$1,I$1,""),"")</f>
        <v/>
      </c>
      <c r="J529" s="26">
        <f>IFERROR(IF(--MID($E529,2*COUNTIF($F529:I529,"&gt;"&amp;0)+2,1)=J$1,J$1,""),"")</f>
        <v>5</v>
      </c>
      <c r="K529" s="26" t="str">
        <f>IFERROR(IF(--MID($E529,2*COUNTIF($F529:J529,"&gt;"&amp;0)+2,1)=K$1,K$1,""),"")</f>
        <v/>
      </c>
      <c r="L529" s="39" t="str" cm="1">
        <f t="array" ref="L529">IFERROR(IF($A529="","",IF(F529="","",_xlfn.XLOOKUP($C529&amp;"_"&amp;$AG529,符文权重!$A:$A&amp;"_"&amp;符文权重!$C:$C,符文权重!$D:$D)*$X529/SUMIFS($X:$X,F:F,F529,$C:$C,$C529,$AG:$AG,$AG529)/SUMIF(符文权重!$A:$A,$C529,符文权重!$D:$D))),"")</f>
        <v/>
      </c>
      <c r="M529" s="39" t="str" cm="1">
        <f t="array" ref="M529">IFERROR(IF($A529="","",IF(G529="","",_xlfn.XLOOKUP($C529&amp;"_"&amp;$AG529,符文权重!$A:$A&amp;"_"&amp;符文权重!$C:$C,符文权重!$D:$D)*$X529/SUMIFS($X:$X,G:G,G529,$C:$C,$C529,$AG:$AG,$AG529)/SUMIF(符文权重!$A:$A,$C529,符文权重!$D:$D))),"")</f>
        <v/>
      </c>
      <c r="N529" s="39" t="str" cm="1">
        <f t="array" ref="N529">IFERROR(IF($A529="","",IF(H529="","",_xlfn.XLOOKUP($C529&amp;"_"&amp;$AG529,符文权重!$A:$A&amp;"_"&amp;符文权重!$C:$C,符文权重!$D:$D)*$X529/SUMIFS($X:$X,H:H,H529,$C:$C,$C529,$AG:$AG,$AG529)/SUMIF(符文权重!$A:$A,$C529,符文权重!$D:$D))),"")</f>
        <v/>
      </c>
      <c r="O529" s="39" t="str" cm="1">
        <f t="array" ref="O529">IFERROR(IF($A529="","",IF(I529="","",_xlfn.XLOOKUP($C529&amp;"_"&amp;$AG529,符文权重!$A:$A&amp;"_"&amp;符文权重!$C:$C,符文权重!$D:$D)*$X529/SUMIFS($X:$X,I:I,I529,$C:$C,$C529,$AG:$AG,$AG529)/SUMIF(符文权重!$A:$A,$C529,符文权重!$D:$D))),"")</f>
        <v/>
      </c>
      <c r="P529" s="39" t="str" cm="1">
        <f t="array" ref="P529">IFERROR(IF($A529="","",IF(J529="","",_xlfn.XLOOKUP($C529&amp;"_"&amp;$AG529,符文权重!$A:$A&amp;"_"&amp;符文权重!$C:$C,符文权重!$D:$D)*$X529/SUMIFS($X:$X,J:J,J529,$C:$C,$C529,$AG:$AG,$AG529)/SUMIF(符文权重!$A:$A,$C529,符文权重!$D:$D))),"")</f>
        <v/>
      </c>
      <c r="Q529" s="39" t="str" cm="1">
        <f t="array" ref="Q529">IFERROR(IF($A529="","",IF(K529="","",_xlfn.XLOOKUP($C529&amp;"_"&amp;$AG529,符文权重!$A:$A&amp;"_"&amp;符文权重!$C:$C,符文权重!$D:$D)*$X529/SUMIFS($X:$X,K:K,K529,$C:$C,$C529,$AG:$AG,$AG529)/SUMIF(符文权重!$A:$A,$C529,符文权重!$D:$D))),"")</f>
        <v/>
      </c>
      <c r="R529" s="26" t="s">
        <v>163</v>
      </c>
      <c r="S529" s="26"/>
      <c r="T529" s="26" t="e">
        <f>IF(B529="","",SUBSTITUTE(SUBSTITUTE("[{global_atk,"&amp;#REF!*C529&amp;"}]",21,20),9,8))</f>
        <v>#REF!</v>
      </c>
      <c r="U529" s="40" t="str">
        <f t="shared" si="260"/>
        <v>[5506064]</v>
      </c>
      <c r="X529" s="25">
        <v>20</v>
      </c>
      <c r="Z529" s="32" t="s">
        <v>174</v>
      </c>
      <c r="AA529" s="32" t="str">
        <f t="shared" si="232"/>
        <v>伤害有4%概率造成2次命中</v>
      </c>
      <c r="AB529" s="32"/>
      <c r="AC529" s="32" t="s">
        <v>166</v>
      </c>
      <c r="AD529" s="32">
        <f t="shared" si="258"/>
        <v>1524</v>
      </c>
      <c r="AE529" s="38" t="str">
        <f t="shared" si="235"/>
        <v>5506061</v>
      </c>
      <c r="AF529" s="32" t="str">
        <f t="shared" si="261"/>
        <v>[4]</v>
      </c>
      <c r="AG529" s="62">
        <v>100</v>
      </c>
      <c r="AH529" s="26"/>
      <c r="AI529" s="26">
        <v>0</v>
      </c>
      <c r="AJ529" s="25">
        <v>1</v>
      </c>
      <c r="AK529" s="38">
        <f t="shared" si="262"/>
        <v>5506064</v>
      </c>
      <c r="AL529" s="41" t="str">
        <f t="shared" si="263"/>
        <v>伤害有&lt;color=#54b76b&gt;%s%&lt;/color&gt;概率造成2次命中</v>
      </c>
      <c r="AM529" s="26">
        <v>4</v>
      </c>
      <c r="AN529" s="25">
        <v>6</v>
      </c>
      <c r="AO529" s="25" t="s">
        <v>25</v>
      </c>
      <c r="AP529" s="20">
        <f t="shared" si="259"/>
        <v>524</v>
      </c>
    </row>
    <row r="530" customHeight="1" spans="1:42">
      <c r="A530" s="38">
        <v>5506065</v>
      </c>
      <c r="B530" s="38" t="str">
        <f t="shared" si="233"/>
        <v>5506061</v>
      </c>
      <c r="C530" s="32">
        <f t="shared" si="234"/>
        <v>5</v>
      </c>
      <c r="D530" s="32"/>
      <c r="E530" s="26" t="s">
        <v>218</v>
      </c>
      <c r="F530" s="26" t="str">
        <f t="shared" si="255"/>
        <v/>
      </c>
      <c r="G530" s="26" t="str">
        <f>IFERROR(IF(--MID($E530,2*COUNTIF($F530:F530,"&gt;"&amp;0)+2,1)=G$1,G$1,""),"")</f>
        <v/>
      </c>
      <c r="H530" s="26" t="str">
        <f>IFERROR(IF(--MID($E530,2*COUNTIF($F530:G530,"&gt;"&amp;0)+2,1)=H$1,H$1,""),"")</f>
        <v/>
      </c>
      <c r="I530" s="26" t="str">
        <f>IFERROR(IF(--MID($E530,2*COUNTIF($F530:H530,"&gt;"&amp;0)+2,1)=I$1,I$1,""),"")</f>
        <v/>
      </c>
      <c r="J530" s="26">
        <f>IFERROR(IF(--MID($E530,2*COUNTIF($F530:I530,"&gt;"&amp;0)+2,1)=J$1,J$1,""),"")</f>
        <v>5</v>
      </c>
      <c r="K530" s="26" t="str">
        <f>IFERROR(IF(--MID($E530,2*COUNTIF($F530:J530,"&gt;"&amp;0)+2,1)=K$1,K$1,""),"")</f>
        <v/>
      </c>
      <c r="L530" s="39" t="str" cm="1">
        <f t="array" ref="L530">IFERROR(IF($A530="","",IF(F530="","",_xlfn.XLOOKUP($C530&amp;"_"&amp;$AG530,符文权重!$A:$A&amp;"_"&amp;符文权重!$C:$C,符文权重!$D:$D)*$X530/SUMIFS($X:$X,F:F,F530,$C:$C,$C530,$AG:$AG,$AG530)/SUMIF(符文权重!$A:$A,$C530,符文权重!$D:$D))),"")</f>
        <v/>
      </c>
      <c r="M530" s="39" t="str" cm="1">
        <f t="array" ref="M530">IFERROR(IF($A530="","",IF(G530="","",_xlfn.XLOOKUP($C530&amp;"_"&amp;$AG530,符文权重!$A:$A&amp;"_"&amp;符文权重!$C:$C,符文权重!$D:$D)*$X530/SUMIFS($X:$X,G:G,G530,$C:$C,$C530,$AG:$AG,$AG530)/SUMIF(符文权重!$A:$A,$C530,符文权重!$D:$D))),"")</f>
        <v/>
      </c>
      <c r="N530" s="39" t="str" cm="1">
        <f t="array" ref="N530">IFERROR(IF($A530="","",IF(H530="","",_xlfn.XLOOKUP($C530&amp;"_"&amp;$AG530,符文权重!$A:$A&amp;"_"&amp;符文权重!$C:$C,符文权重!$D:$D)*$X530/SUMIFS($X:$X,H:H,H530,$C:$C,$C530,$AG:$AG,$AG530)/SUMIF(符文权重!$A:$A,$C530,符文权重!$D:$D))),"")</f>
        <v/>
      </c>
      <c r="O530" s="39" t="str" cm="1">
        <f t="array" ref="O530">IFERROR(IF($A530="","",IF(I530="","",_xlfn.XLOOKUP($C530&amp;"_"&amp;$AG530,符文权重!$A:$A&amp;"_"&amp;符文权重!$C:$C,符文权重!$D:$D)*$X530/SUMIFS($X:$X,I:I,I530,$C:$C,$C530,$AG:$AG,$AG530)/SUMIF(符文权重!$A:$A,$C530,符文权重!$D:$D))),"")</f>
        <v/>
      </c>
      <c r="P530" s="39" cm="1">
        <f t="array" ref="P530">IFERROR(IF($A530="","",IF(J530="","",_xlfn.XLOOKUP($C530&amp;"_"&amp;$AG530,符文权重!$A:$A&amp;"_"&amp;符文权重!$C:$C,符文权重!$D:$D)*$X530/SUMIFS($X:$X,J:J,J530,$C:$C,$C530,$AG:$AG,$AG530)/SUMIF(符文权重!$A:$A,$C530,符文权重!$D:$D))),"")</f>
        <v>0.00300429184549356</v>
      </c>
      <c r="Q530" s="39" t="str" cm="1">
        <f t="array" ref="Q530">IFERROR(IF($A530="","",IF(K530="","",_xlfn.XLOOKUP($C530&amp;"_"&amp;$AG530,符文权重!$A:$A&amp;"_"&amp;符文权重!$C:$C,符文权重!$D:$D)*$X530/SUMIFS($X:$X,K:K,K530,$C:$C,$C530,$AG:$AG,$AG530)/SUMIF(符文权重!$A:$A,$C530,符文权重!$D:$D))),"")</f>
        <v/>
      </c>
      <c r="R530" s="26" t="s">
        <v>163</v>
      </c>
      <c r="S530" s="26"/>
      <c r="T530" s="26" t="e">
        <f>IF(B530="","",SUBSTITUTE(SUBSTITUTE("[{global_atk,"&amp;#REF!*C530&amp;"}]",21,20),9,8))</f>
        <v>#REF!</v>
      </c>
      <c r="U530" s="40" t="str">
        <f t="shared" si="260"/>
        <v>[5506065]</v>
      </c>
      <c r="X530" s="25">
        <v>100</v>
      </c>
      <c r="Z530" s="32" t="s">
        <v>176</v>
      </c>
      <c r="AA530" s="32" t="str">
        <f t="shared" ref="AA530:AA593" si="264">SUBSTITUTE(SUBSTITUTE(SUBSTITUTE(SUBSTITUTE(AL530,"%s",AM530),"&lt;color=#54b76b&gt;",""),"&lt;/color&gt; ",""),"&lt;/color&gt;","")</f>
        <v>伤害有6%概率造成2次命中</v>
      </c>
      <c r="AB530" s="32"/>
      <c r="AC530" s="32" t="s">
        <v>166</v>
      </c>
      <c r="AD530" s="32">
        <f t="shared" si="258"/>
        <v>1525</v>
      </c>
      <c r="AE530" s="38" t="str">
        <f t="shared" si="235"/>
        <v>5506061</v>
      </c>
      <c r="AF530" s="32" t="str">
        <f t="shared" si="261"/>
        <v>[6]</v>
      </c>
      <c r="AG530" s="26">
        <v>6</v>
      </c>
      <c r="AH530" s="26"/>
      <c r="AI530" s="26">
        <v>0</v>
      </c>
      <c r="AJ530" s="25">
        <v>1</v>
      </c>
      <c r="AK530" s="38">
        <f t="shared" si="262"/>
        <v>5506065</v>
      </c>
      <c r="AL530" s="41" t="str">
        <f t="shared" si="263"/>
        <v>伤害有&lt;color=#54b76b&gt;%s%&lt;/color&gt;概率造成2次命中</v>
      </c>
      <c r="AM530" s="26">
        <v>6</v>
      </c>
      <c r="AN530" s="25">
        <v>6</v>
      </c>
      <c r="AO530" s="25" t="s">
        <v>25</v>
      </c>
      <c r="AP530" s="20">
        <f t="shared" si="259"/>
        <v>525</v>
      </c>
    </row>
    <row r="531" customHeight="1" spans="1:42">
      <c r="A531" s="38">
        <v>5506066</v>
      </c>
      <c r="B531" s="38" t="str">
        <f t="shared" si="233"/>
        <v>5506061</v>
      </c>
      <c r="C531" s="32">
        <f t="shared" si="234"/>
        <v>6</v>
      </c>
      <c r="D531" s="32"/>
      <c r="E531" s="26" t="s">
        <v>218</v>
      </c>
      <c r="F531" s="26" t="str">
        <f t="shared" si="255"/>
        <v/>
      </c>
      <c r="G531" s="26" t="str">
        <f>IFERROR(IF(--MID($E531,2*COUNTIF($F531:F531,"&gt;"&amp;0)+2,1)=G$1,G$1,""),"")</f>
        <v/>
      </c>
      <c r="H531" s="26" t="str">
        <f>IFERROR(IF(--MID($E531,2*COUNTIF($F531:G531,"&gt;"&amp;0)+2,1)=H$1,H$1,""),"")</f>
        <v/>
      </c>
      <c r="I531" s="26" t="str">
        <f>IFERROR(IF(--MID($E531,2*COUNTIF($F531:H531,"&gt;"&amp;0)+2,1)=I$1,I$1,""),"")</f>
        <v/>
      </c>
      <c r="J531" s="26">
        <f>IFERROR(IF(--MID($E531,2*COUNTIF($F531:I531,"&gt;"&amp;0)+2,1)=J$1,J$1,""),"")</f>
        <v>5</v>
      </c>
      <c r="K531" s="26" t="str">
        <f>IFERROR(IF(--MID($E531,2*COUNTIF($F531:J531,"&gt;"&amp;0)+2,1)=K$1,K$1,""),"")</f>
        <v/>
      </c>
      <c r="L531" s="39" t="str" cm="1">
        <f t="array" ref="L531">IFERROR(IF($A531="","",IF(F531="","",_xlfn.XLOOKUP($C531&amp;"_"&amp;$AG531,符文权重!$A:$A&amp;"_"&amp;符文权重!$C:$C,符文权重!$D:$D)*$X531/SUMIFS($X:$X,F:F,F531,$C:$C,$C531,$AG:$AG,$AG531)/SUMIF(符文权重!$A:$A,$C531,符文权重!$D:$D))),"")</f>
        <v/>
      </c>
      <c r="M531" s="39" t="str" cm="1">
        <f t="array" ref="M531">IFERROR(IF($A531="","",IF(G531="","",_xlfn.XLOOKUP($C531&amp;"_"&amp;$AG531,符文权重!$A:$A&amp;"_"&amp;符文权重!$C:$C,符文权重!$D:$D)*$X531/SUMIFS($X:$X,G:G,G531,$C:$C,$C531,$AG:$AG,$AG531)/SUMIF(符文权重!$A:$A,$C531,符文权重!$D:$D))),"")</f>
        <v/>
      </c>
      <c r="N531" s="39" t="str" cm="1">
        <f t="array" ref="N531">IFERROR(IF($A531="","",IF(H531="","",_xlfn.XLOOKUP($C531&amp;"_"&amp;$AG531,符文权重!$A:$A&amp;"_"&amp;符文权重!$C:$C,符文权重!$D:$D)*$X531/SUMIFS($X:$X,H:H,H531,$C:$C,$C531,$AG:$AG,$AG531)/SUMIF(符文权重!$A:$A,$C531,符文权重!$D:$D))),"")</f>
        <v/>
      </c>
      <c r="O531" s="39" t="str" cm="1">
        <f t="array" ref="O531">IFERROR(IF($A531="","",IF(I531="","",_xlfn.XLOOKUP($C531&amp;"_"&amp;$AG531,符文权重!$A:$A&amp;"_"&amp;符文权重!$C:$C,符文权重!$D:$D)*$X531/SUMIFS($X:$X,I:I,I531,$C:$C,$C531,$AG:$AG,$AG531)/SUMIF(符文权重!$A:$A,$C531,符文权重!$D:$D))),"")</f>
        <v/>
      </c>
      <c r="P531" s="39" cm="1">
        <f t="array" ref="P531">IFERROR(IF($A531="","",IF(J531="","",_xlfn.XLOOKUP($C531&amp;"_"&amp;$AG531,符文权重!$A:$A&amp;"_"&amp;符文权重!$C:$C,符文权重!$D:$D)*$X531/SUMIFS($X:$X,J:J,J531,$C:$C,$C531,$AG:$AG,$AG531)/SUMIF(符文权重!$A:$A,$C531,符文权重!$D:$D))),"")</f>
        <v>0.00300429184549356</v>
      </c>
      <c r="Q531" s="39" t="str" cm="1">
        <f t="array" ref="Q531">IFERROR(IF($A531="","",IF(K531="","",_xlfn.XLOOKUP($C531&amp;"_"&amp;$AG531,符文权重!$A:$A&amp;"_"&amp;符文权重!$C:$C,符文权重!$D:$D)*$X531/SUMIFS($X:$X,K:K,K531,$C:$C,$C531,$AG:$AG,$AG531)/SUMIF(符文权重!$A:$A,$C531,符文权重!$D:$D))),"")</f>
        <v/>
      </c>
      <c r="R531" s="26" t="s">
        <v>163</v>
      </c>
      <c r="S531" s="26"/>
      <c r="T531" s="26" t="e">
        <f>IF(B531="","",SUBSTITUTE(SUBSTITUTE("[{global_atk,"&amp;#REF!*C531&amp;"}]",21,20),9,8))</f>
        <v>#REF!</v>
      </c>
      <c r="U531" s="40" t="str">
        <f t="shared" si="260"/>
        <v>[5506066]</v>
      </c>
      <c r="X531" s="25">
        <v>100</v>
      </c>
      <c r="Z531" s="32" t="s">
        <v>178</v>
      </c>
      <c r="AA531" s="32" t="str">
        <f t="shared" si="264"/>
        <v>伤害有9%概率造成2次命中</v>
      </c>
      <c r="AB531" s="32"/>
      <c r="AC531" s="32" t="s">
        <v>166</v>
      </c>
      <c r="AD531" s="32">
        <f t="shared" si="258"/>
        <v>1526</v>
      </c>
      <c r="AE531" s="38" t="str">
        <f t="shared" si="235"/>
        <v>5506061</v>
      </c>
      <c r="AF531" s="32" t="str">
        <f t="shared" si="261"/>
        <v>[9]</v>
      </c>
      <c r="AG531" s="26">
        <v>6</v>
      </c>
      <c r="AH531" s="26"/>
      <c r="AI531" s="26">
        <v>0</v>
      </c>
      <c r="AJ531" s="25">
        <v>1</v>
      </c>
      <c r="AK531" s="38">
        <f t="shared" si="262"/>
        <v>5506066</v>
      </c>
      <c r="AL531" s="41" t="str">
        <f t="shared" si="263"/>
        <v>伤害有&lt;color=#54b76b&gt;%s%&lt;/color&gt;概率造成2次命中</v>
      </c>
      <c r="AM531" s="26">
        <v>9</v>
      </c>
      <c r="AN531" s="25">
        <v>6</v>
      </c>
      <c r="AO531" s="25" t="s">
        <v>25</v>
      </c>
      <c r="AP531" s="20">
        <f t="shared" si="259"/>
        <v>526</v>
      </c>
    </row>
    <row r="532" customHeight="1" spans="1:42">
      <c r="A532" s="38">
        <v>5506067</v>
      </c>
      <c r="B532" s="38" t="str">
        <f t="shared" si="233"/>
        <v>5506061</v>
      </c>
      <c r="C532" s="32">
        <f t="shared" si="234"/>
        <v>7</v>
      </c>
      <c r="D532" s="32"/>
      <c r="E532" s="26" t="s">
        <v>218</v>
      </c>
      <c r="F532" s="26" t="str">
        <f t="shared" si="255"/>
        <v/>
      </c>
      <c r="G532" s="26" t="str">
        <f>IFERROR(IF(--MID($E532,2*COUNTIF($F532:F532,"&gt;"&amp;0)+2,1)=G$1,G$1,""),"")</f>
        <v/>
      </c>
      <c r="H532" s="26" t="str">
        <f>IFERROR(IF(--MID($E532,2*COUNTIF($F532:G532,"&gt;"&amp;0)+2,1)=H$1,H$1,""),"")</f>
        <v/>
      </c>
      <c r="I532" s="26" t="str">
        <f>IFERROR(IF(--MID($E532,2*COUNTIF($F532:H532,"&gt;"&amp;0)+2,1)=I$1,I$1,""),"")</f>
        <v/>
      </c>
      <c r="J532" s="26">
        <f>IFERROR(IF(--MID($E532,2*COUNTIF($F532:I532,"&gt;"&amp;0)+2,1)=J$1,J$1,""),"")</f>
        <v>5</v>
      </c>
      <c r="K532" s="26" t="str">
        <f>IFERROR(IF(--MID($E532,2*COUNTIF($F532:J532,"&gt;"&amp;0)+2,1)=K$1,K$1,""),"")</f>
        <v/>
      </c>
      <c r="L532" s="39" t="str" cm="1">
        <f t="array" ref="L532">IFERROR(IF($A532="","",IF(F532="","",_xlfn.XLOOKUP($C532&amp;"_"&amp;$AG532,符文权重!$A:$A&amp;"_"&amp;符文权重!$C:$C,符文权重!$D:$D)*$X532/SUMIFS($X:$X,F:F,F532,$C:$C,$C532,$AG:$AG,$AG532)/SUMIF(符文权重!$A:$A,$C532,符文权重!$D:$D))),"")</f>
        <v/>
      </c>
      <c r="M532" s="39" t="str" cm="1">
        <f t="array" ref="M532">IFERROR(IF($A532="","",IF(G532="","",_xlfn.XLOOKUP($C532&amp;"_"&amp;$AG532,符文权重!$A:$A&amp;"_"&amp;符文权重!$C:$C,符文权重!$D:$D)*$X532/SUMIFS($X:$X,G:G,G532,$C:$C,$C532,$AG:$AG,$AG532)/SUMIF(符文权重!$A:$A,$C532,符文权重!$D:$D))),"")</f>
        <v/>
      </c>
      <c r="N532" s="39" t="str" cm="1">
        <f t="array" ref="N532">IFERROR(IF($A532="","",IF(H532="","",_xlfn.XLOOKUP($C532&amp;"_"&amp;$AG532,符文权重!$A:$A&amp;"_"&amp;符文权重!$C:$C,符文权重!$D:$D)*$X532/SUMIFS($X:$X,H:H,H532,$C:$C,$C532,$AG:$AG,$AG532)/SUMIF(符文权重!$A:$A,$C532,符文权重!$D:$D))),"")</f>
        <v/>
      </c>
      <c r="O532" s="39" t="str" cm="1">
        <f t="array" ref="O532">IFERROR(IF($A532="","",IF(I532="","",_xlfn.XLOOKUP($C532&amp;"_"&amp;$AG532,符文权重!$A:$A&amp;"_"&amp;符文权重!$C:$C,符文权重!$D:$D)*$X532/SUMIFS($X:$X,I:I,I532,$C:$C,$C532,$AG:$AG,$AG532)/SUMIF(符文权重!$A:$A,$C532,符文权重!$D:$D))),"")</f>
        <v/>
      </c>
      <c r="P532" s="39" cm="1">
        <f t="array" ref="P532">IFERROR(IF($A532="","",IF(J532="","",_xlfn.XLOOKUP($C532&amp;"_"&amp;$AG532,符文权重!$A:$A&amp;"_"&amp;符文权重!$C:$C,符文权重!$D:$D)*$X532/SUMIFS($X:$X,J:J,J532,$C:$C,$C532,$AG:$AG,$AG532)/SUMIF(符文权重!$A:$A,$C532,符文权重!$D:$D))),"")</f>
        <v>0.00300429184549356</v>
      </c>
      <c r="Q532" s="39" t="str" cm="1">
        <f t="array" ref="Q532">IFERROR(IF($A532="","",IF(K532="","",_xlfn.XLOOKUP($C532&amp;"_"&amp;$AG532,符文权重!$A:$A&amp;"_"&amp;符文权重!$C:$C,符文权重!$D:$D)*$X532/SUMIFS($X:$X,K:K,K532,$C:$C,$C532,$AG:$AG,$AG532)/SUMIF(符文权重!$A:$A,$C532,符文权重!$D:$D))),"")</f>
        <v/>
      </c>
      <c r="R532" s="26" t="s">
        <v>163</v>
      </c>
      <c r="S532" s="26"/>
      <c r="T532" s="26" t="e">
        <f>IF(B532="","",SUBSTITUTE(SUBSTITUTE("[{global_atk,"&amp;#REF!*C532&amp;"}]",21,20),9,8))</f>
        <v>#REF!</v>
      </c>
      <c r="U532" s="40" t="str">
        <f t="shared" si="260"/>
        <v>[5506067]</v>
      </c>
      <c r="X532" s="25">
        <v>100</v>
      </c>
      <c r="Z532" s="32" t="s">
        <v>180</v>
      </c>
      <c r="AA532" s="32" t="str">
        <f t="shared" si="264"/>
        <v>伤害有12%概率造成2次命中</v>
      </c>
      <c r="AB532" s="32"/>
      <c r="AC532" s="32" t="s">
        <v>166</v>
      </c>
      <c r="AD532" s="32">
        <f t="shared" si="258"/>
        <v>1527</v>
      </c>
      <c r="AE532" s="38" t="str">
        <f t="shared" si="235"/>
        <v>5506061</v>
      </c>
      <c r="AF532" s="32" t="str">
        <f t="shared" si="261"/>
        <v>[12]</v>
      </c>
      <c r="AG532" s="26">
        <v>6</v>
      </c>
      <c r="AH532" s="26"/>
      <c r="AI532" s="26">
        <v>0</v>
      </c>
      <c r="AJ532" s="25">
        <v>1</v>
      </c>
      <c r="AK532" s="38">
        <f t="shared" si="262"/>
        <v>5506067</v>
      </c>
      <c r="AL532" s="41" t="str">
        <f t="shared" si="263"/>
        <v>伤害有&lt;color=#54b76b&gt;%s%&lt;/color&gt;概率造成2次命中</v>
      </c>
      <c r="AM532" s="26">
        <v>12</v>
      </c>
      <c r="AN532" s="25">
        <v>6</v>
      </c>
      <c r="AO532" s="25" t="s">
        <v>25</v>
      </c>
      <c r="AP532" s="20">
        <f t="shared" si="259"/>
        <v>527</v>
      </c>
    </row>
    <row r="533" s="20" customFormat="1" customHeight="1" spans="1:42">
      <c r="A533" s="38" t="s">
        <v>167</v>
      </c>
      <c r="B533" s="38" t="str">
        <f t="shared" ref="B533:B572" si="265">IF(ISBLANK(AK533),"",LEFT(AK533,6)&amp;1)</f>
        <v/>
      </c>
      <c r="C533" s="32" t="str">
        <f t="shared" ref="C533:C572" si="266">IF(ISBLANK(AK533),"",VALUE(RIGHT(A533,1)))</f>
        <v/>
      </c>
      <c r="D533" s="32"/>
      <c r="E533" s="26"/>
      <c r="F533" s="26" t="str">
        <f t="shared" si="255"/>
        <v/>
      </c>
      <c r="G533" s="26" t="str">
        <f>IFERROR(IF(--MID($E533,2*COUNTIF($F533:F533,"&gt;"&amp;0)+2,1)=G$1,G$1,""),"")</f>
        <v/>
      </c>
      <c r="H533" s="26" t="str">
        <f>IFERROR(IF(--MID($E533,2*COUNTIF($F533:G533,"&gt;"&amp;0)+2,1)=H$1,H$1,""),"")</f>
        <v/>
      </c>
      <c r="I533" s="26" t="str">
        <f>IFERROR(IF(--MID($E533,2*COUNTIF($F533:H533,"&gt;"&amp;0)+2,1)=I$1,I$1,""),"")</f>
        <v/>
      </c>
      <c r="J533" s="26" t="str">
        <f>IFERROR(IF(--MID($E533,2*COUNTIF($F533:I533,"&gt;"&amp;0)+2,1)=J$1,J$1,""),"")</f>
        <v/>
      </c>
      <c r="K533" s="26" t="str">
        <f>IFERROR(IF(--MID($E533,2*COUNTIF($F533:J533,"&gt;"&amp;0)+2,1)=K$1,K$1,""),"")</f>
        <v/>
      </c>
      <c r="L533" s="39" t="str" cm="1">
        <f t="array" ref="L533">IFERROR(IF($A533="","",IF(F533="","",_xlfn.XLOOKUP($C533&amp;"_"&amp;$AG533,符文权重!$A:$A&amp;"_"&amp;符文权重!$C:$C,符文权重!$D:$D)*$X533/SUMIFS($X:$X,F:F,F533,$C:$C,$C533,$AG:$AG,$AG533)/SUMIF(符文权重!$A:$A,$C533,符文权重!$D:$D))),"")</f>
        <v/>
      </c>
      <c r="M533" s="39" t="str" cm="1">
        <f t="array" ref="M533">IFERROR(IF($A533="","",IF(G533="","",_xlfn.XLOOKUP($C533&amp;"_"&amp;$AG533,符文权重!$A:$A&amp;"_"&amp;符文权重!$C:$C,符文权重!$D:$D)*$X533/SUMIFS($X:$X,G:G,G533,$C:$C,$C533,$AG:$AG,$AG533)/SUMIF(符文权重!$A:$A,$C533,符文权重!$D:$D))),"")</f>
        <v/>
      </c>
      <c r="N533" s="39" t="str" cm="1">
        <f t="array" ref="N533">IFERROR(IF($A533="","",IF(H533="","",_xlfn.XLOOKUP($C533&amp;"_"&amp;$AG533,符文权重!$A:$A&amp;"_"&amp;符文权重!$C:$C,符文权重!$D:$D)*$X533/SUMIFS($X:$X,H:H,H533,$C:$C,$C533,$AG:$AG,$AG533)/SUMIF(符文权重!$A:$A,$C533,符文权重!$D:$D))),"")</f>
        <v/>
      </c>
      <c r="O533" s="39" t="str" cm="1">
        <f t="array" ref="O533">IFERROR(IF($A533="","",IF(I533="","",_xlfn.XLOOKUP($C533&amp;"_"&amp;$AG533,符文权重!$A:$A&amp;"_"&amp;符文权重!$C:$C,符文权重!$D:$D)*$X533/SUMIFS($X:$X,I:I,I533,$C:$C,$C533,$AG:$AG,$AG533)/SUMIF(符文权重!$A:$A,$C533,符文权重!$D:$D))),"")</f>
        <v/>
      </c>
      <c r="P533" s="39" t="str" cm="1">
        <f t="array" ref="P533">IFERROR(IF($A533="","",IF(J533="","",_xlfn.XLOOKUP($C533&amp;"_"&amp;$AG533,符文权重!$A:$A&amp;"_"&amp;符文权重!$C:$C,符文权重!$D:$D)*$X533/SUMIFS($X:$X,J:J,J533,$C:$C,$C533,$AG:$AG,$AG533)/SUMIF(符文权重!$A:$A,$C533,符文权重!$D:$D))),"")</f>
        <v/>
      </c>
      <c r="Q533" s="39" t="str" cm="1">
        <f t="array" ref="Q533">IFERROR(IF($A533="","",IF(K533="","",_xlfn.XLOOKUP($C533&amp;"_"&amp;$AG533,符文权重!$A:$A&amp;"_"&amp;符文权重!$C:$C,符文权重!$D:$D)*$X533/SUMIFS($X:$X,K:K,K533,$C:$C,$C533,$AG:$AG,$AG533)/SUMIF(符文权重!$A:$A,$C533,符文权重!$D:$D))),"")</f>
        <v/>
      </c>
      <c r="R533" s="26"/>
      <c r="S533" s="26"/>
      <c r="T533" s="26"/>
      <c r="V533" s="31"/>
      <c r="W533" s="25"/>
      <c r="X533" s="25"/>
      <c r="Y533" s="25"/>
      <c r="Z533" s="32" t="s">
        <v>167</v>
      </c>
      <c r="AA533" s="32" t="str">
        <f t="shared" si="264"/>
        <v/>
      </c>
      <c r="AB533" s="32"/>
      <c r="AC533" s="32" t="s">
        <v>166</v>
      </c>
      <c r="AD533" s="32">
        <f t="shared" si="258"/>
        <v>1528</v>
      </c>
      <c r="AE533" s="38" t="str">
        <f>IF(ISBLANK(AK533),"",B533)</f>
        <v/>
      </c>
      <c r="AF533" s="32" t="str">
        <f t="shared" si="261"/>
        <v/>
      </c>
      <c r="AG533" s="26"/>
      <c r="AH533" s="26"/>
      <c r="AI533" s="26"/>
      <c r="AJ533" s="25" t="s">
        <v>167</v>
      </c>
      <c r="AK533" s="24"/>
      <c r="AL533" s="51"/>
      <c r="AM533" s="26"/>
      <c r="AN533" s="25"/>
      <c r="AO533" s="25"/>
      <c r="AP533" s="20">
        <f t="shared" si="259"/>
        <v>528</v>
      </c>
    </row>
    <row r="534" s="20" customFormat="1" customHeight="1" spans="1:42">
      <c r="A534" s="38">
        <v>5506071</v>
      </c>
      <c r="B534" s="38" t="str">
        <f t="shared" si="265"/>
        <v>5506071</v>
      </c>
      <c r="C534" s="32">
        <f t="shared" si="266"/>
        <v>1</v>
      </c>
      <c r="D534" s="32"/>
      <c r="E534" s="26" t="s">
        <v>209</v>
      </c>
      <c r="F534" s="26" t="str">
        <f t="shared" si="255"/>
        <v/>
      </c>
      <c r="G534" s="26" t="str">
        <f>IFERROR(IF(--MID($E534,2*COUNTIF($F534:F534,"&gt;"&amp;0)+2,1)=G$1,G$1,""),"")</f>
        <v/>
      </c>
      <c r="H534" s="26" t="str">
        <f>IFERROR(IF(--MID($E534,2*COUNTIF($F534:G534,"&gt;"&amp;0)+2,1)=H$1,H$1,""),"")</f>
        <v/>
      </c>
      <c r="I534" s="26" t="str">
        <f>IFERROR(IF(--MID($E534,2*COUNTIF($F534:H534,"&gt;"&amp;0)+2,1)=I$1,I$1,""),"")</f>
        <v/>
      </c>
      <c r="J534" s="26" t="str">
        <f>IFERROR(IF(--MID($E534,2*COUNTIF($F534:I534,"&gt;"&amp;0)+2,1)=J$1,J$1,""),"")</f>
        <v/>
      </c>
      <c r="K534" s="26">
        <f>IFERROR(IF(--MID($E534,2*COUNTIF($F534:J534,"&gt;"&amp;0)+2,1)=K$1,K$1,""),"")</f>
        <v>6</v>
      </c>
      <c r="L534" s="39" t="str" cm="1">
        <f t="array" ref="L534">IFERROR(IF($A534="","",IF(F534="","",_xlfn.XLOOKUP($C534&amp;"_"&amp;$AG534,符文权重!$A:$A&amp;"_"&amp;符文权重!$C:$C,符文权重!$D:$D)*$X534/SUMIFS($X:$X,F:F,F534,$C:$C,$C534,$AG:$AG,$AG534)/SUMIF(符文权重!$A:$A,$C534,符文权重!$D:$D))),"")</f>
        <v/>
      </c>
      <c r="M534" s="39" t="str" cm="1">
        <f t="array" ref="M534">IFERROR(IF($A534="","",IF(G534="","",_xlfn.XLOOKUP($C534&amp;"_"&amp;$AG534,符文权重!$A:$A&amp;"_"&amp;符文权重!$C:$C,符文权重!$D:$D)*$X534/SUMIFS($X:$X,G:G,G534,$C:$C,$C534,$AG:$AG,$AG534)/SUMIF(符文权重!$A:$A,$C534,符文权重!$D:$D))),"")</f>
        <v/>
      </c>
      <c r="N534" s="39" t="str" cm="1">
        <f t="array" ref="N534">IFERROR(IF($A534="","",IF(H534="","",_xlfn.XLOOKUP($C534&amp;"_"&amp;$AG534,符文权重!$A:$A&amp;"_"&amp;符文权重!$C:$C,符文权重!$D:$D)*$X534/SUMIFS($X:$X,H:H,H534,$C:$C,$C534,$AG:$AG,$AG534)/SUMIF(符文权重!$A:$A,$C534,符文权重!$D:$D))),"")</f>
        <v/>
      </c>
      <c r="O534" s="39" t="str" cm="1">
        <f t="array" ref="O534">IFERROR(IF($A534="","",IF(I534="","",_xlfn.XLOOKUP($C534&amp;"_"&amp;$AG534,符文权重!$A:$A&amp;"_"&amp;符文权重!$C:$C,符文权重!$D:$D)*$X534/SUMIFS($X:$X,I:I,I534,$C:$C,$C534,$AG:$AG,$AG534)/SUMIF(符文权重!$A:$A,$C534,符文权重!$D:$D))),"")</f>
        <v/>
      </c>
      <c r="P534" s="39" t="str" cm="1">
        <f t="array" ref="P534">IFERROR(IF($A534="","",IF(J534="","",_xlfn.XLOOKUP($C534&amp;"_"&amp;$AG534,符文权重!$A:$A&amp;"_"&amp;符文权重!$C:$C,符文权重!$D:$D)*$X534/SUMIFS($X:$X,J:J,J534,$C:$C,$C534,$AG:$AG,$AG534)/SUMIF(符文权重!$A:$A,$C534,符文权重!$D:$D))),"")</f>
        <v/>
      </c>
      <c r="Q534" s="39" t="str" cm="1">
        <f t="array" ref="Q534">IFERROR(IF($A534="","",IF(K534="","",_xlfn.XLOOKUP($C534&amp;"_"&amp;$AG534,符文权重!$A:$A&amp;"_"&amp;符文权重!$C:$C,符文权重!$D:$D)*$X534/SUMIFS($X:$X,K:K,K534,$C:$C,$C534,$AG:$AG,$AG534)/SUMIF(符文权重!$A:$A,$C534,符文权重!$D:$D))),"")</f>
        <v/>
      </c>
      <c r="R534" s="26"/>
      <c r="S534" s="26"/>
      <c r="T534" s="26" t="e">
        <f>IF(B534="","",SUBSTITUTE(SUBSTITUTE("[{global_atk,"&amp;#REF!*C534&amp;"}]",21,20),9,8))</f>
        <v>#REF!</v>
      </c>
      <c r="U534" s="40" t="str">
        <f t="shared" ref="U534:U540" si="267">"["&amp;A534&amp;"]"</f>
        <v>[5506071]</v>
      </c>
      <c r="V534" s="31"/>
      <c r="W534" s="25"/>
      <c r="X534" s="25">
        <v>100</v>
      </c>
      <c r="Y534" s="25"/>
      <c r="Z534" s="32" t="s">
        <v>165</v>
      </c>
      <c r="AA534" s="32" t="str">
        <f t="shared" si="264"/>
        <v>攻击范围+1格，伤害+0%</v>
      </c>
      <c r="AB534" s="32"/>
      <c r="AC534" s="32" t="s">
        <v>166</v>
      </c>
      <c r="AD534" s="32">
        <f t="shared" si="258"/>
        <v>1529</v>
      </c>
      <c r="AE534" s="38" t="str">
        <f>IF(ISBLANK(AK534),"",B534)</f>
        <v>5506071</v>
      </c>
      <c r="AF534" s="32" t="str">
        <f t="shared" si="261"/>
        <v>[0]</v>
      </c>
      <c r="AG534" s="26">
        <v>100</v>
      </c>
      <c r="AH534" s="26"/>
      <c r="AI534" s="26">
        <v>1</v>
      </c>
      <c r="AJ534" s="25">
        <v>1</v>
      </c>
      <c r="AK534" s="24">
        <v>5506071</v>
      </c>
      <c r="AL534" s="59" t="s">
        <v>522</v>
      </c>
      <c r="AM534" s="26">
        <v>0</v>
      </c>
      <c r="AN534" s="25">
        <v>6</v>
      </c>
      <c r="AO534" s="25" t="s">
        <v>32</v>
      </c>
      <c r="AP534" s="20">
        <f t="shared" si="259"/>
        <v>529</v>
      </c>
    </row>
    <row r="535" customHeight="1" spans="1:42">
      <c r="A535" s="38">
        <v>5506072</v>
      </c>
      <c r="B535" s="38" t="str">
        <f t="shared" si="265"/>
        <v>5506071</v>
      </c>
      <c r="C535" s="32">
        <f t="shared" si="266"/>
        <v>2</v>
      </c>
      <c r="D535" s="32"/>
      <c r="E535" s="26" t="s">
        <v>209</v>
      </c>
      <c r="F535" s="26" t="str">
        <f t="shared" si="255"/>
        <v/>
      </c>
      <c r="G535" s="26" t="str">
        <f>IFERROR(IF(--MID($E535,2*COUNTIF($F535:F535,"&gt;"&amp;0)+2,1)=G$1,G$1,""),"")</f>
        <v/>
      </c>
      <c r="H535" s="26" t="str">
        <f>IFERROR(IF(--MID($E535,2*COUNTIF($F535:G535,"&gt;"&amp;0)+2,1)=H$1,H$1,""),"")</f>
        <v/>
      </c>
      <c r="I535" s="26" t="str">
        <f>IFERROR(IF(--MID($E535,2*COUNTIF($F535:H535,"&gt;"&amp;0)+2,1)=I$1,I$1,""),"")</f>
        <v/>
      </c>
      <c r="J535" s="26" t="str">
        <f>IFERROR(IF(--MID($E535,2*COUNTIF($F535:I535,"&gt;"&amp;0)+2,1)=J$1,J$1,""),"")</f>
        <v/>
      </c>
      <c r="K535" s="26">
        <f>IFERROR(IF(--MID($E535,2*COUNTIF($F535:J535,"&gt;"&amp;0)+2,1)=K$1,K$1,""),"")</f>
        <v>6</v>
      </c>
      <c r="L535" s="39" t="str" cm="1">
        <f t="array" ref="L535">IFERROR(IF($A535="","",IF(F535="","",_xlfn.XLOOKUP($C535&amp;"_"&amp;$AG535,符文权重!$A:$A&amp;"_"&amp;符文权重!$C:$C,符文权重!$D:$D)*$X535/SUMIFS($X:$X,F:F,F535,$C:$C,$C535,$AG:$AG,$AG535)/SUMIF(符文权重!$A:$A,$C535,符文权重!$D:$D))),"")</f>
        <v/>
      </c>
      <c r="M535" s="39" t="str" cm="1">
        <f t="array" ref="M535">IFERROR(IF($A535="","",IF(G535="","",_xlfn.XLOOKUP($C535&amp;"_"&amp;$AG535,符文权重!$A:$A&amp;"_"&amp;符文权重!$C:$C,符文权重!$D:$D)*$X535/SUMIFS($X:$X,G:G,G535,$C:$C,$C535,$AG:$AG,$AG535)/SUMIF(符文权重!$A:$A,$C535,符文权重!$D:$D))),"")</f>
        <v/>
      </c>
      <c r="N535" s="39" t="str" cm="1">
        <f t="array" ref="N535">IFERROR(IF($A535="","",IF(H535="","",_xlfn.XLOOKUP($C535&amp;"_"&amp;$AG535,符文权重!$A:$A&amp;"_"&amp;符文权重!$C:$C,符文权重!$D:$D)*$X535/SUMIFS($X:$X,H:H,H535,$C:$C,$C535,$AG:$AG,$AG535)/SUMIF(符文权重!$A:$A,$C535,符文权重!$D:$D))),"")</f>
        <v/>
      </c>
      <c r="O535" s="39" t="str" cm="1">
        <f t="array" ref="O535">IFERROR(IF($A535="","",IF(I535="","",_xlfn.XLOOKUP($C535&amp;"_"&amp;$AG535,符文权重!$A:$A&amp;"_"&amp;符文权重!$C:$C,符文权重!$D:$D)*$X535/SUMIFS($X:$X,I:I,I535,$C:$C,$C535,$AG:$AG,$AG535)/SUMIF(符文权重!$A:$A,$C535,符文权重!$D:$D))),"")</f>
        <v/>
      </c>
      <c r="P535" s="39" t="str" cm="1">
        <f t="array" ref="P535">IFERROR(IF($A535="","",IF(J535="","",_xlfn.XLOOKUP($C535&amp;"_"&amp;$AG535,符文权重!$A:$A&amp;"_"&amp;符文权重!$C:$C,符文权重!$D:$D)*$X535/SUMIFS($X:$X,J:J,J535,$C:$C,$C535,$AG:$AG,$AG535)/SUMIF(符文权重!$A:$A,$C535,符文权重!$D:$D))),"")</f>
        <v/>
      </c>
      <c r="Q535" s="39" t="str" cm="1">
        <f t="array" ref="Q535">IFERROR(IF($A535="","",IF(K535="","",_xlfn.XLOOKUP($C535&amp;"_"&amp;$AG535,符文权重!$A:$A&amp;"_"&amp;符文权重!$C:$C,符文权重!$D:$D)*$X535/SUMIFS($X:$X,K:K,K535,$C:$C,$C535,$AG:$AG,$AG535)/SUMIF(符文权重!$A:$A,$C535,符文权重!$D:$D))),"")</f>
        <v/>
      </c>
      <c r="R535" s="26" t="s">
        <v>163</v>
      </c>
      <c r="S535" s="26"/>
      <c r="T535" s="26" t="e">
        <f>IF(B535="","",SUBSTITUTE(SUBSTITUTE("[{global_atk,"&amp;#REF!*C535&amp;"}]",21,20),9,8))</f>
        <v>#REF!</v>
      </c>
      <c r="U535" s="40" t="str">
        <f t="shared" si="267"/>
        <v>[5506072]</v>
      </c>
      <c r="X535" s="25">
        <v>100</v>
      </c>
      <c r="Z535" s="32" t="s">
        <v>170</v>
      </c>
      <c r="AA535" s="32" t="str">
        <f t="shared" si="264"/>
        <v>攻击范围+1格，伤害+0%</v>
      </c>
      <c r="AB535" s="32"/>
      <c r="AC535" s="32" t="s">
        <v>166</v>
      </c>
      <c r="AD535" s="32">
        <f t="shared" si="258"/>
        <v>1530</v>
      </c>
      <c r="AE535" s="38" t="str">
        <f>IF(ISBLANK(AK535),"",B535)</f>
        <v>5506071</v>
      </c>
      <c r="AF535" s="32" t="str">
        <f t="shared" si="261"/>
        <v>[0]</v>
      </c>
      <c r="AG535" s="26">
        <v>100</v>
      </c>
      <c r="AH535" s="26"/>
      <c r="AI535" s="26">
        <v>1</v>
      </c>
      <c r="AJ535" s="25">
        <v>1</v>
      </c>
      <c r="AK535" s="38">
        <f t="shared" ref="AK535:AK540" si="268">AK534+1</f>
        <v>5506072</v>
      </c>
      <c r="AL535" s="41" t="str">
        <f>AL534</f>
        <v>攻击范围&lt;color=#54b76b&gt;+1&lt;/color&gt;格，伤害&lt;color=#54b76b&gt;+%s%&lt;/color&gt;</v>
      </c>
      <c r="AM535" s="26">
        <v>0</v>
      </c>
      <c r="AN535" s="25">
        <v>6</v>
      </c>
      <c r="AO535" s="25" t="s">
        <v>32</v>
      </c>
      <c r="AP535" s="20">
        <f t="shared" si="259"/>
        <v>530</v>
      </c>
    </row>
    <row r="536" customHeight="1" spans="1:42">
      <c r="A536" s="38">
        <v>5506073</v>
      </c>
      <c r="B536" s="38" t="str">
        <f t="shared" si="265"/>
        <v>5506071</v>
      </c>
      <c r="C536" s="32">
        <f t="shared" si="266"/>
        <v>3</v>
      </c>
      <c r="D536" s="32"/>
      <c r="E536" s="26" t="s">
        <v>209</v>
      </c>
      <c r="F536" s="26" t="str">
        <f t="shared" si="255"/>
        <v/>
      </c>
      <c r="G536" s="26" t="str">
        <f>IFERROR(IF(--MID($E536,2*COUNTIF($F536:F536,"&gt;"&amp;0)+2,1)=G$1,G$1,""),"")</f>
        <v/>
      </c>
      <c r="H536" s="26" t="str">
        <f>IFERROR(IF(--MID($E536,2*COUNTIF($F536:G536,"&gt;"&amp;0)+2,1)=H$1,H$1,""),"")</f>
        <v/>
      </c>
      <c r="I536" s="26" t="str">
        <f>IFERROR(IF(--MID($E536,2*COUNTIF($F536:H536,"&gt;"&amp;0)+2,1)=I$1,I$1,""),"")</f>
        <v/>
      </c>
      <c r="J536" s="26" t="str">
        <f>IFERROR(IF(--MID($E536,2*COUNTIF($F536:I536,"&gt;"&amp;0)+2,1)=J$1,J$1,""),"")</f>
        <v/>
      </c>
      <c r="K536" s="26">
        <f>IFERROR(IF(--MID($E536,2*COUNTIF($F536:J536,"&gt;"&amp;0)+2,1)=K$1,K$1,""),"")</f>
        <v>6</v>
      </c>
      <c r="L536" s="39" t="str" cm="1">
        <f t="array" ref="L536">IFERROR(IF($A536="","",IF(F536="","",_xlfn.XLOOKUP($C536&amp;"_"&amp;$AG536,符文权重!$A:$A&amp;"_"&amp;符文权重!$C:$C,符文权重!$D:$D)*$X536/SUMIFS($X:$X,F:F,F536,$C:$C,$C536,$AG:$AG,$AG536)/SUMIF(符文权重!$A:$A,$C536,符文权重!$D:$D))),"")</f>
        <v/>
      </c>
      <c r="M536" s="39" t="str" cm="1">
        <f t="array" ref="M536">IFERROR(IF($A536="","",IF(G536="","",_xlfn.XLOOKUP($C536&amp;"_"&amp;$AG536,符文权重!$A:$A&amp;"_"&amp;符文权重!$C:$C,符文权重!$D:$D)*$X536/SUMIFS($X:$X,G:G,G536,$C:$C,$C536,$AG:$AG,$AG536)/SUMIF(符文权重!$A:$A,$C536,符文权重!$D:$D))),"")</f>
        <v/>
      </c>
      <c r="N536" s="39" t="str" cm="1">
        <f t="array" ref="N536">IFERROR(IF($A536="","",IF(H536="","",_xlfn.XLOOKUP($C536&amp;"_"&amp;$AG536,符文权重!$A:$A&amp;"_"&amp;符文权重!$C:$C,符文权重!$D:$D)*$X536/SUMIFS($X:$X,H:H,H536,$C:$C,$C536,$AG:$AG,$AG536)/SUMIF(符文权重!$A:$A,$C536,符文权重!$D:$D))),"")</f>
        <v/>
      </c>
      <c r="O536" s="39" t="str" cm="1">
        <f t="array" ref="O536">IFERROR(IF($A536="","",IF(I536="","",_xlfn.XLOOKUP($C536&amp;"_"&amp;$AG536,符文权重!$A:$A&amp;"_"&amp;符文权重!$C:$C,符文权重!$D:$D)*$X536/SUMIFS($X:$X,I:I,I536,$C:$C,$C536,$AG:$AG,$AG536)/SUMIF(符文权重!$A:$A,$C536,符文权重!$D:$D))),"")</f>
        <v/>
      </c>
      <c r="P536" s="39" t="str" cm="1">
        <f t="array" ref="P536">IFERROR(IF($A536="","",IF(J536="","",_xlfn.XLOOKUP($C536&amp;"_"&amp;$AG536,符文权重!$A:$A&amp;"_"&amp;符文权重!$C:$C,符文权重!$D:$D)*$X536/SUMIFS($X:$X,J:J,J536,$C:$C,$C536,$AG:$AG,$AG536)/SUMIF(符文权重!$A:$A,$C536,符文权重!$D:$D))),"")</f>
        <v/>
      </c>
      <c r="Q536" s="39" t="str" cm="1">
        <f t="array" ref="Q536">IFERROR(IF($A536="","",IF(K536="","",_xlfn.XLOOKUP($C536&amp;"_"&amp;$AG536,符文权重!$A:$A&amp;"_"&amp;符文权重!$C:$C,符文权重!$D:$D)*$X536/SUMIFS($X:$X,K:K,K536,$C:$C,$C536,$AG:$AG,$AG536)/SUMIF(符文权重!$A:$A,$C536,符文权重!$D:$D))),"")</f>
        <v/>
      </c>
      <c r="R536" s="26" t="s">
        <v>163</v>
      </c>
      <c r="S536" s="26"/>
      <c r="T536" s="26" t="e">
        <f>IF(B536="","",SUBSTITUTE(SUBSTITUTE("[{global_atk,"&amp;#REF!*C536&amp;"}]",21,20),9,8))</f>
        <v>#REF!</v>
      </c>
      <c r="U536" s="40" t="str">
        <f t="shared" si="267"/>
        <v>[5506073]</v>
      </c>
      <c r="X536" s="25">
        <v>100</v>
      </c>
      <c r="Z536" s="32" t="s">
        <v>172</v>
      </c>
      <c r="AA536" s="32" t="str">
        <f t="shared" si="264"/>
        <v>攻击范围+1格，伤害+0%</v>
      </c>
      <c r="AB536" s="32"/>
      <c r="AC536" s="32" t="s">
        <v>166</v>
      </c>
      <c r="AD536" s="32">
        <f t="shared" si="258"/>
        <v>1531</v>
      </c>
      <c r="AE536" s="38" t="str">
        <f>IF(ISBLANK(AK536),"",B536)</f>
        <v>5506071</v>
      </c>
      <c r="AF536" s="32" t="str">
        <f t="shared" si="261"/>
        <v>[0]</v>
      </c>
      <c r="AG536" s="26">
        <v>100</v>
      </c>
      <c r="AH536" s="26"/>
      <c r="AI536" s="26">
        <v>1</v>
      </c>
      <c r="AJ536" s="25">
        <v>1</v>
      </c>
      <c r="AK536" s="38">
        <f t="shared" si="268"/>
        <v>5506073</v>
      </c>
      <c r="AL536" s="41" t="str">
        <f>AL535</f>
        <v>攻击范围&lt;color=#54b76b&gt;+1&lt;/color&gt;格，伤害&lt;color=#54b76b&gt;+%s%&lt;/color&gt;</v>
      </c>
      <c r="AM536" s="26">
        <v>0</v>
      </c>
      <c r="AN536" s="25">
        <v>6</v>
      </c>
      <c r="AO536" s="25" t="s">
        <v>32</v>
      </c>
      <c r="AP536" s="20">
        <f t="shared" si="259"/>
        <v>531</v>
      </c>
    </row>
    <row r="537" customHeight="1" spans="1:42">
      <c r="A537" s="38">
        <v>5506074</v>
      </c>
      <c r="B537" s="38" t="str">
        <f t="shared" si="265"/>
        <v>5506071</v>
      </c>
      <c r="C537" s="32">
        <f t="shared" si="266"/>
        <v>4</v>
      </c>
      <c r="D537" s="32"/>
      <c r="E537" s="26" t="s">
        <v>209</v>
      </c>
      <c r="F537" s="26" t="str">
        <f t="shared" si="255"/>
        <v/>
      </c>
      <c r="G537" s="26" t="str">
        <f>IFERROR(IF(--MID($E537,2*COUNTIF($F537:F537,"&gt;"&amp;0)+2,1)=G$1,G$1,""),"")</f>
        <v/>
      </c>
      <c r="H537" s="26" t="str">
        <f>IFERROR(IF(--MID($E537,2*COUNTIF($F537:G537,"&gt;"&amp;0)+2,1)=H$1,H$1,""),"")</f>
        <v/>
      </c>
      <c r="I537" s="26" t="str">
        <f>IFERROR(IF(--MID($E537,2*COUNTIF($F537:H537,"&gt;"&amp;0)+2,1)=I$1,I$1,""),"")</f>
        <v/>
      </c>
      <c r="J537" s="26" t="str">
        <f>IFERROR(IF(--MID($E537,2*COUNTIF($F537:I537,"&gt;"&amp;0)+2,1)=J$1,J$1,""),"")</f>
        <v/>
      </c>
      <c r="K537" s="26">
        <f>IFERROR(IF(--MID($E537,2*COUNTIF($F537:J537,"&gt;"&amp;0)+2,1)=K$1,K$1,""),"")</f>
        <v>6</v>
      </c>
      <c r="L537" s="39" t="str" cm="1">
        <f t="array" ref="L537">IFERROR(IF($A537="","",IF(F537="","",_xlfn.XLOOKUP($C537&amp;"_"&amp;$AG537,符文权重!$A:$A&amp;"_"&amp;符文权重!$C:$C,符文权重!$D:$D)*$X537/SUMIFS($X:$X,F:F,F537,$C:$C,$C537,$AG:$AG,$AG537)/SUMIF(符文权重!$A:$A,$C537,符文权重!$D:$D))),"")</f>
        <v/>
      </c>
      <c r="M537" s="39" t="str" cm="1">
        <f t="array" ref="M537">IFERROR(IF($A537="","",IF(G537="","",_xlfn.XLOOKUP($C537&amp;"_"&amp;$AG537,符文权重!$A:$A&amp;"_"&amp;符文权重!$C:$C,符文权重!$D:$D)*$X537/SUMIFS($X:$X,G:G,G537,$C:$C,$C537,$AG:$AG,$AG537)/SUMIF(符文权重!$A:$A,$C537,符文权重!$D:$D))),"")</f>
        <v/>
      </c>
      <c r="N537" s="39" t="str" cm="1">
        <f t="array" ref="N537">IFERROR(IF($A537="","",IF(H537="","",_xlfn.XLOOKUP($C537&amp;"_"&amp;$AG537,符文权重!$A:$A&amp;"_"&amp;符文权重!$C:$C,符文权重!$D:$D)*$X537/SUMIFS($X:$X,H:H,H537,$C:$C,$C537,$AG:$AG,$AG537)/SUMIF(符文权重!$A:$A,$C537,符文权重!$D:$D))),"")</f>
        <v/>
      </c>
      <c r="O537" s="39" t="str" cm="1">
        <f t="array" ref="O537">IFERROR(IF($A537="","",IF(I537="","",_xlfn.XLOOKUP($C537&amp;"_"&amp;$AG537,符文权重!$A:$A&amp;"_"&amp;符文权重!$C:$C,符文权重!$D:$D)*$X537/SUMIFS($X:$X,I:I,I537,$C:$C,$C537,$AG:$AG,$AG537)/SUMIF(符文权重!$A:$A,$C537,符文权重!$D:$D))),"")</f>
        <v/>
      </c>
      <c r="P537" s="39" t="str" cm="1">
        <f t="array" ref="P537">IFERROR(IF($A537="","",IF(J537="","",_xlfn.XLOOKUP($C537&amp;"_"&amp;$AG537,符文权重!$A:$A&amp;"_"&amp;符文权重!$C:$C,符文权重!$D:$D)*$X537/SUMIFS($X:$X,J:J,J537,$C:$C,$C537,$AG:$AG,$AG537)/SUMIF(符文权重!$A:$A,$C537,符文权重!$D:$D))),"")</f>
        <v/>
      </c>
      <c r="Q537" s="39" t="str" cm="1">
        <f t="array" ref="Q537">IFERROR(IF($A537="","",IF(K537="","",_xlfn.XLOOKUP($C537&amp;"_"&amp;$AG537,符文权重!$A:$A&amp;"_"&amp;符文权重!$C:$C,符文权重!$D:$D)*$X537/SUMIFS($X:$X,K:K,K537,$C:$C,$C537,$AG:$AG,$AG537)/SUMIF(符文权重!$A:$A,$C537,符文权重!$D:$D))),"")</f>
        <v/>
      </c>
      <c r="R537" s="26" t="s">
        <v>163</v>
      </c>
      <c r="S537" s="26"/>
      <c r="T537" s="26" t="e">
        <f>IF(B537="","",SUBSTITUTE(SUBSTITUTE("[{global_atk,"&amp;#REF!*C537&amp;"}]",21,20),9,8))</f>
        <v>#REF!</v>
      </c>
      <c r="U537" s="40" t="str">
        <f t="shared" si="267"/>
        <v>[5506074]</v>
      </c>
      <c r="X537" s="25">
        <v>20</v>
      </c>
      <c r="Z537" s="32" t="s">
        <v>174</v>
      </c>
      <c r="AA537" s="32" t="str">
        <f t="shared" si="264"/>
        <v>攻击范围+1格，伤害+0%</v>
      </c>
      <c r="AB537" s="32"/>
      <c r="AC537" s="32" t="s">
        <v>166</v>
      </c>
      <c r="AD537" s="32">
        <f t="shared" si="258"/>
        <v>1532</v>
      </c>
      <c r="AE537" s="38">
        <v>55060711</v>
      </c>
      <c r="AF537" s="32" t="str">
        <f t="shared" si="261"/>
        <v>[0]</v>
      </c>
      <c r="AG537" s="62">
        <v>100</v>
      </c>
      <c r="AH537" s="26"/>
      <c r="AI537" s="26">
        <v>0</v>
      </c>
      <c r="AJ537" s="25">
        <v>1</v>
      </c>
      <c r="AK537" s="38">
        <f t="shared" si="268"/>
        <v>5506074</v>
      </c>
      <c r="AL537" s="41" t="str">
        <f>AL536</f>
        <v>攻击范围&lt;color=#54b76b&gt;+1&lt;/color&gt;格，伤害&lt;color=#54b76b&gt;+%s%&lt;/color&gt;</v>
      </c>
      <c r="AM537" s="26">
        <v>0</v>
      </c>
      <c r="AN537" s="25">
        <v>6</v>
      </c>
      <c r="AO537" s="25" t="s">
        <v>32</v>
      </c>
      <c r="AP537" s="20">
        <f t="shared" si="259"/>
        <v>532</v>
      </c>
    </row>
    <row r="538" customHeight="1" spans="1:42">
      <c r="A538" s="38">
        <v>5506075</v>
      </c>
      <c r="B538" s="38" t="str">
        <f t="shared" si="265"/>
        <v>5506071</v>
      </c>
      <c r="C538" s="32">
        <f t="shared" si="266"/>
        <v>5</v>
      </c>
      <c r="D538" s="32"/>
      <c r="E538" s="26" t="s">
        <v>209</v>
      </c>
      <c r="F538" s="26" t="str">
        <f t="shared" si="255"/>
        <v/>
      </c>
      <c r="G538" s="26" t="str">
        <f>IFERROR(IF(--MID($E538,2*COUNTIF($F538:F538,"&gt;"&amp;0)+2,1)=G$1,G$1,""),"")</f>
        <v/>
      </c>
      <c r="H538" s="26" t="str">
        <f>IFERROR(IF(--MID($E538,2*COUNTIF($F538:G538,"&gt;"&amp;0)+2,1)=H$1,H$1,""),"")</f>
        <v/>
      </c>
      <c r="I538" s="26" t="str">
        <f>IFERROR(IF(--MID($E538,2*COUNTIF($F538:H538,"&gt;"&amp;0)+2,1)=I$1,I$1,""),"")</f>
        <v/>
      </c>
      <c r="J538" s="26" t="str">
        <f>IFERROR(IF(--MID($E538,2*COUNTIF($F538:I538,"&gt;"&amp;0)+2,1)=J$1,J$1,""),"")</f>
        <v/>
      </c>
      <c r="K538" s="26">
        <f>IFERROR(IF(--MID($E538,2*COUNTIF($F538:J538,"&gt;"&amp;0)+2,1)=K$1,K$1,""),"")</f>
        <v>6</v>
      </c>
      <c r="L538" s="39" t="str" cm="1">
        <f t="array" ref="L538">IFERROR(IF($A538="","",IF(F538="","",_xlfn.XLOOKUP($C538&amp;"_"&amp;$AG538,符文权重!$A:$A&amp;"_"&amp;符文权重!$C:$C,符文权重!$D:$D)*$X538/SUMIFS($X:$X,F:F,F538,$C:$C,$C538,$AG:$AG,$AG538)/SUMIF(符文权重!$A:$A,$C538,符文权重!$D:$D))),"")</f>
        <v/>
      </c>
      <c r="M538" s="39" t="str" cm="1">
        <f t="array" ref="M538">IFERROR(IF($A538="","",IF(G538="","",_xlfn.XLOOKUP($C538&amp;"_"&amp;$AG538,符文权重!$A:$A&amp;"_"&amp;符文权重!$C:$C,符文权重!$D:$D)*$X538/SUMIFS($X:$X,G:G,G538,$C:$C,$C538,$AG:$AG,$AG538)/SUMIF(符文权重!$A:$A,$C538,符文权重!$D:$D))),"")</f>
        <v/>
      </c>
      <c r="N538" s="39" t="str" cm="1">
        <f t="array" ref="N538">IFERROR(IF($A538="","",IF(H538="","",_xlfn.XLOOKUP($C538&amp;"_"&amp;$AG538,符文权重!$A:$A&amp;"_"&amp;符文权重!$C:$C,符文权重!$D:$D)*$X538/SUMIFS($X:$X,H:H,H538,$C:$C,$C538,$AG:$AG,$AG538)/SUMIF(符文权重!$A:$A,$C538,符文权重!$D:$D))),"")</f>
        <v/>
      </c>
      <c r="O538" s="39" t="str" cm="1">
        <f t="array" ref="O538">IFERROR(IF($A538="","",IF(I538="","",_xlfn.XLOOKUP($C538&amp;"_"&amp;$AG538,符文权重!$A:$A&amp;"_"&amp;符文权重!$C:$C,符文权重!$D:$D)*$X538/SUMIFS($X:$X,I:I,I538,$C:$C,$C538,$AG:$AG,$AG538)/SUMIF(符文权重!$A:$A,$C538,符文权重!$D:$D))),"")</f>
        <v/>
      </c>
      <c r="P538" s="39" t="str" cm="1">
        <f t="array" ref="P538">IFERROR(IF($A538="","",IF(J538="","",_xlfn.XLOOKUP($C538&amp;"_"&amp;$AG538,符文权重!$A:$A&amp;"_"&amp;符文权重!$C:$C,符文权重!$D:$D)*$X538/SUMIFS($X:$X,J:J,J538,$C:$C,$C538,$AG:$AG,$AG538)/SUMIF(符文权重!$A:$A,$C538,符文权重!$D:$D))),"")</f>
        <v/>
      </c>
      <c r="Q538" s="39" cm="1">
        <f t="array" ref="Q538">IFERROR(IF($A538="","",IF(K538="","",_xlfn.XLOOKUP($C538&amp;"_"&amp;$AG538,符文权重!$A:$A&amp;"_"&amp;符文权重!$C:$C,符文权重!$D:$D)*$X538/SUMIFS($X:$X,K:K,K538,$C:$C,$C538,$AG:$AG,$AG538)/SUMIF(符文权重!$A:$A,$C538,符文权重!$D:$D))),"")</f>
        <v>0.00300429184549356</v>
      </c>
      <c r="R538" s="26" t="s">
        <v>163</v>
      </c>
      <c r="S538" s="26"/>
      <c r="T538" s="26" t="e">
        <f>IF(B538="","",SUBSTITUTE(SUBSTITUTE("[{global_atk,"&amp;#REF!*C538&amp;"}]",21,20),9,8))</f>
        <v>#REF!</v>
      </c>
      <c r="U538" s="40" t="str">
        <f t="shared" si="267"/>
        <v>[5506075]</v>
      </c>
      <c r="V538" s="26" t="s">
        <v>523</v>
      </c>
      <c r="X538" s="25">
        <v>100</v>
      </c>
      <c r="Z538" s="32" t="s">
        <v>176</v>
      </c>
      <c r="AA538" s="32" t="str">
        <f t="shared" si="264"/>
        <v>攻击范围+1格，伤害+5%</v>
      </c>
      <c r="AB538" s="32"/>
      <c r="AC538" s="32" t="s">
        <v>166</v>
      </c>
      <c r="AD538" s="32">
        <f t="shared" si="258"/>
        <v>1533</v>
      </c>
      <c r="AE538" s="38" t="str">
        <f>IF(ISBLANK(AK538),"",B538)</f>
        <v>5506071</v>
      </c>
      <c r="AF538" s="32" t="str">
        <f t="shared" si="261"/>
        <v>[5]</v>
      </c>
      <c r="AG538" s="26">
        <v>6</v>
      </c>
      <c r="AH538" s="26"/>
      <c r="AI538" s="26">
        <v>0</v>
      </c>
      <c r="AJ538" s="25">
        <v>1</v>
      </c>
      <c r="AK538" s="38">
        <f t="shared" si="268"/>
        <v>5506075</v>
      </c>
      <c r="AL538" s="41" t="str">
        <f>AL537</f>
        <v>攻击范围&lt;color=#54b76b&gt;+1&lt;/color&gt;格，伤害&lt;color=#54b76b&gt;+%s%&lt;/color&gt;</v>
      </c>
      <c r="AM538" s="26">
        <v>5</v>
      </c>
      <c r="AN538" s="25">
        <v>6</v>
      </c>
      <c r="AO538" s="25" t="s">
        <v>32</v>
      </c>
      <c r="AP538" s="20">
        <f t="shared" si="259"/>
        <v>533</v>
      </c>
    </row>
    <row r="539" customHeight="1" spans="1:42">
      <c r="A539" s="38">
        <v>5506076</v>
      </c>
      <c r="B539" s="38" t="str">
        <f t="shared" si="265"/>
        <v>5506071</v>
      </c>
      <c r="C539" s="32">
        <f t="shared" si="266"/>
        <v>6</v>
      </c>
      <c r="D539" s="32"/>
      <c r="E539" s="26" t="s">
        <v>209</v>
      </c>
      <c r="F539" s="26" t="str">
        <f t="shared" si="255"/>
        <v/>
      </c>
      <c r="G539" s="26" t="str">
        <f>IFERROR(IF(--MID($E539,2*COUNTIF($F539:F539,"&gt;"&amp;0)+2,1)=G$1,G$1,""),"")</f>
        <v/>
      </c>
      <c r="H539" s="26" t="str">
        <f>IFERROR(IF(--MID($E539,2*COUNTIF($F539:G539,"&gt;"&amp;0)+2,1)=H$1,H$1,""),"")</f>
        <v/>
      </c>
      <c r="I539" s="26" t="str">
        <f>IFERROR(IF(--MID($E539,2*COUNTIF($F539:H539,"&gt;"&amp;0)+2,1)=I$1,I$1,""),"")</f>
        <v/>
      </c>
      <c r="J539" s="26" t="str">
        <f>IFERROR(IF(--MID($E539,2*COUNTIF($F539:I539,"&gt;"&amp;0)+2,1)=J$1,J$1,""),"")</f>
        <v/>
      </c>
      <c r="K539" s="26">
        <f>IFERROR(IF(--MID($E539,2*COUNTIF($F539:J539,"&gt;"&amp;0)+2,1)=K$1,K$1,""),"")</f>
        <v>6</v>
      </c>
      <c r="L539" s="39" t="str" cm="1">
        <f t="array" ref="L539">IFERROR(IF($A539="","",IF(F539="","",_xlfn.XLOOKUP($C539&amp;"_"&amp;$AG539,符文权重!$A:$A&amp;"_"&amp;符文权重!$C:$C,符文权重!$D:$D)*$X539/SUMIFS($X:$X,F:F,F539,$C:$C,$C539,$AG:$AG,$AG539)/SUMIF(符文权重!$A:$A,$C539,符文权重!$D:$D))),"")</f>
        <v/>
      </c>
      <c r="M539" s="39" t="str" cm="1">
        <f t="array" ref="M539">IFERROR(IF($A539="","",IF(G539="","",_xlfn.XLOOKUP($C539&amp;"_"&amp;$AG539,符文权重!$A:$A&amp;"_"&amp;符文权重!$C:$C,符文权重!$D:$D)*$X539/SUMIFS($X:$X,G:G,G539,$C:$C,$C539,$AG:$AG,$AG539)/SUMIF(符文权重!$A:$A,$C539,符文权重!$D:$D))),"")</f>
        <v/>
      </c>
      <c r="N539" s="39" t="str" cm="1">
        <f t="array" ref="N539">IFERROR(IF($A539="","",IF(H539="","",_xlfn.XLOOKUP($C539&amp;"_"&amp;$AG539,符文权重!$A:$A&amp;"_"&amp;符文权重!$C:$C,符文权重!$D:$D)*$X539/SUMIFS($X:$X,H:H,H539,$C:$C,$C539,$AG:$AG,$AG539)/SUMIF(符文权重!$A:$A,$C539,符文权重!$D:$D))),"")</f>
        <v/>
      </c>
      <c r="O539" s="39" t="str" cm="1">
        <f t="array" ref="O539">IFERROR(IF($A539="","",IF(I539="","",_xlfn.XLOOKUP($C539&amp;"_"&amp;$AG539,符文权重!$A:$A&amp;"_"&amp;符文权重!$C:$C,符文权重!$D:$D)*$X539/SUMIFS($X:$X,I:I,I539,$C:$C,$C539,$AG:$AG,$AG539)/SUMIF(符文权重!$A:$A,$C539,符文权重!$D:$D))),"")</f>
        <v/>
      </c>
      <c r="P539" s="39" t="str" cm="1">
        <f t="array" ref="P539">IFERROR(IF($A539="","",IF(J539="","",_xlfn.XLOOKUP($C539&amp;"_"&amp;$AG539,符文权重!$A:$A&amp;"_"&amp;符文权重!$C:$C,符文权重!$D:$D)*$X539/SUMIFS($X:$X,J:J,J539,$C:$C,$C539,$AG:$AG,$AG539)/SUMIF(符文权重!$A:$A,$C539,符文权重!$D:$D))),"")</f>
        <v/>
      </c>
      <c r="Q539" s="39" cm="1">
        <f t="array" ref="Q539">IFERROR(IF($A539="","",IF(K539="","",_xlfn.XLOOKUP($C539&amp;"_"&amp;$AG539,符文权重!$A:$A&amp;"_"&amp;符文权重!$C:$C,符文权重!$D:$D)*$X539/SUMIFS($X:$X,K:K,K539,$C:$C,$C539,$AG:$AG,$AG539)/SUMIF(符文权重!$A:$A,$C539,符文权重!$D:$D))),"")</f>
        <v>0.00300429184549356</v>
      </c>
      <c r="R539" s="26" t="s">
        <v>163</v>
      </c>
      <c r="S539" s="26"/>
      <c r="T539" s="26" t="e">
        <f>IF(B539="","",SUBSTITUTE(SUBSTITUTE("[{global_atk,"&amp;#REF!*C539&amp;"}]",21,20),9,8))</f>
        <v>#REF!</v>
      </c>
      <c r="U539" s="40" t="str">
        <f t="shared" si="267"/>
        <v>[5506076]</v>
      </c>
      <c r="V539" s="26" t="s">
        <v>524</v>
      </c>
      <c r="X539" s="25">
        <v>100</v>
      </c>
      <c r="Z539" s="32" t="s">
        <v>178</v>
      </c>
      <c r="AA539" s="32" t="str">
        <f t="shared" si="264"/>
        <v>攻击范围+1格，伤害+10%</v>
      </c>
      <c r="AB539" s="32"/>
      <c r="AC539" s="32" t="s">
        <v>166</v>
      </c>
      <c r="AD539" s="32">
        <f t="shared" si="258"/>
        <v>1534</v>
      </c>
      <c r="AE539" s="38" t="str">
        <f>IF(ISBLANK(AK539),"",B539)</f>
        <v>5506071</v>
      </c>
      <c r="AF539" s="32" t="str">
        <f t="shared" si="261"/>
        <v>[10]</v>
      </c>
      <c r="AG539" s="26">
        <v>6</v>
      </c>
      <c r="AH539" s="26"/>
      <c r="AI539" s="26">
        <v>0</v>
      </c>
      <c r="AJ539" s="25">
        <v>1</v>
      </c>
      <c r="AK539" s="38">
        <f t="shared" si="268"/>
        <v>5506076</v>
      </c>
      <c r="AL539" s="41" t="str">
        <f>AL538</f>
        <v>攻击范围&lt;color=#54b76b&gt;+1&lt;/color&gt;格，伤害&lt;color=#54b76b&gt;+%s%&lt;/color&gt;</v>
      </c>
      <c r="AM539" s="26">
        <v>10</v>
      </c>
      <c r="AN539" s="25">
        <v>6</v>
      </c>
      <c r="AO539" s="25" t="s">
        <v>32</v>
      </c>
      <c r="AP539" s="20">
        <f t="shared" si="259"/>
        <v>534</v>
      </c>
    </row>
    <row r="540" customHeight="1" spans="1:42">
      <c r="A540" s="38">
        <v>5506077</v>
      </c>
      <c r="B540" s="38" t="str">
        <f t="shared" si="265"/>
        <v>5506071</v>
      </c>
      <c r="C540" s="32">
        <f t="shared" si="266"/>
        <v>7</v>
      </c>
      <c r="D540" s="32"/>
      <c r="E540" s="26" t="s">
        <v>209</v>
      </c>
      <c r="F540" s="26" t="str">
        <f t="shared" si="255"/>
        <v/>
      </c>
      <c r="G540" s="26" t="str">
        <f>IFERROR(IF(--MID($E540,2*COUNTIF($F540:F540,"&gt;"&amp;0)+2,1)=G$1,G$1,""),"")</f>
        <v/>
      </c>
      <c r="H540" s="26" t="str">
        <f>IFERROR(IF(--MID($E540,2*COUNTIF($F540:G540,"&gt;"&amp;0)+2,1)=H$1,H$1,""),"")</f>
        <v/>
      </c>
      <c r="I540" s="26" t="str">
        <f>IFERROR(IF(--MID($E540,2*COUNTIF($F540:H540,"&gt;"&amp;0)+2,1)=I$1,I$1,""),"")</f>
        <v/>
      </c>
      <c r="J540" s="26" t="str">
        <f>IFERROR(IF(--MID($E540,2*COUNTIF($F540:I540,"&gt;"&amp;0)+2,1)=J$1,J$1,""),"")</f>
        <v/>
      </c>
      <c r="K540" s="26">
        <f>IFERROR(IF(--MID($E540,2*COUNTIF($F540:J540,"&gt;"&amp;0)+2,1)=K$1,K$1,""),"")</f>
        <v>6</v>
      </c>
      <c r="L540" s="39" t="str" cm="1">
        <f t="array" ref="L540">IFERROR(IF($A540="","",IF(F540="","",_xlfn.XLOOKUP($C540&amp;"_"&amp;$AG540,符文权重!$A:$A&amp;"_"&amp;符文权重!$C:$C,符文权重!$D:$D)*$X540/SUMIFS($X:$X,F:F,F540,$C:$C,$C540,$AG:$AG,$AG540)/SUMIF(符文权重!$A:$A,$C540,符文权重!$D:$D))),"")</f>
        <v/>
      </c>
      <c r="M540" s="39" t="str" cm="1">
        <f t="array" ref="M540">IFERROR(IF($A540="","",IF(G540="","",_xlfn.XLOOKUP($C540&amp;"_"&amp;$AG540,符文权重!$A:$A&amp;"_"&amp;符文权重!$C:$C,符文权重!$D:$D)*$X540/SUMIFS($X:$X,G:G,G540,$C:$C,$C540,$AG:$AG,$AG540)/SUMIF(符文权重!$A:$A,$C540,符文权重!$D:$D))),"")</f>
        <v/>
      </c>
      <c r="N540" s="39" t="str" cm="1">
        <f t="array" ref="N540">IFERROR(IF($A540="","",IF(H540="","",_xlfn.XLOOKUP($C540&amp;"_"&amp;$AG540,符文权重!$A:$A&amp;"_"&amp;符文权重!$C:$C,符文权重!$D:$D)*$X540/SUMIFS($X:$X,H:H,H540,$C:$C,$C540,$AG:$AG,$AG540)/SUMIF(符文权重!$A:$A,$C540,符文权重!$D:$D))),"")</f>
        <v/>
      </c>
      <c r="O540" s="39" t="str" cm="1">
        <f t="array" ref="O540">IFERROR(IF($A540="","",IF(I540="","",_xlfn.XLOOKUP($C540&amp;"_"&amp;$AG540,符文权重!$A:$A&amp;"_"&amp;符文权重!$C:$C,符文权重!$D:$D)*$X540/SUMIFS($X:$X,I:I,I540,$C:$C,$C540,$AG:$AG,$AG540)/SUMIF(符文权重!$A:$A,$C540,符文权重!$D:$D))),"")</f>
        <v/>
      </c>
      <c r="P540" s="39" t="str" cm="1">
        <f t="array" ref="P540">IFERROR(IF($A540="","",IF(J540="","",_xlfn.XLOOKUP($C540&amp;"_"&amp;$AG540,符文权重!$A:$A&amp;"_"&amp;符文权重!$C:$C,符文权重!$D:$D)*$X540/SUMIFS($X:$X,J:J,J540,$C:$C,$C540,$AG:$AG,$AG540)/SUMIF(符文权重!$A:$A,$C540,符文权重!$D:$D))),"")</f>
        <v/>
      </c>
      <c r="Q540" s="39" cm="1">
        <f t="array" ref="Q540">IFERROR(IF($A540="","",IF(K540="","",_xlfn.XLOOKUP($C540&amp;"_"&amp;$AG540,符文权重!$A:$A&amp;"_"&amp;符文权重!$C:$C,符文权重!$D:$D)*$X540/SUMIFS($X:$X,K:K,K540,$C:$C,$C540,$AG:$AG,$AG540)/SUMIF(符文权重!$A:$A,$C540,符文权重!$D:$D))),"")</f>
        <v>0.00300429184549356</v>
      </c>
      <c r="R540" s="26" t="s">
        <v>163</v>
      </c>
      <c r="S540" s="26"/>
      <c r="T540" s="26" t="e">
        <f>IF(B540="","",SUBSTITUTE(SUBSTITUTE("[{global_atk,"&amp;#REF!*C540&amp;"}]",21,20),9,8))</f>
        <v>#REF!</v>
      </c>
      <c r="U540" s="40" t="str">
        <f t="shared" si="267"/>
        <v>[5506077]</v>
      </c>
      <c r="V540" s="26" t="s">
        <v>524</v>
      </c>
      <c r="X540" s="25">
        <v>100</v>
      </c>
      <c r="Z540" s="32" t="s">
        <v>180</v>
      </c>
      <c r="AA540" s="32" t="str">
        <f t="shared" si="264"/>
        <v>攻击范围+2格，伤害+10%</v>
      </c>
      <c r="AB540" s="32"/>
      <c r="AC540" s="32" t="s">
        <v>166</v>
      </c>
      <c r="AD540" s="32">
        <f t="shared" si="258"/>
        <v>1535</v>
      </c>
      <c r="AE540" s="38">
        <v>55060712</v>
      </c>
      <c r="AF540" s="32" t="str">
        <f t="shared" si="261"/>
        <v>[10]</v>
      </c>
      <c r="AG540" s="26">
        <v>6</v>
      </c>
      <c r="AH540" s="26"/>
      <c r="AI540" s="26">
        <v>0</v>
      </c>
      <c r="AJ540" s="25">
        <v>1</v>
      </c>
      <c r="AK540" s="38">
        <f t="shared" si="268"/>
        <v>5506077</v>
      </c>
      <c r="AL540" s="41" t="s">
        <v>525</v>
      </c>
      <c r="AM540" s="26">
        <v>10</v>
      </c>
      <c r="AN540" s="25">
        <v>6</v>
      </c>
      <c r="AO540" s="25" t="s">
        <v>32</v>
      </c>
      <c r="AP540" s="20">
        <f t="shared" si="259"/>
        <v>535</v>
      </c>
    </row>
    <row r="541" s="20" customFormat="1" customHeight="1" spans="1:42">
      <c r="A541" s="38" t="s">
        <v>167</v>
      </c>
      <c r="B541" s="38" t="str">
        <f t="shared" si="265"/>
        <v/>
      </c>
      <c r="C541" s="32" t="str">
        <f t="shared" si="266"/>
        <v/>
      </c>
      <c r="D541" s="32"/>
      <c r="E541" s="26"/>
      <c r="F541" s="26" t="str">
        <f t="shared" si="255"/>
        <v/>
      </c>
      <c r="G541" s="26" t="str">
        <f>IFERROR(IF(--MID($E541,2*COUNTIF($F541:F541,"&gt;"&amp;0)+2,1)=G$1,G$1,""),"")</f>
        <v/>
      </c>
      <c r="H541" s="26" t="str">
        <f>IFERROR(IF(--MID($E541,2*COUNTIF($F541:G541,"&gt;"&amp;0)+2,1)=H$1,H$1,""),"")</f>
        <v/>
      </c>
      <c r="I541" s="26" t="str">
        <f>IFERROR(IF(--MID($E541,2*COUNTIF($F541:H541,"&gt;"&amp;0)+2,1)=I$1,I$1,""),"")</f>
        <v/>
      </c>
      <c r="J541" s="26" t="str">
        <f>IFERROR(IF(--MID($E541,2*COUNTIF($F541:I541,"&gt;"&amp;0)+2,1)=J$1,J$1,""),"")</f>
        <v/>
      </c>
      <c r="K541" s="26" t="str">
        <f>IFERROR(IF(--MID($E541,2*COUNTIF($F541:J541,"&gt;"&amp;0)+2,1)=K$1,K$1,""),"")</f>
        <v/>
      </c>
      <c r="L541" s="39" t="str" cm="1">
        <f t="array" ref="L541">IFERROR(IF($A541="","",IF(F541="","",_xlfn.XLOOKUP($C541&amp;"_"&amp;$AG541,符文权重!$A:$A&amp;"_"&amp;符文权重!$C:$C,符文权重!$D:$D)*$X541/SUMIFS($X:$X,F:F,F541,$C:$C,$C541,$AG:$AG,$AG541)/SUMIF(符文权重!$A:$A,$C541,符文权重!$D:$D))),"")</f>
        <v/>
      </c>
      <c r="M541" s="39" t="str" cm="1">
        <f t="array" ref="M541">IFERROR(IF($A541="","",IF(G541="","",_xlfn.XLOOKUP($C541&amp;"_"&amp;$AG541,符文权重!$A:$A&amp;"_"&amp;符文权重!$C:$C,符文权重!$D:$D)*$X541/SUMIFS($X:$X,G:G,G541,$C:$C,$C541,$AG:$AG,$AG541)/SUMIF(符文权重!$A:$A,$C541,符文权重!$D:$D))),"")</f>
        <v/>
      </c>
      <c r="N541" s="39" t="str" cm="1">
        <f t="array" ref="N541">IFERROR(IF($A541="","",IF(H541="","",_xlfn.XLOOKUP($C541&amp;"_"&amp;$AG541,符文权重!$A:$A&amp;"_"&amp;符文权重!$C:$C,符文权重!$D:$D)*$X541/SUMIFS($X:$X,H:H,H541,$C:$C,$C541,$AG:$AG,$AG541)/SUMIF(符文权重!$A:$A,$C541,符文权重!$D:$D))),"")</f>
        <v/>
      </c>
      <c r="O541" s="39" t="str" cm="1">
        <f t="array" ref="O541">IFERROR(IF($A541="","",IF(I541="","",_xlfn.XLOOKUP($C541&amp;"_"&amp;$AG541,符文权重!$A:$A&amp;"_"&amp;符文权重!$C:$C,符文权重!$D:$D)*$X541/SUMIFS($X:$X,I:I,I541,$C:$C,$C541,$AG:$AG,$AG541)/SUMIF(符文权重!$A:$A,$C541,符文权重!$D:$D))),"")</f>
        <v/>
      </c>
      <c r="P541" s="39" t="str" cm="1">
        <f t="array" ref="P541">IFERROR(IF($A541="","",IF(J541="","",_xlfn.XLOOKUP($C541&amp;"_"&amp;$AG541,符文权重!$A:$A&amp;"_"&amp;符文权重!$C:$C,符文权重!$D:$D)*$X541/SUMIFS($X:$X,J:J,J541,$C:$C,$C541,$AG:$AG,$AG541)/SUMIF(符文权重!$A:$A,$C541,符文权重!$D:$D))),"")</f>
        <v/>
      </c>
      <c r="Q541" s="39" t="str" cm="1">
        <f t="array" ref="Q541">IFERROR(IF($A541="","",IF(K541="","",_xlfn.XLOOKUP($C541&amp;"_"&amp;$AG541,符文权重!$A:$A&amp;"_"&amp;符文权重!$C:$C,符文权重!$D:$D)*$X541/SUMIFS($X:$X,K:K,K541,$C:$C,$C541,$AG:$AG,$AG541)/SUMIF(符文权重!$A:$A,$C541,符文权重!$D:$D))),"")</f>
        <v/>
      </c>
      <c r="R541" s="26"/>
      <c r="S541" s="26"/>
      <c r="T541" s="26"/>
      <c r="V541" s="31"/>
      <c r="W541" s="25"/>
      <c r="X541" s="25"/>
      <c r="Y541" s="25"/>
      <c r="Z541" s="32" t="s">
        <v>167</v>
      </c>
      <c r="AA541" s="32" t="str">
        <f t="shared" si="264"/>
        <v/>
      </c>
      <c r="AB541" s="32"/>
      <c r="AC541" s="32" t="s">
        <v>166</v>
      </c>
      <c r="AD541" s="32">
        <f t="shared" si="258"/>
        <v>1536</v>
      </c>
      <c r="AE541" s="38" t="str">
        <f t="shared" ref="AE541:AE572" si="269">IF(ISBLANK(AK541),"",B541)</f>
        <v/>
      </c>
      <c r="AF541" s="32" t="str">
        <f t="shared" si="261"/>
        <v/>
      </c>
      <c r="AG541" s="26"/>
      <c r="AH541" s="26"/>
      <c r="AI541" s="26"/>
      <c r="AJ541" s="25" t="s">
        <v>167</v>
      </c>
      <c r="AK541" s="24"/>
      <c r="AL541" s="51"/>
      <c r="AM541" s="26"/>
      <c r="AN541" s="25"/>
      <c r="AO541" s="25"/>
      <c r="AP541" s="20">
        <f t="shared" si="259"/>
        <v>536</v>
      </c>
    </row>
    <row r="542" s="20" customFormat="1" customHeight="1" spans="1:42">
      <c r="A542" s="38">
        <v>5506081</v>
      </c>
      <c r="B542" s="38" t="str">
        <f t="shared" si="265"/>
        <v>5506081</v>
      </c>
      <c r="C542" s="32">
        <f t="shared" si="266"/>
        <v>1</v>
      </c>
      <c r="D542" s="32"/>
      <c r="E542" s="26" t="s">
        <v>332</v>
      </c>
      <c r="F542" s="26">
        <f t="shared" si="255"/>
        <v>1</v>
      </c>
      <c r="G542" s="26" t="str">
        <f>IFERROR(IF(--MID($E542,2*COUNTIF($F542:F542,"&gt;"&amp;0)+2,1)=G$1,G$1,""),"")</f>
        <v/>
      </c>
      <c r="H542" s="26" t="str">
        <f>IFERROR(IF(--MID($E542,2*COUNTIF($F542:G542,"&gt;"&amp;0)+2,1)=H$1,H$1,""),"")</f>
        <v/>
      </c>
      <c r="I542" s="26">
        <f>IFERROR(IF(--MID($E542,2*COUNTIF($F542:H542,"&gt;"&amp;0)+2,1)=I$1,I$1,""),"")</f>
        <v>4</v>
      </c>
      <c r="J542" s="26" t="str">
        <f>IFERROR(IF(--MID($E542,2*COUNTIF($F542:I542,"&gt;"&amp;0)+2,1)=J$1,J$1,""),"")</f>
        <v/>
      </c>
      <c r="K542" s="26" t="str">
        <f>IFERROR(IF(--MID($E542,2*COUNTIF($F542:J542,"&gt;"&amp;0)+2,1)=K$1,K$1,""),"")</f>
        <v/>
      </c>
      <c r="L542" s="39" t="str" cm="1">
        <f t="array" ref="L542">IFERROR(IF($A542="","",IF(F542="","",_xlfn.XLOOKUP($C542&amp;"_"&amp;$AG542,符文权重!$A:$A&amp;"_"&amp;符文权重!$C:$C,符文权重!$D:$D)*$X542/SUMIFS($X:$X,F:F,F542,$C:$C,$C542,$AG:$AG,$AG542)/SUMIF(符文权重!$A:$A,$C542,符文权重!$D:$D))),"")</f>
        <v/>
      </c>
      <c r="M542" s="39" t="str" cm="1">
        <f t="array" ref="M542">IFERROR(IF($A542="","",IF(G542="","",_xlfn.XLOOKUP($C542&amp;"_"&amp;$AG542,符文权重!$A:$A&amp;"_"&amp;符文权重!$C:$C,符文权重!$D:$D)*$X542/SUMIFS($X:$X,G:G,G542,$C:$C,$C542,$AG:$AG,$AG542)/SUMIF(符文权重!$A:$A,$C542,符文权重!$D:$D))),"")</f>
        <v/>
      </c>
      <c r="N542" s="39" t="str" cm="1">
        <f t="array" ref="N542">IFERROR(IF($A542="","",IF(H542="","",_xlfn.XLOOKUP($C542&amp;"_"&amp;$AG542,符文权重!$A:$A&amp;"_"&amp;符文权重!$C:$C,符文权重!$D:$D)*$X542/SUMIFS($X:$X,H:H,H542,$C:$C,$C542,$AG:$AG,$AG542)/SUMIF(符文权重!$A:$A,$C542,符文权重!$D:$D))),"")</f>
        <v/>
      </c>
      <c r="O542" s="39" t="str" cm="1">
        <f t="array" ref="O542">IFERROR(IF($A542="","",IF(I542="","",_xlfn.XLOOKUP($C542&amp;"_"&amp;$AG542,符文权重!$A:$A&amp;"_"&amp;符文权重!$C:$C,符文权重!$D:$D)*$X542/SUMIFS($X:$X,I:I,I542,$C:$C,$C542,$AG:$AG,$AG542)/SUMIF(符文权重!$A:$A,$C542,符文权重!$D:$D))),"")</f>
        <v/>
      </c>
      <c r="P542" s="39" t="str" cm="1">
        <f t="array" ref="P542">IFERROR(IF($A542="","",IF(J542="","",_xlfn.XLOOKUP($C542&amp;"_"&amp;$AG542,符文权重!$A:$A&amp;"_"&amp;符文权重!$C:$C,符文权重!$D:$D)*$X542/SUMIFS($X:$X,J:J,J542,$C:$C,$C542,$AG:$AG,$AG542)/SUMIF(符文权重!$A:$A,$C542,符文权重!$D:$D))),"")</f>
        <v/>
      </c>
      <c r="Q542" s="39" t="str" cm="1">
        <f t="array" ref="Q542">IFERROR(IF($A542="","",IF(K542="","",_xlfn.XLOOKUP($C542&amp;"_"&amp;$AG542,符文权重!$A:$A&amp;"_"&amp;符文权重!$C:$C,符文权重!$D:$D)*$X542/SUMIFS($X:$X,K:K,K542,$C:$C,$C542,$AG:$AG,$AG542)/SUMIF(符文权重!$A:$A,$C542,符文权重!$D:$D))),"")</f>
        <v/>
      </c>
      <c r="R542" s="26" t="s">
        <v>163</v>
      </c>
      <c r="S542" s="26"/>
      <c r="T542" s="26" t="e">
        <f>IF(B542="","",SUBSTITUTE(SUBSTITUTE("[{global_atk,"&amp;#REF!*C542&amp;"}]",21,20),9,8))</f>
        <v>#REF!</v>
      </c>
      <c r="U542" s="40" t="str">
        <f t="shared" ref="U542:U548" si="270">"["&amp;A542&amp;"]"</f>
        <v>[5506081]</v>
      </c>
      <c r="V542" s="26"/>
      <c r="W542" s="25"/>
      <c r="X542" s="25">
        <v>100</v>
      </c>
      <c r="Y542" s="25"/>
      <c r="Z542" s="32" t="s">
        <v>165</v>
      </c>
      <c r="AA542" s="32" t="str">
        <f t="shared" si="264"/>
        <v>充能后获得0%攻速3秒</v>
      </c>
      <c r="AB542" s="32"/>
      <c r="AC542" s="32" t="s">
        <v>166</v>
      </c>
      <c r="AD542" s="32">
        <f t="shared" si="258"/>
        <v>1537</v>
      </c>
      <c r="AE542" s="38" t="str">
        <f t="shared" si="269"/>
        <v>5506081</v>
      </c>
      <c r="AF542" s="32" t="str">
        <f t="shared" si="261"/>
        <v>[0]</v>
      </c>
      <c r="AG542" s="26">
        <v>100</v>
      </c>
      <c r="AH542" s="26"/>
      <c r="AI542" s="26">
        <v>1</v>
      </c>
      <c r="AJ542" s="25">
        <v>1</v>
      </c>
      <c r="AK542" s="24">
        <v>5506081</v>
      </c>
      <c r="AL542" s="59" t="s">
        <v>526</v>
      </c>
      <c r="AM542" s="26">
        <v>0</v>
      </c>
      <c r="AN542" s="25">
        <v>6</v>
      </c>
      <c r="AO542" s="25" t="s">
        <v>25</v>
      </c>
      <c r="AP542" s="20">
        <f t="shared" si="259"/>
        <v>537</v>
      </c>
    </row>
    <row r="543" customHeight="1" spans="1:42">
      <c r="A543" s="38">
        <v>5506082</v>
      </c>
      <c r="B543" s="38" t="str">
        <f t="shared" si="265"/>
        <v>5506081</v>
      </c>
      <c r="C543" s="32">
        <f t="shared" si="266"/>
        <v>2</v>
      </c>
      <c r="D543" s="32"/>
      <c r="E543" s="26" t="s">
        <v>332</v>
      </c>
      <c r="F543" s="26">
        <f t="shared" si="255"/>
        <v>1</v>
      </c>
      <c r="G543" s="26" t="str">
        <f>IFERROR(IF(--MID($E543,2*COUNTIF($F543:F543,"&gt;"&amp;0)+2,1)=G$1,G$1,""),"")</f>
        <v/>
      </c>
      <c r="H543" s="26" t="str">
        <f>IFERROR(IF(--MID($E543,2*COUNTIF($F543:G543,"&gt;"&amp;0)+2,1)=H$1,H$1,""),"")</f>
        <v/>
      </c>
      <c r="I543" s="26">
        <f>IFERROR(IF(--MID($E543,2*COUNTIF($F543:H543,"&gt;"&amp;0)+2,1)=I$1,I$1,""),"")</f>
        <v>4</v>
      </c>
      <c r="J543" s="26" t="str">
        <f>IFERROR(IF(--MID($E543,2*COUNTIF($F543:I543,"&gt;"&amp;0)+2,1)=J$1,J$1,""),"")</f>
        <v/>
      </c>
      <c r="K543" s="26" t="str">
        <f>IFERROR(IF(--MID($E543,2*COUNTIF($F543:J543,"&gt;"&amp;0)+2,1)=K$1,K$1,""),"")</f>
        <v/>
      </c>
      <c r="L543" s="39" t="str" cm="1">
        <f t="array" ref="L543">IFERROR(IF($A543="","",IF(F543="","",_xlfn.XLOOKUP($C543&amp;"_"&amp;$AG543,符文权重!$A:$A&amp;"_"&amp;符文权重!$C:$C,符文权重!$D:$D)*$X543/SUMIFS($X:$X,F:F,F543,$C:$C,$C543,$AG:$AG,$AG543)/SUMIF(符文权重!$A:$A,$C543,符文权重!$D:$D))),"")</f>
        <v/>
      </c>
      <c r="M543" s="39" t="str" cm="1">
        <f t="array" ref="M543">IFERROR(IF($A543="","",IF(G543="","",_xlfn.XLOOKUP($C543&amp;"_"&amp;$AG543,符文权重!$A:$A&amp;"_"&amp;符文权重!$C:$C,符文权重!$D:$D)*$X543/SUMIFS($X:$X,G:G,G543,$C:$C,$C543,$AG:$AG,$AG543)/SUMIF(符文权重!$A:$A,$C543,符文权重!$D:$D))),"")</f>
        <v/>
      </c>
      <c r="N543" s="39" t="str" cm="1">
        <f t="array" ref="N543">IFERROR(IF($A543="","",IF(H543="","",_xlfn.XLOOKUP($C543&amp;"_"&amp;$AG543,符文权重!$A:$A&amp;"_"&amp;符文权重!$C:$C,符文权重!$D:$D)*$X543/SUMIFS($X:$X,H:H,H543,$C:$C,$C543,$AG:$AG,$AG543)/SUMIF(符文权重!$A:$A,$C543,符文权重!$D:$D))),"")</f>
        <v/>
      </c>
      <c r="O543" s="39" t="str" cm="1">
        <f t="array" ref="O543">IFERROR(IF($A543="","",IF(I543="","",_xlfn.XLOOKUP($C543&amp;"_"&amp;$AG543,符文权重!$A:$A&amp;"_"&amp;符文权重!$C:$C,符文权重!$D:$D)*$X543/SUMIFS($X:$X,I:I,I543,$C:$C,$C543,$AG:$AG,$AG543)/SUMIF(符文权重!$A:$A,$C543,符文权重!$D:$D))),"")</f>
        <v/>
      </c>
      <c r="P543" s="39" t="str" cm="1">
        <f t="array" ref="P543">IFERROR(IF($A543="","",IF(J543="","",_xlfn.XLOOKUP($C543&amp;"_"&amp;$AG543,符文权重!$A:$A&amp;"_"&amp;符文权重!$C:$C,符文权重!$D:$D)*$X543/SUMIFS($X:$X,J:J,J543,$C:$C,$C543,$AG:$AG,$AG543)/SUMIF(符文权重!$A:$A,$C543,符文权重!$D:$D))),"")</f>
        <v/>
      </c>
      <c r="Q543" s="39" t="str" cm="1">
        <f t="array" ref="Q543">IFERROR(IF($A543="","",IF(K543="","",_xlfn.XLOOKUP($C543&amp;"_"&amp;$AG543,符文权重!$A:$A&amp;"_"&amp;符文权重!$C:$C,符文权重!$D:$D)*$X543/SUMIFS($X:$X,K:K,K543,$C:$C,$C543,$AG:$AG,$AG543)/SUMIF(符文权重!$A:$A,$C543,符文权重!$D:$D))),"")</f>
        <v/>
      </c>
      <c r="R543" s="26" t="s">
        <v>163</v>
      </c>
      <c r="S543" s="26"/>
      <c r="T543" s="26" t="e">
        <f>IF(B543="","",SUBSTITUTE(SUBSTITUTE("[{global_atk,"&amp;#REF!*C543&amp;"}]",21,20),9,8))</f>
        <v>#REF!</v>
      </c>
      <c r="U543" s="40" t="str">
        <f t="shared" si="270"/>
        <v>[5506082]</v>
      </c>
      <c r="X543" s="25">
        <v>100</v>
      </c>
      <c r="Z543" s="32" t="s">
        <v>170</v>
      </c>
      <c r="AA543" s="32" t="str">
        <f t="shared" si="264"/>
        <v>充能后获得0%攻速3秒</v>
      </c>
      <c r="AB543" s="32"/>
      <c r="AC543" s="32" t="s">
        <v>166</v>
      </c>
      <c r="AD543" s="32">
        <f t="shared" si="258"/>
        <v>1538</v>
      </c>
      <c r="AE543" s="38" t="str">
        <f t="shared" si="269"/>
        <v>5506081</v>
      </c>
      <c r="AF543" s="32" t="str">
        <f t="shared" si="261"/>
        <v>[0]</v>
      </c>
      <c r="AG543" s="26">
        <v>100</v>
      </c>
      <c r="AH543" s="26"/>
      <c r="AI543" s="26">
        <v>1</v>
      </c>
      <c r="AJ543" s="25">
        <v>1</v>
      </c>
      <c r="AK543" s="38">
        <f t="shared" ref="AK543:AK548" si="271">AK542+1</f>
        <v>5506082</v>
      </c>
      <c r="AL543" s="41" t="str">
        <f t="shared" ref="AL543:AL548" si="272">AL542</f>
        <v>充能后获得&lt;color=#54b76b&gt;%s%&lt;/color&gt;攻速3秒</v>
      </c>
      <c r="AM543" s="26">
        <v>0</v>
      </c>
      <c r="AN543" s="25">
        <v>6</v>
      </c>
      <c r="AO543" s="25" t="s">
        <v>25</v>
      </c>
      <c r="AP543" s="20">
        <f t="shared" si="259"/>
        <v>538</v>
      </c>
    </row>
    <row r="544" customHeight="1" spans="1:42">
      <c r="A544" s="38">
        <v>5506083</v>
      </c>
      <c r="B544" s="38" t="str">
        <f t="shared" si="265"/>
        <v>5506081</v>
      </c>
      <c r="C544" s="32">
        <f t="shared" si="266"/>
        <v>3</v>
      </c>
      <c r="D544" s="32"/>
      <c r="E544" s="26" t="s">
        <v>332</v>
      </c>
      <c r="F544" s="26">
        <f t="shared" si="255"/>
        <v>1</v>
      </c>
      <c r="G544" s="26" t="str">
        <f>IFERROR(IF(--MID($E544,2*COUNTIF($F544:F544,"&gt;"&amp;0)+2,1)=G$1,G$1,""),"")</f>
        <v/>
      </c>
      <c r="H544" s="26" t="str">
        <f>IFERROR(IF(--MID($E544,2*COUNTIF($F544:G544,"&gt;"&amp;0)+2,1)=H$1,H$1,""),"")</f>
        <v/>
      </c>
      <c r="I544" s="26">
        <f>IFERROR(IF(--MID($E544,2*COUNTIF($F544:H544,"&gt;"&amp;0)+2,1)=I$1,I$1,""),"")</f>
        <v>4</v>
      </c>
      <c r="J544" s="26" t="str">
        <f>IFERROR(IF(--MID($E544,2*COUNTIF($F544:I544,"&gt;"&amp;0)+2,1)=J$1,J$1,""),"")</f>
        <v/>
      </c>
      <c r="K544" s="26" t="str">
        <f>IFERROR(IF(--MID($E544,2*COUNTIF($F544:J544,"&gt;"&amp;0)+2,1)=K$1,K$1,""),"")</f>
        <v/>
      </c>
      <c r="L544" s="39" t="str" cm="1">
        <f t="array" ref="L544">IFERROR(IF($A544="","",IF(F544="","",_xlfn.XLOOKUP($C544&amp;"_"&amp;$AG544,符文权重!$A:$A&amp;"_"&amp;符文权重!$C:$C,符文权重!$D:$D)*$X544/SUMIFS($X:$X,F:F,F544,$C:$C,$C544,$AG:$AG,$AG544)/SUMIF(符文权重!$A:$A,$C544,符文权重!$D:$D))),"")</f>
        <v/>
      </c>
      <c r="M544" s="39" t="str" cm="1">
        <f t="array" ref="M544">IFERROR(IF($A544="","",IF(G544="","",_xlfn.XLOOKUP($C544&amp;"_"&amp;$AG544,符文权重!$A:$A&amp;"_"&amp;符文权重!$C:$C,符文权重!$D:$D)*$X544/SUMIFS($X:$X,G:G,G544,$C:$C,$C544,$AG:$AG,$AG544)/SUMIF(符文权重!$A:$A,$C544,符文权重!$D:$D))),"")</f>
        <v/>
      </c>
      <c r="N544" s="39" t="str" cm="1">
        <f t="array" ref="N544">IFERROR(IF($A544="","",IF(H544="","",_xlfn.XLOOKUP($C544&amp;"_"&amp;$AG544,符文权重!$A:$A&amp;"_"&amp;符文权重!$C:$C,符文权重!$D:$D)*$X544/SUMIFS($X:$X,H:H,H544,$C:$C,$C544,$AG:$AG,$AG544)/SUMIF(符文权重!$A:$A,$C544,符文权重!$D:$D))),"")</f>
        <v/>
      </c>
      <c r="O544" s="39" t="str" cm="1">
        <f t="array" ref="O544">IFERROR(IF($A544="","",IF(I544="","",_xlfn.XLOOKUP($C544&amp;"_"&amp;$AG544,符文权重!$A:$A&amp;"_"&amp;符文权重!$C:$C,符文权重!$D:$D)*$X544/SUMIFS($X:$X,I:I,I544,$C:$C,$C544,$AG:$AG,$AG544)/SUMIF(符文权重!$A:$A,$C544,符文权重!$D:$D))),"")</f>
        <v/>
      </c>
      <c r="P544" s="39" t="str" cm="1">
        <f t="array" ref="P544">IFERROR(IF($A544="","",IF(J544="","",_xlfn.XLOOKUP($C544&amp;"_"&amp;$AG544,符文权重!$A:$A&amp;"_"&amp;符文权重!$C:$C,符文权重!$D:$D)*$X544/SUMIFS($X:$X,J:J,J544,$C:$C,$C544,$AG:$AG,$AG544)/SUMIF(符文权重!$A:$A,$C544,符文权重!$D:$D))),"")</f>
        <v/>
      </c>
      <c r="Q544" s="39" t="str" cm="1">
        <f t="array" ref="Q544">IFERROR(IF($A544="","",IF(K544="","",_xlfn.XLOOKUP($C544&amp;"_"&amp;$AG544,符文权重!$A:$A&amp;"_"&amp;符文权重!$C:$C,符文权重!$D:$D)*$X544/SUMIFS($X:$X,K:K,K544,$C:$C,$C544,$AG:$AG,$AG544)/SUMIF(符文权重!$A:$A,$C544,符文权重!$D:$D))),"")</f>
        <v/>
      </c>
      <c r="R544" s="26" t="s">
        <v>163</v>
      </c>
      <c r="S544" s="26"/>
      <c r="T544" s="26" t="e">
        <f>IF(B544="","",SUBSTITUTE(SUBSTITUTE("[{global_atk,"&amp;#REF!*C544&amp;"}]",21,20),9,8))</f>
        <v>#REF!</v>
      </c>
      <c r="U544" s="40" t="str">
        <f t="shared" si="270"/>
        <v>[5506083]</v>
      </c>
      <c r="X544" s="25">
        <v>100</v>
      </c>
      <c r="Z544" s="32" t="s">
        <v>172</v>
      </c>
      <c r="AA544" s="32" t="str">
        <f t="shared" si="264"/>
        <v>充能后获得0%攻速3秒</v>
      </c>
      <c r="AB544" s="32"/>
      <c r="AC544" s="32" t="s">
        <v>166</v>
      </c>
      <c r="AD544" s="32">
        <f t="shared" si="258"/>
        <v>1539</v>
      </c>
      <c r="AE544" s="38" t="str">
        <f t="shared" si="269"/>
        <v>5506081</v>
      </c>
      <c r="AF544" s="32" t="str">
        <f t="shared" si="261"/>
        <v>[0]</v>
      </c>
      <c r="AG544" s="26">
        <v>100</v>
      </c>
      <c r="AH544" s="26"/>
      <c r="AI544" s="26">
        <v>1</v>
      </c>
      <c r="AJ544" s="25">
        <v>1</v>
      </c>
      <c r="AK544" s="38">
        <f t="shared" si="271"/>
        <v>5506083</v>
      </c>
      <c r="AL544" s="41" t="str">
        <f t="shared" si="272"/>
        <v>充能后获得&lt;color=#54b76b&gt;%s%&lt;/color&gt;攻速3秒</v>
      </c>
      <c r="AM544" s="26">
        <v>0</v>
      </c>
      <c r="AN544" s="25">
        <v>6</v>
      </c>
      <c r="AO544" s="25" t="s">
        <v>25</v>
      </c>
      <c r="AP544" s="20">
        <f t="shared" si="259"/>
        <v>539</v>
      </c>
    </row>
    <row r="545" customHeight="1" spans="1:42">
      <c r="A545" s="38">
        <v>5506084</v>
      </c>
      <c r="B545" s="38" t="str">
        <f t="shared" si="265"/>
        <v>5506081</v>
      </c>
      <c r="C545" s="32">
        <f t="shared" si="266"/>
        <v>4</v>
      </c>
      <c r="D545" s="32"/>
      <c r="E545" s="26" t="s">
        <v>332</v>
      </c>
      <c r="F545" s="26">
        <f t="shared" si="255"/>
        <v>1</v>
      </c>
      <c r="G545" s="26" t="str">
        <f>IFERROR(IF(--MID($E545,2*COUNTIF($F545:F545,"&gt;"&amp;0)+2,1)=G$1,G$1,""),"")</f>
        <v/>
      </c>
      <c r="H545" s="26" t="str">
        <f>IFERROR(IF(--MID($E545,2*COUNTIF($F545:G545,"&gt;"&amp;0)+2,1)=H$1,H$1,""),"")</f>
        <v/>
      </c>
      <c r="I545" s="26">
        <f>IFERROR(IF(--MID($E545,2*COUNTIF($F545:H545,"&gt;"&amp;0)+2,1)=I$1,I$1,""),"")</f>
        <v>4</v>
      </c>
      <c r="J545" s="26" t="str">
        <f>IFERROR(IF(--MID($E545,2*COUNTIF($F545:I545,"&gt;"&amp;0)+2,1)=J$1,J$1,""),"")</f>
        <v/>
      </c>
      <c r="K545" s="26" t="str">
        <f>IFERROR(IF(--MID($E545,2*COUNTIF($F545:J545,"&gt;"&amp;0)+2,1)=K$1,K$1,""),"")</f>
        <v/>
      </c>
      <c r="L545" s="39" cm="1">
        <f t="array" ref="L545">IFERROR(IF($A545="","",IF(F545="","",_xlfn.XLOOKUP($C545&amp;"_"&amp;$AG545,符文权重!$A:$A&amp;"_"&amp;符文权重!$C:$C,符文权重!$D:$D)*$X545/SUMIFS($X:$X,F:F,F545,$C:$C,$C545,$AG:$AG,$AG545)/SUMIF(符文权重!$A:$A,$C545,符文权重!$D:$D))),"")</f>
        <v>0.00416666666666667</v>
      </c>
      <c r="M545" s="39" t="str" cm="1">
        <f t="array" ref="M545">IFERROR(IF($A545="","",IF(G545="","",_xlfn.XLOOKUP($C545&amp;"_"&amp;$AG545,符文权重!$A:$A&amp;"_"&amp;符文权重!$C:$C,符文权重!$D:$D)*$X545/SUMIFS($X:$X,G:G,G545,$C:$C,$C545,$AG:$AG,$AG545)/SUMIF(符文权重!$A:$A,$C545,符文权重!$D:$D))),"")</f>
        <v/>
      </c>
      <c r="N545" s="39" t="str" cm="1">
        <f t="array" ref="N545">IFERROR(IF($A545="","",IF(H545="","",_xlfn.XLOOKUP($C545&amp;"_"&amp;$AG545,符文权重!$A:$A&amp;"_"&amp;符文权重!$C:$C,符文权重!$D:$D)*$X545/SUMIFS($X:$X,H:H,H545,$C:$C,$C545,$AG:$AG,$AG545)/SUMIF(符文权重!$A:$A,$C545,符文权重!$D:$D))),"")</f>
        <v/>
      </c>
      <c r="O545" s="39" cm="1">
        <f t="array" ref="O545">IFERROR(IF($A545="","",IF(I545="","",_xlfn.XLOOKUP($C545&amp;"_"&amp;$AG545,符文权重!$A:$A&amp;"_"&amp;符文权重!$C:$C,符文权重!$D:$D)*$X545/SUMIFS($X:$X,I:I,I545,$C:$C,$C545,$AG:$AG,$AG545)/SUMIF(符文权重!$A:$A,$C545,符文权重!$D:$D))),"")</f>
        <v>0.00238095238095238</v>
      </c>
      <c r="P545" s="39" t="str" cm="1">
        <f t="array" ref="P545">IFERROR(IF($A545="","",IF(J545="","",_xlfn.XLOOKUP($C545&amp;"_"&amp;$AG545,符文权重!$A:$A&amp;"_"&amp;符文权重!$C:$C,符文权重!$D:$D)*$X545/SUMIFS($X:$X,J:J,J545,$C:$C,$C545,$AG:$AG,$AG545)/SUMIF(符文权重!$A:$A,$C545,符文权重!$D:$D))),"")</f>
        <v/>
      </c>
      <c r="Q545" s="39" t="str" cm="1">
        <f t="array" ref="Q545">IFERROR(IF($A545="","",IF(K545="","",_xlfn.XLOOKUP($C545&amp;"_"&amp;$AG545,符文权重!$A:$A&amp;"_"&amp;符文权重!$C:$C,符文权重!$D:$D)*$X545/SUMIFS($X:$X,K:K,K545,$C:$C,$C545,$AG:$AG,$AG545)/SUMIF(符文权重!$A:$A,$C545,符文权重!$D:$D))),"")</f>
        <v/>
      </c>
      <c r="R545" s="26" t="s">
        <v>163</v>
      </c>
      <c r="S545" s="26"/>
      <c r="T545" s="26" t="e">
        <f>IF(B545="","",SUBSTITUTE(SUBSTITUTE("[{global_atk,"&amp;#REF!*C545&amp;"}]",21,20),9,8))</f>
        <v>#REF!</v>
      </c>
      <c r="U545" s="40" t="str">
        <f t="shared" si="270"/>
        <v>[5506084]</v>
      </c>
      <c r="X545" s="25">
        <v>20</v>
      </c>
      <c r="Z545" s="32" t="s">
        <v>174</v>
      </c>
      <c r="AA545" s="32" t="str">
        <f t="shared" si="264"/>
        <v>充能后获得40%攻速3秒</v>
      </c>
      <c r="AB545" s="32"/>
      <c r="AC545" s="32" t="s">
        <v>166</v>
      </c>
      <c r="AD545" s="32">
        <f t="shared" si="258"/>
        <v>1540</v>
      </c>
      <c r="AE545" s="38" t="str">
        <f t="shared" si="269"/>
        <v>5506081</v>
      </c>
      <c r="AF545" s="32" t="str">
        <f t="shared" si="261"/>
        <v>[40]</v>
      </c>
      <c r="AG545" s="62">
        <v>4</v>
      </c>
      <c r="AH545" s="26"/>
      <c r="AI545" s="26">
        <v>0</v>
      </c>
      <c r="AJ545" s="25">
        <v>1</v>
      </c>
      <c r="AK545" s="38">
        <f t="shared" si="271"/>
        <v>5506084</v>
      </c>
      <c r="AL545" s="41" t="str">
        <f t="shared" si="272"/>
        <v>充能后获得&lt;color=#54b76b&gt;%s%&lt;/color&gt;攻速3秒</v>
      </c>
      <c r="AM545" s="26">
        <v>40</v>
      </c>
      <c r="AN545" s="25">
        <v>6</v>
      </c>
      <c r="AO545" s="25" t="s">
        <v>25</v>
      </c>
      <c r="AP545" s="20">
        <f t="shared" si="259"/>
        <v>540</v>
      </c>
    </row>
    <row r="546" customHeight="1" spans="1:42">
      <c r="A546" s="38">
        <v>5506085</v>
      </c>
      <c r="B546" s="38" t="str">
        <f t="shared" si="265"/>
        <v>5506081</v>
      </c>
      <c r="C546" s="32">
        <f t="shared" si="266"/>
        <v>5</v>
      </c>
      <c r="D546" s="32"/>
      <c r="E546" s="26" t="s">
        <v>332</v>
      </c>
      <c r="F546" s="26">
        <f t="shared" si="255"/>
        <v>1</v>
      </c>
      <c r="G546" s="26" t="str">
        <f>IFERROR(IF(--MID($E546,2*COUNTIF($F546:F546,"&gt;"&amp;0)+2,1)=G$1,G$1,""),"")</f>
        <v/>
      </c>
      <c r="H546" s="26" t="str">
        <f>IFERROR(IF(--MID($E546,2*COUNTIF($F546:G546,"&gt;"&amp;0)+2,1)=H$1,H$1,""),"")</f>
        <v/>
      </c>
      <c r="I546" s="26">
        <f>IFERROR(IF(--MID($E546,2*COUNTIF($F546:H546,"&gt;"&amp;0)+2,1)=I$1,I$1,""),"")</f>
        <v>4</v>
      </c>
      <c r="J546" s="26" t="str">
        <f>IFERROR(IF(--MID($E546,2*COUNTIF($F546:I546,"&gt;"&amp;0)+2,1)=J$1,J$1,""),"")</f>
        <v/>
      </c>
      <c r="K546" s="26" t="str">
        <f>IFERROR(IF(--MID($E546,2*COUNTIF($F546:J546,"&gt;"&amp;0)+2,1)=K$1,K$1,""),"")</f>
        <v/>
      </c>
      <c r="L546" s="39" cm="1">
        <f t="array" ref="L546">IFERROR(IF($A546="","",IF(F546="","",_xlfn.XLOOKUP($C546&amp;"_"&amp;$AG546,符文权重!$A:$A&amp;"_"&amp;符文权重!$C:$C,符文权重!$D:$D)*$X546/SUMIFS($X:$X,F:F,F546,$C:$C,$C546,$AG:$AG,$AG546)/SUMIF(符文权重!$A:$A,$C546,符文权重!$D:$D))),"")</f>
        <v>0.00300429184549356</v>
      </c>
      <c r="M546" s="39" t="str" cm="1">
        <f t="array" ref="M546">IFERROR(IF($A546="","",IF(G546="","",_xlfn.XLOOKUP($C546&amp;"_"&amp;$AG546,符文权重!$A:$A&amp;"_"&amp;符文权重!$C:$C,符文权重!$D:$D)*$X546/SUMIFS($X:$X,G:G,G546,$C:$C,$C546,$AG:$AG,$AG546)/SUMIF(符文权重!$A:$A,$C546,符文权重!$D:$D))),"")</f>
        <v/>
      </c>
      <c r="N546" s="39" t="str" cm="1">
        <f t="array" ref="N546">IFERROR(IF($A546="","",IF(H546="","",_xlfn.XLOOKUP($C546&amp;"_"&amp;$AG546,符文权重!$A:$A&amp;"_"&amp;符文权重!$C:$C,符文权重!$D:$D)*$X546/SUMIFS($X:$X,H:H,H546,$C:$C,$C546,$AG:$AG,$AG546)/SUMIF(符文权重!$A:$A,$C546,符文权重!$D:$D))),"")</f>
        <v/>
      </c>
      <c r="O546" s="39" cm="1">
        <f t="array" ref="O546">IFERROR(IF($A546="","",IF(I546="","",_xlfn.XLOOKUP($C546&amp;"_"&amp;$AG546,符文权重!$A:$A&amp;"_"&amp;符文权重!$C:$C,符文权重!$D:$D)*$X546/SUMIFS($X:$X,I:I,I546,$C:$C,$C546,$AG:$AG,$AG546)/SUMIF(符文权重!$A:$A,$C546,符文权重!$D:$D))),"")</f>
        <v>0.00300429184549356</v>
      </c>
      <c r="P546" s="39" t="str" cm="1">
        <f t="array" ref="P546">IFERROR(IF($A546="","",IF(J546="","",_xlfn.XLOOKUP($C546&amp;"_"&amp;$AG546,符文权重!$A:$A&amp;"_"&amp;符文权重!$C:$C,符文权重!$D:$D)*$X546/SUMIFS($X:$X,J:J,J546,$C:$C,$C546,$AG:$AG,$AG546)/SUMIF(符文权重!$A:$A,$C546,符文权重!$D:$D))),"")</f>
        <v/>
      </c>
      <c r="Q546" s="39" t="str" cm="1">
        <f t="array" ref="Q546">IFERROR(IF($A546="","",IF(K546="","",_xlfn.XLOOKUP($C546&amp;"_"&amp;$AG546,符文权重!$A:$A&amp;"_"&amp;符文权重!$C:$C,符文权重!$D:$D)*$X546/SUMIFS($X:$X,K:K,K546,$C:$C,$C546,$AG:$AG,$AG546)/SUMIF(符文权重!$A:$A,$C546,符文权重!$D:$D))),"")</f>
        <v/>
      </c>
      <c r="R546" s="26" t="s">
        <v>163</v>
      </c>
      <c r="S546" s="26"/>
      <c r="T546" s="26" t="e">
        <f>IF(B546="","",SUBSTITUTE(SUBSTITUTE("[{global_atk,"&amp;#REF!*C546&amp;"}]",21,20),9,8))</f>
        <v>#REF!</v>
      </c>
      <c r="U546" s="40" t="str">
        <f t="shared" si="270"/>
        <v>[5506085]</v>
      </c>
      <c r="X546" s="25">
        <v>100</v>
      </c>
      <c r="Z546" s="32" t="s">
        <v>176</v>
      </c>
      <c r="AA546" s="32" t="str">
        <f t="shared" si="264"/>
        <v>充能后获得60%攻速3秒</v>
      </c>
      <c r="AB546" s="32"/>
      <c r="AC546" s="32" t="s">
        <v>166</v>
      </c>
      <c r="AD546" s="32">
        <f t="shared" si="258"/>
        <v>1541</v>
      </c>
      <c r="AE546" s="38" t="str">
        <f t="shared" si="269"/>
        <v>5506081</v>
      </c>
      <c r="AF546" s="32" t="str">
        <f t="shared" si="261"/>
        <v>[60]</v>
      </c>
      <c r="AG546" s="26">
        <v>6</v>
      </c>
      <c r="AH546" s="26"/>
      <c r="AI546" s="26">
        <v>0</v>
      </c>
      <c r="AJ546" s="25">
        <v>1</v>
      </c>
      <c r="AK546" s="38">
        <f t="shared" si="271"/>
        <v>5506085</v>
      </c>
      <c r="AL546" s="41" t="str">
        <f t="shared" si="272"/>
        <v>充能后获得&lt;color=#54b76b&gt;%s%&lt;/color&gt;攻速3秒</v>
      </c>
      <c r="AM546" s="26">
        <v>60</v>
      </c>
      <c r="AN546" s="25">
        <v>6</v>
      </c>
      <c r="AO546" s="25" t="s">
        <v>25</v>
      </c>
      <c r="AP546" s="20">
        <f t="shared" si="259"/>
        <v>541</v>
      </c>
    </row>
    <row r="547" customHeight="1" spans="1:42">
      <c r="A547" s="38">
        <v>5506086</v>
      </c>
      <c r="B547" s="38" t="str">
        <f t="shared" si="265"/>
        <v>5506081</v>
      </c>
      <c r="C547" s="32">
        <f t="shared" si="266"/>
        <v>6</v>
      </c>
      <c r="D547" s="32"/>
      <c r="E547" s="26" t="s">
        <v>332</v>
      </c>
      <c r="F547" s="26">
        <f t="shared" si="255"/>
        <v>1</v>
      </c>
      <c r="G547" s="26" t="str">
        <f>IFERROR(IF(--MID($E547,2*COUNTIF($F547:F547,"&gt;"&amp;0)+2,1)=G$1,G$1,""),"")</f>
        <v/>
      </c>
      <c r="H547" s="26" t="str">
        <f>IFERROR(IF(--MID($E547,2*COUNTIF($F547:G547,"&gt;"&amp;0)+2,1)=H$1,H$1,""),"")</f>
        <v/>
      </c>
      <c r="I547" s="26">
        <f>IFERROR(IF(--MID($E547,2*COUNTIF($F547:H547,"&gt;"&amp;0)+2,1)=I$1,I$1,""),"")</f>
        <v>4</v>
      </c>
      <c r="J547" s="26" t="str">
        <f>IFERROR(IF(--MID($E547,2*COUNTIF($F547:I547,"&gt;"&amp;0)+2,1)=J$1,J$1,""),"")</f>
        <v/>
      </c>
      <c r="K547" s="26" t="str">
        <f>IFERROR(IF(--MID($E547,2*COUNTIF($F547:J547,"&gt;"&amp;0)+2,1)=K$1,K$1,""),"")</f>
        <v/>
      </c>
      <c r="L547" s="39" cm="1">
        <f t="array" ref="L547">IFERROR(IF($A547="","",IF(F547="","",_xlfn.XLOOKUP($C547&amp;"_"&amp;$AG547,符文权重!$A:$A&amp;"_"&amp;符文权重!$C:$C,符文权重!$D:$D)*$X547/SUMIFS($X:$X,F:F,F547,$C:$C,$C547,$AG:$AG,$AG547)/SUMIF(符文权重!$A:$A,$C547,符文权重!$D:$D))),"")</f>
        <v>0.00300429184549356</v>
      </c>
      <c r="M547" s="39" t="str" cm="1">
        <f t="array" ref="M547">IFERROR(IF($A547="","",IF(G547="","",_xlfn.XLOOKUP($C547&amp;"_"&amp;$AG547,符文权重!$A:$A&amp;"_"&amp;符文权重!$C:$C,符文权重!$D:$D)*$X547/SUMIFS($X:$X,G:G,G547,$C:$C,$C547,$AG:$AG,$AG547)/SUMIF(符文权重!$A:$A,$C547,符文权重!$D:$D))),"")</f>
        <v/>
      </c>
      <c r="N547" s="39" t="str" cm="1">
        <f t="array" ref="N547">IFERROR(IF($A547="","",IF(H547="","",_xlfn.XLOOKUP($C547&amp;"_"&amp;$AG547,符文权重!$A:$A&amp;"_"&amp;符文权重!$C:$C,符文权重!$D:$D)*$X547/SUMIFS($X:$X,H:H,H547,$C:$C,$C547,$AG:$AG,$AG547)/SUMIF(符文权重!$A:$A,$C547,符文权重!$D:$D))),"")</f>
        <v/>
      </c>
      <c r="O547" s="39" cm="1">
        <f t="array" ref="O547">IFERROR(IF($A547="","",IF(I547="","",_xlfn.XLOOKUP($C547&amp;"_"&amp;$AG547,符文权重!$A:$A&amp;"_"&amp;符文权重!$C:$C,符文权重!$D:$D)*$X547/SUMIFS($X:$X,I:I,I547,$C:$C,$C547,$AG:$AG,$AG547)/SUMIF(符文权重!$A:$A,$C547,符文权重!$D:$D))),"")</f>
        <v>0.00300429184549356</v>
      </c>
      <c r="P547" s="39" t="str" cm="1">
        <f t="array" ref="P547">IFERROR(IF($A547="","",IF(J547="","",_xlfn.XLOOKUP($C547&amp;"_"&amp;$AG547,符文权重!$A:$A&amp;"_"&amp;符文权重!$C:$C,符文权重!$D:$D)*$X547/SUMIFS($X:$X,J:J,J547,$C:$C,$C547,$AG:$AG,$AG547)/SUMIF(符文权重!$A:$A,$C547,符文权重!$D:$D))),"")</f>
        <v/>
      </c>
      <c r="Q547" s="39" t="str" cm="1">
        <f t="array" ref="Q547">IFERROR(IF($A547="","",IF(K547="","",_xlfn.XLOOKUP($C547&amp;"_"&amp;$AG547,符文权重!$A:$A&amp;"_"&amp;符文权重!$C:$C,符文权重!$D:$D)*$X547/SUMIFS($X:$X,K:K,K547,$C:$C,$C547,$AG:$AG,$AG547)/SUMIF(符文权重!$A:$A,$C547,符文权重!$D:$D))),"")</f>
        <v/>
      </c>
      <c r="R547" s="26" t="s">
        <v>163</v>
      </c>
      <c r="S547" s="26"/>
      <c r="T547" s="26" t="e">
        <f>IF(B547="","",SUBSTITUTE(SUBSTITUTE("[{global_atk,"&amp;#REF!*C547&amp;"}]",21,20),9,8))</f>
        <v>#REF!</v>
      </c>
      <c r="U547" s="40" t="str">
        <f t="shared" si="270"/>
        <v>[5506086]</v>
      </c>
      <c r="X547" s="25">
        <v>100</v>
      </c>
      <c r="Z547" s="32" t="s">
        <v>178</v>
      </c>
      <c r="AA547" s="32" t="str">
        <f t="shared" si="264"/>
        <v>充能后获得90%攻速3秒</v>
      </c>
      <c r="AB547" s="32"/>
      <c r="AC547" s="32" t="s">
        <v>166</v>
      </c>
      <c r="AD547" s="32">
        <f t="shared" si="258"/>
        <v>1542</v>
      </c>
      <c r="AE547" s="38" t="str">
        <f t="shared" si="269"/>
        <v>5506081</v>
      </c>
      <c r="AF547" s="32" t="str">
        <f t="shared" si="261"/>
        <v>[90]</v>
      </c>
      <c r="AG547" s="26">
        <v>6</v>
      </c>
      <c r="AH547" s="26"/>
      <c r="AI547" s="26">
        <v>0</v>
      </c>
      <c r="AJ547" s="25">
        <v>1</v>
      </c>
      <c r="AK547" s="38">
        <f t="shared" si="271"/>
        <v>5506086</v>
      </c>
      <c r="AL547" s="41" t="str">
        <f t="shared" si="272"/>
        <v>充能后获得&lt;color=#54b76b&gt;%s%&lt;/color&gt;攻速3秒</v>
      </c>
      <c r="AM547" s="26">
        <v>90</v>
      </c>
      <c r="AN547" s="25">
        <v>6</v>
      </c>
      <c r="AO547" s="25" t="s">
        <v>25</v>
      </c>
      <c r="AP547" s="20">
        <f t="shared" si="259"/>
        <v>542</v>
      </c>
    </row>
    <row r="548" customHeight="1" spans="1:42">
      <c r="A548" s="38">
        <v>5506087</v>
      </c>
      <c r="B548" s="38" t="str">
        <f t="shared" si="265"/>
        <v>5506081</v>
      </c>
      <c r="C548" s="32">
        <f t="shared" si="266"/>
        <v>7</v>
      </c>
      <c r="D548" s="32"/>
      <c r="E548" s="26" t="s">
        <v>332</v>
      </c>
      <c r="F548" s="26">
        <f t="shared" si="255"/>
        <v>1</v>
      </c>
      <c r="G548" s="26" t="str">
        <f>IFERROR(IF(--MID($E548,2*COUNTIF($F548:F548,"&gt;"&amp;0)+2,1)=G$1,G$1,""),"")</f>
        <v/>
      </c>
      <c r="H548" s="26" t="str">
        <f>IFERROR(IF(--MID($E548,2*COUNTIF($F548:G548,"&gt;"&amp;0)+2,1)=H$1,H$1,""),"")</f>
        <v/>
      </c>
      <c r="I548" s="26">
        <f>IFERROR(IF(--MID($E548,2*COUNTIF($F548:H548,"&gt;"&amp;0)+2,1)=I$1,I$1,""),"")</f>
        <v>4</v>
      </c>
      <c r="J548" s="26" t="str">
        <f>IFERROR(IF(--MID($E548,2*COUNTIF($F548:I548,"&gt;"&amp;0)+2,1)=J$1,J$1,""),"")</f>
        <v/>
      </c>
      <c r="K548" s="26" t="str">
        <f>IFERROR(IF(--MID($E548,2*COUNTIF($F548:J548,"&gt;"&amp;0)+2,1)=K$1,K$1,""),"")</f>
        <v/>
      </c>
      <c r="L548" s="39" cm="1">
        <f t="array" ref="L548">IFERROR(IF($A548="","",IF(F548="","",_xlfn.XLOOKUP($C548&amp;"_"&amp;$AG548,符文权重!$A:$A&amp;"_"&amp;符文权重!$C:$C,符文权重!$D:$D)*$X548/SUMIFS($X:$X,F:F,F548,$C:$C,$C548,$AG:$AG,$AG548)/SUMIF(符文权重!$A:$A,$C548,符文权重!$D:$D))),"")</f>
        <v>0.00300429184549356</v>
      </c>
      <c r="M548" s="39" t="str" cm="1">
        <f t="array" ref="M548">IFERROR(IF($A548="","",IF(G548="","",_xlfn.XLOOKUP($C548&amp;"_"&amp;$AG548,符文权重!$A:$A&amp;"_"&amp;符文权重!$C:$C,符文权重!$D:$D)*$X548/SUMIFS($X:$X,G:G,G548,$C:$C,$C548,$AG:$AG,$AG548)/SUMIF(符文权重!$A:$A,$C548,符文权重!$D:$D))),"")</f>
        <v/>
      </c>
      <c r="N548" s="39" t="str" cm="1">
        <f t="array" ref="N548">IFERROR(IF($A548="","",IF(H548="","",_xlfn.XLOOKUP($C548&amp;"_"&amp;$AG548,符文权重!$A:$A&amp;"_"&amp;符文权重!$C:$C,符文权重!$D:$D)*$X548/SUMIFS($X:$X,H:H,H548,$C:$C,$C548,$AG:$AG,$AG548)/SUMIF(符文权重!$A:$A,$C548,符文权重!$D:$D))),"")</f>
        <v/>
      </c>
      <c r="O548" s="39" cm="1">
        <f t="array" ref="O548">IFERROR(IF($A548="","",IF(I548="","",_xlfn.XLOOKUP($C548&amp;"_"&amp;$AG548,符文权重!$A:$A&amp;"_"&amp;符文权重!$C:$C,符文权重!$D:$D)*$X548/SUMIFS($X:$X,I:I,I548,$C:$C,$C548,$AG:$AG,$AG548)/SUMIF(符文权重!$A:$A,$C548,符文权重!$D:$D))),"")</f>
        <v>0.00300429184549356</v>
      </c>
      <c r="P548" s="39" t="str" cm="1">
        <f t="array" ref="P548">IFERROR(IF($A548="","",IF(J548="","",_xlfn.XLOOKUP($C548&amp;"_"&amp;$AG548,符文权重!$A:$A&amp;"_"&amp;符文权重!$C:$C,符文权重!$D:$D)*$X548/SUMIFS($X:$X,J:J,J548,$C:$C,$C548,$AG:$AG,$AG548)/SUMIF(符文权重!$A:$A,$C548,符文权重!$D:$D))),"")</f>
        <v/>
      </c>
      <c r="Q548" s="39" t="str" cm="1">
        <f t="array" ref="Q548">IFERROR(IF($A548="","",IF(K548="","",_xlfn.XLOOKUP($C548&amp;"_"&amp;$AG548,符文权重!$A:$A&amp;"_"&amp;符文权重!$C:$C,符文权重!$D:$D)*$X548/SUMIFS($X:$X,K:K,K548,$C:$C,$C548,$AG:$AG,$AG548)/SUMIF(符文权重!$A:$A,$C548,符文权重!$D:$D))),"")</f>
        <v/>
      </c>
      <c r="R548" s="26" t="s">
        <v>163</v>
      </c>
      <c r="S548" s="26"/>
      <c r="T548" s="26" t="e">
        <f>IF(B548="","",SUBSTITUTE(SUBSTITUTE("[{global_atk,"&amp;#REF!*C548&amp;"}]",21,20),9,8))</f>
        <v>#REF!</v>
      </c>
      <c r="U548" s="40" t="str">
        <f t="shared" si="270"/>
        <v>[5506087]</v>
      </c>
      <c r="X548" s="25">
        <v>100</v>
      </c>
      <c r="Z548" s="32" t="s">
        <v>180</v>
      </c>
      <c r="AA548" s="32" t="str">
        <f t="shared" si="264"/>
        <v>充能后获得120%攻速3秒</v>
      </c>
      <c r="AB548" s="32"/>
      <c r="AC548" s="32" t="s">
        <v>166</v>
      </c>
      <c r="AD548" s="32">
        <f t="shared" si="258"/>
        <v>1543</v>
      </c>
      <c r="AE548" s="38" t="str">
        <f t="shared" si="269"/>
        <v>5506081</v>
      </c>
      <c r="AF548" s="32" t="str">
        <f t="shared" si="261"/>
        <v>[120]</v>
      </c>
      <c r="AG548" s="26">
        <v>6</v>
      </c>
      <c r="AH548" s="26"/>
      <c r="AI548" s="26">
        <v>0</v>
      </c>
      <c r="AJ548" s="25">
        <v>1</v>
      </c>
      <c r="AK548" s="38">
        <f t="shared" si="271"/>
        <v>5506087</v>
      </c>
      <c r="AL548" s="41" t="str">
        <f t="shared" si="272"/>
        <v>充能后获得&lt;color=#54b76b&gt;%s%&lt;/color&gt;攻速3秒</v>
      </c>
      <c r="AM548" s="26">
        <v>120</v>
      </c>
      <c r="AN548" s="25">
        <v>6</v>
      </c>
      <c r="AO548" s="25" t="s">
        <v>25</v>
      </c>
      <c r="AP548" s="20">
        <f t="shared" si="259"/>
        <v>543</v>
      </c>
    </row>
    <row r="549" s="20" customFormat="1" customHeight="1" spans="1:42">
      <c r="A549" s="38" t="s">
        <v>167</v>
      </c>
      <c r="B549" s="38" t="str">
        <f t="shared" si="265"/>
        <v/>
      </c>
      <c r="C549" s="32" t="str">
        <f t="shared" si="266"/>
        <v/>
      </c>
      <c r="D549" s="32"/>
      <c r="E549" s="26"/>
      <c r="F549" s="26" t="str">
        <f t="shared" si="255"/>
        <v/>
      </c>
      <c r="G549" s="26" t="str">
        <f>IFERROR(IF(--MID($E549,2*COUNTIF($F549:F549,"&gt;"&amp;0)+2,1)=G$1,G$1,""),"")</f>
        <v/>
      </c>
      <c r="H549" s="26" t="str">
        <f>IFERROR(IF(--MID($E549,2*COUNTIF($F549:G549,"&gt;"&amp;0)+2,1)=H$1,H$1,""),"")</f>
        <v/>
      </c>
      <c r="I549" s="26" t="str">
        <f>IFERROR(IF(--MID($E549,2*COUNTIF($F549:H549,"&gt;"&amp;0)+2,1)=I$1,I$1,""),"")</f>
        <v/>
      </c>
      <c r="J549" s="26" t="str">
        <f>IFERROR(IF(--MID($E549,2*COUNTIF($F549:I549,"&gt;"&amp;0)+2,1)=J$1,J$1,""),"")</f>
        <v/>
      </c>
      <c r="K549" s="26" t="str">
        <f>IFERROR(IF(--MID($E549,2*COUNTIF($F549:J549,"&gt;"&amp;0)+2,1)=K$1,K$1,""),"")</f>
        <v/>
      </c>
      <c r="L549" s="39" t="str" cm="1">
        <f t="array" ref="L549">IFERROR(IF($A549="","",IF(F549="","",_xlfn.XLOOKUP($C549&amp;"_"&amp;$AG549,符文权重!$A:$A&amp;"_"&amp;符文权重!$C:$C,符文权重!$D:$D)*$X549/SUMIFS($X:$X,F:F,F549,$C:$C,$C549,$AG:$AG,$AG549)/SUMIF(符文权重!$A:$A,$C549,符文权重!$D:$D))),"")</f>
        <v/>
      </c>
      <c r="M549" s="39" t="str" cm="1">
        <f t="array" ref="M549">IFERROR(IF($A549="","",IF(G549="","",_xlfn.XLOOKUP($C549&amp;"_"&amp;$AG549,符文权重!$A:$A&amp;"_"&amp;符文权重!$C:$C,符文权重!$D:$D)*$X549/SUMIFS($X:$X,G:G,G549,$C:$C,$C549,$AG:$AG,$AG549)/SUMIF(符文权重!$A:$A,$C549,符文权重!$D:$D))),"")</f>
        <v/>
      </c>
      <c r="N549" s="39" t="str" cm="1">
        <f t="array" ref="N549">IFERROR(IF($A549="","",IF(H549="","",_xlfn.XLOOKUP($C549&amp;"_"&amp;$AG549,符文权重!$A:$A&amp;"_"&amp;符文权重!$C:$C,符文权重!$D:$D)*$X549/SUMIFS($X:$X,H:H,H549,$C:$C,$C549,$AG:$AG,$AG549)/SUMIF(符文权重!$A:$A,$C549,符文权重!$D:$D))),"")</f>
        <v/>
      </c>
      <c r="O549" s="39" t="str" cm="1">
        <f t="array" ref="O549">IFERROR(IF($A549="","",IF(I549="","",_xlfn.XLOOKUP($C549&amp;"_"&amp;$AG549,符文权重!$A:$A&amp;"_"&amp;符文权重!$C:$C,符文权重!$D:$D)*$X549/SUMIFS($X:$X,I:I,I549,$C:$C,$C549,$AG:$AG,$AG549)/SUMIF(符文权重!$A:$A,$C549,符文权重!$D:$D))),"")</f>
        <v/>
      </c>
      <c r="P549" s="39" t="str" cm="1">
        <f t="array" ref="P549">IFERROR(IF($A549="","",IF(J549="","",_xlfn.XLOOKUP($C549&amp;"_"&amp;$AG549,符文权重!$A:$A&amp;"_"&amp;符文权重!$C:$C,符文权重!$D:$D)*$X549/SUMIFS($X:$X,J:J,J549,$C:$C,$C549,$AG:$AG,$AG549)/SUMIF(符文权重!$A:$A,$C549,符文权重!$D:$D))),"")</f>
        <v/>
      </c>
      <c r="Q549" s="39" t="str" cm="1">
        <f t="array" ref="Q549">IFERROR(IF($A549="","",IF(K549="","",_xlfn.XLOOKUP($C549&amp;"_"&amp;$AG549,符文权重!$A:$A&amp;"_"&amp;符文权重!$C:$C,符文权重!$D:$D)*$X549/SUMIFS($X:$X,K:K,K549,$C:$C,$C549,$AG:$AG,$AG549)/SUMIF(符文权重!$A:$A,$C549,符文权重!$D:$D))),"")</f>
        <v/>
      </c>
      <c r="R549" s="26"/>
      <c r="S549" s="26"/>
      <c r="T549" s="26"/>
      <c r="V549" s="31"/>
      <c r="W549" s="25"/>
      <c r="X549" s="25"/>
      <c r="Y549" s="25"/>
      <c r="Z549" s="32" t="s">
        <v>167</v>
      </c>
      <c r="AA549" s="32" t="str">
        <f t="shared" si="264"/>
        <v/>
      </c>
      <c r="AB549" s="32"/>
      <c r="AC549" s="32" t="s">
        <v>166</v>
      </c>
      <c r="AD549" s="32">
        <f t="shared" si="258"/>
        <v>1544</v>
      </c>
      <c r="AE549" s="38" t="str">
        <f t="shared" si="269"/>
        <v/>
      </c>
      <c r="AF549" s="32" t="str">
        <f t="shared" si="261"/>
        <v/>
      </c>
      <c r="AG549" s="26"/>
      <c r="AH549" s="26"/>
      <c r="AI549" s="26"/>
      <c r="AJ549" s="25" t="s">
        <v>167</v>
      </c>
      <c r="AK549" s="24"/>
      <c r="AL549" s="51"/>
      <c r="AM549" s="26"/>
      <c r="AN549" s="25"/>
      <c r="AO549" s="25"/>
      <c r="AP549" s="20">
        <f t="shared" si="259"/>
        <v>544</v>
      </c>
    </row>
    <row r="550" s="20" customFormat="1" customHeight="1" spans="1:42">
      <c r="A550" s="38">
        <v>5506091</v>
      </c>
      <c r="B550" s="38" t="str">
        <f t="shared" si="265"/>
        <v>5506091</v>
      </c>
      <c r="C550" s="32">
        <f t="shared" si="266"/>
        <v>1</v>
      </c>
      <c r="D550" s="32"/>
      <c r="E550" s="26" t="s">
        <v>329</v>
      </c>
      <c r="F550" s="26" t="str">
        <f t="shared" si="255"/>
        <v/>
      </c>
      <c r="G550" s="26">
        <f>IFERROR(IF(--MID($E550,2*COUNTIF($F550:F550,"&gt;"&amp;0)+2,1)=G$1,G$1,""),"")</f>
        <v>2</v>
      </c>
      <c r="H550" s="26" t="str">
        <f>IFERROR(IF(--MID($E550,2*COUNTIF($F550:G550,"&gt;"&amp;0)+2,1)=H$1,H$1,""),"")</f>
        <v/>
      </c>
      <c r="I550" s="26" t="str">
        <f>IFERROR(IF(--MID($E550,2*COUNTIF($F550:H550,"&gt;"&amp;0)+2,1)=I$1,I$1,""),"")</f>
        <v/>
      </c>
      <c r="J550" s="26">
        <f>IFERROR(IF(--MID($E550,2*COUNTIF($F550:I550,"&gt;"&amp;0)+2,1)=J$1,J$1,""),"")</f>
        <v>5</v>
      </c>
      <c r="K550" s="26" t="str">
        <f>IFERROR(IF(--MID($E550,2*COUNTIF($F550:J550,"&gt;"&amp;0)+2,1)=K$1,K$1,""),"")</f>
        <v/>
      </c>
      <c r="L550" s="39" t="str" cm="1">
        <f t="array" ref="L550">IFERROR(IF($A550="","",IF(F550="","",_xlfn.XLOOKUP($C550&amp;"_"&amp;$AG550,符文权重!$A:$A&amp;"_"&amp;符文权重!$C:$C,符文权重!$D:$D)*$X550/SUMIFS($X:$X,F:F,F550,$C:$C,$C550,$AG:$AG,$AG550)/SUMIF(符文权重!$A:$A,$C550,符文权重!$D:$D))),"")</f>
        <v/>
      </c>
      <c r="M550" s="39" t="str" cm="1">
        <f t="array" ref="M550">IFERROR(IF($A550="","",IF(G550="","",_xlfn.XLOOKUP($C550&amp;"_"&amp;$AG550,符文权重!$A:$A&amp;"_"&amp;符文权重!$C:$C,符文权重!$D:$D)*$X550/SUMIFS($X:$X,G:G,G550,$C:$C,$C550,$AG:$AG,$AG550)/SUMIF(符文权重!$A:$A,$C550,符文权重!$D:$D))),"")</f>
        <v/>
      </c>
      <c r="N550" s="39" t="str" cm="1">
        <f t="array" ref="N550">IFERROR(IF($A550="","",IF(H550="","",_xlfn.XLOOKUP($C550&amp;"_"&amp;$AG550,符文权重!$A:$A&amp;"_"&amp;符文权重!$C:$C,符文权重!$D:$D)*$X550/SUMIFS($X:$X,H:H,H550,$C:$C,$C550,$AG:$AG,$AG550)/SUMIF(符文权重!$A:$A,$C550,符文权重!$D:$D))),"")</f>
        <v/>
      </c>
      <c r="O550" s="39" t="str" cm="1">
        <f t="array" ref="O550">IFERROR(IF($A550="","",IF(I550="","",_xlfn.XLOOKUP($C550&amp;"_"&amp;$AG550,符文权重!$A:$A&amp;"_"&amp;符文权重!$C:$C,符文权重!$D:$D)*$X550/SUMIFS($X:$X,I:I,I550,$C:$C,$C550,$AG:$AG,$AG550)/SUMIF(符文权重!$A:$A,$C550,符文权重!$D:$D))),"")</f>
        <v/>
      </c>
      <c r="P550" s="39" t="str" cm="1">
        <f t="array" ref="P550">IFERROR(IF($A550="","",IF(J550="","",_xlfn.XLOOKUP($C550&amp;"_"&amp;$AG550,符文权重!$A:$A&amp;"_"&amp;符文权重!$C:$C,符文权重!$D:$D)*$X550/SUMIFS($X:$X,J:J,J550,$C:$C,$C550,$AG:$AG,$AG550)/SUMIF(符文权重!$A:$A,$C550,符文权重!$D:$D))),"")</f>
        <v/>
      </c>
      <c r="Q550" s="39" t="str" cm="1">
        <f t="array" ref="Q550">IFERROR(IF($A550="","",IF(K550="","",_xlfn.XLOOKUP($C550&amp;"_"&amp;$AG550,符文权重!$A:$A&amp;"_"&amp;符文权重!$C:$C,符文权重!$D:$D)*$X550/SUMIFS($X:$X,K:K,K550,$C:$C,$C550,$AG:$AG,$AG550)/SUMIF(符文权重!$A:$A,$C550,符文权重!$D:$D))),"")</f>
        <v/>
      </c>
      <c r="R550" s="26" t="s">
        <v>163</v>
      </c>
      <c r="S550" s="26"/>
      <c r="T550" s="26" t="e">
        <f>IF(B550="","",SUBSTITUTE(SUBSTITUTE("[{global_atk,"&amp;#REF!*C550&amp;"}]",21,20),9,8))</f>
        <v>#REF!</v>
      </c>
      <c r="U550" s="40" t="str">
        <f t="shared" ref="U550:U556" si="273">"["&amp;A550&amp;"]"</f>
        <v>[5506091]</v>
      </c>
      <c r="V550" s="26"/>
      <c r="W550" s="25"/>
      <c r="X550" s="25">
        <v>100</v>
      </c>
      <c r="Y550" s="25"/>
      <c r="Z550" s="32" t="s">
        <v>165</v>
      </c>
      <c r="AA550" s="32" t="str">
        <f t="shared" si="264"/>
        <v>能量耗尽时0%概率跳过充能</v>
      </c>
      <c r="AB550" s="32"/>
      <c r="AC550" s="32" t="s">
        <v>166</v>
      </c>
      <c r="AD550" s="32">
        <f t="shared" si="258"/>
        <v>1545</v>
      </c>
      <c r="AE550" s="38" t="str">
        <f t="shared" si="269"/>
        <v>5506091</v>
      </c>
      <c r="AF550" s="32" t="str">
        <f t="shared" si="261"/>
        <v>[0]</v>
      </c>
      <c r="AG550" s="26">
        <v>100</v>
      </c>
      <c r="AH550" s="26"/>
      <c r="AI550" s="26">
        <v>1</v>
      </c>
      <c r="AJ550" s="25">
        <v>1</v>
      </c>
      <c r="AK550" s="24">
        <v>5506091</v>
      </c>
      <c r="AL550" s="59" t="s">
        <v>527</v>
      </c>
      <c r="AM550" s="26">
        <v>0</v>
      </c>
      <c r="AN550" s="25">
        <v>6</v>
      </c>
      <c r="AO550" s="25" t="s">
        <v>25</v>
      </c>
      <c r="AP550" s="20">
        <f t="shared" si="259"/>
        <v>545</v>
      </c>
    </row>
    <row r="551" customHeight="1" spans="1:42">
      <c r="A551" s="38">
        <v>5506092</v>
      </c>
      <c r="B551" s="38" t="str">
        <f t="shared" si="265"/>
        <v>5506091</v>
      </c>
      <c r="C551" s="32">
        <f t="shared" si="266"/>
        <v>2</v>
      </c>
      <c r="D551" s="32"/>
      <c r="E551" s="26" t="s">
        <v>329</v>
      </c>
      <c r="F551" s="26" t="str">
        <f t="shared" si="255"/>
        <v/>
      </c>
      <c r="G551" s="26">
        <f>IFERROR(IF(--MID($E551,2*COUNTIF($F551:F551,"&gt;"&amp;0)+2,1)=G$1,G$1,""),"")</f>
        <v>2</v>
      </c>
      <c r="H551" s="26" t="str">
        <f>IFERROR(IF(--MID($E551,2*COUNTIF($F551:G551,"&gt;"&amp;0)+2,1)=H$1,H$1,""),"")</f>
        <v/>
      </c>
      <c r="I551" s="26" t="str">
        <f>IFERROR(IF(--MID($E551,2*COUNTIF($F551:H551,"&gt;"&amp;0)+2,1)=I$1,I$1,""),"")</f>
        <v/>
      </c>
      <c r="J551" s="26">
        <f>IFERROR(IF(--MID($E551,2*COUNTIF($F551:I551,"&gt;"&amp;0)+2,1)=J$1,J$1,""),"")</f>
        <v>5</v>
      </c>
      <c r="K551" s="26" t="str">
        <f>IFERROR(IF(--MID($E551,2*COUNTIF($F551:J551,"&gt;"&amp;0)+2,1)=K$1,K$1,""),"")</f>
        <v/>
      </c>
      <c r="L551" s="39" t="str" cm="1">
        <f t="array" ref="L551">IFERROR(IF($A551="","",IF(F551="","",_xlfn.XLOOKUP($C551&amp;"_"&amp;$AG551,符文权重!$A:$A&amp;"_"&amp;符文权重!$C:$C,符文权重!$D:$D)*$X551/SUMIFS($X:$X,F:F,F551,$C:$C,$C551,$AG:$AG,$AG551)/SUMIF(符文权重!$A:$A,$C551,符文权重!$D:$D))),"")</f>
        <v/>
      </c>
      <c r="M551" s="39" t="str" cm="1">
        <f t="array" ref="M551">IFERROR(IF($A551="","",IF(G551="","",_xlfn.XLOOKUP($C551&amp;"_"&amp;$AG551,符文权重!$A:$A&amp;"_"&amp;符文权重!$C:$C,符文权重!$D:$D)*$X551/SUMIFS($X:$X,G:G,G551,$C:$C,$C551,$AG:$AG,$AG551)/SUMIF(符文权重!$A:$A,$C551,符文权重!$D:$D))),"")</f>
        <v/>
      </c>
      <c r="N551" s="39" t="str" cm="1">
        <f t="array" ref="N551">IFERROR(IF($A551="","",IF(H551="","",_xlfn.XLOOKUP($C551&amp;"_"&amp;$AG551,符文权重!$A:$A&amp;"_"&amp;符文权重!$C:$C,符文权重!$D:$D)*$X551/SUMIFS($X:$X,H:H,H551,$C:$C,$C551,$AG:$AG,$AG551)/SUMIF(符文权重!$A:$A,$C551,符文权重!$D:$D))),"")</f>
        <v/>
      </c>
      <c r="O551" s="39" t="str" cm="1">
        <f t="array" ref="O551">IFERROR(IF($A551="","",IF(I551="","",_xlfn.XLOOKUP($C551&amp;"_"&amp;$AG551,符文权重!$A:$A&amp;"_"&amp;符文权重!$C:$C,符文权重!$D:$D)*$X551/SUMIFS($X:$X,I:I,I551,$C:$C,$C551,$AG:$AG,$AG551)/SUMIF(符文权重!$A:$A,$C551,符文权重!$D:$D))),"")</f>
        <v/>
      </c>
      <c r="P551" s="39" t="str" cm="1">
        <f t="array" ref="P551">IFERROR(IF($A551="","",IF(J551="","",_xlfn.XLOOKUP($C551&amp;"_"&amp;$AG551,符文权重!$A:$A&amp;"_"&amp;符文权重!$C:$C,符文权重!$D:$D)*$X551/SUMIFS($X:$X,J:J,J551,$C:$C,$C551,$AG:$AG,$AG551)/SUMIF(符文权重!$A:$A,$C551,符文权重!$D:$D))),"")</f>
        <v/>
      </c>
      <c r="Q551" s="39" t="str" cm="1">
        <f t="array" ref="Q551">IFERROR(IF($A551="","",IF(K551="","",_xlfn.XLOOKUP($C551&amp;"_"&amp;$AG551,符文权重!$A:$A&amp;"_"&amp;符文权重!$C:$C,符文权重!$D:$D)*$X551/SUMIFS($X:$X,K:K,K551,$C:$C,$C551,$AG:$AG,$AG551)/SUMIF(符文权重!$A:$A,$C551,符文权重!$D:$D))),"")</f>
        <v/>
      </c>
      <c r="R551" s="26" t="s">
        <v>163</v>
      </c>
      <c r="S551" s="26"/>
      <c r="T551" s="26" t="e">
        <f>IF(B551="","",SUBSTITUTE(SUBSTITUTE("[{global_atk,"&amp;#REF!*C551&amp;"}]",21,20),9,8))</f>
        <v>#REF!</v>
      </c>
      <c r="U551" s="40" t="str">
        <f t="shared" si="273"/>
        <v>[5506092]</v>
      </c>
      <c r="X551" s="25">
        <v>100</v>
      </c>
      <c r="Z551" s="32" t="s">
        <v>170</v>
      </c>
      <c r="AA551" s="32" t="str">
        <f t="shared" si="264"/>
        <v>能量耗尽时0%概率跳过充能</v>
      </c>
      <c r="AB551" s="32"/>
      <c r="AC551" s="32" t="s">
        <v>166</v>
      </c>
      <c r="AD551" s="32">
        <f t="shared" si="258"/>
        <v>1546</v>
      </c>
      <c r="AE551" s="38" t="str">
        <f t="shared" si="269"/>
        <v>5506091</v>
      </c>
      <c r="AF551" s="32" t="str">
        <f t="shared" si="261"/>
        <v>[0]</v>
      </c>
      <c r="AG551" s="26">
        <v>100</v>
      </c>
      <c r="AH551" s="26"/>
      <c r="AI551" s="26">
        <v>1</v>
      </c>
      <c r="AJ551" s="25">
        <v>1</v>
      </c>
      <c r="AK551" s="38">
        <f t="shared" ref="AK551:AK556" si="274">AK550+1</f>
        <v>5506092</v>
      </c>
      <c r="AL551" s="41" t="str">
        <f t="shared" ref="AL551:AL556" si="275">AL550</f>
        <v>能量耗尽时&lt;color=#54b76b&gt;%s%&lt;/color&gt;概率跳过充能</v>
      </c>
      <c r="AM551" s="26">
        <v>0</v>
      </c>
      <c r="AN551" s="25">
        <v>6</v>
      </c>
      <c r="AO551" s="25" t="s">
        <v>25</v>
      </c>
      <c r="AP551" s="20">
        <f t="shared" si="259"/>
        <v>546</v>
      </c>
    </row>
    <row r="552" customHeight="1" spans="1:42">
      <c r="A552" s="38">
        <v>5506093</v>
      </c>
      <c r="B552" s="38" t="str">
        <f t="shared" si="265"/>
        <v>5506091</v>
      </c>
      <c r="C552" s="32">
        <f t="shared" si="266"/>
        <v>3</v>
      </c>
      <c r="D552" s="32"/>
      <c r="E552" s="26" t="s">
        <v>329</v>
      </c>
      <c r="F552" s="26" t="str">
        <f t="shared" si="255"/>
        <v/>
      </c>
      <c r="G552" s="26">
        <f>IFERROR(IF(--MID($E552,2*COUNTIF($F552:F552,"&gt;"&amp;0)+2,1)=G$1,G$1,""),"")</f>
        <v>2</v>
      </c>
      <c r="H552" s="26" t="str">
        <f>IFERROR(IF(--MID($E552,2*COUNTIF($F552:G552,"&gt;"&amp;0)+2,1)=H$1,H$1,""),"")</f>
        <v/>
      </c>
      <c r="I552" s="26" t="str">
        <f>IFERROR(IF(--MID($E552,2*COUNTIF($F552:H552,"&gt;"&amp;0)+2,1)=I$1,I$1,""),"")</f>
        <v/>
      </c>
      <c r="J552" s="26">
        <f>IFERROR(IF(--MID($E552,2*COUNTIF($F552:I552,"&gt;"&amp;0)+2,1)=J$1,J$1,""),"")</f>
        <v>5</v>
      </c>
      <c r="K552" s="26" t="str">
        <f>IFERROR(IF(--MID($E552,2*COUNTIF($F552:J552,"&gt;"&amp;0)+2,1)=K$1,K$1,""),"")</f>
        <v/>
      </c>
      <c r="L552" s="39" t="str" cm="1">
        <f t="array" ref="L552">IFERROR(IF($A552="","",IF(F552="","",_xlfn.XLOOKUP($C552&amp;"_"&amp;$AG552,符文权重!$A:$A&amp;"_"&amp;符文权重!$C:$C,符文权重!$D:$D)*$X552/SUMIFS($X:$X,F:F,F552,$C:$C,$C552,$AG:$AG,$AG552)/SUMIF(符文权重!$A:$A,$C552,符文权重!$D:$D))),"")</f>
        <v/>
      </c>
      <c r="M552" s="39" t="str" cm="1">
        <f t="array" ref="M552">IFERROR(IF($A552="","",IF(G552="","",_xlfn.XLOOKUP($C552&amp;"_"&amp;$AG552,符文权重!$A:$A&amp;"_"&amp;符文权重!$C:$C,符文权重!$D:$D)*$X552/SUMIFS($X:$X,G:G,G552,$C:$C,$C552,$AG:$AG,$AG552)/SUMIF(符文权重!$A:$A,$C552,符文权重!$D:$D))),"")</f>
        <v/>
      </c>
      <c r="N552" s="39" t="str" cm="1">
        <f t="array" ref="N552">IFERROR(IF($A552="","",IF(H552="","",_xlfn.XLOOKUP($C552&amp;"_"&amp;$AG552,符文权重!$A:$A&amp;"_"&amp;符文权重!$C:$C,符文权重!$D:$D)*$X552/SUMIFS($X:$X,H:H,H552,$C:$C,$C552,$AG:$AG,$AG552)/SUMIF(符文权重!$A:$A,$C552,符文权重!$D:$D))),"")</f>
        <v/>
      </c>
      <c r="O552" s="39" t="str" cm="1">
        <f t="array" ref="O552">IFERROR(IF($A552="","",IF(I552="","",_xlfn.XLOOKUP($C552&amp;"_"&amp;$AG552,符文权重!$A:$A&amp;"_"&amp;符文权重!$C:$C,符文权重!$D:$D)*$X552/SUMIFS($X:$X,I:I,I552,$C:$C,$C552,$AG:$AG,$AG552)/SUMIF(符文权重!$A:$A,$C552,符文权重!$D:$D))),"")</f>
        <v/>
      </c>
      <c r="P552" s="39" t="str" cm="1">
        <f t="array" ref="P552">IFERROR(IF($A552="","",IF(J552="","",_xlfn.XLOOKUP($C552&amp;"_"&amp;$AG552,符文权重!$A:$A&amp;"_"&amp;符文权重!$C:$C,符文权重!$D:$D)*$X552/SUMIFS($X:$X,J:J,J552,$C:$C,$C552,$AG:$AG,$AG552)/SUMIF(符文权重!$A:$A,$C552,符文权重!$D:$D))),"")</f>
        <v/>
      </c>
      <c r="Q552" s="39" t="str" cm="1">
        <f t="array" ref="Q552">IFERROR(IF($A552="","",IF(K552="","",_xlfn.XLOOKUP($C552&amp;"_"&amp;$AG552,符文权重!$A:$A&amp;"_"&amp;符文权重!$C:$C,符文权重!$D:$D)*$X552/SUMIFS($X:$X,K:K,K552,$C:$C,$C552,$AG:$AG,$AG552)/SUMIF(符文权重!$A:$A,$C552,符文权重!$D:$D))),"")</f>
        <v/>
      </c>
      <c r="R552" s="26" t="s">
        <v>163</v>
      </c>
      <c r="S552" s="26"/>
      <c r="T552" s="26" t="e">
        <f>IF(B552="","",SUBSTITUTE(SUBSTITUTE("[{global_atk,"&amp;#REF!*C552&amp;"}]",21,20),9,8))</f>
        <v>#REF!</v>
      </c>
      <c r="U552" s="40" t="str">
        <f t="shared" si="273"/>
        <v>[5506093]</v>
      </c>
      <c r="X552" s="25">
        <v>100</v>
      </c>
      <c r="Z552" s="32" t="s">
        <v>172</v>
      </c>
      <c r="AA552" s="32" t="str">
        <f t="shared" si="264"/>
        <v>能量耗尽时0%概率跳过充能</v>
      </c>
      <c r="AB552" s="32"/>
      <c r="AC552" s="32" t="s">
        <v>166</v>
      </c>
      <c r="AD552" s="32">
        <f t="shared" si="258"/>
        <v>1547</v>
      </c>
      <c r="AE552" s="38" t="str">
        <f t="shared" si="269"/>
        <v>5506091</v>
      </c>
      <c r="AF552" s="32" t="str">
        <f t="shared" si="261"/>
        <v>[0]</v>
      </c>
      <c r="AG552" s="26">
        <v>100</v>
      </c>
      <c r="AH552" s="26"/>
      <c r="AI552" s="26">
        <v>1</v>
      </c>
      <c r="AJ552" s="25">
        <v>1</v>
      </c>
      <c r="AK552" s="38">
        <f t="shared" si="274"/>
        <v>5506093</v>
      </c>
      <c r="AL552" s="41" t="str">
        <f t="shared" si="275"/>
        <v>能量耗尽时&lt;color=#54b76b&gt;%s%&lt;/color&gt;概率跳过充能</v>
      </c>
      <c r="AM552" s="26">
        <v>0</v>
      </c>
      <c r="AN552" s="25">
        <v>6</v>
      </c>
      <c r="AO552" s="25" t="s">
        <v>25</v>
      </c>
      <c r="AP552" s="20">
        <f t="shared" si="259"/>
        <v>547</v>
      </c>
    </row>
    <row r="553" customHeight="1" spans="1:42">
      <c r="A553" s="38">
        <v>5506094</v>
      </c>
      <c r="B553" s="38" t="str">
        <f t="shared" si="265"/>
        <v>5506091</v>
      </c>
      <c r="C553" s="32">
        <f t="shared" si="266"/>
        <v>4</v>
      </c>
      <c r="D553" s="32"/>
      <c r="E553" s="26" t="s">
        <v>329</v>
      </c>
      <c r="F553" s="26" t="str">
        <f t="shared" si="255"/>
        <v/>
      </c>
      <c r="G553" s="26">
        <f>IFERROR(IF(--MID($E553,2*COUNTIF($F553:F553,"&gt;"&amp;0)+2,1)=G$1,G$1,""),"")</f>
        <v>2</v>
      </c>
      <c r="H553" s="26" t="str">
        <f>IFERROR(IF(--MID($E553,2*COUNTIF($F553:G553,"&gt;"&amp;0)+2,1)=H$1,H$1,""),"")</f>
        <v/>
      </c>
      <c r="I553" s="26" t="str">
        <f>IFERROR(IF(--MID($E553,2*COUNTIF($F553:H553,"&gt;"&amp;0)+2,1)=I$1,I$1,""),"")</f>
        <v/>
      </c>
      <c r="J553" s="26">
        <f>IFERROR(IF(--MID($E553,2*COUNTIF($F553:I553,"&gt;"&amp;0)+2,1)=J$1,J$1,""),"")</f>
        <v>5</v>
      </c>
      <c r="K553" s="26" t="str">
        <f>IFERROR(IF(--MID($E553,2*COUNTIF($F553:J553,"&gt;"&amp;0)+2,1)=K$1,K$1,""),"")</f>
        <v/>
      </c>
      <c r="L553" s="39" t="str" cm="1">
        <f t="array" ref="L553">IFERROR(IF($A553="","",IF(F553="","",_xlfn.XLOOKUP($C553&amp;"_"&amp;$AG553,符文权重!$A:$A&amp;"_"&amp;符文权重!$C:$C,符文权重!$D:$D)*$X553/SUMIFS($X:$X,F:F,F553,$C:$C,$C553,$AG:$AG,$AG553)/SUMIF(符文权重!$A:$A,$C553,符文权重!$D:$D))),"")</f>
        <v/>
      </c>
      <c r="M553" s="39" cm="1">
        <f t="array" ref="M553">IFERROR(IF($A553="","",IF(G553="","",_xlfn.XLOOKUP($C553&amp;"_"&amp;$AG553,符文权重!$A:$A&amp;"_"&amp;符文权重!$C:$C,符文权重!$D:$D)*$X553/SUMIFS($X:$X,G:G,G553,$C:$C,$C553,$AG:$AG,$AG553)/SUMIF(符文权重!$A:$A,$C553,符文权重!$D:$D))),"")</f>
        <v>0.003125</v>
      </c>
      <c r="N553" s="39" t="str" cm="1">
        <f t="array" ref="N553">IFERROR(IF($A553="","",IF(H553="","",_xlfn.XLOOKUP($C553&amp;"_"&amp;$AG553,符文权重!$A:$A&amp;"_"&amp;符文权重!$C:$C,符文权重!$D:$D)*$X553/SUMIFS($X:$X,H:H,H553,$C:$C,$C553,$AG:$AG,$AG553)/SUMIF(符文权重!$A:$A,$C553,符文权重!$D:$D))),"")</f>
        <v/>
      </c>
      <c r="O553" s="39" t="str" cm="1">
        <f t="array" ref="O553">IFERROR(IF($A553="","",IF(I553="","",_xlfn.XLOOKUP($C553&amp;"_"&amp;$AG553,符文权重!$A:$A&amp;"_"&amp;符文权重!$C:$C,符文权重!$D:$D)*$X553/SUMIFS($X:$X,I:I,I553,$C:$C,$C553,$AG:$AG,$AG553)/SUMIF(符文权重!$A:$A,$C553,符文权重!$D:$D))),"")</f>
        <v/>
      </c>
      <c r="P553" s="39" cm="1">
        <f t="array" ref="P553">IFERROR(IF($A553="","",IF(J553="","",_xlfn.XLOOKUP($C553&amp;"_"&amp;$AG553,符文权重!$A:$A&amp;"_"&amp;符文权重!$C:$C,符文权重!$D:$D)*$X553/SUMIFS($X:$X,J:J,J553,$C:$C,$C553,$AG:$AG,$AG553)/SUMIF(符文权重!$A:$A,$C553,符文权重!$D:$D))),"")</f>
        <v>0.00238095238095238</v>
      </c>
      <c r="Q553" s="39" t="str" cm="1">
        <f t="array" ref="Q553">IFERROR(IF($A553="","",IF(K553="","",_xlfn.XLOOKUP($C553&amp;"_"&amp;$AG553,符文权重!$A:$A&amp;"_"&amp;符文权重!$C:$C,符文权重!$D:$D)*$X553/SUMIFS($X:$X,K:K,K553,$C:$C,$C553,$AG:$AG,$AG553)/SUMIF(符文权重!$A:$A,$C553,符文权重!$D:$D))),"")</f>
        <v/>
      </c>
      <c r="R553" s="26" t="s">
        <v>163</v>
      </c>
      <c r="S553" s="26"/>
      <c r="T553" s="26" t="e">
        <f>IF(B553="","",SUBSTITUTE(SUBSTITUTE("[{global_atk,"&amp;#REF!*C553&amp;"}]",21,20),9,8))</f>
        <v>#REF!</v>
      </c>
      <c r="U553" s="40" t="str">
        <f t="shared" si="273"/>
        <v>[5506094]</v>
      </c>
      <c r="V553" s="26" t="s">
        <v>528</v>
      </c>
      <c r="X553" s="25">
        <v>20</v>
      </c>
      <c r="Z553" s="32" t="s">
        <v>174</v>
      </c>
      <c r="AA553" s="32" t="str">
        <f t="shared" si="264"/>
        <v>能量耗尽时5%概率跳过充能</v>
      </c>
      <c r="AB553" s="32"/>
      <c r="AC553" s="32" t="s">
        <v>166</v>
      </c>
      <c r="AD553" s="32">
        <f t="shared" si="258"/>
        <v>1548</v>
      </c>
      <c r="AE553" s="38" t="str">
        <f t="shared" si="269"/>
        <v>5506091</v>
      </c>
      <c r="AF553" s="32" t="str">
        <f t="shared" si="261"/>
        <v>[5]</v>
      </c>
      <c r="AG553" s="62">
        <v>4</v>
      </c>
      <c r="AH553" s="26"/>
      <c r="AI553" s="26">
        <v>0</v>
      </c>
      <c r="AJ553" s="25">
        <v>1</v>
      </c>
      <c r="AK553" s="38">
        <f t="shared" si="274"/>
        <v>5506094</v>
      </c>
      <c r="AL553" s="41" t="str">
        <f t="shared" si="275"/>
        <v>能量耗尽时&lt;color=#54b76b&gt;%s%&lt;/color&gt;概率跳过充能</v>
      </c>
      <c r="AM553" s="26">
        <v>5</v>
      </c>
      <c r="AN553" s="25">
        <v>6</v>
      </c>
      <c r="AO553" s="25" t="s">
        <v>25</v>
      </c>
      <c r="AP553" s="20">
        <f t="shared" si="259"/>
        <v>548</v>
      </c>
    </row>
    <row r="554" customHeight="1" spans="1:42">
      <c r="A554" s="38">
        <v>5506095</v>
      </c>
      <c r="B554" s="38" t="str">
        <f t="shared" si="265"/>
        <v>5506091</v>
      </c>
      <c r="C554" s="32">
        <f t="shared" si="266"/>
        <v>5</v>
      </c>
      <c r="D554" s="32"/>
      <c r="E554" s="26" t="s">
        <v>329</v>
      </c>
      <c r="F554" s="26" t="str">
        <f t="shared" si="255"/>
        <v/>
      </c>
      <c r="G554" s="26">
        <f>IFERROR(IF(--MID($E554,2*COUNTIF($F554:F554,"&gt;"&amp;0)+2,1)=G$1,G$1,""),"")</f>
        <v>2</v>
      </c>
      <c r="H554" s="26" t="str">
        <f>IFERROR(IF(--MID($E554,2*COUNTIF($F554:G554,"&gt;"&amp;0)+2,1)=H$1,H$1,""),"")</f>
        <v/>
      </c>
      <c r="I554" s="26" t="str">
        <f>IFERROR(IF(--MID($E554,2*COUNTIF($F554:H554,"&gt;"&amp;0)+2,1)=I$1,I$1,""),"")</f>
        <v/>
      </c>
      <c r="J554" s="26">
        <f>IFERROR(IF(--MID($E554,2*COUNTIF($F554:I554,"&gt;"&amp;0)+2,1)=J$1,J$1,""),"")</f>
        <v>5</v>
      </c>
      <c r="K554" s="26" t="str">
        <f>IFERROR(IF(--MID($E554,2*COUNTIF($F554:J554,"&gt;"&amp;0)+2,1)=K$1,K$1,""),"")</f>
        <v/>
      </c>
      <c r="L554" s="39" t="str" cm="1">
        <f t="array" ref="L554">IFERROR(IF($A554="","",IF(F554="","",_xlfn.XLOOKUP($C554&amp;"_"&amp;$AG554,符文权重!$A:$A&amp;"_"&amp;符文权重!$C:$C,符文权重!$D:$D)*$X554/SUMIFS($X:$X,F:F,F554,$C:$C,$C554,$AG:$AG,$AG554)/SUMIF(符文权重!$A:$A,$C554,符文权重!$D:$D))),"")</f>
        <v/>
      </c>
      <c r="M554" s="39" cm="1">
        <f t="array" ref="M554">IFERROR(IF($A554="","",IF(G554="","",_xlfn.XLOOKUP($C554&amp;"_"&amp;$AG554,符文权重!$A:$A&amp;"_"&amp;符文权重!$C:$C,符文权重!$D:$D)*$X554/SUMIFS($X:$X,G:G,G554,$C:$C,$C554,$AG:$AG,$AG554)/SUMIF(符文权重!$A:$A,$C554,符文权重!$D:$D))),"")</f>
        <v>0.00300429184549356</v>
      </c>
      <c r="N554" s="39" t="str" cm="1">
        <f t="array" ref="N554">IFERROR(IF($A554="","",IF(H554="","",_xlfn.XLOOKUP($C554&amp;"_"&amp;$AG554,符文权重!$A:$A&amp;"_"&amp;符文权重!$C:$C,符文权重!$D:$D)*$X554/SUMIFS($X:$X,H:H,H554,$C:$C,$C554,$AG:$AG,$AG554)/SUMIF(符文权重!$A:$A,$C554,符文权重!$D:$D))),"")</f>
        <v/>
      </c>
      <c r="O554" s="39" t="str" cm="1">
        <f t="array" ref="O554">IFERROR(IF($A554="","",IF(I554="","",_xlfn.XLOOKUP($C554&amp;"_"&amp;$AG554,符文权重!$A:$A&amp;"_"&amp;符文权重!$C:$C,符文权重!$D:$D)*$X554/SUMIFS($X:$X,I:I,I554,$C:$C,$C554,$AG:$AG,$AG554)/SUMIF(符文权重!$A:$A,$C554,符文权重!$D:$D))),"")</f>
        <v/>
      </c>
      <c r="P554" s="39" cm="1">
        <f t="array" ref="P554">IFERROR(IF($A554="","",IF(J554="","",_xlfn.XLOOKUP($C554&amp;"_"&amp;$AG554,符文权重!$A:$A&amp;"_"&amp;符文权重!$C:$C,符文权重!$D:$D)*$X554/SUMIFS($X:$X,J:J,J554,$C:$C,$C554,$AG:$AG,$AG554)/SUMIF(符文权重!$A:$A,$C554,符文权重!$D:$D))),"")</f>
        <v>0.00300429184549356</v>
      </c>
      <c r="Q554" s="39" t="str" cm="1">
        <f t="array" ref="Q554">IFERROR(IF($A554="","",IF(K554="","",_xlfn.XLOOKUP($C554&amp;"_"&amp;$AG554,符文权重!$A:$A&amp;"_"&amp;符文权重!$C:$C,符文权重!$D:$D)*$X554/SUMIFS($X:$X,K:K,K554,$C:$C,$C554,$AG:$AG,$AG554)/SUMIF(符文权重!$A:$A,$C554,符文权重!$D:$D))),"")</f>
        <v/>
      </c>
      <c r="R554" s="26" t="s">
        <v>163</v>
      </c>
      <c r="S554" s="26"/>
      <c r="T554" s="26" t="e">
        <f>IF(B554="","",SUBSTITUTE(SUBSTITUTE("[{global_atk,"&amp;#REF!*C554&amp;"}]",21,20),9,8))</f>
        <v>#REF!</v>
      </c>
      <c r="U554" s="40" t="str">
        <f t="shared" si="273"/>
        <v>[5506095]</v>
      </c>
      <c r="V554" s="26" t="s">
        <v>529</v>
      </c>
      <c r="X554" s="25">
        <v>100</v>
      </c>
      <c r="Z554" s="32" t="s">
        <v>176</v>
      </c>
      <c r="AA554" s="32" t="str">
        <f t="shared" si="264"/>
        <v>能量耗尽时8%概率跳过充能</v>
      </c>
      <c r="AB554" s="32"/>
      <c r="AC554" s="32" t="s">
        <v>166</v>
      </c>
      <c r="AD554" s="32">
        <f t="shared" si="258"/>
        <v>1549</v>
      </c>
      <c r="AE554" s="38" t="str">
        <f t="shared" si="269"/>
        <v>5506091</v>
      </c>
      <c r="AF554" s="32" t="str">
        <f t="shared" si="261"/>
        <v>[8]</v>
      </c>
      <c r="AG554" s="26">
        <v>6</v>
      </c>
      <c r="AH554" s="26"/>
      <c r="AI554" s="26">
        <v>0</v>
      </c>
      <c r="AJ554" s="25">
        <v>1</v>
      </c>
      <c r="AK554" s="38">
        <f t="shared" si="274"/>
        <v>5506095</v>
      </c>
      <c r="AL554" s="41" t="str">
        <f t="shared" si="275"/>
        <v>能量耗尽时&lt;color=#54b76b&gt;%s%&lt;/color&gt;概率跳过充能</v>
      </c>
      <c r="AM554" s="26">
        <v>8</v>
      </c>
      <c r="AN554" s="25">
        <v>6</v>
      </c>
      <c r="AO554" s="25" t="s">
        <v>25</v>
      </c>
      <c r="AP554" s="20">
        <f t="shared" si="259"/>
        <v>549</v>
      </c>
    </row>
    <row r="555" customHeight="1" spans="1:42">
      <c r="A555" s="38">
        <v>5506096</v>
      </c>
      <c r="B555" s="38" t="str">
        <f t="shared" si="265"/>
        <v>5506091</v>
      </c>
      <c r="C555" s="32">
        <f t="shared" si="266"/>
        <v>6</v>
      </c>
      <c r="D555" s="32"/>
      <c r="E555" s="26" t="s">
        <v>329</v>
      </c>
      <c r="F555" s="26" t="str">
        <f t="shared" si="255"/>
        <v/>
      </c>
      <c r="G555" s="26">
        <f>IFERROR(IF(--MID($E555,2*COUNTIF($F555:F555,"&gt;"&amp;0)+2,1)=G$1,G$1,""),"")</f>
        <v>2</v>
      </c>
      <c r="H555" s="26" t="str">
        <f>IFERROR(IF(--MID($E555,2*COUNTIF($F555:G555,"&gt;"&amp;0)+2,1)=H$1,H$1,""),"")</f>
        <v/>
      </c>
      <c r="I555" s="26" t="str">
        <f>IFERROR(IF(--MID($E555,2*COUNTIF($F555:H555,"&gt;"&amp;0)+2,1)=I$1,I$1,""),"")</f>
        <v/>
      </c>
      <c r="J555" s="26">
        <f>IFERROR(IF(--MID($E555,2*COUNTIF($F555:I555,"&gt;"&amp;0)+2,1)=J$1,J$1,""),"")</f>
        <v>5</v>
      </c>
      <c r="K555" s="26" t="str">
        <f>IFERROR(IF(--MID($E555,2*COUNTIF($F555:J555,"&gt;"&amp;0)+2,1)=K$1,K$1,""),"")</f>
        <v/>
      </c>
      <c r="L555" s="39" t="str" cm="1">
        <f t="array" ref="L555">IFERROR(IF($A555="","",IF(F555="","",_xlfn.XLOOKUP($C555&amp;"_"&amp;$AG555,符文权重!$A:$A&amp;"_"&amp;符文权重!$C:$C,符文权重!$D:$D)*$X555/SUMIFS($X:$X,F:F,F555,$C:$C,$C555,$AG:$AG,$AG555)/SUMIF(符文权重!$A:$A,$C555,符文权重!$D:$D))),"")</f>
        <v/>
      </c>
      <c r="M555" s="39" cm="1">
        <f t="array" ref="M555">IFERROR(IF($A555="","",IF(G555="","",_xlfn.XLOOKUP($C555&amp;"_"&amp;$AG555,符文权重!$A:$A&amp;"_"&amp;符文权重!$C:$C,符文权重!$D:$D)*$X555/SUMIFS($X:$X,G:G,G555,$C:$C,$C555,$AG:$AG,$AG555)/SUMIF(符文权重!$A:$A,$C555,符文权重!$D:$D))),"")</f>
        <v>0.00300429184549356</v>
      </c>
      <c r="N555" s="39" t="str" cm="1">
        <f t="array" ref="N555">IFERROR(IF($A555="","",IF(H555="","",_xlfn.XLOOKUP($C555&amp;"_"&amp;$AG555,符文权重!$A:$A&amp;"_"&amp;符文权重!$C:$C,符文权重!$D:$D)*$X555/SUMIFS($X:$X,H:H,H555,$C:$C,$C555,$AG:$AG,$AG555)/SUMIF(符文权重!$A:$A,$C555,符文权重!$D:$D))),"")</f>
        <v/>
      </c>
      <c r="O555" s="39" t="str" cm="1">
        <f t="array" ref="O555">IFERROR(IF($A555="","",IF(I555="","",_xlfn.XLOOKUP($C555&amp;"_"&amp;$AG555,符文权重!$A:$A&amp;"_"&amp;符文权重!$C:$C,符文权重!$D:$D)*$X555/SUMIFS($X:$X,I:I,I555,$C:$C,$C555,$AG:$AG,$AG555)/SUMIF(符文权重!$A:$A,$C555,符文权重!$D:$D))),"")</f>
        <v/>
      </c>
      <c r="P555" s="39" cm="1">
        <f t="array" ref="P555">IFERROR(IF($A555="","",IF(J555="","",_xlfn.XLOOKUP($C555&amp;"_"&amp;$AG555,符文权重!$A:$A&amp;"_"&amp;符文权重!$C:$C,符文权重!$D:$D)*$X555/SUMIFS($X:$X,J:J,J555,$C:$C,$C555,$AG:$AG,$AG555)/SUMIF(符文权重!$A:$A,$C555,符文权重!$D:$D))),"")</f>
        <v>0.00300429184549356</v>
      </c>
      <c r="Q555" s="39" t="str" cm="1">
        <f t="array" ref="Q555">IFERROR(IF($A555="","",IF(K555="","",_xlfn.XLOOKUP($C555&amp;"_"&amp;$AG555,符文权重!$A:$A&amp;"_"&amp;符文权重!$C:$C,符文权重!$D:$D)*$X555/SUMIFS($X:$X,K:K,K555,$C:$C,$C555,$AG:$AG,$AG555)/SUMIF(符文权重!$A:$A,$C555,符文权重!$D:$D))),"")</f>
        <v/>
      </c>
      <c r="R555" s="26" t="s">
        <v>163</v>
      </c>
      <c r="S555" s="26"/>
      <c r="T555" s="26" t="e">
        <f>IF(B555="","",SUBSTITUTE(SUBSTITUTE("[{global_atk,"&amp;#REF!*C555&amp;"}]",21,20),9,8))</f>
        <v>#REF!</v>
      </c>
      <c r="U555" s="40" t="str">
        <f t="shared" si="273"/>
        <v>[5506096]</v>
      </c>
      <c r="V555" s="26" t="s">
        <v>530</v>
      </c>
      <c r="X555" s="25">
        <v>100</v>
      </c>
      <c r="Z555" s="32" t="s">
        <v>178</v>
      </c>
      <c r="AA555" s="32" t="str">
        <f t="shared" si="264"/>
        <v>能量耗尽时12%概率跳过充能</v>
      </c>
      <c r="AB555" s="32"/>
      <c r="AC555" s="32" t="s">
        <v>166</v>
      </c>
      <c r="AD555" s="32">
        <f t="shared" si="258"/>
        <v>1550</v>
      </c>
      <c r="AE555" s="38" t="str">
        <f t="shared" si="269"/>
        <v>5506091</v>
      </c>
      <c r="AF555" s="32" t="str">
        <f t="shared" si="261"/>
        <v>[12]</v>
      </c>
      <c r="AG555" s="26">
        <v>6</v>
      </c>
      <c r="AH555" s="26"/>
      <c r="AI555" s="26">
        <v>0</v>
      </c>
      <c r="AJ555" s="25">
        <v>1</v>
      </c>
      <c r="AK555" s="38">
        <f t="shared" si="274"/>
        <v>5506096</v>
      </c>
      <c r="AL555" s="41" t="str">
        <f t="shared" si="275"/>
        <v>能量耗尽时&lt;color=#54b76b&gt;%s%&lt;/color&gt;概率跳过充能</v>
      </c>
      <c r="AM555" s="26">
        <v>12</v>
      </c>
      <c r="AN555" s="25">
        <v>6</v>
      </c>
      <c r="AO555" s="25" t="s">
        <v>25</v>
      </c>
      <c r="AP555" s="20">
        <f t="shared" si="259"/>
        <v>550</v>
      </c>
    </row>
    <row r="556" customHeight="1" spans="1:42">
      <c r="A556" s="38">
        <v>5506097</v>
      </c>
      <c r="B556" s="38" t="str">
        <f t="shared" si="265"/>
        <v>5506091</v>
      </c>
      <c r="C556" s="32">
        <f t="shared" si="266"/>
        <v>7</v>
      </c>
      <c r="D556" s="32"/>
      <c r="E556" s="26" t="s">
        <v>329</v>
      </c>
      <c r="F556" s="26" t="str">
        <f t="shared" si="255"/>
        <v/>
      </c>
      <c r="G556" s="26">
        <f>IFERROR(IF(--MID($E556,2*COUNTIF($F556:F556,"&gt;"&amp;0)+2,1)=G$1,G$1,""),"")</f>
        <v>2</v>
      </c>
      <c r="H556" s="26" t="str">
        <f>IFERROR(IF(--MID($E556,2*COUNTIF($F556:G556,"&gt;"&amp;0)+2,1)=H$1,H$1,""),"")</f>
        <v/>
      </c>
      <c r="I556" s="26" t="str">
        <f>IFERROR(IF(--MID($E556,2*COUNTIF($F556:H556,"&gt;"&amp;0)+2,1)=I$1,I$1,""),"")</f>
        <v/>
      </c>
      <c r="J556" s="26">
        <f>IFERROR(IF(--MID($E556,2*COUNTIF($F556:I556,"&gt;"&amp;0)+2,1)=J$1,J$1,""),"")</f>
        <v>5</v>
      </c>
      <c r="K556" s="26" t="str">
        <f>IFERROR(IF(--MID($E556,2*COUNTIF($F556:J556,"&gt;"&amp;0)+2,1)=K$1,K$1,""),"")</f>
        <v/>
      </c>
      <c r="L556" s="39" t="str" cm="1">
        <f t="array" ref="L556">IFERROR(IF($A556="","",IF(F556="","",_xlfn.XLOOKUP($C556&amp;"_"&amp;$AG556,符文权重!$A:$A&amp;"_"&amp;符文权重!$C:$C,符文权重!$D:$D)*$X556/SUMIFS($X:$X,F:F,F556,$C:$C,$C556,$AG:$AG,$AG556)/SUMIF(符文权重!$A:$A,$C556,符文权重!$D:$D))),"")</f>
        <v/>
      </c>
      <c r="M556" s="39" cm="1">
        <f t="array" ref="M556">IFERROR(IF($A556="","",IF(G556="","",_xlfn.XLOOKUP($C556&amp;"_"&amp;$AG556,符文权重!$A:$A&amp;"_"&amp;符文权重!$C:$C,符文权重!$D:$D)*$X556/SUMIFS($X:$X,G:G,G556,$C:$C,$C556,$AG:$AG,$AG556)/SUMIF(符文权重!$A:$A,$C556,符文权重!$D:$D))),"")</f>
        <v>0.00300429184549356</v>
      </c>
      <c r="N556" s="39" t="str" cm="1">
        <f t="array" ref="N556">IFERROR(IF($A556="","",IF(H556="","",_xlfn.XLOOKUP($C556&amp;"_"&amp;$AG556,符文权重!$A:$A&amp;"_"&amp;符文权重!$C:$C,符文权重!$D:$D)*$X556/SUMIFS($X:$X,H:H,H556,$C:$C,$C556,$AG:$AG,$AG556)/SUMIF(符文权重!$A:$A,$C556,符文权重!$D:$D))),"")</f>
        <v/>
      </c>
      <c r="O556" s="39" t="str" cm="1">
        <f t="array" ref="O556">IFERROR(IF($A556="","",IF(I556="","",_xlfn.XLOOKUP($C556&amp;"_"&amp;$AG556,符文权重!$A:$A&amp;"_"&amp;符文权重!$C:$C,符文权重!$D:$D)*$X556/SUMIFS($X:$X,I:I,I556,$C:$C,$C556,$AG:$AG,$AG556)/SUMIF(符文权重!$A:$A,$C556,符文权重!$D:$D))),"")</f>
        <v/>
      </c>
      <c r="P556" s="39" cm="1">
        <f t="array" ref="P556">IFERROR(IF($A556="","",IF(J556="","",_xlfn.XLOOKUP($C556&amp;"_"&amp;$AG556,符文权重!$A:$A&amp;"_"&amp;符文权重!$C:$C,符文权重!$D:$D)*$X556/SUMIFS($X:$X,J:J,J556,$C:$C,$C556,$AG:$AG,$AG556)/SUMIF(符文权重!$A:$A,$C556,符文权重!$D:$D))),"")</f>
        <v>0.00300429184549356</v>
      </c>
      <c r="Q556" s="39" t="str" cm="1">
        <f t="array" ref="Q556">IFERROR(IF($A556="","",IF(K556="","",_xlfn.XLOOKUP($C556&amp;"_"&amp;$AG556,符文权重!$A:$A&amp;"_"&amp;符文权重!$C:$C,符文权重!$D:$D)*$X556/SUMIFS($X:$X,K:K,K556,$C:$C,$C556,$AG:$AG,$AG556)/SUMIF(符文权重!$A:$A,$C556,符文权重!$D:$D))),"")</f>
        <v/>
      </c>
      <c r="R556" s="26" t="s">
        <v>163</v>
      </c>
      <c r="S556" s="26"/>
      <c r="T556" s="26" t="e">
        <f>IF(B556="","",SUBSTITUTE(SUBSTITUTE("[{global_atk,"&amp;#REF!*C556&amp;"}]",21,20),9,8))</f>
        <v>#REF!</v>
      </c>
      <c r="U556" s="40" t="str">
        <f t="shared" si="273"/>
        <v>[5506097]</v>
      </c>
      <c r="V556" s="26" t="s">
        <v>531</v>
      </c>
      <c r="X556" s="25">
        <v>100</v>
      </c>
      <c r="Z556" s="32" t="s">
        <v>180</v>
      </c>
      <c r="AA556" s="32" t="str">
        <f t="shared" si="264"/>
        <v>能量耗尽时15%概率跳过充能</v>
      </c>
      <c r="AB556" s="32"/>
      <c r="AC556" s="32" t="s">
        <v>166</v>
      </c>
      <c r="AD556" s="32">
        <f t="shared" si="258"/>
        <v>1551</v>
      </c>
      <c r="AE556" s="38" t="str">
        <f t="shared" si="269"/>
        <v>5506091</v>
      </c>
      <c r="AF556" s="32" t="str">
        <f t="shared" si="261"/>
        <v>[15]</v>
      </c>
      <c r="AG556" s="26">
        <v>6</v>
      </c>
      <c r="AH556" s="26"/>
      <c r="AI556" s="26">
        <v>0</v>
      </c>
      <c r="AJ556" s="25">
        <v>1</v>
      </c>
      <c r="AK556" s="38">
        <f t="shared" si="274"/>
        <v>5506097</v>
      </c>
      <c r="AL556" s="41" t="str">
        <f t="shared" si="275"/>
        <v>能量耗尽时&lt;color=#54b76b&gt;%s%&lt;/color&gt;概率跳过充能</v>
      </c>
      <c r="AM556" s="26">
        <v>15</v>
      </c>
      <c r="AN556" s="25">
        <v>6</v>
      </c>
      <c r="AO556" s="25" t="s">
        <v>25</v>
      </c>
      <c r="AP556" s="20">
        <f t="shared" si="259"/>
        <v>551</v>
      </c>
    </row>
    <row r="557" s="20" customFormat="1" customHeight="1" spans="1:42">
      <c r="A557" s="38" t="s">
        <v>167</v>
      </c>
      <c r="B557" s="38" t="str">
        <f t="shared" si="265"/>
        <v/>
      </c>
      <c r="C557" s="32" t="str">
        <f t="shared" si="266"/>
        <v/>
      </c>
      <c r="D557" s="32"/>
      <c r="E557" s="26"/>
      <c r="F557" s="26" t="str">
        <f t="shared" si="255"/>
        <v/>
      </c>
      <c r="G557" s="26" t="str">
        <f>IFERROR(IF(--MID($E557,2*COUNTIF($F557:F557,"&gt;"&amp;0)+2,1)=G$1,G$1,""),"")</f>
        <v/>
      </c>
      <c r="H557" s="26" t="str">
        <f>IFERROR(IF(--MID($E557,2*COUNTIF($F557:G557,"&gt;"&amp;0)+2,1)=H$1,H$1,""),"")</f>
        <v/>
      </c>
      <c r="I557" s="26" t="str">
        <f>IFERROR(IF(--MID($E557,2*COUNTIF($F557:H557,"&gt;"&amp;0)+2,1)=I$1,I$1,""),"")</f>
        <v/>
      </c>
      <c r="J557" s="26" t="str">
        <f>IFERROR(IF(--MID($E557,2*COUNTIF($F557:I557,"&gt;"&amp;0)+2,1)=J$1,J$1,""),"")</f>
        <v/>
      </c>
      <c r="K557" s="26" t="str">
        <f>IFERROR(IF(--MID($E557,2*COUNTIF($F557:J557,"&gt;"&amp;0)+2,1)=K$1,K$1,""),"")</f>
        <v/>
      </c>
      <c r="L557" s="39" t="str" cm="1">
        <f t="array" ref="L557">IFERROR(IF($A557="","",IF(F557="","",_xlfn.XLOOKUP($C557&amp;"_"&amp;$AG557,符文权重!$A:$A&amp;"_"&amp;符文权重!$C:$C,符文权重!$D:$D)*$X557/SUMIFS($X:$X,F:F,F557,$C:$C,$C557,$AG:$AG,$AG557)/SUMIF(符文权重!$A:$A,$C557,符文权重!$D:$D))),"")</f>
        <v/>
      </c>
      <c r="M557" s="39" t="str" cm="1">
        <f t="array" ref="M557">IFERROR(IF($A557="","",IF(G557="","",_xlfn.XLOOKUP($C557&amp;"_"&amp;$AG557,符文权重!$A:$A&amp;"_"&amp;符文权重!$C:$C,符文权重!$D:$D)*$X557/SUMIFS($X:$X,G:G,G557,$C:$C,$C557,$AG:$AG,$AG557)/SUMIF(符文权重!$A:$A,$C557,符文权重!$D:$D))),"")</f>
        <v/>
      </c>
      <c r="N557" s="39" t="str" cm="1">
        <f t="array" ref="N557">IFERROR(IF($A557="","",IF(H557="","",_xlfn.XLOOKUP($C557&amp;"_"&amp;$AG557,符文权重!$A:$A&amp;"_"&amp;符文权重!$C:$C,符文权重!$D:$D)*$X557/SUMIFS($X:$X,H:H,H557,$C:$C,$C557,$AG:$AG,$AG557)/SUMIF(符文权重!$A:$A,$C557,符文权重!$D:$D))),"")</f>
        <v/>
      </c>
      <c r="O557" s="39" t="str" cm="1">
        <f t="array" ref="O557">IFERROR(IF($A557="","",IF(I557="","",_xlfn.XLOOKUP($C557&amp;"_"&amp;$AG557,符文权重!$A:$A&amp;"_"&amp;符文权重!$C:$C,符文权重!$D:$D)*$X557/SUMIFS($X:$X,I:I,I557,$C:$C,$C557,$AG:$AG,$AG557)/SUMIF(符文权重!$A:$A,$C557,符文权重!$D:$D))),"")</f>
        <v/>
      </c>
      <c r="P557" s="39" t="str" cm="1">
        <f t="array" ref="P557">IFERROR(IF($A557="","",IF(J557="","",_xlfn.XLOOKUP($C557&amp;"_"&amp;$AG557,符文权重!$A:$A&amp;"_"&amp;符文权重!$C:$C,符文权重!$D:$D)*$X557/SUMIFS($X:$X,J:J,J557,$C:$C,$C557,$AG:$AG,$AG557)/SUMIF(符文权重!$A:$A,$C557,符文权重!$D:$D))),"")</f>
        <v/>
      </c>
      <c r="Q557" s="39" t="str" cm="1">
        <f t="array" ref="Q557">IFERROR(IF($A557="","",IF(K557="","",_xlfn.XLOOKUP($C557&amp;"_"&amp;$AG557,符文权重!$A:$A&amp;"_"&amp;符文权重!$C:$C,符文权重!$D:$D)*$X557/SUMIFS($X:$X,K:K,K557,$C:$C,$C557,$AG:$AG,$AG557)/SUMIF(符文权重!$A:$A,$C557,符文权重!$D:$D))),"")</f>
        <v/>
      </c>
      <c r="R557" s="26"/>
      <c r="S557" s="26"/>
      <c r="T557" s="26"/>
      <c r="V557" s="31"/>
      <c r="W557" s="25"/>
      <c r="X557" s="25"/>
      <c r="Y557" s="25"/>
      <c r="Z557" s="32" t="s">
        <v>167</v>
      </c>
      <c r="AA557" s="32" t="str">
        <f t="shared" si="264"/>
        <v/>
      </c>
      <c r="AB557" s="32"/>
      <c r="AC557" s="32" t="s">
        <v>166</v>
      </c>
      <c r="AD557" s="32">
        <f t="shared" si="258"/>
        <v>1552</v>
      </c>
      <c r="AE557" s="38" t="str">
        <f t="shared" si="269"/>
        <v/>
      </c>
      <c r="AF557" s="32" t="str">
        <f t="shared" si="261"/>
        <v/>
      </c>
      <c r="AG557" s="26"/>
      <c r="AH557" s="26"/>
      <c r="AI557" s="26"/>
      <c r="AJ557" s="25" t="s">
        <v>167</v>
      </c>
      <c r="AL557" s="51"/>
      <c r="AM557" s="26"/>
      <c r="AN557" s="25"/>
      <c r="AO557" s="25"/>
      <c r="AP557" s="20">
        <f t="shared" si="259"/>
        <v>552</v>
      </c>
    </row>
    <row r="558" s="20" customFormat="1" customHeight="1" spans="1:42">
      <c r="A558" s="38">
        <v>5506101</v>
      </c>
      <c r="B558" s="38" t="str">
        <f t="shared" si="265"/>
        <v>5506101</v>
      </c>
      <c r="C558" s="32">
        <f t="shared" si="266"/>
        <v>1</v>
      </c>
      <c r="D558" s="32"/>
      <c r="E558" s="26" t="s">
        <v>334</v>
      </c>
      <c r="F558" s="26" t="str">
        <f t="shared" si="255"/>
        <v/>
      </c>
      <c r="G558" s="26" t="str">
        <f>IFERROR(IF(--MID($E558,2*COUNTIF($F558:F558,"&gt;"&amp;0)+2,1)=G$1,G$1,""),"")</f>
        <v/>
      </c>
      <c r="H558" s="26">
        <f>IFERROR(IF(--MID($E558,2*COUNTIF($F558:G558,"&gt;"&amp;0)+2,1)=H$1,H$1,""),"")</f>
        <v>3</v>
      </c>
      <c r="I558" s="26" t="str">
        <f>IFERROR(IF(--MID($E558,2*COUNTIF($F558:H558,"&gt;"&amp;0)+2,1)=I$1,I$1,""),"")</f>
        <v/>
      </c>
      <c r="J558" s="26" t="str">
        <f>IFERROR(IF(--MID($E558,2*COUNTIF($F558:I558,"&gt;"&amp;0)+2,1)=J$1,J$1,""),"")</f>
        <v/>
      </c>
      <c r="K558" s="26">
        <f>IFERROR(IF(--MID($E558,2*COUNTIF($F558:J558,"&gt;"&amp;0)+2,1)=K$1,K$1,""),"")</f>
        <v>6</v>
      </c>
      <c r="L558" s="39" t="str" cm="1">
        <f t="array" ref="L558">IFERROR(IF($A558="","",IF(F558="","",_xlfn.XLOOKUP($C558&amp;"_"&amp;$AG558,符文权重!$A:$A&amp;"_"&amp;符文权重!$C:$C,符文权重!$D:$D)*$X558/SUMIFS($X:$X,F:F,F558,$C:$C,$C558,$AG:$AG,$AG558)/SUMIF(符文权重!$A:$A,$C558,符文权重!$D:$D))),"")</f>
        <v/>
      </c>
      <c r="M558" s="39" t="str" cm="1">
        <f t="array" ref="M558">IFERROR(IF($A558="","",IF(G558="","",_xlfn.XLOOKUP($C558&amp;"_"&amp;$AG558,符文权重!$A:$A&amp;"_"&amp;符文权重!$C:$C,符文权重!$D:$D)*$X558/SUMIFS($X:$X,G:G,G558,$C:$C,$C558,$AG:$AG,$AG558)/SUMIF(符文权重!$A:$A,$C558,符文权重!$D:$D))),"")</f>
        <v/>
      </c>
      <c r="N558" s="39" t="str" cm="1">
        <f t="array" ref="N558">IFERROR(IF($A558="","",IF(H558="","",_xlfn.XLOOKUP($C558&amp;"_"&amp;$AG558,符文权重!$A:$A&amp;"_"&amp;符文权重!$C:$C,符文权重!$D:$D)*$X558/SUMIFS($X:$X,H:H,H558,$C:$C,$C558,$AG:$AG,$AG558)/SUMIF(符文权重!$A:$A,$C558,符文权重!$D:$D))),"")</f>
        <v/>
      </c>
      <c r="O558" s="39" t="str" cm="1">
        <f t="array" ref="O558">IFERROR(IF($A558="","",IF(I558="","",_xlfn.XLOOKUP($C558&amp;"_"&amp;$AG558,符文权重!$A:$A&amp;"_"&amp;符文权重!$C:$C,符文权重!$D:$D)*$X558/SUMIFS($X:$X,I:I,I558,$C:$C,$C558,$AG:$AG,$AG558)/SUMIF(符文权重!$A:$A,$C558,符文权重!$D:$D))),"")</f>
        <v/>
      </c>
      <c r="P558" s="39" t="str" cm="1">
        <f t="array" ref="P558">IFERROR(IF($A558="","",IF(J558="","",_xlfn.XLOOKUP($C558&amp;"_"&amp;$AG558,符文权重!$A:$A&amp;"_"&amp;符文权重!$C:$C,符文权重!$D:$D)*$X558/SUMIFS($X:$X,J:J,J558,$C:$C,$C558,$AG:$AG,$AG558)/SUMIF(符文权重!$A:$A,$C558,符文权重!$D:$D))),"")</f>
        <v/>
      </c>
      <c r="Q558" s="39" t="str" cm="1">
        <f t="array" ref="Q558">IFERROR(IF($A558="","",IF(K558="","",_xlfn.XLOOKUP($C558&amp;"_"&amp;$AG558,符文权重!$A:$A&amp;"_"&amp;符文权重!$C:$C,符文权重!$D:$D)*$X558/SUMIFS($X:$X,K:K,K558,$C:$C,$C558,$AG:$AG,$AG558)/SUMIF(符文权重!$A:$A,$C558,符文权重!$D:$D))),"")</f>
        <v/>
      </c>
      <c r="R558" s="26" t="s">
        <v>181</v>
      </c>
      <c r="S558" s="26" t="s">
        <v>209</v>
      </c>
      <c r="T558" s="26" t="e">
        <f>IF(B558="","",SUBSTITUTE(SUBSTITUTE("[{global_atk,"&amp;#REF!*C558&amp;"}]",21,20),9,8))</f>
        <v>#REF!</v>
      </c>
      <c r="U558" s="40"/>
      <c r="V558" s="26"/>
      <c r="W558" s="25"/>
      <c r="X558" s="25">
        <v>100</v>
      </c>
      <c r="Y558" s="25"/>
      <c r="Z558" s="32" t="s">
        <v>165</v>
      </c>
      <c r="AA558" s="32" t="str">
        <f t="shared" si="264"/>
        <v>负面伤害享受0%暴击几率加成</v>
      </c>
      <c r="AB558" s="32"/>
      <c r="AC558" s="32" t="s">
        <v>166</v>
      </c>
      <c r="AD558" s="32">
        <f t="shared" si="258"/>
        <v>1553</v>
      </c>
      <c r="AE558" s="38" t="str">
        <f t="shared" si="269"/>
        <v>5506101</v>
      </c>
      <c r="AF558" s="32" t="str">
        <f t="shared" si="261"/>
        <v>[0]</v>
      </c>
      <c r="AG558" s="26">
        <v>100</v>
      </c>
      <c r="AH558" s="26"/>
      <c r="AI558" s="26">
        <v>1</v>
      </c>
      <c r="AJ558" s="25">
        <v>1</v>
      </c>
      <c r="AK558" s="24">
        <v>5506101</v>
      </c>
      <c r="AL558" s="59" t="s">
        <v>532</v>
      </c>
      <c r="AM558" s="26">
        <v>0</v>
      </c>
      <c r="AN558" s="25">
        <v>6</v>
      </c>
      <c r="AO558" s="25" t="s">
        <v>32</v>
      </c>
      <c r="AP558" s="20">
        <f t="shared" si="259"/>
        <v>553</v>
      </c>
    </row>
    <row r="559" customHeight="1" spans="1:42">
      <c r="A559" s="38">
        <v>5506102</v>
      </c>
      <c r="B559" s="38" t="str">
        <f t="shared" si="265"/>
        <v>5506101</v>
      </c>
      <c r="C559" s="32">
        <f t="shared" si="266"/>
        <v>2</v>
      </c>
      <c r="D559" s="32"/>
      <c r="E559" s="26" t="s">
        <v>334</v>
      </c>
      <c r="F559" s="26" t="str">
        <f t="shared" si="255"/>
        <v/>
      </c>
      <c r="G559" s="26" t="str">
        <f>IFERROR(IF(--MID($E559,2*COUNTIF($F559:F559,"&gt;"&amp;0)+2,1)=G$1,G$1,""),"")</f>
        <v/>
      </c>
      <c r="H559" s="26">
        <f>IFERROR(IF(--MID($E559,2*COUNTIF($F559:G559,"&gt;"&amp;0)+2,1)=H$1,H$1,""),"")</f>
        <v>3</v>
      </c>
      <c r="I559" s="26" t="str">
        <f>IFERROR(IF(--MID($E559,2*COUNTIF($F559:H559,"&gt;"&amp;0)+2,1)=I$1,I$1,""),"")</f>
        <v/>
      </c>
      <c r="J559" s="26" t="str">
        <f>IFERROR(IF(--MID($E559,2*COUNTIF($F559:I559,"&gt;"&amp;0)+2,1)=J$1,J$1,""),"")</f>
        <v/>
      </c>
      <c r="K559" s="26">
        <f>IFERROR(IF(--MID($E559,2*COUNTIF($F559:J559,"&gt;"&amp;0)+2,1)=K$1,K$1,""),"")</f>
        <v>6</v>
      </c>
      <c r="L559" s="39" t="str" cm="1">
        <f t="array" ref="L559">IFERROR(IF($A559="","",IF(F559="","",_xlfn.XLOOKUP($C559&amp;"_"&amp;$AG559,符文权重!$A:$A&amp;"_"&amp;符文权重!$C:$C,符文权重!$D:$D)*$X559/SUMIFS($X:$X,F:F,F559,$C:$C,$C559,$AG:$AG,$AG559)/SUMIF(符文权重!$A:$A,$C559,符文权重!$D:$D))),"")</f>
        <v/>
      </c>
      <c r="M559" s="39" t="str" cm="1">
        <f t="array" ref="M559">IFERROR(IF($A559="","",IF(G559="","",_xlfn.XLOOKUP($C559&amp;"_"&amp;$AG559,符文权重!$A:$A&amp;"_"&amp;符文权重!$C:$C,符文权重!$D:$D)*$X559/SUMIFS($X:$X,G:G,G559,$C:$C,$C559,$AG:$AG,$AG559)/SUMIF(符文权重!$A:$A,$C559,符文权重!$D:$D))),"")</f>
        <v/>
      </c>
      <c r="N559" s="39" t="str" cm="1">
        <f t="array" ref="N559">IFERROR(IF($A559="","",IF(H559="","",_xlfn.XLOOKUP($C559&amp;"_"&amp;$AG559,符文权重!$A:$A&amp;"_"&amp;符文权重!$C:$C,符文权重!$D:$D)*$X559/SUMIFS($X:$X,H:H,H559,$C:$C,$C559,$AG:$AG,$AG559)/SUMIF(符文权重!$A:$A,$C559,符文权重!$D:$D))),"")</f>
        <v/>
      </c>
      <c r="O559" s="39" t="str" cm="1">
        <f t="array" ref="O559">IFERROR(IF($A559="","",IF(I559="","",_xlfn.XLOOKUP($C559&amp;"_"&amp;$AG559,符文权重!$A:$A&amp;"_"&amp;符文权重!$C:$C,符文权重!$D:$D)*$X559/SUMIFS($X:$X,I:I,I559,$C:$C,$C559,$AG:$AG,$AG559)/SUMIF(符文权重!$A:$A,$C559,符文权重!$D:$D))),"")</f>
        <v/>
      </c>
      <c r="P559" s="39" t="str" cm="1">
        <f t="array" ref="P559">IFERROR(IF($A559="","",IF(J559="","",_xlfn.XLOOKUP($C559&amp;"_"&amp;$AG559,符文权重!$A:$A&amp;"_"&amp;符文权重!$C:$C,符文权重!$D:$D)*$X559/SUMIFS($X:$X,J:J,J559,$C:$C,$C559,$AG:$AG,$AG559)/SUMIF(符文权重!$A:$A,$C559,符文权重!$D:$D))),"")</f>
        <v/>
      </c>
      <c r="Q559" s="39" t="str" cm="1">
        <f t="array" ref="Q559">IFERROR(IF($A559="","",IF(K559="","",_xlfn.XLOOKUP($C559&amp;"_"&amp;$AG559,符文权重!$A:$A&amp;"_"&amp;符文权重!$C:$C,符文权重!$D:$D)*$X559/SUMIFS($X:$X,K:K,K559,$C:$C,$C559,$AG:$AG,$AG559)/SUMIF(符文权重!$A:$A,$C559,符文权重!$D:$D))),"")</f>
        <v/>
      </c>
      <c r="R559" s="26" t="s">
        <v>181</v>
      </c>
      <c r="S559" s="26" t="s">
        <v>209</v>
      </c>
      <c r="T559" s="26" t="e">
        <f>IF(B559="","",SUBSTITUTE(SUBSTITUTE("[{global_atk,"&amp;#REF!*C559&amp;"}]",21,20),9,8))</f>
        <v>#REF!</v>
      </c>
      <c r="U559" s="40"/>
      <c r="X559" s="25">
        <v>100</v>
      </c>
      <c r="Z559" s="32" t="s">
        <v>170</v>
      </c>
      <c r="AA559" s="32" t="str">
        <f t="shared" si="264"/>
        <v>负面伤害享受0%暴击几率加成</v>
      </c>
      <c r="AB559" s="32"/>
      <c r="AC559" s="32" t="s">
        <v>166</v>
      </c>
      <c r="AD559" s="32">
        <f t="shared" si="258"/>
        <v>1554</v>
      </c>
      <c r="AE559" s="38" t="str">
        <f t="shared" si="269"/>
        <v>5506101</v>
      </c>
      <c r="AF559" s="32" t="str">
        <f t="shared" si="261"/>
        <v>[0]</v>
      </c>
      <c r="AG559" s="26">
        <v>100</v>
      </c>
      <c r="AH559" s="26"/>
      <c r="AI559" s="26">
        <v>1</v>
      </c>
      <c r="AJ559" s="25">
        <v>1</v>
      </c>
      <c r="AK559" s="38">
        <f t="shared" ref="AK559:AK564" si="276">AK558+1</f>
        <v>5506102</v>
      </c>
      <c r="AL559" s="41" t="str">
        <f t="shared" ref="AL559:AL564" si="277">AL558</f>
        <v>负面伤害享受&lt;color=#54b76b&gt;%s%&lt;/color&gt;暴击几率加成</v>
      </c>
      <c r="AM559" s="26">
        <v>0</v>
      </c>
      <c r="AN559" s="25">
        <v>6</v>
      </c>
      <c r="AO559" s="25" t="s">
        <v>32</v>
      </c>
      <c r="AP559" s="20">
        <f t="shared" si="259"/>
        <v>554</v>
      </c>
    </row>
    <row r="560" customHeight="1" spans="1:42">
      <c r="A560" s="38">
        <v>5506103</v>
      </c>
      <c r="B560" s="38" t="str">
        <f t="shared" si="265"/>
        <v>5506101</v>
      </c>
      <c r="C560" s="32">
        <f t="shared" si="266"/>
        <v>3</v>
      </c>
      <c r="D560" s="32"/>
      <c r="E560" s="26" t="s">
        <v>334</v>
      </c>
      <c r="F560" s="26" t="str">
        <f t="shared" si="255"/>
        <v/>
      </c>
      <c r="G560" s="26" t="str">
        <f>IFERROR(IF(--MID($E560,2*COUNTIF($F560:F560,"&gt;"&amp;0)+2,1)=G$1,G$1,""),"")</f>
        <v/>
      </c>
      <c r="H560" s="26">
        <f>IFERROR(IF(--MID($E560,2*COUNTIF($F560:G560,"&gt;"&amp;0)+2,1)=H$1,H$1,""),"")</f>
        <v>3</v>
      </c>
      <c r="I560" s="26" t="str">
        <f>IFERROR(IF(--MID($E560,2*COUNTIF($F560:H560,"&gt;"&amp;0)+2,1)=I$1,I$1,""),"")</f>
        <v/>
      </c>
      <c r="J560" s="26" t="str">
        <f>IFERROR(IF(--MID($E560,2*COUNTIF($F560:I560,"&gt;"&amp;0)+2,1)=J$1,J$1,""),"")</f>
        <v/>
      </c>
      <c r="K560" s="26">
        <f>IFERROR(IF(--MID($E560,2*COUNTIF($F560:J560,"&gt;"&amp;0)+2,1)=K$1,K$1,""),"")</f>
        <v>6</v>
      </c>
      <c r="L560" s="39" t="str" cm="1">
        <f t="array" ref="L560">IFERROR(IF($A560="","",IF(F560="","",_xlfn.XLOOKUP($C560&amp;"_"&amp;$AG560,符文权重!$A:$A&amp;"_"&amp;符文权重!$C:$C,符文权重!$D:$D)*$X560/SUMIFS($X:$X,F:F,F560,$C:$C,$C560,$AG:$AG,$AG560)/SUMIF(符文权重!$A:$A,$C560,符文权重!$D:$D))),"")</f>
        <v/>
      </c>
      <c r="M560" s="39" t="str" cm="1">
        <f t="array" ref="M560">IFERROR(IF($A560="","",IF(G560="","",_xlfn.XLOOKUP($C560&amp;"_"&amp;$AG560,符文权重!$A:$A&amp;"_"&amp;符文权重!$C:$C,符文权重!$D:$D)*$X560/SUMIFS($X:$X,G:G,G560,$C:$C,$C560,$AG:$AG,$AG560)/SUMIF(符文权重!$A:$A,$C560,符文权重!$D:$D))),"")</f>
        <v/>
      </c>
      <c r="N560" s="39" t="str" cm="1">
        <f t="array" ref="N560">IFERROR(IF($A560="","",IF(H560="","",_xlfn.XLOOKUP($C560&amp;"_"&amp;$AG560,符文权重!$A:$A&amp;"_"&amp;符文权重!$C:$C,符文权重!$D:$D)*$X560/SUMIFS($X:$X,H:H,H560,$C:$C,$C560,$AG:$AG,$AG560)/SUMIF(符文权重!$A:$A,$C560,符文权重!$D:$D))),"")</f>
        <v/>
      </c>
      <c r="O560" s="39" t="str" cm="1">
        <f t="array" ref="O560">IFERROR(IF($A560="","",IF(I560="","",_xlfn.XLOOKUP($C560&amp;"_"&amp;$AG560,符文权重!$A:$A&amp;"_"&amp;符文权重!$C:$C,符文权重!$D:$D)*$X560/SUMIFS($X:$X,I:I,I560,$C:$C,$C560,$AG:$AG,$AG560)/SUMIF(符文权重!$A:$A,$C560,符文权重!$D:$D))),"")</f>
        <v/>
      </c>
      <c r="P560" s="39" t="str" cm="1">
        <f t="array" ref="P560">IFERROR(IF($A560="","",IF(J560="","",_xlfn.XLOOKUP($C560&amp;"_"&amp;$AG560,符文权重!$A:$A&amp;"_"&amp;符文权重!$C:$C,符文权重!$D:$D)*$X560/SUMIFS($X:$X,J:J,J560,$C:$C,$C560,$AG:$AG,$AG560)/SUMIF(符文权重!$A:$A,$C560,符文权重!$D:$D))),"")</f>
        <v/>
      </c>
      <c r="Q560" s="39" t="str" cm="1">
        <f t="array" ref="Q560">IFERROR(IF($A560="","",IF(K560="","",_xlfn.XLOOKUP($C560&amp;"_"&amp;$AG560,符文权重!$A:$A&amp;"_"&amp;符文权重!$C:$C,符文权重!$D:$D)*$X560/SUMIFS($X:$X,K:K,K560,$C:$C,$C560,$AG:$AG,$AG560)/SUMIF(符文权重!$A:$A,$C560,符文权重!$D:$D))),"")</f>
        <v/>
      </c>
      <c r="R560" s="26" t="s">
        <v>181</v>
      </c>
      <c r="S560" s="26" t="s">
        <v>209</v>
      </c>
      <c r="T560" s="26" t="e">
        <f>IF(B560="","",SUBSTITUTE(SUBSTITUTE("[{global_atk,"&amp;#REF!*C560&amp;"}]",21,20),9,8))</f>
        <v>#REF!</v>
      </c>
      <c r="U560" s="40"/>
      <c r="X560" s="25">
        <v>100</v>
      </c>
      <c r="Z560" s="32" t="s">
        <v>172</v>
      </c>
      <c r="AA560" s="32" t="str">
        <f t="shared" si="264"/>
        <v>负面伤害享受0%暴击几率加成</v>
      </c>
      <c r="AB560" s="32"/>
      <c r="AC560" s="32" t="s">
        <v>166</v>
      </c>
      <c r="AD560" s="32">
        <f t="shared" si="258"/>
        <v>1555</v>
      </c>
      <c r="AE560" s="38" t="str">
        <f t="shared" si="269"/>
        <v>5506101</v>
      </c>
      <c r="AF560" s="32" t="str">
        <f t="shared" si="261"/>
        <v>[0]</v>
      </c>
      <c r="AG560" s="26">
        <v>100</v>
      </c>
      <c r="AH560" s="26"/>
      <c r="AI560" s="26">
        <v>1</v>
      </c>
      <c r="AJ560" s="25">
        <v>1</v>
      </c>
      <c r="AK560" s="38">
        <f t="shared" si="276"/>
        <v>5506103</v>
      </c>
      <c r="AL560" s="41" t="str">
        <f t="shared" si="277"/>
        <v>负面伤害享受&lt;color=#54b76b&gt;%s%&lt;/color&gt;暴击几率加成</v>
      </c>
      <c r="AM560" s="26">
        <v>0</v>
      </c>
      <c r="AN560" s="25">
        <v>6</v>
      </c>
      <c r="AO560" s="25" t="s">
        <v>32</v>
      </c>
      <c r="AP560" s="20">
        <f t="shared" si="259"/>
        <v>555</v>
      </c>
    </row>
    <row r="561" customHeight="1" spans="1:42">
      <c r="A561" s="38">
        <v>5506104</v>
      </c>
      <c r="B561" s="38" t="str">
        <f t="shared" si="265"/>
        <v>5506101</v>
      </c>
      <c r="C561" s="32">
        <f t="shared" si="266"/>
        <v>4</v>
      </c>
      <c r="D561" s="32"/>
      <c r="E561" s="26" t="s">
        <v>334</v>
      </c>
      <c r="F561" s="26" t="str">
        <f t="shared" si="255"/>
        <v/>
      </c>
      <c r="G561" s="26" t="str">
        <f>IFERROR(IF(--MID($E561,2*COUNTIF($F561:F561,"&gt;"&amp;0)+2,1)=G$1,G$1,""),"")</f>
        <v/>
      </c>
      <c r="H561" s="26">
        <f>IFERROR(IF(--MID($E561,2*COUNTIF($F561:G561,"&gt;"&amp;0)+2,1)=H$1,H$1,""),"")</f>
        <v>3</v>
      </c>
      <c r="I561" s="26" t="str">
        <f>IFERROR(IF(--MID($E561,2*COUNTIF($F561:H561,"&gt;"&amp;0)+2,1)=I$1,I$1,""),"")</f>
        <v/>
      </c>
      <c r="J561" s="26" t="str">
        <f>IFERROR(IF(--MID($E561,2*COUNTIF($F561:I561,"&gt;"&amp;0)+2,1)=J$1,J$1,""),"")</f>
        <v/>
      </c>
      <c r="K561" s="26">
        <f>IFERROR(IF(--MID($E561,2*COUNTIF($F561:J561,"&gt;"&amp;0)+2,1)=K$1,K$1,""),"")</f>
        <v>6</v>
      </c>
      <c r="L561" s="39" t="str" cm="1">
        <f t="array" ref="L561">IFERROR(IF($A561="","",IF(F561="","",_xlfn.XLOOKUP($C561&amp;"_"&amp;$AG561,符文权重!$A:$A&amp;"_"&amp;符文权重!$C:$C,符文权重!$D:$D)*$X561/SUMIFS($X:$X,F:F,F561,$C:$C,$C561,$AG:$AG,$AG561)/SUMIF(符文权重!$A:$A,$C561,符文权重!$D:$D))),"")</f>
        <v/>
      </c>
      <c r="M561" s="39" t="str" cm="1">
        <f t="array" ref="M561">IFERROR(IF($A561="","",IF(G561="","",_xlfn.XLOOKUP($C561&amp;"_"&amp;$AG561,符文权重!$A:$A&amp;"_"&amp;符文权重!$C:$C,符文权重!$D:$D)*$X561/SUMIFS($X:$X,G:G,G561,$C:$C,$C561,$AG:$AG,$AG561)/SUMIF(符文权重!$A:$A,$C561,符文权重!$D:$D))),"")</f>
        <v/>
      </c>
      <c r="N561" s="39" cm="1">
        <f t="array" ref="N561">IFERROR(IF($A561="","",IF(H561="","",_xlfn.XLOOKUP($C561&amp;"_"&amp;$AG561,符文权重!$A:$A&amp;"_"&amp;符文权重!$C:$C,符文权重!$D:$D)*$X561/SUMIFS($X:$X,H:H,H561,$C:$C,$C561,$AG:$AG,$AG561)/SUMIF(符文权重!$A:$A,$C561,符文权重!$D:$D))),"")</f>
        <v>0.00238095238095238</v>
      </c>
      <c r="O561" s="39" t="str" cm="1">
        <f t="array" ref="O561">IFERROR(IF($A561="","",IF(I561="","",_xlfn.XLOOKUP($C561&amp;"_"&amp;$AG561,符文权重!$A:$A&amp;"_"&amp;符文权重!$C:$C,符文权重!$D:$D)*$X561/SUMIFS($X:$X,I:I,I561,$C:$C,$C561,$AG:$AG,$AG561)/SUMIF(符文权重!$A:$A,$C561,符文权重!$D:$D))),"")</f>
        <v/>
      </c>
      <c r="P561" s="39" t="str" cm="1">
        <f t="array" ref="P561">IFERROR(IF($A561="","",IF(J561="","",_xlfn.XLOOKUP($C561&amp;"_"&amp;$AG561,符文权重!$A:$A&amp;"_"&amp;符文权重!$C:$C,符文权重!$D:$D)*$X561/SUMIFS($X:$X,J:J,J561,$C:$C,$C561,$AG:$AG,$AG561)/SUMIF(符文权重!$A:$A,$C561,符文权重!$D:$D))),"")</f>
        <v/>
      </c>
      <c r="Q561" s="39" cm="1">
        <f t="array" ref="Q561">IFERROR(IF($A561="","",IF(K561="","",_xlfn.XLOOKUP($C561&amp;"_"&amp;$AG561,符文权重!$A:$A&amp;"_"&amp;符文权重!$C:$C,符文权重!$D:$D)*$X561/SUMIFS($X:$X,K:K,K561,$C:$C,$C561,$AG:$AG,$AG561)/SUMIF(符文权重!$A:$A,$C561,符文权重!$D:$D))),"")</f>
        <v>0.003125</v>
      </c>
      <c r="R561" s="26" t="s">
        <v>181</v>
      </c>
      <c r="S561" s="26" t="s">
        <v>209</v>
      </c>
      <c r="T561" s="26" t="e">
        <f>IF(B561="","",SUBSTITUTE(SUBSTITUTE("[{global_atk,"&amp;#REF!*C561&amp;"}]",21,20),9,8))</f>
        <v>#REF!</v>
      </c>
      <c r="U561" s="40"/>
      <c r="V561" s="26" t="s">
        <v>533</v>
      </c>
      <c r="X561" s="25">
        <v>20</v>
      </c>
      <c r="Z561" s="32" t="s">
        <v>174</v>
      </c>
      <c r="AA561" s="32" t="str">
        <f t="shared" si="264"/>
        <v>负面伤害享受10%暴击几率加成</v>
      </c>
      <c r="AB561" s="32"/>
      <c r="AC561" s="32" t="s">
        <v>166</v>
      </c>
      <c r="AD561" s="32">
        <f t="shared" si="258"/>
        <v>1556</v>
      </c>
      <c r="AE561" s="38" t="str">
        <f t="shared" si="269"/>
        <v>5506101</v>
      </c>
      <c r="AF561" s="32" t="str">
        <f t="shared" si="261"/>
        <v>[10]</v>
      </c>
      <c r="AG561" s="62">
        <v>4</v>
      </c>
      <c r="AH561" s="26"/>
      <c r="AI561" s="26">
        <v>0</v>
      </c>
      <c r="AJ561" s="25">
        <v>1</v>
      </c>
      <c r="AK561" s="38">
        <f t="shared" si="276"/>
        <v>5506104</v>
      </c>
      <c r="AL561" s="41" t="str">
        <f t="shared" si="277"/>
        <v>负面伤害享受&lt;color=#54b76b&gt;%s%&lt;/color&gt;暴击几率加成</v>
      </c>
      <c r="AM561" s="26">
        <v>10</v>
      </c>
      <c r="AN561" s="25">
        <v>6</v>
      </c>
      <c r="AO561" s="25" t="s">
        <v>32</v>
      </c>
      <c r="AP561" s="20">
        <f t="shared" si="259"/>
        <v>556</v>
      </c>
    </row>
    <row r="562" customHeight="1" spans="1:42">
      <c r="A562" s="38">
        <v>5506105</v>
      </c>
      <c r="B562" s="38" t="str">
        <f t="shared" si="265"/>
        <v>5506101</v>
      </c>
      <c r="C562" s="32">
        <f t="shared" si="266"/>
        <v>5</v>
      </c>
      <c r="D562" s="32"/>
      <c r="E562" s="26" t="s">
        <v>334</v>
      </c>
      <c r="F562" s="26" t="str">
        <f t="shared" si="255"/>
        <v/>
      </c>
      <c r="G562" s="26" t="str">
        <f>IFERROR(IF(--MID($E562,2*COUNTIF($F562:F562,"&gt;"&amp;0)+2,1)=G$1,G$1,""),"")</f>
        <v/>
      </c>
      <c r="H562" s="26">
        <f>IFERROR(IF(--MID($E562,2*COUNTIF($F562:G562,"&gt;"&amp;0)+2,1)=H$1,H$1,""),"")</f>
        <v>3</v>
      </c>
      <c r="I562" s="26" t="str">
        <f>IFERROR(IF(--MID($E562,2*COUNTIF($F562:H562,"&gt;"&amp;0)+2,1)=I$1,I$1,""),"")</f>
        <v/>
      </c>
      <c r="J562" s="26" t="str">
        <f>IFERROR(IF(--MID($E562,2*COUNTIF($F562:I562,"&gt;"&amp;0)+2,1)=J$1,J$1,""),"")</f>
        <v/>
      </c>
      <c r="K562" s="26">
        <f>IFERROR(IF(--MID($E562,2*COUNTIF($F562:J562,"&gt;"&amp;0)+2,1)=K$1,K$1,""),"")</f>
        <v>6</v>
      </c>
      <c r="L562" s="39" t="str" cm="1">
        <f t="array" ref="L562">IFERROR(IF($A562="","",IF(F562="","",_xlfn.XLOOKUP($C562&amp;"_"&amp;$AG562,符文权重!$A:$A&amp;"_"&amp;符文权重!$C:$C,符文权重!$D:$D)*$X562/SUMIFS($X:$X,F:F,F562,$C:$C,$C562,$AG:$AG,$AG562)/SUMIF(符文权重!$A:$A,$C562,符文权重!$D:$D))),"")</f>
        <v/>
      </c>
      <c r="M562" s="39" t="str" cm="1">
        <f t="array" ref="M562">IFERROR(IF($A562="","",IF(G562="","",_xlfn.XLOOKUP($C562&amp;"_"&amp;$AG562,符文权重!$A:$A&amp;"_"&amp;符文权重!$C:$C,符文权重!$D:$D)*$X562/SUMIFS($X:$X,G:G,G562,$C:$C,$C562,$AG:$AG,$AG562)/SUMIF(符文权重!$A:$A,$C562,符文权重!$D:$D))),"")</f>
        <v/>
      </c>
      <c r="N562" s="39" cm="1">
        <f t="array" ref="N562">IFERROR(IF($A562="","",IF(H562="","",_xlfn.XLOOKUP($C562&amp;"_"&amp;$AG562,符文权重!$A:$A&amp;"_"&amp;符文权重!$C:$C,符文权重!$D:$D)*$X562/SUMIFS($X:$X,H:H,H562,$C:$C,$C562,$AG:$AG,$AG562)/SUMIF(符文权重!$A:$A,$C562,符文权重!$D:$D))),"")</f>
        <v>0.00300429184549356</v>
      </c>
      <c r="O562" s="39" t="str" cm="1">
        <f t="array" ref="O562">IFERROR(IF($A562="","",IF(I562="","",_xlfn.XLOOKUP($C562&amp;"_"&amp;$AG562,符文权重!$A:$A&amp;"_"&amp;符文权重!$C:$C,符文权重!$D:$D)*$X562/SUMIFS($X:$X,I:I,I562,$C:$C,$C562,$AG:$AG,$AG562)/SUMIF(符文权重!$A:$A,$C562,符文权重!$D:$D))),"")</f>
        <v/>
      </c>
      <c r="P562" s="39" t="str" cm="1">
        <f t="array" ref="P562">IFERROR(IF($A562="","",IF(J562="","",_xlfn.XLOOKUP($C562&amp;"_"&amp;$AG562,符文权重!$A:$A&amp;"_"&amp;符文权重!$C:$C,符文权重!$D:$D)*$X562/SUMIFS($X:$X,J:J,J562,$C:$C,$C562,$AG:$AG,$AG562)/SUMIF(符文权重!$A:$A,$C562,符文权重!$D:$D))),"")</f>
        <v/>
      </c>
      <c r="Q562" s="39" cm="1">
        <f t="array" ref="Q562">IFERROR(IF($A562="","",IF(K562="","",_xlfn.XLOOKUP($C562&amp;"_"&amp;$AG562,符文权重!$A:$A&amp;"_"&amp;符文权重!$C:$C,符文权重!$D:$D)*$X562/SUMIFS($X:$X,K:K,K562,$C:$C,$C562,$AG:$AG,$AG562)/SUMIF(符文权重!$A:$A,$C562,符文权重!$D:$D))),"")</f>
        <v>0.00300429184549356</v>
      </c>
      <c r="R562" s="26" t="s">
        <v>181</v>
      </c>
      <c r="S562" s="26" t="s">
        <v>209</v>
      </c>
      <c r="T562" s="26" t="e">
        <f>IF(B562="","",SUBSTITUTE(SUBSTITUTE("[{global_atk,"&amp;#REF!*C562&amp;"}]",21,20),9,8))</f>
        <v>#REF!</v>
      </c>
      <c r="U562" s="40"/>
      <c r="V562" s="26" t="s">
        <v>534</v>
      </c>
      <c r="X562" s="25">
        <v>100</v>
      </c>
      <c r="Z562" s="32" t="s">
        <v>176</v>
      </c>
      <c r="AA562" s="32" t="str">
        <f t="shared" si="264"/>
        <v>负面伤害享受20%暴击几率加成</v>
      </c>
      <c r="AB562" s="32"/>
      <c r="AC562" s="32" t="s">
        <v>166</v>
      </c>
      <c r="AD562" s="32">
        <f t="shared" si="258"/>
        <v>1557</v>
      </c>
      <c r="AE562" s="38" t="str">
        <f t="shared" si="269"/>
        <v>5506101</v>
      </c>
      <c r="AF562" s="32" t="str">
        <f t="shared" si="261"/>
        <v>[20]</v>
      </c>
      <c r="AG562" s="26">
        <v>6</v>
      </c>
      <c r="AH562" s="26"/>
      <c r="AI562" s="26">
        <v>0</v>
      </c>
      <c r="AJ562" s="25">
        <v>1</v>
      </c>
      <c r="AK562" s="38">
        <f t="shared" si="276"/>
        <v>5506105</v>
      </c>
      <c r="AL562" s="41" t="str">
        <f t="shared" si="277"/>
        <v>负面伤害享受&lt;color=#54b76b&gt;%s%&lt;/color&gt;暴击几率加成</v>
      </c>
      <c r="AM562" s="26">
        <v>20</v>
      </c>
      <c r="AN562" s="25">
        <v>6</v>
      </c>
      <c r="AO562" s="25" t="s">
        <v>32</v>
      </c>
      <c r="AP562" s="20">
        <f t="shared" si="259"/>
        <v>557</v>
      </c>
    </row>
    <row r="563" customHeight="1" spans="1:42">
      <c r="A563" s="38">
        <v>5506106</v>
      </c>
      <c r="B563" s="38" t="str">
        <f t="shared" si="265"/>
        <v>5506101</v>
      </c>
      <c r="C563" s="32">
        <f t="shared" si="266"/>
        <v>6</v>
      </c>
      <c r="D563" s="32"/>
      <c r="E563" s="26" t="s">
        <v>334</v>
      </c>
      <c r="F563" s="26" t="str">
        <f t="shared" si="255"/>
        <v/>
      </c>
      <c r="G563" s="26" t="str">
        <f>IFERROR(IF(--MID($E563,2*COUNTIF($F563:F563,"&gt;"&amp;0)+2,1)=G$1,G$1,""),"")</f>
        <v/>
      </c>
      <c r="H563" s="26">
        <f>IFERROR(IF(--MID($E563,2*COUNTIF($F563:G563,"&gt;"&amp;0)+2,1)=H$1,H$1,""),"")</f>
        <v>3</v>
      </c>
      <c r="I563" s="26" t="str">
        <f>IFERROR(IF(--MID($E563,2*COUNTIF($F563:H563,"&gt;"&amp;0)+2,1)=I$1,I$1,""),"")</f>
        <v/>
      </c>
      <c r="J563" s="26" t="str">
        <f>IFERROR(IF(--MID($E563,2*COUNTIF($F563:I563,"&gt;"&amp;0)+2,1)=J$1,J$1,""),"")</f>
        <v/>
      </c>
      <c r="K563" s="26">
        <f>IFERROR(IF(--MID($E563,2*COUNTIF($F563:J563,"&gt;"&amp;0)+2,1)=K$1,K$1,""),"")</f>
        <v>6</v>
      </c>
      <c r="L563" s="39" t="str" cm="1">
        <f t="array" ref="L563">IFERROR(IF($A563="","",IF(F563="","",_xlfn.XLOOKUP($C563&amp;"_"&amp;$AG563,符文权重!$A:$A&amp;"_"&amp;符文权重!$C:$C,符文权重!$D:$D)*$X563/SUMIFS($X:$X,F:F,F563,$C:$C,$C563,$AG:$AG,$AG563)/SUMIF(符文权重!$A:$A,$C563,符文权重!$D:$D))),"")</f>
        <v/>
      </c>
      <c r="M563" s="39" t="str" cm="1">
        <f t="array" ref="M563">IFERROR(IF($A563="","",IF(G563="","",_xlfn.XLOOKUP($C563&amp;"_"&amp;$AG563,符文权重!$A:$A&amp;"_"&amp;符文权重!$C:$C,符文权重!$D:$D)*$X563/SUMIFS($X:$X,G:G,G563,$C:$C,$C563,$AG:$AG,$AG563)/SUMIF(符文权重!$A:$A,$C563,符文权重!$D:$D))),"")</f>
        <v/>
      </c>
      <c r="N563" s="39" cm="1">
        <f t="array" ref="N563">IFERROR(IF($A563="","",IF(H563="","",_xlfn.XLOOKUP($C563&amp;"_"&amp;$AG563,符文权重!$A:$A&amp;"_"&amp;符文权重!$C:$C,符文权重!$D:$D)*$X563/SUMIFS($X:$X,H:H,H563,$C:$C,$C563,$AG:$AG,$AG563)/SUMIF(符文权重!$A:$A,$C563,符文权重!$D:$D))),"")</f>
        <v>0.00300429184549356</v>
      </c>
      <c r="O563" s="39" t="str" cm="1">
        <f t="array" ref="O563">IFERROR(IF($A563="","",IF(I563="","",_xlfn.XLOOKUP($C563&amp;"_"&amp;$AG563,符文权重!$A:$A&amp;"_"&amp;符文权重!$C:$C,符文权重!$D:$D)*$X563/SUMIFS($X:$X,I:I,I563,$C:$C,$C563,$AG:$AG,$AG563)/SUMIF(符文权重!$A:$A,$C563,符文权重!$D:$D))),"")</f>
        <v/>
      </c>
      <c r="P563" s="39" t="str" cm="1">
        <f t="array" ref="P563">IFERROR(IF($A563="","",IF(J563="","",_xlfn.XLOOKUP($C563&amp;"_"&amp;$AG563,符文权重!$A:$A&amp;"_"&amp;符文权重!$C:$C,符文权重!$D:$D)*$X563/SUMIFS($X:$X,J:J,J563,$C:$C,$C563,$AG:$AG,$AG563)/SUMIF(符文权重!$A:$A,$C563,符文权重!$D:$D))),"")</f>
        <v/>
      </c>
      <c r="Q563" s="39" cm="1">
        <f t="array" ref="Q563">IFERROR(IF($A563="","",IF(K563="","",_xlfn.XLOOKUP($C563&amp;"_"&amp;$AG563,符文权重!$A:$A&amp;"_"&amp;符文权重!$C:$C,符文权重!$D:$D)*$X563/SUMIFS($X:$X,K:K,K563,$C:$C,$C563,$AG:$AG,$AG563)/SUMIF(符文权重!$A:$A,$C563,符文权重!$D:$D))),"")</f>
        <v>0.00300429184549356</v>
      </c>
      <c r="R563" s="26" t="s">
        <v>181</v>
      </c>
      <c r="S563" s="26" t="s">
        <v>209</v>
      </c>
      <c r="T563" s="26" t="e">
        <f>IF(B563="","",SUBSTITUTE(SUBSTITUTE("[{global_atk,"&amp;#REF!*C563&amp;"}]",21,20),9,8))</f>
        <v>#REF!</v>
      </c>
      <c r="U563" s="40"/>
      <c r="V563" s="26" t="s">
        <v>535</v>
      </c>
      <c r="X563" s="25">
        <v>100</v>
      </c>
      <c r="Z563" s="32" t="s">
        <v>178</v>
      </c>
      <c r="AA563" s="32" t="str">
        <f t="shared" si="264"/>
        <v>负面伤害享受25%暴击几率加成</v>
      </c>
      <c r="AB563" s="32"/>
      <c r="AC563" s="32" t="s">
        <v>166</v>
      </c>
      <c r="AD563" s="32">
        <f t="shared" si="258"/>
        <v>1558</v>
      </c>
      <c r="AE563" s="38" t="str">
        <f t="shared" si="269"/>
        <v>5506101</v>
      </c>
      <c r="AF563" s="32" t="str">
        <f t="shared" si="261"/>
        <v>[25]</v>
      </c>
      <c r="AG563" s="26">
        <v>6</v>
      </c>
      <c r="AH563" s="26"/>
      <c r="AI563" s="26">
        <v>0</v>
      </c>
      <c r="AJ563" s="25">
        <v>1</v>
      </c>
      <c r="AK563" s="38">
        <f t="shared" si="276"/>
        <v>5506106</v>
      </c>
      <c r="AL563" s="41" t="str">
        <f t="shared" si="277"/>
        <v>负面伤害享受&lt;color=#54b76b&gt;%s%&lt;/color&gt;暴击几率加成</v>
      </c>
      <c r="AM563" s="26">
        <v>25</v>
      </c>
      <c r="AN563" s="25">
        <v>6</v>
      </c>
      <c r="AO563" s="25" t="s">
        <v>32</v>
      </c>
      <c r="AP563" s="20">
        <f t="shared" si="259"/>
        <v>558</v>
      </c>
    </row>
    <row r="564" customHeight="1" spans="1:42">
      <c r="A564" s="38">
        <v>5506107</v>
      </c>
      <c r="B564" s="38" t="str">
        <f t="shared" si="265"/>
        <v>5506101</v>
      </c>
      <c r="C564" s="32">
        <f t="shared" si="266"/>
        <v>7</v>
      </c>
      <c r="D564" s="32"/>
      <c r="E564" s="26" t="s">
        <v>334</v>
      </c>
      <c r="F564" s="26" t="str">
        <f t="shared" si="255"/>
        <v/>
      </c>
      <c r="G564" s="26" t="str">
        <f>IFERROR(IF(--MID($E564,2*COUNTIF($F564:F564,"&gt;"&amp;0)+2,1)=G$1,G$1,""),"")</f>
        <v/>
      </c>
      <c r="H564" s="26">
        <f>IFERROR(IF(--MID($E564,2*COUNTIF($F564:G564,"&gt;"&amp;0)+2,1)=H$1,H$1,""),"")</f>
        <v>3</v>
      </c>
      <c r="I564" s="26" t="str">
        <f>IFERROR(IF(--MID($E564,2*COUNTIF($F564:H564,"&gt;"&amp;0)+2,1)=I$1,I$1,""),"")</f>
        <v/>
      </c>
      <c r="J564" s="26" t="str">
        <f>IFERROR(IF(--MID($E564,2*COUNTIF($F564:I564,"&gt;"&amp;0)+2,1)=J$1,J$1,""),"")</f>
        <v/>
      </c>
      <c r="K564" s="26">
        <f>IFERROR(IF(--MID($E564,2*COUNTIF($F564:J564,"&gt;"&amp;0)+2,1)=K$1,K$1,""),"")</f>
        <v>6</v>
      </c>
      <c r="L564" s="39" t="str" cm="1">
        <f t="array" ref="L564">IFERROR(IF($A564="","",IF(F564="","",_xlfn.XLOOKUP($C564&amp;"_"&amp;$AG564,符文权重!$A:$A&amp;"_"&amp;符文权重!$C:$C,符文权重!$D:$D)*$X564/SUMIFS($X:$X,F:F,F564,$C:$C,$C564,$AG:$AG,$AG564)/SUMIF(符文权重!$A:$A,$C564,符文权重!$D:$D))),"")</f>
        <v/>
      </c>
      <c r="M564" s="39" t="str" cm="1">
        <f t="array" ref="M564">IFERROR(IF($A564="","",IF(G564="","",_xlfn.XLOOKUP($C564&amp;"_"&amp;$AG564,符文权重!$A:$A&amp;"_"&amp;符文权重!$C:$C,符文权重!$D:$D)*$X564/SUMIFS($X:$X,G:G,G564,$C:$C,$C564,$AG:$AG,$AG564)/SUMIF(符文权重!$A:$A,$C564,符文权重!$D:$D))),"")</f>
        <v/>
      </c>
      <c r="N564" s="39" cm="1">
        <f t="array" ref="N564">IFERROR(IF($A564="","",IF(H564="","",_xlfn.XLOOKUP($C564&amp;"_"&amp;$AG564,符文权重!$A:$A&amp;"_"&amp;符文权重!$C:$C,符文权重!$D:$D)*$X564/SUMIFS($X:$X,H:H,H564,$C:$C,$C564,$AG:$AG,$AG564)/SUMIF(符文权重!$A:$A,$C564,符文权重!$D:$D))),"")</f>
        <v>0.00300429184549356</v>
      </c>
      <c r="O564" s="39" t="str" cm="1">
        <f t="array" ref="O564">IFERROR(IF($A564="","",IF(I564="","",_xlfn.XLOOKUP($C564&amp;"_"&amp;$AG564,符文权重!$A:$A&amp;"_"&amp;符文权重!$C:$C,符文权重!$D:$D)*$X564/SUMIFS($X:$X,I:I,I564,$C:$C,$C564,$AG:$AG,$AG564)/SUMIF(符文权重!$A:$A,$C564,符文权重!$D:$D))),"")</f>
        <v/>
      </c>
      <c r="P564" s="39" t="str" cm="1">
        <f t="array" ref="P564">IFERROR(IF($A564="","",IF(J564="","",_xlfn.XLOOKUP($C564&amp;"_"&amp;$AG564,符文权重!$A:$A&amp;"_"&amp;符文权重!$C:$C,符文权重!$D:$D)*$X564/SUMIFS($X:$X,J:J,J564,$C:$C,$C564,$AG:$AG,$AG564)/SUMIF(符文权重!$A:$A,$C564,符文权重!$D:$D))),"")</f>
        <v/>
      </c>
      <c r="Q564" s="39" cm="1">
        <f t="array" ref="Q564">IFERROR(IF($A564="","",IF(K564="","",_xlfn.XLOOKUP($C564&amp;"_"&amp;$AG564,符文权重!$A:$A&amp;"_"&amp;符文权重!$C:$C,符文权重!$D:$D)*$X564/SUMIFS($X:$X,K:K,K564,$C:$C,$C564,$AG:$AG,$AG564)/SUMIF(符文权重!$A:$A,$C564,符文权重!$D:$D))),"")</f>
        <v>0.00300429184549356</v>
      </c>
      <c r="R564" s="26" t="s">
        <v>181</v>
      </c>
      <c r="S564" s="26" t="s">
        <v>209</v>
      </c>
      <c r="T564" s="26" t="e">
        <f>IF(B564="","",SUBSTITUTE(SUBSTITUTE("[{global_atk,"&amp;#REF!*C564&amp;"}]",21,20),9,8))</f>
        <v>#REF!</v>
      </c>
      <c r="U564" s="40"/>
      <c r="V564" s="26" t="s">
        <v>536</v>
      </c>
      <c r="X564" s="25">
        <v>100</v>
      </c>
      <c r="Z564" s="32" t="s">
        <v>180</v>
      </c>
      <c r="AA564" s="32" t="str">
        <f t="shared" si="264"/>
        <v>负面伤害享受35%暴击几率加成</v>
      </c>
      <c r="AB564" s="32"/>
      <c r="AC564" s="32" t="s">
        <v>166</v>
      </c>
      <c r="AD564" s="32">
        <f t="shared" si="258"/>
        <v>1559</v>
      </c>
      <c r="AE564" s="38" t="str">
        <f t="shared" si="269"/>
        <v>5506101</v>
      </c>
      <c r="AF564" s="32" t="str">
        <f t="shared" si="261"/>
        <v>[35]</v>
      </c>
      <c r="AG564" s="26">
        <v>6</v>
      </c>
      <c r="AH564" s="26"/>
      <c r="AI564" s="26">
        <v>0</v>
      </c>
      <c r="AJ564" s="25">
        <v>1</v>
      </c>
      <c r="AK564" s="38">
        <f t="shared" si="276"/>
        <v>5506107</v>
      </c>
      <c r="AL564" s="41" t="str">
        <f t="shared" si="277"/>
        <v>负面伤害享受&lt;color=#54b76b&gt;%s%&lt;/color&gt;暴击几率加成</v>
      </c>
      <c r="AM564" s="26">
        <v>35</v>
      </c>
      <c r="AN564" s="25">
        <v>6</v>
      </c>
      <c r="AO564" s="25" t="s">
        <v>32</v>
      </c>
      <c r="AP564" s="20">
        <f t="shared" si="259"/>
        <v>559</v>
      </c>
    </row>
    <row r="565" s="20" customFormat="1" customHeight="1" spans="1:42">
      <c r="A565" s="38" t="s">
        <v>167</v>
      </c>
      <c r="B565" s="38" t="str">
        <f t="shared" si="265"/>
        <v/>
      </c>
      <c r="C565" s="32" t="str">
        <f t="shared" si="266"/>
        <v/>
      </c>
      <c r="D565" s="32"/>
      <c r="E565" s="26"/>
      <c r="F565" s="26" t="str">
        <f t="shared" si="255"/>
        <v/>
      </c>
      <c r="G565" s="26" t="str">
        <f>IFERROR(IF(--MID($E565,2*COUNTIF($F565:F565,"&gt;"&amp;0)+2,1)=G$1,G$1,""),"")</f>
        <v/>
      </c>
      <c r="H565" s="26" t="str">
        <f>IFERROR(IF(--MID($E565,2*COUNTIF($F565:G565,"&gt;"&amp;0)+2,1)=H$1,H$1,""),"")</f>
        <v/>
      </c>
      <c r="I565" s="26" t="str">
        <f>IFERROR(IF(--MID($E565,2*COUNTIF($F565:H565,"&gt;"&amp;0)+2,1)=I$1,I$1,""),"")</f>
        <v/>
      </c>
      <c r="J565" s="26" t="str">
        <f>IFERROR(IF(--MID($E565,2*COUNTIF($F565:I565,"&gt;"&amp;0)+2,1)=J$1,J$1,""),"")</f>
        <v/>
      </c>
      <c r="K565" s="26" t="str">
        <f>IFERROR(IF(--MID($E565,2*COUNTIF($F565:J565,"&gt;"&amp;0)+2,1)=K$1,K$1,""),"")</f>
        <v/>
      </c>
      <c r="L565" s="39" t="str" cm="1">
        <f t="array" ref="L565">IFERROR(IF($A565="","",IF(F565="","",_xlfn.XLOOKUP($C565&amp;"_"&amp;$AG565,符文权重!$A:$A&amp;"_"&amp;符文权重!$C:$C,符文权重!$D:$D)*$X565/SUMIFS($X:$X,F:F,F565,$C:$C,$C565,$AG:$AG,$AG565)/SUMIF(符文权重!$A:$A,$C565,符文权重!$D:$D))),"")</f>
        <v/>
      </c>
      <c r="M565" s="39" t="str" cm="1">
        <f t="array" ref="M565">IFERROR(IF($A565="","",IF(G565="","",_xlfn.XLOOKUP($C565&amp;"_"&amp;$AG565,符文权重!$A:$A&amp;"_"&amp;符文权重!$C:$C,符文权重!$D:$D)*$X565/SUMIFS($X:$X,G:G,G565,$C:$C,$C565,$AG:$AG,$AG565)/SUMIF(符文权重!$A:$A,$C565,符文权重!$D:$D))),"")</f>
        <v/>
      </c>
      <c r="N565" s="39" t="str" cm="1">
        <f t="array" ref="N565">IFERROR(IF($A565="","",IF(H565="","",_xlfn.XLOOKUP($C565&amp;"_"&amp;$AG565,符文权重!$A:$A&amp;"_"&amp;符文权重!$C:$C,符文权重!$D:$D)*$X565/SUMIFS($X:$X,H:H,H565,$C:$C,$C565,$AG:$AG,$AG565)/SUMIF(符文权重!$A:$A,$C565,符文权重!$D:$D))),"")</f>
        <v/>
      </c>
      <c r="O565" s="39" t="str" cm="1">
        <f t="array" ref="O565">IFERROR(IF($A565="","",IF(I565="","",_xlfn.XLOOKUP($C565&amp;"_"&amp;$AG565,符文权重!$A:$A&amp;"_"&amp;符文权重!$C:$C,符文权重!$D:$D)*$X565/SUMIFS($X:$X,I:I,I565,$C:$C,$C565,$AG:$AG,$AG565)/SUMIF(符文权重!$A:$A,$C565,符文权重!$D:$D))),"")</f>
        <v/>
      </c>
      <c r="P565" s="39" t="str" cm="1">
        <f t="array" ref="P565">IFERROR(IF($A565="","",IF(J565="","",_xlfn.XLOOKUP($C565&amp;"_"&amp;$AG565,符文权重!$A:$A&amp;"_"&amp;符文权重!$C:$C,符文权重!$D:$D)*$X565/SUMIFS($X:$X,J:J,J565,$C:$C,$C565,$AG:$AG,$AG565)/SUMIF(符文权重!$A:$A,$C565,符文权重!$D:$D))),"")</f>
        <v/>
      </c>
      <c r="Q565" s="39" t="str" cm="1">
        <f t="array" ref="Q565">IFERROR(IF($A565="","",IF(K565="","",_xlfn.XLOOKUP($C565&amp;"_"&amp;$AG565,符文权重!$A:$A&amp;"_"&amp;符文权重!$C:$C,符文权重!$D:$D)*$X565/SUMIFS($X:$X,K:K,K565,$C:$C,$C565,$AG:$AG,$AG565)/SUMIF(符文权重!$A:$A,$C565,符文权重!$D:$D))),"")</f>
        <v/>
      </c>
      <c r="R565" s="26"/>
      <c r="S565" s="26"/>
      <c r="T565" s="26"/>
      <c r="V565" s="31"/>
      <c r="W565" s="25"/>
      <c r="X565" s="25"/>
      <c r="Y565" s="25"/>
      <c r="Z565" s="32" t="s">
        <v>167</v>
      </c>
      <c r="AA565" s="32" t="str">
        <f t="shared" si="264"/>
        <v/>
      </c>
      <c r="AB565" s="32"/>
      <c r="AC565" s="32" t="s">
        <v>166</v>
      </c>
      <c r="AD565" s="32">
        <f t="shared" si="258"/>
        <v>1560</v>
      </c>
      <c r="AE565" s="38" t="str">
        <f t="shared" si="269"/>
        <v/>
      </c>
      <c r="AF565" s="32" t="str">
        <f t="shared" si="261"/>
        <v/>
      </c>
      <c r="AG565" s="26"/>
      <c r="AH565" s="26"/>
      <c r="AI565" s="26"/>
      <c r="AJ565" s="25" t="s">
        <v>167</v>
      </c>
      <c r="AL565" s="51"/>
      <c r="AM565" s="26"/>
      <c r="AN565" s="25"/>
      <c r="AO565" s="25"/>
      <c r="AP565" s="20">
        <f t="shared" si="259"/>
        <v>560</v>
      </c>
    </row>
    <row r="566" s="22" customFormat="1" customHeight="1" spans="1:42">
      <c r="A566" s="44">
        <v>5506111</v>
      </c>
      <c r="B566" s="44" t="str">
        <f t="shared" si="265"/>
        <v>5506111</v>
      </c>
      <c r="C566" s="45">
        <f t="shared" si="266"/>
        <v>1</v>
      </c>
      <c r="D566" s="45"/>
      <c r="E566" s="46" t="s">
        <v>162</v>
      </c>
      <c r="F566" s="26">
        <f t="shared" si="255"/>
        <v>1</v>
      </c>
      <c r="G566" s="26">
        <f>IFERROR(IF(--MID($E566,2*COUNTIF($F566:F566,"&gt;"&amp;0)+2,1)=G$1,G$1,""),"")</f>
        <v>2</v>
      </c>
      <c r="H566" s="26">
        <f>IFERROR(IF(--MID($E566,2*COUNTIF($F566:G566,"&gt;"&amp;0)+2,1)=H$1,H$1,""),"")</f>
        <v>3</v>
      </c>
      <c r="I566" s="26">
        <f>IFERROR(IF(--MID($E566,2*COUNTIF($F566:H566,"&gt;"&amp;0)+2,1)=I$1,I$1,""),"")</f>
        <v>4</v>
      </c>
      <c r="J566" s="26">
        <f>IFERROR(IF(--MID($E566,2*COUNTIF($F566:I566,"&gt;"&amp;0)+2,1)=J$1,J$1,""),"")</f>
        <v>5</v>
      </c>
      <c r="K566" s="26">
        <f>IFERROR(IF(--MID($E566,2*COUNTIF($F566:J566,"&gt;"&amp;0)+2,1)=K$1,K$1,""),"")</f>
        <v>6</v>
      </c>
      <c r="L566" s="39" t="str" cm="1">
        <f t="array" ref="L566">IFERROR(IF($A566="","",IF(F566="","",_xlfn.XLOOKUP($C566&amp;"_"&amp;$AG566,符文权重!$A:$A&amp;"_"&amp;符文权重!$C:$C,符文权重!$D:$D)*$X566/SUMIFS($X:$X,F:F,F566,$C:$C,$C566,$AG:$AG,$AG566)/SUMIF(符文权重!$A:$A,$C566,符文权重!$D:$D))),"")</f>
        <v/>
      </c>
      <c r="M566" s="39" t="str" cm="1">
        <f t="array" ref="M566">IFERROR(IF($A566="","",IF(G566="","",_xlfn.XLOOKUP($C566&amp;"_"&amp;$AG566,符文权重!$A:$A&amp;"_"&amp;符文权重!$C:$C,符文权重!$D:$D)*$X566/SUMIFS($X:$X,G:G,G566,$C:$C,$C566,$AG:$AG,$AG566)/SUMIF(符文权重!$A:$A,$C566,符文权重!$D:$D))),"")</f>
        <v/>
      </c>
      <c r="N566" s="39" t="str" cm="1">
        <f t="array" ref="N566">IFERROR(IF($A566="","",IF(H566="","",_xlfn.XLOOKUP($C566&amp;"_"&amp;$AG566,符文权重!$A:$A&amp;"_"&amp;符文权重!$C:$C,符文权重!$D:$D)*$X566/SUMIFS($X:$X,H:H,H566,$C:$C,$C566,$AG:$AG,$AG566)/SUMIF(符文权重!$A:$A,$C566,符文权重!$D:$D))),"")</f>
        <v/>
      </c>
      <c r="O566" s="39" t="str" cm="1">
        <f t="array" ref="O566">IFERROR(IF($A566="","",IF(I566="","",_xlfn.XLOOKUP($C566&amp;"_"&amp;$AG566,符文权重!$A:$A&amp;"_"&amp;符文权重!$C:$C,符文权重!$D:$D)*$X566/SUMIFS($X:$X,I:I,I566,$C:$C,$C566,$AG:$AG,$AG566)/SUMIF(符文权重!$A:$A,$C566,符文权重!$D:$D))),"")</f>
        <v/>
      </c>
      <c r="P566" s="39" t="str" cm="1">
        <f t="array" ref="P566">IFERROR(IF($A566="","",IF(J566="","",_xlfn.XLOOKUP($C566&amp;"_"&amp;$AG566,符文权重!$A:$A&amp;"_"&amp;符文权重!$C:$C,符文权重!$D:$D)*$X566/SUMIFS($X:$X,J:J,J566,$C:$C,$C566,$AG:$AG,$AG566)/SUMIF(符文权重!$A:$A,$C566,符文权重!$D:$D))),"")</f>
        <v/>
      </c>
      <c r="Q566" s="39" t="str" cm="1">
        <f t="array" ref="Q566">IFERROR(IF($A566="","",IF(K566="","",_xlfn.XLOOKUP($C566&amp;"_"&amp;$AG566,符文权重!$A:$A&amp;"_"&amp;符文权重!$C:$C,符文权重!$D:$D)*$X566/SUMIFS($X:$X,K:K,K566,$C:$C,$C566,$AG:$AG,$AG566)/SUMIF(符文权重!$A:$A,$C566,符文权重!$D:$D))),"")</f>
        <v/>
      </c>
      <c r="R566" s="46" t="s">
        <v>163</v>
      </c>
      <c r="S566" s="46"/>
      <c r="T566" s="46" t="e">
        <f>IF(B566="","",SUBSTITUTE(SUBSTITUTE("[{global_atk,"&amp;#REF!*C566&amp;"}]",21,20),9,8))</f>
        <v>#REF!</v>
      </c>
      <c r="U566" s="47" t="str">
        <f t="shared" ref="U566:U572" si="278">"["&amp;A566&amp;"]"</f>
        <v>[5506111]</v>
      </c>
      <c r="V566" s="46"/>
      <c r="W566" s="23"/>
      <c r="X566" s="25">
        <v>100</v>
      </c>
      <c r="Y566" s="23"/>
      <c r="Z566" s="45" t="s">
        <v>165</v>
      </c>
      <c r="AA566" s="32" t="str">
        <f t="shared" si="264"/>
        <v>对负面状态的敌人造成暴击后, 0%概率使敌人所有负面状态持续时间+1s, 最多+3s. 直到敌人的移除所有负面状态</v>
      </c>
      <c r="AB566" s="32"/>
      <c r="AC566" s="32" t="s">
        <v>166</v>
      </c>
      <c r="AD566" s="32">
        <f t="shared" si="258"/>
        <v>1561</v>
      </c>
      <c r="AE566" s="44" t="str">
        <f t="shared" si="269"/>
        <v>5506111</v>
      </c>
      <c r="AF566" s="45" t="str">
        <f t="shared" si="261"/>
        <v>[0]</v>
      </c>
      <c r="AG566" s="26">
        <v>100</v>
      </c>
      <c r="AH566" s="46"/>
      <c r="AI566" s="46">
        <v>1</v>
      </c>
      <c r="AJ566" s="23">
        <v>1</v>
      </c>
      <c r="AK566" s="48">
        <v>5506111</v>
      </c>
      <c r="AL566" s="57" t="s">
        <v>537</v>
      </c>
      <c r="AM566" s="46">
        <v>0</v>
      </c>
      <c r="AN566" s="25"/>
      <c r="AO566" s="25" t="s">
        <v>32</v>
      </c>
      <c r="AP566" s="20">
        <f t="shared" si="259"/>
        <v>561</v>
      </c>
    </row>
    <row r="567" s="23" customFormat="1" customHeight="1" spans="1:42">
      <c r="A567" s="44">
        <v>5506112</v>
      </c>
      <c r="B567" s="44" t="str">
        <f t="shared" si="265"/>
        <v>5506111</v>
      </c>
      <c r="C567" s="45">
        <f t="shared" si="266"/>
        <v>2</v>
      </c>
      <c r="D567" s="45"/>
      <c r="E567" s="46" t="s">
        <v>162</v>
      </c>
      <c r="F567" s="26">
        <f t="shared" si="255"/>
        <v>1</v>
      </c>
      <c r="G567" s="26">
        <f>IFERROR(IF(--MID($E567,2*COUNTIF($F567:F567,"&gt;"&amp;0)+2,1)=G$1,G$1,""),"")</f>
        <v>2</v>
      </c>
      <c r="H567" s="26">
        <f>IFERROR(IF(--MID($E567,2*COUNTIF($F567:G567,"&gt;"&amp;0)+2,1)=H$1,H$1,""),"")</f>
        <v>3</v>
      </c>
      <c r="I567" s="26">
        <f>IFERROR(IF(--MID($E567,2*COUNTIF($F567:H567,"&gt;"&amp;0)+2,1)=I$1,I$1,""),"")</f>
        <v>4</v>
      </c>
      <c r="J567" s="26">
        <f>IFERROR(IF(--MID($E567,2*COUNTIF($F567:I567,"&gt;"&amp;0)+2,1)=J$1,J$1,""),"")</f>
        <v>5</v>
      </c>
      <c r="K567" s="26">
        <f>IFERROR(IF(--MID($E567,2*COUNTIF($F567:J567,"&gt;"&amp;0)+2,1)=K$1,K$1,""),"")</f>
        <v>6</v>
      </c>
      <c r="L567" s="39" t="str" cm="1">
        <f t="array" ref="L567">IFERROR(IF($A567="","",IF(F567="","",_xlfn.XLOOKUP($C567&amp;"_"&amp;$AG567,符文权重!$A:$A&amp;"_"&amp;符文权重!$C:$C,符文权重!$D:$D)*$X567/SUMIFS($X:$X,F:F,F567,$C:$C,$C567,$AG:$AG,$AG567)/SUMIF(符文权重!$A:$A,$C567,符文权重!$D:$D))),"")</f>
        <v/>
      </c>
      <c r="M567" s="39" t="str" cm="1">
        <f t="array" ref="M567">IFERROR(IF($A567="","",IF(G567="","",_xlfn.XLOOKUP($C567&amp;"_"&amp;$AG567,符文权重!$A:$A&amp;"_"&amp;符文权重!$C:$C,符文权重!$D:$D)*$X567/SUMIFS($X:$X,G:G,G567,$C:$C,$C567,$AG:$AG,$AG567)/SUMIF(符文权重!$A:$A,$C567,符文权重!$D:$D))),"")</f>
        <v/>
      </c>
      <c r="N567" s="39" t="str" cm="1">
        <f t="array" ref="N567">IFERROR(IF($A567="","",IF(H567="","",_xlfn.XLOOKUP($C567&amp;"_"&amp;$AG567,符文权重!$A:$A&amp;"_"&amp;符文权重!$C:$C,符文权重!$D:$D)*$X567/SUMIFS($X:$X,H:H,H567,$C:$C,$C567,$AG:$AG,$AG567)/SUMIF(符文权重!$A:$A,$C567,符文权重!$D:$D))),"")</f>
        <v/>
      </c>
      <c r="O567" s="39" t="str" cm="1">
        <f t="array" ref="O567">IFERROR(IF($A567="","",IF(I567="","",_xlfn.XLOOKUP($C567&amp;"_"&amp;$AG567,符文权重!$A:$A&amp;"_"&amp;符文权重!$C:$C,符文权重!$D:$D)*$X567/SUMIFS($X:$X,I:I,I567,$C:$C,$C567,$AG:$AG,$AG567)/SUMIF(符文权重!$A:$A,$C567,符文权重!$D:$D))),"")</f>
        <v/>
      </c>
      <c r="P567" s="39" t="str" cm="1">
        <f t="array" ref="P567">IFERROR(IF($A567="","",IF(J567="","",_xlfn.XLOOKUP($C567&amp;"_"&amp;$AG567,符文权重!$A:$A&amp;"_"&amp;符文权重!$C:$C,符文权重!$D:$D)*$X567/SUMIFS($X:$X,J:J,J567,$C:$C,$C567,$AG:$AG,$AG567)/SUMIF(符文权重!$A:$A,$C567,符文权重!$D:$D))),"")</f>
        <v/>
      </c>
      <c r="Q567" s="39" t="str" cm="1">
        <f t="array" ref="Q567">IFERROR(IF($A567="","",IF(K567="","",_xlfn.XLOOKUP($C567&amp;"_"&amp;$AG567,符文权重!$A:$A&amp;"_"&amp;符文权重!$C:$C,符文权重!$D:$D)*$X567/SUMIFS($X:$X,K:K,K567,$C:$C,$C567,$AG:$AG,$AG567)/SUMIF(符文权重!$A:$A,$C567,符文权重!$D:$D))),"")</f>
        <v/>
      </c>
      <c r="R567" s="46" t="s">
        <v>163</v>
      </c>
      <c r="S567" s="46"/>
      <c r="T567" s="46" t="e">
        <f>IF(B567="","",SUBSTITUTE(SUBSTITUTE("[{global_atk,"&amp;#REF!*C567&amp;"}]",21,20),9,8))</f>
        <v>#REF!</v>
      </c>
      <c r="U567" s="47" t="str">
        <f t="shared" si="278"/>
        <v>[5506112]</v>
      </c>
      <c r="V567" s="46"/>
      <c r="X567" s="25">
        <v>100</v>
      </c>
      <c r="Z567" s="45" t="s">
        <v>170</v>
      </c>
      <c r="AA567" s="32" t="str">
        <f t="shared" si="264"/>
        <v>对负面状态的敌人造成暴击后, 0%概率使敌人所有负面状态持续时间+1s, 最多+3s. 直到敌人的移除所有负面状态</v>
      </c>
      <c r="AB567" s="32"/>
      <c r="AC567" s="32" t="s">
        <v>166</v>
      </c>
      <c r="AD567" s="32">
        <f t="shared" si="258"/>
        <v>1562</v>
      </c>
      <c r="AE567" s="44" t="str">
        <f t="shared" si="269"/>
        <v>5506111</v>
      </c>
      <c r="AF567" s="45" t="str">
        <f t="shared" si="261"/>
        <v>[0]</v>
      </c>
      <c r="AG567" s="26">
        <v>100</v>
      </c>
      <c r="AH567" s="46"/>
      <c r="AI567" s="46">
        <v>1</v>
      </c>
      <c r="AJ567" s="23">
        <v>1</v>
      </c>
      <c r="AK567" s="44">
        <f t="shared" ref="AK567:AK572" si="279">AK566+1</f>
        <v>5506112</v>
      </c>
      <c r="AL567" s="50" t="str">
        <f t="shared" ref="AL567:AL572" si="280">AL566</f>
        <v>对负面状态的敌人造成暴击后, &lt;color=#54b76b&gt;%s%&lt;/color&gt;概率使敌人所有负面状态持续时间+1s, 最多+3s. 直到敌人的移除所有负面状态</v>
      </c>
      <c r="AM567" s="46">
        <v>0</v>
      </c>
      <c r="AN567" s="25"/>
      <c r="AO567" s="25" t="s">
        <v>32</v>
      </c>
      <c r="AP567" s="20">
        <f t="shared" si="259"/>
        <v>562</v>
      </c>
    </row>
    <row r="568" s="23" customFormat="1" customHeight="1" spans="1:42">
      <c r="A568" s="44">
        <v>5506113</v>
      </c>
      <c r="B568" s="44" t="str">
        <f t="shared" si="265"/>
        <v>5506111</v>
      </c>
      <c r="C568" s="45">
        <f t="shared" si="266"/>
        <v>3</v>
      </c>
      <c r="D568" s="45"/>
      <c r="E568" s="46" t="s">
        <v>162</v>
      </c>
      <c r="F568" s="26">
        <f t="shared" si="255"/>
        <v>1</v>
      </c>
      <c r="G568" s="26">
        <f>IFERROR(IF(--MID($E568,2*COUNTIF($F568:F568,"&gt;"&amp;0)+2,1)=G$1,G$1,""),"")</f>
        <v>2</v>
      </c>
      <c r="H568" s="26">
        <f>IFERROR(IF(--MID($E568,2*COUNTIF($F568:G568,"&gt;"&amp;0)+2,1)=H$1,H$1,""),"")</f>
        <v>3</v>
      </c>
      <c r="I568" s="26">
        <f>IFERROR(IF(--MID($E568,2*COUNTIF($F568:H568,"&gt;"&amp;0)+2,1)=I$1,I$1,""),"")</f>
        <v>4</v>
      </c>
      <c r="J568" s="26">
        <f>IFERROR(IF(--MID($E568,2*COUNTIF($F568:I568,"&gt;"&amp;0)+2,1)=J$1,J$1,""),"")</f>
        <v>5</v>
      </c>
      <c r="K568" s="26">
        <f>IFERROR(IF(--MID($E568,2*COUNTIF($F568:J568,"&gt;"&amp;0)+2,1)=K$1,K$1,""),"")</f>
        <v>6</v>
      </c>
      <c r="L568" s="39" t="str" cm="1">
        <f t="array" ref="L568">IFERROR(IF($A568="","",IF(F568="","",_xlfn.XLOOKUP($C568&amp;"_"&amp;$AG568,符文权重!$A:$A&amp;"_"&amp;符文权重!$C:$C,符文权重!$D:$D)*$X568/SUMIFS($X:$X,F:F,F568,$C:$C,$C568,$AG:$AG,$AG568)/SUMIF(符文权重!$A:$A,$C568,符文权重!$D:$D))),"")</f>
        <v/>
      </c>
      <c r="M568" s="39" t="str" cm="1">
        <f t="array" ref="M568">IFERROR(IF($A568="","",IF(G568="","",_xlfn.XLOOKUP($C568&amp;"_"&amp;$AG568,符文权重!$A:$A&amp;"_"&amp;符文权重!$C:$C,符文权重!$D:$D)*$X568/SUMIFS($X:$X,G:G,G568,$C:$C,$C568,$AG:$AG,$AG568)/SUMIF(符文权重!$A:$A,$C568,符文权重!$D:$D))),"")</f>
        <v/>
      </c>
      <c r="N568" s="39" t="str" cm="1">
        <f t="array" ref="N568">IFERROR(IF($A568="","",IF(H568="","",_xlfn.XLOOKUP($C568&amp;"_"&amp;$AG568,符文权重!$A:$A&amp;"_"&amp;符文权重!$C:$C,符文权重!$D:$D)*$X568/SUMIFS($X:$X,H:H,H568,$C:$C,$C568,$AG:$AG,$AG568)/SUMIF(符文权重!$A:$A,$C568,符文权重!$D:$D))),"")</f>
        <v/>
      </c>
      <c r="O568" s="39" t="str" cm="1">
        <f t="array" ref="O568">IFERROR(IF($A568="","",IF(I568="","",_xlfn.XLOOKUP($C568&amp;"_"&amp;$AG568,符文权重!$A:$A&amp;"_"&amp;符文权重!$C:$C,符文权重!$D:$D)*$X568/SUMIFS($X:$X,I:I,I568,$C:$C,$C568,$AG:$AG,$AG568)/SUMIF(符文权重!$A:$A,$C568,符文权重!$D:$D))),"")</f>
        <v/>
      </c>
      <c r="P568" s="39" t="str" cm="1">
        <f t="array" ref="P568">IFERROR(IF($A568="","",IF(J568="","",_xlfn.XLOOKUP($C568&amp;"_"&amp;$AG568,符文权重!$A:$A&amp;"_"&amp;符文权重!$C:$C,符文权重!$D:$D)*$X568/SUMIFS($X:$X,J:J,J568,$C:$C,$C568,$AG:$AG,$AG568)/SUMIF(符文权重!$A:$A,$C568,符文权重!$D:$D))),"")</f>
        <v/>
      </c>
      <c r="Q568" s="39" t="str" cm="1">
        <f t="array" ref="Q568">IFERROR(IF($A568="","",IF(K568="","",_xlfn.XLOOKUP($C568&amp;"_"&amp;$AG568,符文权重!$A:$A&amp;"_"&amp;符文权重!$C:$C,符文权重!$D:$D)*$X568/SUMIFS($X:$X,K:K,K568,$C:$C,$C568,$AG:$AG,$AG568)/SUMIF(符文权重!$A:$A,$C568,符文权重!$D:$D))),"")</f>
        <v/>
      </c>
      <c r="R568" s="46" t="s">
        <v>163</v>
      </c>
      <c r="S568" s="46"/>
      <c r="T568" s="46" t="e">
        <f>IF(B568="","",SUBSTITUTE(SUBSTITUTE("[{global_atk,"&amp;#REF!*C568&amp;"}]",21,20),9,8))</f>
        <v>#REF!</v>
      </c>
      <c r="U568" s="47" t="str">
        <f t="shared" si="278"/>
        <v>[5506113]</v>
      </c>
      <c r="V568" s="46"/>
      <c r="X568" s="25">
        <v>100</v>
      </c>
      <c r="Z568" s="45" t="s">
        <v>172</v>
      </c>
      <c r="AA568" s="32" t="str">
        <f t="shared" si="264"/>
        <v>对负面状态的敌人造成暴击后, 0%概率使敌人所有负面状态持续时间+1s, 最多+3s. 直到敌人的移除所有负面状态</v>
      </c>
      <c r="AB568" s="32"/>
      <c r="AC568" s="32" t="s">
        <v>166</v>
      </c>
      <c r="AD568" s="32">
        <f t="shared" si="258"/>
        <v>1563</v>
      </c>
      <c r="AE568" s="44" t="str">
        <f t="shared" si="269"/>
        <v>5506111</v>
      </c>
      <c r="AF568" s="45" t="str">
        <f t="shared" si="261"/>
        <v>[0]</v>
      </c>
      <c r="AG568" s="26">
        <v>100</v>
      </c>
      <c r="AH568" s="46"/>
      <c r="AI568" s="46">
        <v>1</v>
      </c>
      <c r="AJ568" s="23">
        <v>1</v>
      </c>
      <c r="AK568" s="44">
        <f t="shared" si="279"/>
        <v>5506113</v>
      </c>
      <c r="AL568" s="50" t="str">
        <f t="shared" si="280"/>
        <v>对负面状态的敌人造成暴击后, &lt;color=#54b76b&gt;%s%&lt;/color&gt;概率使敌人所有负面状态持续时间+1s, 最多+3s. 直到敌人的移除所有负面状态</v>
      </c>
      <c r="AM568" s="46">
        <v>0</v>
      </c>
      <c r="AN568" s="25"/>
      <c r="AO568" s="25" t="s">
        <v>32</v>
      </c>
      <c r="AP568" s="20">
        <f t="shared" si="259"/>
        <v>563</v>
      </c>
    </row>
    <row r="569" s="23" customFormat="1" customHeight="1" spans="1:42">
      <c r="A569" s="44">
        <v>5506114</v>
      </c>
      <c r="B569" s="44" t="str">
        <f t="shared" si="265"/>
        <v>5506111</v>
      </c>
      <c r="C569" s="45">
        <f t="shared" si="266"/>
        <v>4</v>
      </c>
      <c r="D569" s="45"/>
      <c r="E569" s="46" t="s">
        <v>162</v>
      </c>
      <c r="F569" s="26">
        <f t="shared" si="255"/>
        <v>1</v>
      </c>
      <c r="G569" s="26">
        <f>IFERROR(IF(--MID($E569,2*COUNTIF($F569:F569,"&gt;"&amp;0)+2,1)=G$1,G$1,""),"")</f>
        <v>2</v>
      </c>
      <c r="H569" s="26">
        <f>IFERROR(IF(--MID($E569,2*COUNTIF($F569:G569,"&gt;"&amp;0)+2,1)=H$1,H$1,""),"")</f>
        <v>3</v>
      </c>
      <c r="I569" s="26">
        <f>IFERROR(IF(--MID($E569,2*COUNTIF($F569:H569,"&gt;"&amp;0)+2,1)=I$1,I$1,""),"")</f>
        <v>4</v>
      </c>
      <c r="J569" s="26">
        <f>IFERROR(IF(--MID($E569,2*COUNTIF($F569:I569,"&gt;"&amp;0)+2,1)=J$1,J$1,""),"")</f>
        <v>5</v>
      </c>
      <c r="K569" s="26">
        <f>IFERROR(IF(--MID($E569,2*COUNTIF($F569:J569,"&gt;"&amp;0)+2,1)=K$1,K$1,""),"")</f>
        <v>6</v>
      </c>
      <c r="L569" s="39" t="str" cm="1">
        <f t="array" ref="L569">IFERROR(IF($A569="","",IF(F569="","",_xlfn.XLOOKUP($C569&amp;"_"&amp;$AG569,符文权重!$A:$A&amp;"_"&amp;符文权重!$C:$C,符文权重!$D:$D)*$X569/SUMIFS($X:$X,F:F,F569,$C:$C,$C569,$AG:$AG,$AG569)/SUMIF(符文权重!$A:$A,$C569,符文权重!$D:$D))),"")</f>
        <v/>
      </c>
      <c r="M569" s="39" t="str" cm="1">
        <f t="array" ref="M569">IFERROR(IF($A569="","",IF(G569="","",_xlfn.XLOOKUP($C569&amp;"_"&amp;$AG569,符文权重!$A:$A&amp;"_"&amp;符文权重!$C:$C,符文权重!$D:$D)*$X569/SUMIFS($X:$X,G:G,G569,$C:$C,$C569,$AG:$AG,$AG569)/SUMIF(符文权重!$A:$A,$C569,符文权重!$D:$D))),"")</f>
        <v/>
      </c>
      <c r="N569" s="39" t="str" cm="1">
        <f t="array" ref="N569">IFERROR(IF($A569="","",IF(H569="","",_xlfn.XLOOKUP($C569&amp;"_"&amp;$AG569,符文权重!$A:$A&amp;"_"&amp;符文权重!$C:$C,符文权重!$D:$D)*$X569/SUMIFS($X:$X,H:H,H569,$C:$C,$C569,$AG:$AG,$AG569)/SUMIF(符文权重!$A:$A,$C569,符文权重!$D:$D))),"")</f>
        <v/>
      </c>
      <c r="O569" s="39" t="str" cm="1">
        <f t="array" ref="O569">IFERROR(IF($A569="","",IF(I569="","",_xlfn.XLOOKUP($C569&amp;"_"&amp;$AG569,符文权重!$A:$A&amp;"_"&amp;符文权重!$C:$C,符文权重!$D:$D)*$X569/SUMIFS($X:$X,I:I,I569,$C:$C,$C569,$AG:$AG,$AG569)/SUMIF(符文权重!$A:$A,$C569,符文权重!$D:$D))),"")</f>
        <v/>
      </c>
      <c r="P569" s="39" t="str" cm="1">
        <f t="array" ref="P569">IFERROR(IF($A569="","",IF(J569="","",_xlfn.XLOOKUP($C569&amp;"_"&amp;$AG569,符文权重!$A:$A&amp;"_"&amp;符文权重!$C:$C,符文权重!$D:$D)*$X569/SUMIFS($X:$X,J:J,J569,$C:$C,$C569,$AG:$AG,$AG569)/SUMIF(符文权重!$A:$A,$C569,符文权重!$D:$D))),"")</f>
        <v/>
      </c>
      <c r="Q569" s="39" t="str" cm="1">
        <f t="array" ref="Q569">IFERROR(IF($A569="","",IF(K569="","",_xlfn.XLOOKUP($C569&amp;"_"&amp;$AG569,符文权重!$A:$A&amp;"_"&amp;符文权重!$C:$C,符文权重!$D:$D)*$X569/SUMIFS($X:$X,K:K,K569,$C:$C,$C569,$AG:$AG,$AG569)/SUMIF(符文权重!$A:$A,$C569,符文权重!$D:$D))),"")</f>
        <v/>
      </c>
      <c r="R569" s="46" t="s">
        <v>163</v>
      </c>
      <c r="S569" s="46"/>
      <c r="T569" s="46" t="e">
        <f>IF(B569="","",SUBSTITUTE(SUBSTITUTE("[{global_atk,"&amp;#REF!*C569&amp;"}]",21,20),9,8))</f>
        <v>#REF!</v>
      </c>
      <c r="U569" s="47" t="str">
        <f t="shared" si="278"/>
        <v>[5506114]</v>
      </c>
      <c r="V569" s="46"/>
      <c r="X569" s="25">
        <v>100</v>
      </c>
      <c r="Z569" s="45" t="s">
        <v>174</v>
      </c>
      <c r="AA569" s="32" t="str">
        <f t="shared" si="264"/>
        <v>对负面状态的敌人造成暴击后, 25%概率使敌人所有负面状态持续时间+1s, 最多+3s. 直到敌人的移除所有负面状态</v>
      </c>
      <c r="AB569" s="32"/>
      <c r="AC569" s="32" t="s">
        <v>166</v>
      </c>
      <c r="AD569" s="32">
        <f t="shared" si="258"/>
        <v>1564</v>
      </c>
      <c r="AE569" s="44" t="str">
        <f t="shared" si="269"/>
        <v>5506111</v>
      </c>
      <c r="AF569" s="45" t="str">
        <f t="shared" si="261"/>
        <v>[25]</v>
      </c>
      <c r="AG569" s="26">
        <v>100</v>
      </c>
      <c r="AH569" s="46"/>
      <c r="AI569" s="46">
        <v>1</v>
      </c>
      <c r="AJ569" s="23">
        <v>1</v>
      </c>
      <c r="AK569" s="44">
        <f t="shared" si="279"/>
        <v>5506114</v>
      </c>
      <c r="AL569" s="50" t="str">
        <f t="shared" si="280"/>
        <v>对负面状态的敌人造成暴击后, &lt;color=#54b76b&gt;%s%&lt;/color&gt;概率使敌人所有负面状态持续时间+1s, 最多+3s. 直到敌人的移除所有负面状态</v>
      </c>
      <c r="AM569" s="46">
        <v>25</v>
      </c>
      <c r="AN569" s="25"/>
      <c r="AO569" s="25" t="s">
        <v>32</v>
      </c>
      <c r="AP569" s="20">
        <f t="shared" si="259"/>
        <v>564</v>
      </c>
    </row>
    <row r="570" s="23" customFormat="1" customHeight="1" spans="1:42">
      <c r="A570" s="44">
        <v>5506115</v>
      </c>
      <c r="B570" s="44" t="str">
        <f t="shared" si="265"/>
        <v>5506111</v>
      </c>
      <c r="C570" s="45">
        <f t="shared" si="266"/>
        <v>5</v>
      </c>
      <c r="D570" s="45"/>
      <c r="E570" s="46" t="s">
        <v>162</v>
      </c>
      <c r="F570" s="26">
        <f t="shared" si="255"/>
        <v>1</v>
      </c>
      <c r="G570" s="26">
        <f>IFERROR(IF(--MID($E570,2*COUNTIF($F570:F570,"&gt;"&amp;0)+2,1)=G$1,G$1,""),"")</f>
        <v>2</v>
      </c>
      <c r="H570" s="26">
        <f>IFERROR(IF(--MID($E570,2*COUNTIF($F570:G570,"&gt;"&amp;0)+2,1)=H$1,H$1,""),"")</f>
        <v>3</v>
      </c>
      <c r="I570" s="26">
        <f>IFERROR(IF(--MID($E570,2*COUNTIF($F570:H570,"&gt;"&amp;0)+2,1)=I$1,I$1,""),"")</f>
        <v>4</v>
      </c>
      <c r="J570" s="26">
        <f>IFERROR(IF(--MID($E570,2*COUNTIF($F570:I570,"&gt;"&amp;0)+2,1)=J$1,J$1,""),"")</f>
        <v>5</v>
      </c>
      <c r="K570" s="26">
        <f>IFERROR(IF(--MID($E570,2*COUNTIF($F570:J570,"&gt;"&amp;0)+2,1)=K$1,K$1,""),"")</f>
        <v>6</v>
      </c>
      <c r="L570" s="39" t="str" cm="1">
        <f t="array" ref="L570">IFERROR(IF($A570="","",IF(F570="","",_xlfn.XLOOKUP($C570&amp;"_"&amp;$AG570,符文权重!$A:$A&amp;"_"&amp;符文权重!$C:$C,符文权重!$D:$D)*$X570/SUMIFS($X:$X,F:F,F570,$C:$C,$C570,$AG:$AG,$AG570)/SUMIF(符文权重!$A:$A,$C570,符文权重!$D:$D))),"")</f>
        <v/>
      </c>
      <c r="M570" s="39" t="str" cm="1">
        <f t="array" ref="M570">IFERROR(IF($A570="","",IF(G570="","",_xlfn.XLOOKUP($C570&amp;"_"&amp;$AG570,符文权重!$A:$A&amp;"_"&amp;符文权重!$C:$C,符文权重!$D:$D)*$X570/SUMIFS($X:$X,G:G,G570,$C:$C,$C570,$AG:$AG,$AG570)/SUMIF(符文权重!$A:$A,$C570,符文权重!$D:$D))),"")</f>
        <v/>
      </c>
      <c r="N570" s="39" t="str" cm="1">
        <f t="array" ref="N570">IFERROR(IF($A570="","",IF(H570="","",_xlfn.XLOOKUP($C570&amp;"_"&amp;$AG570,符文权重!$A:$A&amp;"_"&amp;符文权重!$C:$C,符文权重!$D:$D)*$X570/SUMIFS($X:$X,H:H,H570,$C:$C,$C570,$AG:$AG,$AG570)/SUMIF(符文权重!$A:$A,$C570,符文权重!$D:$D))),"")</f>
        <v/>
      </c>
      <c r="O570" s="39" t="str" cm="1">
        <f t="array" ref="O570">IFERROR(IF($A570="","",IF(I570="","",_xlfn.XLOOKUP($C570&amp;"_"&amp;$AG570,符文权重!$A:$A&amp;"_"&amp;符文权重!$C:$C,符文权重!$D:$D)*$X570/SUMIFS($X:$X,I:I,I570,$C:$C,$C570,$AG:$AG,$AG570)/SUMIF(符文权重!$A:$A,$C570,符文权重!$D:$D))),"")</f>
        <v/>
      </c>
      <c r="P570" s="39" t="str" cm="1">
        <f t="array" ref="P570">IFERROR(IF($A570="","",IF(J570="","",_xlfn.XLOOKUP($C570&amp;"_"&amp;$AG570,符文权重!$A:$A&amp;"_"&amp;符文权重!$C:$C,符文权重!$D:$D)*$X570/SUMIFS($X:$X,J:J,J570,$C:$C,$C570,$AG:$AG,$AG570)/SUMIF(符文权重!$A:$A,$C570,符文权重!$D:$D))),"")</f>
        <v/>
      </c>
      <c r="Q570" s="39" t="str" cm="1">
        <f t="array" ref="Q570">IFERROR(IF($A570="","",IF(K570="","",_xlfn.XLOOKUP($C570&amp;"_"&amp;$AG570,符文权重!$A:$A&amp;"_"&amp;符文权重!$C:$C,符文权重!$D:$D)*$X570/SUMIFS($X:$X,K:K,K570,$C:$C,$C570,$AG:$AG,$AG570)/SUMIF(符文权重!$A:$A,$C570,符文权重!$D:$D))),"")</f>
        <v/>
      </c>
      <c r="R570" s="46" t="s">
        <v>163</v>
      </c>
      <c r="S570" s="46"/>
      <c r="T570" s="46" t="e">
        <f>IF(B570="","",SUBSTITUTE(SUBSTITUTE("[{global_atk,"&amp;#REF!*C570&amp;"}]",21,20),9,8))</f>
        <v>#REF!</v>
      </c>
      <c r="U570" s="47" t="str">
        <f t="shared" si="278"/>
        <v>[5506115]</v>
      </c>
      <c r="V570" s="46"/>
      <c r="X570" s="25">
        <v>100</v>
      </c>
      <c r="Z570" s="45" t="s">
        <v>176</v>
      </c>
      <c r="AA570" s="32" t="str">
        <f t="shared" si="264"/>
        <v>对负面状态的敌人造成暴击后, 40%概率使敌人所有负面状态持续时间+1s, 最多+3s. 直到敌人的移除所有负面状态</v>
      </c>
      <c r="AB570" s="32"/>
      <c r="AC570" s="32" t="s">
        <v>166</v>
      </c>
      <c r="AD570" s="32">
        <f t="shared" si="258"/>
        <v>1565</v>
      </c>
      <c r="AE570" s="44" t="str">
        <f t="shared" si="269"/>
        <v>5506111</v>
      </c>
      <c r="AF570" s="45" t="str">
        <f t="shared" si="261"/>
        <v>[40]</v>
      </c>
      <c r="AG570" s="26">
        <v>100</v>
      </c>
      <c r="AH570" s="46"/>
      <c r="AI570" s="46">
        <v>1</v>
      </c>
      <c r="AJ570" s="23">
        <v>1</v>
      </c>
      <c r="AK570" s="44">
        <f t="shared" si="279"/>
        <v>5506115</v>
      </c>
      <c r="AL570" s="50" t="str">
        <f t="shared" si="280"/>
        <v>对负面状态的敌人造成暴击后, &lt;color=#54b76b&gt;%s%&lt;/color&gt;概率使敌人所有负面状态持续时间+1s, 最多+3s. 直到敌人的移除所有负面状态</v>
      </c>
      <c r="AM570" s="46">
        <v>40</v>
      </c>
      <c r="AN570" s="25"/>
      <c r="AO570" s="25" t="s">
        <v>32</v>
      </c>
      <c r="AP570" s="20">
        <f t="shared" si="259"/>
        <v>565</v>
      </c>
    </row>
    <row r="571" s="23" customFormat="1" customHeight="1" spans="1:42">
      <c r="A571" s="44">
        <v>5506116</v>
      </c>
      <c r="B571" s="44" t="str">
        <f t="shared" si="265"/>
        <v>5506111</v>
      </c>
      <c r="C571" s="45">
        <f t="shared" si="266"/>
        <v>6</v>
      </c>
      <c r="D571" s="45"/>
      <c r="E571" s="46" t="s">
        <v>162</v>
      </c>
      <c r="F571" s="26">
        <f t="shared" si="255"/>
        <v>1</v>
      </c>
      <c r="G571" s="26">
        <f>IFERROR(IF(--MID($E571,2*COUNTIF($F571:F571,"&gt;"&amp;0)+2,1)=G$1,G$1,""),"")</f>
        <v>2</v>
      </c>
      <c r="H571" s="26">
        <f>IFERROR(IF(--MID($E571,2*COUNTIF($F571:G571,"&gt;"&amp;0)+2,1)=H$1,H$1,""),"")</f>
        <v>3</v>
      </c>
      <c r="I571" s="26">
        <f>IFERROR(IF(--MID($E571,2*COUNTIF($F571:H571,"&gt;"&amp;0)+2,1)=I$1,I$1,""),"")</f>
        <v>4</v>
      </c>
      <c r="J571" s="26">
        <f>IFERROR(IF(--MID($E571,2*COUNTIF($F571:I571,"&gt;"&amp;0)+2,1)=J$1,J$1,""),"")</f>
        <v>5</v>
      </c>
      <c r="K571" s="26">
        <f>IFERROR(IF(--MID($E571,2*COUNTIF($F571:J571,"&gt;"&amp;0)+2,1)=K$1,K$1,""),"")</f>
        <v>6</v>
      </c>
      <c r="L571" s="39" t="str" cm="1">
        <f t="array" ref="L571">IFERROR(IF($A571="","",IF(F571="","",_xlfn.XLOOKUP($C571&amp;"_"&amp;$AG571,符文权重!$A:$A&amp;"_"&amp;符文权重!$C:$C,符文权重!$D:$D)*$X571/SUMIFS($X:$X,F:F,F571,$C:$C,$C571,$AG:$AG,$AG571)/SUMIF(符文权重!$A:$A,$C571,符文权重!$D:$D))),"")</f>
        <v/>
      </c>
      <c r="M571" s="39" t="str" cm="1">
        <f t="array" ref="M571">IFERROR(IF($A571="","",IF(G571="","",_xlfn.XLOOKUP($C571&amp;"_"&amp;$AG571,符文权重!$A:$A&amp;"_"&amp;符文权重!$C:$C,符文权重!$D:$D)*$X571/SUMIFS($X:$X,G:G,G571,$C:$C,$C571,$AG:$AG,$AG571)/SUMIF(符文权重!$A:$A,$C571,符文权重!$D:$D))),"")</f>
        <v/>
      </c>
      <c r="N571" s="39" t="str" cm="1">
        <f t="array" ref="N571">IFERROR(IF($A571="","",IF(H571="","",_xlfn.XLOOKUP($C571&amp;"_"&amp;$AG571,符文权重!$A:$A&amp;"_"&amp;符文权重!$C:$C,符文权重!$D:$D)*$X571/SUMIFS($X:$X,H:H,H571,$C:$C,$C571,$AG:$AG,$AG571)/SUMIF(符文权重!$A:$A,$C571,符文权重!$D:$D))),"")</f>
        <v/>
      </c>
      <c r="O571" s="39" t="str" cm="1">
        <f t="array" ref="O571">IFERROR(IF($A571="","",IF(I571="","",_xlfn.XLOOKUP($C571&amp;"_"&amp;$AG571,符文权重!$A:$A&amp;"_"&amp;符文权重!$C:$C,符文权重!$D:$D)*$X571/SUMIFS($X:$X,I:I,I571,$C:$C,$C571,$AG:$AG,$AG571)/SUMIF(符文权重!$A:$A,$C571,符文权重!$D:$D))),"")</f>
        <v/>
      </c>
      <c r="P571" s="39" t="str" cm="1">
        <f t="array" ref="P571">IFERROR(IF($A571="","",IF(J571="","",_xlfn.XLOOKUP($C571&amp;"_"&amp;$AG571,符文权重!$A:$A&amp;"_"&amp;符文权重!$C:$C,符文权重!$D:$D)*$X571/SUMIFS($X:$X,J:J,J571,$C:$C,$C571,$AG:$AG,$AG571)/SUMIF(符文权重!$A:$A,$C571,符文权重!$D:$D))),"")</f>
        <v/>
      </c>
      <c r="Q571" s="39" t="str" cm="1">
        <f t="array" ref="Q571">IFERROR(IF($A571="","",IF(K571="","",_xlfn.XLOOKUP($C571&amp;"_"&amp;$AG571,符文权重!$A:$A&amp;"_"&amp;符文权重!$C:$C,符文权重!$D:$D)*$X571/SUMIFS($X:$X,K:K,K571,$C:$C,$C571,$AG:$AG,$AG571)/SUMIF(符文权重!$A:$A,$C571,符文权重!$D:$D))),"")</f>
        <v/>
      </c>
      <c r="R571" s="46" t="s">
        <v>163</v>
      </c>
      <c r="S571" s="46"/>
      <c r="T571" s="46" t="e">
        <f>IF(B571="","",SUBSTITUTE(SUBSTITUTE("[{global_atk,"&amp;#REF!*C571&amp;"}]",21,20),9,8))</f>
        <v>#REF!</v>
      </c>
      <c r="U571" s="47" t="str">
        <f t="shared" si="278"/>
        <v>[5506116]</v>
      </c>
      <c r="V571" s="46"/>
      <c r="X571" s="25">
        <v>100</v>
      </c>
      <c r="Z571" s="45" t="s">
        <v>178</v>
      </c>
      <c r="AA571" s="32" t="str">
        <f t="shared" si="264"/>
        <v>对负面状态的敌人造成暴击后, 55%概率使敌人所有负面状态持续时间+1s, 最多+3s. 直到敌人的移除所有负面状态</v>
      </c>
      <c r="AB571" s="32"/>
      <c r="AC571" s="32" t="s">
        <v>166</v>
      </c>
      <c r="AD571" s="32">
        <f t="shared" si="258"/>
        <v>1566</v>
      </c>
      <c r="AE571" s="44" t="str">
        <f t="shared" si="269"/>
        <v>5506111</v>
      </c>
      <c r="AF571" s="45" t="str">
        <f t="shared" si="261"/>
        <v>[55]</v>
      </c>
      <c r="AG571" s="26">
        <v>100</v>
      </c>
      <c r="AH571" s="46"/>
      <c r="AI571" s="46">
        <v>1</v>
      </c>
      <c r="AJ571" s="23">
        <v>1</v>
      </c>
      <c r="AK571" s="44">
        <f t="shared" si="279"/>
        <v>5506116</v>
      </c>
      <c r="AL571" s="50" t="str">
        <f t="shared" si="280"/>
        <v>对负面状态的敌人造成暴击后, &lt;color=#54b76b&gt;%s%&lt;/color&gt;概率使敌人所有负面状态持续时间+1s, 最多+3s. 直到敌人的移除所有负面状态</v>
      </c>
      <c r="AM571" s="46">
        <v>55</v>
      </c>
      <c r="AN571" s="25"/>
      <c r="AO571" s="25" t="s">
        <v>32</v>
      </c>
      <c r="AP571" s="20">
        <f t="shared" si="259"/>
        <v>566</v>
      </c>
    </row>
    <row r="572" s="23" customFormat="1" customHeight="1" spans="1:42">
      <c r="A572" s="44">
        <v>5506117</v>
      </c>
      <c r="B572" s="44" t="str">
        <f t="shared" si="265"/>
        <v>5506111</v>
      </c>
      <c r="C572" s="45">
        <f t="shared" si="266"/>
        <v>7</v>
      </c>
      <c r="D572" s="45"/>
      <c r="E572" s="46" t="s">
        <v>162</v>
      </c>
      <c r="F572" s="26">
        <f t="shared" si="255"/>
        <v>1</v>
      </c>
      <c r="G572" s="26">
        <f>IFERROR(IF(--MID($E572,2*COUNTIF($F572:F572,"&gt;"&amp;0)+2,1)=G$1,G$1,""),"")</f>
        <v>2</v>
      </c>
      <c r="H572" s="26">
        <f>IFERROR(IF(--MID($E572,2*COUNTIF($F572:G572,"&gt;"&amp;0)+2,1)=H$1,H$1,""),"")</f>
        <v>3</v>
      </c>
      <c r="I572" s="26">
        <f>IFERROR(IF(--MID($E572,2*COUNTIF($F572:H572,"&gt;"&amp;0)+2,1)=I$1,I$1,""),"")</f>
        <v>4</v>
      </c>
      <c r="J572" s="26">
        <f>IFERROR(IF(--MID($E572,2*COUNTIF($F572:I572,"&gt;"&amp;0)+2,1)=J$1,J$1,""),"")</f>
        <v>5</v>
      </c>
      <c r="K572" s="26">
        <f>IFERROR(IF(--MID($E572,2*COUNTIF($F572:J572,"&gt;"&amp;0)+2,1)=K$1,K$1,""),"")</f>
        <v>6</v>
      </c>
      <c r="L572" s="39" t="str" cm="1">
        <f t="array" ref="L572">IFERROR(IF($A572="","",IF(F572="","",_xlfn.XLOOKUP($C572&amp;"_"&amp;$AG572,符文权重!$A:$A&amp;"_"&amp;符文权重!$C:$C,符文权重!$D:$D)*$X572/SUMIFS($X:$X,F:F,F572,$C:$C,$C572,$AG:$AG,$AG572)/SUMIF(符文权重!$A:$A,$C572,符文权重!$D:$D))),"")</f>
        <v/>
      </c>
      <c r="M572" s="39" t="str" cm="1">
        <f t="array" ref="M572">IFERROR(IF($A572="","",IF(G572="","",_xlfn.XLOOKUP($C572&amp;"_"&amp;$AG572,符文权重!$A:$A&amp;"_"&amp;符文权重!$C:$C,符文权重!$D:$D)*$X572/SUMIFS($X:$X,G:G,G572,$C:$C,$C572,$AG:$AG,$AG572)/SUMIF(符文权重!$A:$A,$C572,符文权重!$D:$D))),"")</f>
        <v/>
      </c>
      <c r="N572" s="39" t="str" cm="1">
        <f t="array" ref="N572">IFERROR(IF($A572="","",IF(H572="","",_xlfn.XLOOKUP($C572&amp;"_"&amp;$AG572,符文权重!$A:$A&amp;"_"&amp;符文权重!$C:$C,符文权重!$D:$D)*$X572/SUMIFS($X:$X,H:H,H572,$C:$C,$C572,$AG:$AG,$AG572)/SUMIF(符文权重!$A:$A,$C572,符文权重!$D:$D))),"")</f>
        <v/>
      </c>
      <c r="O572" s="39" t="str" cm="1">
        <f t="array" ref="O572">IFERROR(IF($A572="","",IF(I572="","",_xlfn.XLOOKUP($C572&amp;"_"&amp;$AG572,符文权重!$A:$A&amp;"_"&amp;符文权重!$C:$C,符文权重!$D:$D)*$X572/SUMIFS($X:$X,I:I,I572,$C:$C,$C572,$AG:$AG,$AG572)/SUMIF(符文权重!$A:$A,$C572,符文权重!$D:$D))),"")</f>
        <v/>
      </c>
      <c r="P572" s="39" t="str" cm="1">
        <f t="array" ref="P572">IFERROR(IF($A572="","",IF(J572="","",_xlfn.XLOOKUP($C572&amp;"_"&amp;$AG572,符文权重!$A:$A&amp;"_"&amp;符文权重!$C:$C,符文权重!$D:$D)*$X572/SUMIFS($X:$X,J:J,J572,$C:$C,$C572,$AG:$AG,$AG572)/SUMIF(符文权重!$A:$A,$C572,符文权重!$D:$D))),"")</f>
        <v/>
      </c>
      <c r="Q572" s="39" t="str" cm="1">
        <f t="array" ref="Q572">IFERROR(IF($A572="","",IF(K572="","",_xlfn.XLOOKUP($C572&amp;"_"&amp;$AG572,符文权重!$A:$A&amp;"_"&amp;符文权重!$C:$C,符文权重!$D:$D)*$X572/SUMIFS($X:$X,K:K,K572,$C:$C,$C572,$AG:$AG,$AG572)/SUMIF(符文权重!$A:$A,$C572,符文权重!$D:$D))),"")</f>
        <v/>
      </c>
      <c r="R572" s="46" t="s">
        <v>163</v>
      </c>
      <c r="S572" s="46"/>
      <c r="T572" s="46" t="e">
        <f>IF(B572="","",SUBSTITUTE(SUBSTITUTE("[{global_atk,"&amp;#REF!*C572&amp;"}]",21,20),9,8))</f>
        <v>#REF!</v>
      </c>
      <c r="U572" s="47" t="str">
        <f t="shared" si="278"/>
        <v>[5506117]</v>
      </c>
      <c r="V572" s="46"/>
      <c r="X572" s="25">
        <v>100</v>
      </c>
      <c r="Z572" s="45" t="s">
        <v>180</v>
      </c>
      <c r="AA572" s="32" t="str">
        <f t="shared" si="264"/>
        <v>对负面状态的敌人造成暴击后, 75%概率使敌人所有负面状态持续时间+1s, 最多+3s. 直到敌人的移除所有负面状态</v>
      </c>
      <c r="AB572" s="32"/>
      <c r="AC572" s="32" t="s">
        <v>166</v>
      </c>
      <c r="AD572" s="32">
        <f t="shared" si="258"/>
        <v>1567</v>
      </c>
      <c r="AE572" s="44" t="str">
        <f t="shared" si="269"/>
        <v>5506111</v>
      </c>
      <c r="AF572" s="45" t="str">
        <f t="shared" si="261"/>
        <v>[75]</v>
      </c>
      <c r="AG572" s="26">
        <v>100</v>
      </c>
      <c r="AH572" s="46"/>
      <c r="AI572" s="46">
        <v>1</v>
      </c>
      <c r="AJ572" s="23">
        <v>1</v>
      </c>
      <c r="AK572" s="44">
        <f t="shared" si="279"/>
        <v>5506117</v>
      </c>
      <c r="AL572" s="50" t="str">
        <f t="shared" si="280"/>
        <v>对负面状态的敌人造成暴击后, &lt;color=#54b76b&gt;%s%&lt;/color&gt;概率使敌人所有负面状态持续时间+1s, 最多+3s. 直到敌人的移除所有负面状态</v>
      </c>
      <c r="AM572" s="46">
        <v>75</v>
      </c>
      <c r="AN572" s="25"/>
      <c r="AO572" s="25" t="s">
        <v>32</v>
      </c>
      <c r="AP572" s="20">
        <f t="shared" si="259"/>
        <v>567</v>
      </c>
    </row>
    <row r="573" s="20" customFormat="1" customHeight="1" spans="1:42">
      <c r="C573" s="26"/>
      <c r="D573" s="26"/>
      <c r="E573" s="26"/>
      <c r="F573" s="26" t="str">
        <f t="shared" si="255"/>
        <v/>
      </c>
      <c r="G573" s="26" t="str">
        <f>IFERROR(IF(--MID($E573,2*COUNTIF($F573:F573,"&gt;"&amp;0)+2,1)=G$1,G$1,""),"")</f>
        <v/>
      </c>
      <c r="H573" s="26" t="str">
        <f>IFERROR(IF(--MID($E573,2*COUNTIF($F573:G573,"&gt;"&amp;0)+2,1)=H$1,H$1,""),"")</f>
        <v/>
      </c>
      <c r="I573" s="26" t="str">
        <f>IFERROR(IF(--MID($E573,2*COUNTIF($F573:H573,"&gt;"&amp;0)+2,1)=I$1,I$1,""),"")</f>
        <v/>
      </c>
      <c r="J573" s="26" t="str">
        <f>IFERROR(IF(--MID($E573,2*COUNTIF($F573:I573,"&gt;"&amp;0)+2,1)=J$1,J$1,""),"")</f>
        <v/>
      </c>
      <c r="K573" s="26" t="str">
        <f>IFERROR(IF(--MID($E573,2*COUNTIF($F573:J573,"&gt;"&amp;0)+2,1)=K$1,K$1,""),"")</f>
        <v/>
      </c>
      <c r="L573" s="39" t="str" cm="1">
        <f t="array" ref="L573">IFERROR(IF($A573="","",IF(F573="","",_xlfn.XLOOKUP($C573&amp;"_"&amp;$AG573,符文权重!$A:$A&amp;"_"&amp;符文权重!$C:$C,符文权重!$D:$D)*$X573/SUMIFS($X:$X,F:F,F573,$C:$C,$C573,$AG:$AG,$AG573)/SUMIF(符文权重!$A:$A,$C573,符文权重!$D:$D))),"")</f>
        <v/>
      </c>
      <c r="M573" s="39" t="str" cm="1">
        <f t="array" ref="M573">IFERROR(IF($A573="","",IF(G573="","",_xlfn.XLOOKUP($C573&amp;"_"&amp;$AG573,符文权重!$A:$A&amp;"_"&amp;符文权重!$C:$C,符文权重!$D:$D)*$X573/SUMIFS($X:$X,G:G,G573,$C:$C,$C573,$AG:$AG,$AG573)/SUMIF(符文权重!$A:$A,$C573,符文权重!$D:$D))),"")</f>
        <v/>
      </c>
      <c r="N573" s="39" t="str" cm="1">
        <f t="array" ref="N573">IFERROR(IF($A573="","",IF(H573="","",_xlfn.XLOOKUP($C573&amp;"_"&amp;$AG573,符文权重!$A:$A&amp;"_"&amp;符文权重!$C:$C,符文权重!$D:$D)*$X573/SUMIFS($X:$X,H:H,H573,$C:$C,$C573,$AG:$AG,$AG573)/SUMIF(符文权重!$A:$A,$C573,符文权重!$D:$D))),"")</f>
        <v/>
      </c>
      <c r="O573" s="39" t="str" cm="1">
        <f t="array" ref="O573">IFERROR(IF($A573="","",IF(I573="","",_xlfn.XLOOKUP($C573&amp;"_"&amp;$AG573,符文权重!$A:$A&amp;"_"&amp;符文权重!$C:$C,符文权重!$D:$D)*$X573/SUMIFS($X:$X,I:I,I573,$C:$C,$C573,$AG:$AG,$AG573)/SUMIF(符文权重!$A:$A,$C573,符文权重!$D:$D))),"")</f>
        <v/>
      </c>
      <c r="P573" s="39" t="str" cm="1">
        <f t="array" ref="P573">IFERROR(IF($A573="","",IF(J573="","",_xlfn.XLOOKUP($C573&amp;"_"&amp;$AG573,符文权重!$A:$A&amp;"_"&amp;符文权重!$C:$C,符文权重!$D:$D)*$X573/SUMIFS($X:$X,J:J,J573,$C:$C,$C573,$AG:$AG,$AG573)/SUMIF(符文权重!$A:$A,$C573,符文权重!$D:$D))),"")</f>
        <v/>
      </c>
      <c r="Q573" s="39" t="str" cm="1">
        <f t="array" ref="Q573">IFERROR(IF($A573="","",IF(K573="","",_xlfn.XLOOKUP($C573&amp;"_"&amp;$AG573,符文权重!$A:$A&amp;"_"&amp;符文权重!$C:$C,符文权重!$D:$D)*$X573/SUMIFS($X:$X,K:K,K573,$C:$C,$C573,$AG:$AG,$AG573)/SUMIF(符文权重!$A:$A,$C573,符文权重!$D:$D))),"")</f>
        <v/>
      </c>
      <c r="R573" s="26"/>
      <c r="S573" s="26"/>
      <c r="T573" s="26"/>
      <c r="V573" s="31"/>
      <c r="W573" s="25"/>
      <c r="X573" s="25"/>
      <c r="Y573" s="25"/>
      <c r="Z573" s="26"/>
      <c r="AA573" s="32" t="str">
        <f t="shared" si="264"/>
        <v/>
      </c>
      <c r="AB573" s="32"/>
      <c r="AC573" s="32" t="s">
        <v>166</v>
      </c>
      <c r="AD573" s="32">
        <f t="shared" si="258"/>
        <v>1568</v>
      </c>
      <c r="AF573" s="26"/>
      <c r="AG573" s="26"/>
      <c r="AH573" s="26"/>
      <c r="AI573" s="26"/>
      <c r="AJ573" s="25" t="s">
        <v>167</v>
      </c>
      <c r="AK573" s="24"/>
      <c r="AL573" s="27"/>
      <c r="AM573" s="25"/>
      <c r="AN573" s="25"/>
      <c r="AO573" s="25"/>
      <c r="AP573" s="20">
        <f t="shared" si="259"/>
        <v>568</v>
      </c>
    </row>
    <row r="574" customHeight="1" spans="1:42">
      <c r="A574" s="25"/>
      <c r="C574" s="25"/>
      <c r="D574" s="25"/>
      <c r="F574" s="26" t="str">
        <f t="shared" si="255"/>
        <v/>
      </c>
      <c r="G574" s="26" t="str">
        <f>IFERROR(IF(--MID($E574,2*COUNTIF($F574:F574,"&gt;"&amp;0)+2,1)=G$1,G$1,""),"")</f>
        <v/>
      </c>
      <c r="H574" s="26" t="str">
        <f>IFERROR(IF(--MID($E574,2*COUNTIF($F574:G574,"&gt;"&amp;0)+2,1)=H$1,H$1,""),"")</f>
        <v/>
      </c>
      <c r="I574" s="26" t="str">
        <f>IFERROR(IF(--MID($E574,2*COUNTIF($F574:H574,"&gt;"&amp;0)+2,1)=I$1,I$1,""),"")</f>
        <v/>
      </c>
      <c r="J574" s="26" t="str">
        <f>IFERROR(IF(--MID($E574,2*COUNTIF($F574:I574,"&gt;"&amp;0)+2,1)=J$1,J$1,""),"")</f>
        <v/>
      </c>
      <c r="K574" s="26" t="str">
        <f>IFERROR(IF(--MID($E574,2*COUNTIF($F574:J574,"&gt;"&amp;0)+2,1)=K$1,K$1,""),"")</f>
        <v/>
      </c>
      <c r="L574" s="39" t="str" cm="1">
        <f t="array" ref="L574">IFERROR(IF($A574="","",IF(F574="","",_xlfn.XLOOKUP($C574&amp;"_"&amp;$AG574,符文权重!$A:$A&amp;"_"&amp;符文权重!$C:$C,符文权重!$D:$D)*$X574/SUMIFS($X:$X,F:F,F574,$C:$C,$C574,$AG:$AG,$AG574)/SUMIF(符文权重!$A:$A,$C574,符文权重!$D:$D))),"")</f>
        <v/>
      </c>
      <c r="M574" s="39" t="str" cm="1">
        <f t="array" ref="M574">IFERROR(IF($A574="","",IF(G574="","",_xlfn.XLOOKUP($C574&amp;"_"&amp;$AG574,符文权重!$A:$A&amp;"_"&amp;符文权重!$C:$C,符文权重!$D:$D)*$X574/SUMIFS($X:$X,G:G,G574,$C:$C,$C574,$AG:$AG,$AG574)/SUMIF(符文权重!$A:$A,$C574,符文权重!$D:$D))),"")</f>
        <v/>
      </c>
      <c r="N574" s="39" t="str" cm="1">
        <f t="array" ref="N574">IFERROR(IF($A574="","",IF(H574="","",_xlfn.XLOOKUP($C574&amp;"_"&amp;$AG574,符文权重!$A:$A&amp;"_"&amp;符文权重!$C:$C,符文权重!$D:$D)*$X574/SUMIFS($X:$X,H:H,H574,$C:$C,$C574,$AG:$AG,$AG574)/SUMIF(符文权重!$A:$A,$C574,符文权重!$D:$D))),"")</f>
        <v/>
      </c>
      <c r="O574" s="39" t="str" cm="1">
        <f t="array" ref="O574">IFERROR(IF($A574="","",IF(I574="","",_xlfn.XLOOKUP($C574&amp;"_"&amp;$AG574,符文权重!$A:$A&amp;"_"&amp;符文权重!$C:$C,符文权重!$D:$D)*$X574/SUMIFS($X:$X,I:I,I574,$C:$C,$C574,$AG:$AG,$AG574)/SUMIF(符文权重!$A:$A,$C574,符文权重!$D:$D))),"")</f>
        <v/>
      </c>
      <c r="P574" s="39" t="str" cm="1">
        <f t="array" ref="P574">IFERROR(IF($A574="","",IF(J574="","",_xlfn.XLOOKUP($C574&amp;"_"&amp;$AG574,符文权重!$A:$A&amp;"_"&amp;符文权重!$C:$C,符文权重!$D:$D)*$X574/SUMIFS($X:$X,J:J,J574,$C:$C,$C574,$AG:$AG,$AG574)/SUMIF(符文权重!$A:$A,$C574,符文权重!$D:$D))),"")</f>
        <v/>
      </c>
      <c r="Q574" s="39" t="str" cm="1">
        <f t="array" ref="Q574">IFERROR(IF($A574="","",IF(K574="","",_xlfn.XLOOKUP($C574&amp;"_"&amp;$AG574,符文权重!$A:$A&amp;"_"&amp;符文权重!$C:$C,符文权重!$D:$D)*$X574/SUMIFS($X:$X,K:K,K574,$C:$C,$C574,$AG:$AG,$AG574)/SUMIF(符文权重!$A:$A,$C574,符文权重!$D:$D))),"")</f>
        <v/>
      </c>
      <c r="V574" s="25"/>
      <c r="AA574" s="32" t="str">
        <f t="shared" si="264"/>
        <v/>
      </c>
      <c r="AB574" s="32"/>
      <c r="AC574" s="32" t="s">
        <v>166</v>
      </c>
      <c r="AD574" s="32">
        <f t="shared" si="258"/>
        <v>1569</v>
      </c>
      <c r="AJ574" s="25" t="s">
        <v>167</v>
      </c>
      <c r="AK574" s="25"/>
      <c r="AL574" s="25"/>
      <c r="AP574" s="20">
        <f t="shared" si="259"/>
        <v>569</v>
      </c>
    </row>
    <row r="575" s="20" customFormat="1" customHeight="1" spans="1:42">
      <c r="A575" s="25">
        <v>5510011</v>
      </c>
      <c r="B575" s="25">
        <v>5301220</v>
      </c>
      <c r="C575" s="25">
        <v>1</v>
      </c>
      <c r="D575" s="25"/>
      <c r="E575" s="25" t="s">
        <v>200</v>
      </c>
      <c r="F575" s="26" t="str">
        <f t="shared" si="255"/>
        <v/>
      </c>
      <c r="G575" s="26">
        <f>IFERROR(IF(--MID($E575,2*COUNTIF($F575:F575,"&gt;"&amp;0)+2,1)=G$1,G$1,""),"")</f>
        <v>2</v>
      </c>
      <c r="H575" s="26" t="str">
        <f>IFERROR(IF(--MID($E575,2*COUNTIF($F575:G575,"&gt;"&amp;0)+2,1)=H$1,H$1,""),"")</f>
        <v/>
      </c>
      <c r="I575" s="26" t="str">
        <f>IFERROR(IF(--MID($E575,2*COUNTIF($F575:H575,"&gt;"&amp;0)+2,1)=I$1,I$1,""),"")</f>
        <v/>
      </c>
      <c r="J575" s="26" t="str">
        <f>IFERROR(IF(--MID($E575,2*COUNTIF($F575:I575,"&gt;"&amp;0)+2,1)=J$1,J$1,""),"")</f>
        <v/>
      </c>
      <c r="K575" s="26" t="str">
        <f>IFERROR(IF(--MID($E575,2*COUNTIF($F575:J575,"&gt;"&amp;0)+2,1)=K$1,K$1,""),"")</f>
        <v/>
      </c>
      <c r="L575" s="39" t="str" cm="1">
        <f t="array" ref="L575">IFERROR(IF($A575="","",IF(F575="","",_xlfn.XLOOKUP($C575&amp;"_"&amp;$AG575,符文权重!$A:$A&amp;"_"&amp;符文权重!$C:$C,符文权重!$D:$D)*$X575/SUMIFS($X:$X,F:F,F575,$C:$C,$C575,$AG:$AG,$AG575)/SUMIF(符文权重!$A:$A,$C575,符文权重!$D:$D))),"")</f>
        <v/>
      </c>
      <c r="M575" s="39" cm="1">
        <f t="array" ref="M575">IFERROR(IF($A575="","",IF(G575="","",_xlfn.XLOOKUP($C575&amp;"_"&amp;$AG575,符文权重!$A:$A&amp;"_"&amp;符文权重!$C:$C,符文权重!$D:$D)*$X575/SUMIFS($X:$X,G:G,G575,$C:$C,$C575,$AG:$AG,$AG575)/SUMIF(符文权重!$A:$A,$C575,符文权重!$D:$D))),"")</f>
        <v>0.025</v>
      </c>
      <c r="N575" s="39" t="str" cm="1">
        <f t="array" ref="N575">IFERROR(IF($A575="","",IF(H575="","",_xlfn.XLOOKUP($C575&amp;"_"&amp;$AG575,符文权重!$A:$A&amp;"_"&amp;符文权重!$C:$C,符文权重!$D:$D)*$X575/SUMIFS($X:$X,H:H,H575,$C:$C,$C575,$AG:$AG,$AG575)/SUMIF(符文权重!$A:$A,$C575,符文权重!$D:$D))),"")</f>
        <v/>
      </c>
      <c r="O575" s="39" t="str" cm="1">
        <f t="array" ref="O575">IFERROR(IF($A575="","",IF(I575="","",_xlfn.XLOOKUP($C575&amp;"_"&amp;$AG575,符文权重!$A:$A&amp;"_"&amp;符文权重!$C:$C,符文权重!$D:$D)*$X575/SUMIFS($X:$X,I:I,I575,$C:$C,$C575,$AG:$AG,$AG575)/SUMIF(符文权重!$A:$A,$C575,符文权重!$D:$D))),"")</f>
        <v/>
      </c>
      <c r="P575" s="39" t="str" cm="1">
        <f t="array" ref="P575">IFERROR(IF($A575="","",IF(J575="","",_xlfn.XLOOKUP($C575&amp;"_"&amp;$AG575,符文权重!$A:$A&amp;"_"&amp;符文权重!$C:$C,符文权重!$D:$D)*$X575/SUMIFS($X:$X,J:J,J575,$C:$C,$C575,$AG:$AG,$AG575)/SUMIF(符文权重!$A:$A,$C575,符文权重!$D:$D))),"")</f>
        <v/>
      </c>
      <c r="Q575" s="39" t="str" cm="1">
        <f t="array" ref="Q575">IFERROR(IF($A575="","",IF(K575="","",_xlfn.XLOOKUP($C575&amp;"_"&amp;$AG575,符文权重!$A:$A&amp;"_"&amp;符文权重!$C:$C,符文权重!$D:$D)*$X575/SUMIFS($X:$X,K:K,K575,$C:$C,$C575,$AG:$AG,$AG575)/SUMIF(符文权重!$A:$A,$C575,符文权重!$D:$D))),"")</f>
        <v/>
      </c>
      <c r="R575" s="25" t="s">
        <v>330</v>
      </c>
      <c r="S575" s="25" t="s">
        <v>538</v>
      </c>
      <c r="T575" s="25" t="s">
        <v>380</v>
      </c>
      <c r="U575" s="25" t="s">
        <v>539</v>
      </c>
      <c r="W575" s="25" t="s">
        <v>540</v>
      </c>
      <c r="X575" s="25">
        <v>100</v>
      </c>
      <c r="Z575" s="25" t="s">
        <v>165</v>
      </c>
      <c r="AA575" s="32" t="str">
        <f t="shared" si="264"/>
        <v>寒冰射手攻击时，35%几率释放1个伤害50%的冰锥</v>
      </c>
      <c r="AB575" s="32"/>
      <c r="AC575" s="32" t="s">
        <v>166</v>
      </c>
      <c r="AD575" s="32">
        <f t="shared" si="258"/>
        <v>1570</v>
      </c>
      <c r="AE575" s="25">
        <v>5301220</v>
      </c>
      <c r="AF575" s="25" t="s">
        <v>541</v>
      </c>
      <c r="AG575" s="25">
        <v>4</v>
      </c>
      <c r="AJ575" s="25">
        <v>1</v>
      </c>
      <c r="AK575" s="26"/>
      <c r="AL575" s="25" t="s">
        <v>542</v>
      </c>
      <c r="AM575" s="26"/>
      <c r="AN575" s="25">
        <v>4</v>
      </c>
      <c r="AO575" s="25" t="s">
        <v>32</v>
      </c>
      <c r="AP575" s="20">
        <f t="shared" si="259"/>
        <v>570</v>
      </c>
    </row>
    <row r="576" s="20" customFormat="1" customHeight="1" spans="1:42">
      <c r="A576" s="25">
        <v>5510012</v>
      </c>
      <c r="B576" s="25">
        <v>5301220</v>
      </c>
      <c r="C576" s="25">
        <v>2</v>
      </c>
      <c r="D576" s="25"/>
      <c r="E576" s="25" t="s">
        <v>200</v>
      </c>
      <c r="F576" s="26" t="str">
        <f t="shared" si="255"/>
        <v/>
      </c>
      <c r="G576" s="26">
        <f>IFERROR(IF(--MID($E576,2*COUNTIF($F576:F576,"&gt;"&amp;0)+2,1)=G$1,G$1,""),"")</f>
        <v>2</v>
      </c>
      <c r="H576" s="26" t="str">
        <f>IFERROR(IF(--MID($E576,2*COUNTIF($F576:G576,"&gt;"&amp;0)+2,1)=H$1,H$1,""),"")</f>
        <v/>
      </c>
      <c r="I576" s="26" t="str">
        <f>IFERROR(IF(--MID($E576,2*COUNTIF($F576:H576,"&gt;"&amp;0)+2,1)=I$1,I$1,""),"")</f>
        <v/>
      </c>
      <c r="J576" s="26" t="str">
        <f>IFERROR(IF(--MID($E576,2*COUNTIF($F576:I576,"&gt;"&amp;0)+2,1)=J$1,J$1,""),"")</f>
        <v/>
      </c>
      <c r="K576" s="26" t="str">
        <f>IFERROR(IF(--MID($E576,2*COUNTIF($F576:J576,"&gt;"&amp;0)+2,1)=K$1,K$1,""),"")</f>
        <v/>
      </c>
      <c r="L576" s="39" t="str" cm="1">
        <f t="array" ref="L576">IFERROR(IF($A576="","",IF(F576="","",_xlfn.XLOOKUP($C576&amp;"_"&amp;$AG576,符文权重!$A:$A&amp;"_"&amp;符文权重!$C:$C,符文权重!$D:$D)*$X576/SUMIFS($X:$X,F:F,F576,$C:$C,$C576,$AG:$AG,$AG576)/SUMIF(符文权重!$A:$A,$C576,符文权重!$D:$D))),"")</f>
        <v/>
      </c>
      <c r="M576" s="39" cm="1">
        <f t="array" ref="M576">IFERROR(IF($A576="","",IF(G576="","",_xlfn.XLOOKUP($C576&amp;"_"&amp;$AG576,符文权重!$A:$A&amp;"_"&amp;符文权重!$C:$C,符文权重!$D:$D)*$X576/SUMIFS($X:$X,G:G,G576,$C:$C,$C576,$AG:$AG,$AG576)/SUMIF(符文权重!$A:$A,$C576,符文权重!$D:$D))),"")</f>
        <v>0.025</v>
      </c>
      <c r="N576" s="39" t="str" cm="1">
        <f t="array" ref="N576">IFERROR(IF($A576="","",IF(H576="","",_xlfn.XLOOKUP($C576&amp;"_"&amp;$AG576,符文权重!$A:$A&amp;"_"&amp;符文权重!$C:$C,符文权重!$D:$D)*$X576/SUMIFS($X:$X,H:H,H576,$C:$C,$C576,$AG:$AG,$AG576)/SUMIF(符文权重!$A:$A,$C576,符文权重!$D:$D))),"")</f>
        <v/>
      </c>
      <c r="O576" s="39" t="str" cm="1">
        <f t="array" ref="O576">IFERROR(IF($A576="","",IF(I576="","",_xlfn.XLOOKUP($C576&amp;"_"&amp;$AG576,符文权重!$A:$A&amp;"_"&amp;符文权重!$C:$C,符文权重!$D:$D)*$X576/SUMIFS($X:$X,I:I,I576,$C:$C,$C576,$AG:$AG,$AG576)/SUMIF(符文权重!$A:$A,$C576,符文权重!$D:$D))),"")</f>
        <v/>
      </c>
      <c r="P576" s="39" t="str" cm="1">
        <f t="array" ref="P576">IFERROR(IF($A576="","",IF(J576="","",_xlfn.XLOOKUP($C576&amp;"_"&amp;$AG576,符文权重!$A:$A&amp;"_"&amp;符文权重!$C:$C,符文权重!$D:$D)*$X576/SUMIFS($X:$X,J:J,J576,$C:$C,$C576,$AG:$AG,$AG576)/SUMIF(符文权重!$A:$A,$C576,符文权重!$D:$D))),"")</f>
        <v/>
      </c>
      <c r="Q576" s="39" t="str" cm="1">
        <f t="array" ref="Q576">IFERROR(IF($A576="","",IF(K576="","",_xlfn.XLOOKUP($C576&amp;"_"&amp;$AG576,符文权重!$A:$A&amp;"_"&amp;符文权重!$C:$C,符文权重!$D:$D)*$X576/SUMIFS($X:$X,K:K,K576,$C:$C,$C576,$AG:$AG,$AG576)/SUMIF(符文权重!$A:$A,$C576,符文权重!$D:$D))),"")</f>
        <v/>
      </c>
      <c r="R576" s="25" t="s">
        <v>330</v>
      </c>
      <c r="S576" s="25" t="s">
        <v>538</v>
      </c>
      <c r="T576" s="25" t="s">
        <v>383</v>
      </c>
      <c r="U576" s="25" t="s">
        <v>543</v>
      </c>
      <c r="W576" s="25" t="s">
        <v>544</v>
      </c>
      <c r="X576" s="25">
        <v>100</v>
      </c>
      <c r="Z576" s="25" t="s">
        <v>170</v>
      </c>
      <c r="AA576" s="32" t="str">
        <f t="shared" si="264"/>
        <v>寒冰射手攻击时，35%几率释放1个伤害70%的冰锥</v>
      </c>
      <c r="AB576" s="32"/>
      <c r="AC576" s="32" t="s">
        <v>166</v>
      </c>
      <c r="AD576" s="32">
        <f t="shared" si="258"/>
        <v>1571</v>
      </c>
      <c r="AE576" s="25">
        <v>5301220</v>
      </c>
      <c r="AF576" s="25" t="s">
        <v>545</v>
      </c>
      <c r="AG576" s="25">
        <v>4</v>
      </c>
      <c r="AJ576" s="25">
        <v>1</v>
      </c>
      <c r="AK576" s="26"/>
      <c r="AL576" s="25" t="s">
        <v>546</v>
      </c>
      <c r="AM576" s="26"/>
      <c r="AN576" s="25">
        <v>4</v>
      </c>
      <c r="AO576" s="25" t="s">
        <v>32</v>
      </c>
      <c r="AP576" s="20">
        <f t="shared" si="259"/>
        <v>571</v>
      </c>
    </row>
    <row r="577" s="20" customFormat="1" customHeight="1" spans="1:42">
      <c r="C577" s="26"/>
      <c r="D577" s="26"/>
      <c r="E577" s="25"/>
      <c r="F577" s="26" t="str">
        <f t="shared" si="255"/>
        <v/>
      </c>
      <c r="G577" s="26" t="str">
        <f>IFERROR(IF(--MID($E577,2*COUNTIF($F577:F577,"&gt;"&amp;0)+2,1)=G$1,G$1,""),"")</f>
        <v/>
      </c>
      <c r="H577" s="26" t="str">
        <f>IFERROR(IF(--MID($E577,2*COUNTIF($F577:G577,"&gt;"&amp;0)+2,1)=H$1,H$1,""),"")</f>
        <v/>
      </c>
      <c r="I577" s="26" t="str">
        <f>IFERROR(IF(--MID($E577,2*COUNTIF($F577:H577,"&gt;"&amp;0)+2,1)=I$1,I$1,""),"")</f>
        <v/>
      </c>
      <c r="J577" s="26" t="str">
        <f>IFERROR(IF(--MID($E577,2*COUNTIF($F577:I577,"&gt;"&amp;0)+2,1)=J$1,J$1,""),"")</f>
        <v/>
      </c>
      <c r="K577" s="26" t="str">
        <f>IFERROR(IF(--MID($E577,2*COUNTIF($F577:J577,"&gt;"&amp;0)+2,1)=K$1,K$1,""),"")</f>
        <v/>
      </c>
      <c r="L577" s="39" t="str" cm="1">
        <f t="array" ref="L577">IFERROR(IF($A577="","",IF(F577="","",_xlfn.XLOOKUP($C577&amp;"_"&amp;$AG577,符文权重!$A:$A&amp;"_"&amp;符文权重!$C:$C,符文权重!$D:$D)*$X577/SUMIFS($X:$X,F:F,F577,$C:$C,$C577,$AG:$AG,$AG577)/SUMIF(符文权重!$A:$A,$C577,符文权重!$D:$D))),"")</f>
        <v/>
      </c>
      <c r="M577" s="39" t="str" cm="1">
        <f t="array" ref="M577">IFERROR(IF($A577="","",IF(G577="","",_xlfn.XLOOKUP($C577&amp;"_"&amp;$AG577,符文权重!$A:$A&amp;"_"&amp;符文权重!$C:$C,符文权重!$D:$D)*$X577/SUMIFS($X:$X,G:G,G577,$C:$C,$C577,$AG:$AG,$AG577)/SUMIF(符文权重!$A:$A,$C577,符文权重!$D:$D))),"")</f>
        <v/>
      </c>
      <c r="N577" s="39" t="str" cm="1">
        <f t="array" ref="N577">IFERROR(IF($A577="","",IF(H577="","",_xlfn.XLOOKUP($C577&amp;"_"&amp;$AG577,符文权重!$A:$A&amp;"_"&amp;符文权重!$C:$C,符文权重!$D:$D)*$X577/SUMIFS($X:$X,H:H,H577,$C:$C,$C577,$AG:$AG,$AG577)/SUMIF(符文权重!$A:$A,$C577,符文权重!$D:$D))),"")</f>
        <v/>
      </c>
      <c r="O577" s="39" t="str" cm="1">
        <f t="array" ref="O577">IFERROR(IF($A577="","",IF(I577="","",_xlfn.XLOOKUP($C577&amp;"_"&amp;$AG577,符文权重!$A:$A&amp;"_"&amp;符文权重!$C:$C,符文权重!$D:$D)*$X577/SUMIFS($X:$X,I:I,I577,$C:$C,$C577,$AG:$AG,$AG577)/SUMIF(符文权重!$A:$A,$C577,符文权重!$D:$D))),"")</f>
        <v/>
      </c>
      <c r="P577" s="39" t="str" cm="1">
        <f t="array" ref="P577">IFERROR(IF($A577="","",IF(J577="","",_xlfn.XLOOKUP($C577&amp;"_"&amp;$AG577,符文权重!$A:$A&amp;"_"&amp;符文权重!$C:$C,符文权重!$D:$D)*$X577/SUMIFS($X:$X,J:J,J577,$C:$C,$C577,$AG:$AG,$AG577)/SUMIF(符文权重!$A:$A,$C577,符文权重!$D:$D))),"")</f>
        <v/>
      </c>
      <c r="Q577" s="39" t="str" cm="1">
        <f t="array" ref="Q577">IFERROR(IF($A577="","",IF(K577="","",_xlfn.XLOOKUP($C577&amp;"_"&amp;$AG577,符文权重!$A:$A&amp;"_"&amp;符文权重!$C:$C,符文权重!$D:$D)*$X577/SUMIFS($X:$X,K:K,K577,$C:$C,$C577,$AG:$AG,$AG577)/SUMIF(符文权重!$A:$A,$C577,符文权重!$D:$D))),"")</f>
        <v/>
      </c>
      <c r="R577" s="26"/>
      <c r="S577" s="26"/>
      <c r="T577" s="26"/>
      <c r="V577" s="31"/>
      <c r="W577" s="25"/>
      <c r="X577" s="25"/>
      <c r="Y577" s="25"/>
      <c r="Z577" s="26"/>
      <c r="AA577" s="32" t="str">
        <f t="shared" si="264"/>
        <v/>
      </c>
      <c r="AB577" s="32"/>
      <c r="AC577" s="32" t="s">
        <v>166</v>
      </c>
      <c r="AD577" s="32">
        <f t="shared" si="258"/>
        <v>1572</v>
      </c>
      <c r="AF577" s="26"/>
      <c r="AG577" s="26"/>
      <c r="AH577" s="26"/>
      <c r="AI577" s="26"/>
      <c r="AJ577" s="25" t="s">
        <v>167</v>
      </c>
      <c r="AK577" s="26"/>
      <c r="AL577" s="26"/>
      <c r="AM577" s="26"/>
      <c r="AN577" s="25">
        <v>4</v>
      </c>
      <c r="AO577" s="25" t="s">
        <v>32</v>
      </c>
      <c r="AP577" s="20">
        <f t="shared" si="259"/>
        <v>572</v>
      </c>
    </row>
    <row r="578" s="20" customFormat="1" customHeight="1" spans="1:42">
      <c r="A578" s="25">
        <v>5510021</v>
      </c>
      <c r="B578" s="25">
        <v>5301221</v>
      </c>
      <c r="C578" s="25">
        <v>1</v>
      </c>
      <c r="D578" s="25"/>
      <c r="E578" s="25" t="s">
        <v>182</v>
      </c>
      <c r="F578" s="26" t="str">
        <f t="shared" si="255"/>
        <v/>
      </c>
      <c r="G578" s="26" t="str">
        <f>IFERROR(IF(--MID($E578,2*COUNTIF($F578:F578,"&gt;"&amp;0)+2,1)=G$1,G$1,""),"")</f>
        <v/>
      </c>
      <c r="H578" s="26">
        <f>IFERROR(IF(--MID($E578,2*COUNTIF($F578:G578,"&gt;"&amp;0)+2,1)=H$1,H$1,""),"")</f>
        <v>3</v>
      </c>
      <c r="I578" s="26" t="str">
        <f>IFERROR(IF(--MID($E578,2*COUNTIF($F578:H578,"&gt;"&amp;0)+2,1)=I$1,I$1,""),"")</f>
        <v/>
      </c>
      <c r="J578" s="26" t="str">
        <f>IFERROR(IF(--MID($E578,2*COUNTIF($F578:I578,"&gt;"&amp;0)+2,1)=J$1,J$1,""),"")</f>
        <v/>
      </c>
      <c r="K578" s="26" t="str">
        <f>IFERROR(IF(--MID($E578,2*COUNTIF($F578:J578,"&gt;"&amp;0)+2,1)=K$1,K$1,""),"")</f>
        <v/>
      </c>
      <c r="L578" s="39" t="str" cm="1">
        <f t="array" ref="L578">IFERROR(IF($A578="","",IF(F578="","",_xlfn.XLOOKUP($C578&amp;"_"&amp;$AG578,符文权重!$A:$A&amp;"_"&amp;符文权重!$C:$C,符文权重!$D:$D)*$X578/SUMIFS($X:$X,F:F,F578,$C:$C,$C578,$AG:$AG,$AG578)/SUMIF(符文权重!$A:$A,$C578,符文权重!$D:$D))),"")</f>
        <v/>
      </c>
      <c r="M578" s="39" t="str" cm="1">
        <f t="array" ref="M578">IFERROR(IF($A578="","",IF(G578="","",_xlfn.XLOOKUP($C578&amp;"_"&amp;$AG578,符文权重!$A:$A&amp;"_"&amp;符文权重!$C:$C,符文权重!$D:$D)*$X578/SUMIFS($X:$X,G:G,G578,$C:$C,$C578,$AG:$AG,$AG578)/SUMIF(符文权重!$A:$A,$C578,符文权重!$D:$D))),"")</f>
        <v/>
      </c>
      <c r="N578" s="39" cm="1">
        <f t="array" ref="N578">IFERROR(IF($A578="","",IF(H578="","",_xlfn.XLOOKUP($C578&amp;"_"&amp;$AG578,符文权重!$A:$A&amp;"_"&amp;符文权重!$C:$C,符文权重!$D:$D)*$X578/SUMIFS($X:$X,H:H,H578,$C:$C,$C578,$AG:$AG,$AG578)/SUMIF(符文权重!$A:$A,$C578,符文权重!$D:$D))),"")</f>
        <v>0.025</v>
      </c>
      <c r="O578" s="39" t="str" cm="1">
        <f t="array" ref="O578">IFERROR(IF($A578="","",IF(I578="","",_xlfn.XLOOKUP($C578&amp;"_"&amp;$AG578,符文权重!$A:$A&amp;"_"&amp;符文权重!$C:$C,符文权重!$D:$D)*$X578/SUMIFS($X:$X,I:I,I578,$C:$C,$C578,$AG:$AG,$AG578)/SUMIF(符文权重!$A:$A,$C578,符文权重!$D:$D))),"")</f>
        <v/>
      </c>
      <c r="P578" s="39" t="str" cm="1">
        <f t="array" ref="P578">IFERROR(IF($A578="","",IF(J578="","",_xlfn.XLOOKUP($C578&amp;"_"&amp;$AG578,符文权重!$A:$A&amp;"_"&amp;符文权重!$C:$C,符文权重!$D:$D)*$X578/SUMIFS($X:$X,J:J,J578,$C:$C,$C578,$AG:$AG,$AG578)/SUMIF(符文权重!$A:$A,$C578,符文权重!$D:$D))),"")</f>
        <v/>
      </c>
      <c r="Q578" s="39" t="str" cm="1">
        <f t="array" ref="Q578">IFERROR(IF($A578="","",IF(K578="","",_xlfn.XLOOKUP($C578&amp;"_"&amp;$AG578,符文权重!$A:$A&amp;"_"&amp;符文权重!$C:$C,符文权重!$D:$D)*$X578/SUMIFS($X:$X,K:K,K578,$C:$C,$C578,$AG:$AG,$AG578)/SUMIF(符文权重!$A:$A,$C578,符文权重!$D:$D))),"")</f>
        <v/>
      </c>
      <c r="R578" s="25" t="s">
        <v>330</v>
      </c>
      <c r="S578" s="25" t="s">
        <v>538</v>
      </c>
      <c r="T578" s="25" t="s">
        <v>380</v>
      </c>
      <c r="U578" s="25" t="s">
        <v>547</v>
      </c>
      <c r="W578" s="25" t="s">
        <v>540</v>
      </c>
      <c r="X578" s="25">
        <v>100</v>
      </c>
      <c r="Z578" s="25" t="s">
        <v>165</v>
      </c>
      <c r="AA578" s="32" t="str">
        <f t="shared" si="264"/>
        <v>寒冰射手箭矢穿透+1，伤害-20%</v>
      </c>
      <c r="AB578" s="32"/>
      <c r="AC578" s="32" t="s">
        <v>166</v>
      </c>
      <c r="AD578" s="32">
        <f t="shared" si="258"/>
        <v>1573</v>
      </c>
      <c r="AE578" s="25">
        <v>5301221</v>
      </c>
      <c r="AF578" s="25" t="s">
        <v>396</v>
      </c>
      <c r="AG578" s="25">
        <v>4</v>
      </c>
      <c r="AJ578" s="25">
        <v>1</v>
      </c>
      <c r="AK578" s="26"/>
      <c r="AL578" s="25" t="s">
        <v>548</v>
      </c>
      <c r="AM578" s="26"/>
      <c r="AN578" s="25">
        <v>4</v>
      </c>
      <c r="AO578" s="25" t="s">
        <v>32</v>
      </c>
      <c r="AP578" s="20">
        <f t="shared" si="259"/>
        <v>573</v>
      </c>
    </row>
    <row r="579" s="20" customFormat="1" customHeight="1" spans="1:42">
      <c r="A579" s="25">
        <v>5510022</v>
      </c>
      <c r="B579" s="25">
        <v>5301221</v>
      </c>
      <c r="C579" s="25">
        <v>2</v>
      </c>
      <c r="D579" s="25"/>
      <c r="E579" s="25" t="s">
        <v>182</v>
      </c>
      <c r="F579" s="26" t="str">
        <f t="shared" si="255"/>
        <v/>
      </c>
      <c r="G579" s="26" t="str">
        <f>IFERROR(IF(--MID($E579,2*COUNTIF($F579:F579,"&gt;"&amp;0)+2,1)=G$1,G$1,""),"")</f>
        <v/>
      </c>
      <c r="H579" s="26">
        <f>IFERROR(IF(--MID($E579,2*COUNTIF($F579:G579,"&gt;"&amp;0)+2,1)=H$1,H$1,""),"")</f>
        <v>3</v>
      </c>
      <c r="I579" s="26" t="str">
        <f>IFERROR(IF(--MID($E579,2*COUNTIF($F579:H579,"&gt;"&amp;0)+2,1)=I$1,I$1,""),"")</f>
        <v/>
      </c>
      <c r="J579" s="26" t="str">
        <f>IFERROR(IF(--MID($E579,2*COUNTIF($F579:I579,"&gt;"&amp;0)+2,1)=J$1,J$1,""),"")</f>
        <v/>
      </c>
      <c r="K579" s="26" t="str">
        <f>IFERROR(IF(--MID($E579,2*COUNTIF($F579:J579,"&gt;"&amp;0)+2,1)=K$1,K$1,""),"")</f>
        <v/>
      </c>
      <c r="L579" s="39" t="str" cm="1">
        <f t="array" ref="L579">IFERROR(IF($A579="","",IF(F579="","",_xlfn.XLOOKUP($C579&amp;"_"&amp;$AG579,符文权重!$A:$A&amp;"_"&amp;符文权重!$C:$C,符文权重!$D:$D)*$X579/SUMIFS($X:$X,F:F,F579,$C:$C,$C579,$AG:$AG,$AG579)/SUMIF(符文权重!$A:$A,$C579,符文权重!$D:$D))),"")</f>
        <v/>
      </c>
      <c r="M579" s="39" t="str" cm="1">
        <f t="array" ref="M579">IFERROR(IF($A579="","",IF(G579="","",_xlfn.XLOOKUP($C579&amp;"_"&amp;$AG579,符文权重!$A:$A&amp;"_"&amp;符文权重!$C:$C,符文权重!$D:$D)*$X579/SUMIFS($X:$X,G:G,G579,$C:$C,$C579,$AG:$AG,$AG579)/SUMIF(符文权重!$A:$A,$C579,符文权重!$D:$D))),"")</f>
        <v/>
      </c>
      <c r="N579" s="39" cm="1">
        <f t="array" ref="N579">IFERROR(IF($A579="","",IF(H579="","",_xlfn.XLOOKUP($C579&amp;"_"&amp;$AG579,符文权重!$A:$A&amp;"_"&amp;符文权重!$C:$C,符文权重!$D:$D)*$X579/SUMIFS($X:$X,H:H,H579,$C:$C,$C579,$AG:$AG,$AG579)/SUMIF(符文权重!$A:$A,$C579,符文权重!$D:$D))),"")</f>
        <v>0.025</v>
      </c>
      <c r="O579" s="39" t="str" cm="1">
        <f t="array" ref="O579">IFERROR(IF($A579="","",IF(I579="","",_xlfn.XLOOKUP($C579&amp;"_"&amp;$AG579,符文权重!$A:$A&amp;"_"&amp;符文权重!$C:$C,符文权重!$D:$D)*$X579/SUMIFS($X:$X,I:I,I579,$C:$C,$C579,$AG:$AG,$AG579)/SUMIF(符文权重!$A:$A,$C579,符文权重!$D:$D))),"")</f>
        <v/>
      </c>
      <c r="P579" s="39" t="str" cm="1">
        <f t="array" ref="P579">IFERROR(IF($A579="","",IF(J579="","",_xlfn.XLOOKUP($C579&amp;"_"&amp;$AG579,符文权重!$A:$A&amp;"_"&amp;符文权重!$C:$C,符文权重!$D:$D)*$X579/SUMIFS($X:$X,J:J,J579,$C:$C,$C579,$AG:$AG,$AG579)/SUMIF(符文权重!$A:$A,$C579,符文权重!$D:$D))),"")</f>
        <v/>
      </c>
      <c r="Q579" s="39" t="str" cm="1">
        <f t="array" ref="Q579">IFERROR(IF($A579="","",IF(K579="","",_xlfn.XLOOKUP($C579&amp;"_"&amp;$AG579,符文权重!$A:$A&amp;"_"&amp;符文权重!$C:$C,符文权重!$D:$D)*$X579/SUMIFS($X:$X,K:K,K579,$C:$C,$C579,$AG:$AG,$AG579)/SUMIF(符文权重!$A:$A,$C579,符文权重!$D:$D))),"")</f>
        <v/>
      </c>
      <c r="R579" s="25" t="s">
        <v>330</v>
      </c>
      <c r="S579" s="25" t="s">
        <v>538</v>
      </c>
      <c r="T579" s="25" t="s">
        <v>383</v>
      </c>
      <c r="U579" s="25" t="s">
        <v>549</v>
      </c>
      <c r="W579" s="25" t="s">
        <v>544</v>
      </c>
      <c r="X579" s="25">
        <v>100</v>
      </c>
      <c r="Z579" s="25" t="s">
        <v>170</v>
      </c>
      <c r="AA579" s="32" t="str">
        <f t="shared" si="264"/>
        <v>寒冰射手箭矢穿透+1，伤害-10%</v>
      </c>
      <c r="AB579" s="32"/>
      <c r="AC579" s="32" t="s">
        <v>166</v>
      </c>
      <c r="AD579" s="32">
        <f t="shared" si="258"/>
        <v>1574</v>
      </c>
      <c r="AE579" s="25">
        <v>5301221</v>
      </c>
      <c r="AF579" s="25" t="s">
        <v>390</v>
      </c>
      <c r="AG579" s="25">
        <v>4</v>
      </c>
      <c r="AJ579" s="25">
        <v>1</v>
      </c>
      <c r="AK579" s="26"/>
      <c r="AL579" s="25" t="s">
        <v>550</v>
      </c>
      <c r="AM579" s="26"/>
      <c r="AN579" s="25">
        <v>4</v>
      </c>
      <c r="AO579" s="25" t="s">
        <v>32</v>
      </c>
      <c r="AP579" s="20">
        <f t="shared" si="259"/>
        <v>574</v>
      </c>
    </row>
    <row r="580" s="20" customFormat="1" customHeight="1" spans="1:42">
      <c r="A580" s="25"/>
      <c r="B580" s="25"/>
      <c r="C580" s="25"/>
      <c r="D580" s="25"/>
      <c r="E580" s="25"/>
      <c r="F580" s="26" t="str">
        <f t="shared" si="255"/>
        <v/>
      </c>
      <c r="G580" s="26" t="str">
        <f>IFERROR(IF(--MID($E580,2*COUNTIF($F580:F580,"&gt;"&amp;0)+2,1)=G$1,G$1,""),"")</f>
        <v/>
      </c>
      <c r="H580" s="26" t="str">
        <f>IFERROR(IF(--MID($E580,2*COUNTIF($F580:G580,"&gt;"&amp;0)+2,1)=H$1,H$1,""),"")</f>
        <v/>
      </c>
      <c r="I580" s="26" t="str">
        <f>IFERROR(IF(--MID($E580,2*COUNTIF($F580:H580,"&gt;"&amp;0)+2,1)=I$1,I$1,""),"")</f>
        <v/>
      </c>
      <c r="J580" s="26" t="str">
        <f>IFERROR(IF(--MID($E580,2*COUNTIF($F580:I580,"&gt;"&amp;0)+2,1)=J$1,J$1,""),"")</f>
        <v/>
      </c>
      <c r="K580" s="26" t="str">
        <f>IFERROR(IF(--MID($E580,2*COUNTIF($F580:J580,"&gt;"&amp;0)+2,1)=K$1,K$1,""),"")</f>
        <v/>
      </c>
      <c r="L580" s="39" t="str" cm="1">
        <f t="array" ref="L580">IFERROR(IF($A580="","",IF(F580="","",_xlfn.XLOOKUP($C580&amp;"_"&amp;$AG580,符文权重!$A:$A&amp;"_"&amp;符文权重!$C:$C,符文权重!$D:$D)*$X580/SUMIFS($X:$X,F:F,F580,$C:$C,$C580,$AG:$AG,$AG580)/SUMIF(符文权重!$A:$A,$C580,符文权重!$D:$D))),"")</f>
        <v/>
      </c>
      <c r="M580" s="39" t="str" cm="1">
        <f t="array" ref="M580">IFERROR(IF($A580="","",IF(G580="","",_xlfn.XLOOKUP($C580&amp;"_"&amp;$AG580,符文权重!$A:$A&amp;"_"&amp;符文权重!$C:$C,符文权重!$D:$D)*$X580/SUMIFS($X:$X,G:G,G580,$C:$C,$C580,$AG:$AG,$AG580)/SUMIF(符文权重!$A:$A,$C580,符文权重!$D:$D))),"")</f>
        <v/>
      </c>
      <c r="N580" s="39" t="str" cm="1">
        <f t="array" ref="N580">IFERROR(IF($A580="","",IF(H580="","",_xlfn.XLOOKUP($C580&amp;"_"&amp;$AG580,符文权重!$A:$A&amp;"_"&amp;符文权重!$C:$C,符文权重!$D:$D)*$X580/SUMIFS($X:$X,H:H,H580,$C:$C,$C580,$AG:$AG,$AG580)/SUMIF(符文权重!$A:$A,$C580,符文权重!$D:$D))),"")</f>
        <v/>
      </c>
      <c r="O580" s="39" t="str" cm="1">
        <f t="array" ref="O580">IFERROR(IF($A580="","",IF(I580="","",_xlfn.XLOOKUP($C580&amp;"_"&amp;$AG580,符文权重!$A:$A&amp;"_"&amp;符文权重!$C:$C,符文权重!$D:$D)*$X580/SUMIFS($X:$X,I:I,I580,$C:$C,$C580,$AG:$AG,$AG580)/SUMIF(符文权重!$A:$A,$C580,符文权重!$D:$D))),"")</f>
        <v/>
      </c>
      <c r="P580" s="39" t="str" cm="1">
        <f t="array" ref="P580">IFERROR(IF($A580="","",IF(J580="","",_xlfn.XLOOKUP($C580&amp;"_"&amp;$AG580,符文权重!$A:$A&amp;"_"&amp;符文权重!$C:$C,符文权重!$D:$D)*$X580/SUMIFS($X:$X,J:J,J580,$C:$C,$C580,$AG:$AG,$AG580)/SUMIF(符文权重!$A:$A,$C580,符文权重!$D:$D))),"")</f>
        <v/>
      </c>
      <c r="Q580" s="39" t="str" cm="1">
        <f t="array" ref="Q580">IFERROR(IF($A580="","",IF(K580="","",_xlfn.XLOOKUP($C580&amp;"_"&amp;$AG580,符文权重!$A:$A&amp;"_"&amp;符文权重!$C:$C,符文权重!$D:$D)*$X580/SUMIFS($X:$X,K:K,K580,$C:$C,$C580,$AG:$AG,$AG580)/SUMIF(符文权重!$A:$A,$C580,符文权重!$D:$D))),"")</f>
        <v/>
      </c>
      <c r="R580" s="25" t="s">
        <v>167</v>
      </c>
      <c r="S580" s="25" t="s">
        <v>167</v>
      </c>
      <c r="T580" s="25" t="s">
        <v>167</v>
      </c>
      <c r="U580" s="25"/>
      <c r="W580" s="25" t="s">
        <v>167</v>
      </c>
      <c r="X580" s="25"/>
      <c r="Z580" s="25" t="s">
        <v>167</v>
      </c>
      <c r="AA580" s="32" t="str">
        <f t="shared" si="264"/>
        <v/>
      </c>
      <c r="AB580" s="32"/>
      <c r="AC580" s="32" t="s">
        <v>166</v>
      </c>
      <c r="AD580" s="32">
        <f t="shared" si="258"/>
        <v>1575</v>
      </c>
      <c r="AE580" s="25"/>
      <c r="AF580" s="25"/>
      <c r="AG580" s="25" t="s">
        <v>167</v>
      </c>
      <c r="AJ580" s="25" t="s">
        <v>167</v>
      </c>
      <c r="AK580" s="26"/>
      <c r="AL580" s="25"/>
      <c r="AM580" s="26"/>
      <c r="AN580" s="25">
        <v>4</v>
      </c>
      <c r="AO580" s="25" t="s">
        <v>32</v>
      </c>
      <c r="AP580" s="20">
        <f t="shared" si="259"/>
        <v>575</v>
      </c>
    </row>
    <row r="581" s="20" customFormat="1" customHeight="1" spans="1:42">
      <c r="A581" s="25">
        <v>5510031</v>
      </c>
      <c r="B581" s="25">
        <v>5301223</v>
      </c>
      <c r="C581" s="25">
        <v>1</v>
      </c>
      <c r="D581" s="25"/>
      <c r="E581" s="25" t="s">
        <v>182</v>
      </c>
      <c r="F581" s="26" t="str">
        <f t="shared" si="255"/>
        <v/>
      </c>
      <c r="G581" s="26" t="str">
        <f>IFERROR(IF(--MID($E581,2*COUNTIF($F581:F581,"&gt;"&amp;0)+2,1)=G$1,G$1,""),"")</f>
        <v/>
      </c>
      <c r="H581" s="26">
        <f>IFERROR(IF(--MID($E581,2*COUNTIF($F581:G581,"&gt;"&amp;0)+2,1)=H$1,H$1,""),"")</f>
        <v>3</v>
      </c>
      <c r="I581" s="26" t="str">
        <f>IFERROR(IF(--MID($E581,2*COUNTIF($F581:H581,"&gt;"&amp;0)+2,1)=I$1,I$1,""),"")</f>
        <v/>
      </c>
      <c r="J581" s="26" t="str">
        <f>IFERROR(IF(--MID($E581,2*COUNTIF($F581:I581,"&gt;"&amp;0)+2,1)=J$1,J$1,""),"")</f>
        <v/>
      </c>
      <c r="K581" s="26" t="str">
        <f>IFERROR(IF(--MID($E581,2*COUNTIF($F581:J581,"&gt;"&amp;0)+2,1)=K$1,K$1,""),"")</f>
        <v/>
      </c>
      <c r="L581" s="39" t="str" cm="1">
        <f t="array" ref="L581">IFERROR(IF($A581="","",IF(F581="","",_xlfn.XLOOKUP($C581&amp;"_"&amp;$AG581,符文权重!$A:$A&amp;"_"&amp;符文权重!$C:$C,符文权重!$D:$D)*$X581/SUMIFS($X:$X,F:F,F581,$C:$C,$C581,$AG:$AG,$AG581)/SUMIF(符文权重!$A:$A,$C581,符文权重!$D:$D))),"")</f>
        <v/>
      </c>
      <c r="M581" s="39" t="str" cm="1">
        <f t="array" ref="M581">IFERROR(IF($A581="","",IF(G581="","",_xlfn.XLOOKUP($C581&amp;"_"&amp;$AG581,符文权重!$A:$A&amp;"_"&amp;符文权重!$C:$C,符文权重!$D:$D)*$X581/SUMIFS($X:$X,G:G,G581,$C:$C,$C581,$AG:$AG,$AG581)/SUMIF(符文权重!$A:$A,$C581,符文权重!$D:$D))),"")</f>
        <v/>
      </c>
      <c r="N581" s="39" cm="1">
        <f t="array" ref="N581">IFERROR(IF($A581="","",IF(H581="","",_xlfn.XLOOKUP($C581&amp;"_"&amp;$AG581,符文权重!$A:$A&amp;"_"&amp;符文权重!$C:$C,符文权重!$D:$D)*$X581/SUMIFS($X:$X,H:H,H581,$C:$C,$C581,$AG:$AG,$AG581)/SUMIF(符文权重!$A:$A,$C581,符文权重!$D:$D))),"")</f>
        <v>0.025</v>
      </c>
      <c r="O581" s="39" t="str" cm="1">
        <f t="array" ref="O581">IFERROR(IF($A581="","",IF(I581="","",_xlfn.XLOOKUP($C581&amp;"_"&amp;$AG581,符文权重!$A:$A&amp;"_"&amp;符文权重!$C:$C,符文权重!$D:$D)*$X581/SUMIFS($X:$X,I:I,I581,$C:$C,$C581,$AG:$AG,$AG581)/SUMIF(符文权重!$A:$A,$C581,符文权重!$D:$D))),"")</f>
        <v/>
      </c>
      <c r="P581" s="39" t="str" cm="1">
        <f t="array" ref="P581">IFERROR(IF($A581="","",IF(J581="","",_xlfn.XLOOKUP($C581&amp;"_"&amp;$AG581,符文权重!$A:$A&amp;"_"&amp;符文权重!$C:$C,符文权重!$D:$D)*$X581/SUMIFS($X:$X,J:J,J581,$C:$C,$C581,$AG:$AG,$AG581)/SUMIF(符文权重!$A:$A,$C581,符文权重!$D:$D))),"")</f>
        <v/>
      </c>
      <c r="Q581" s="39" t="str" cm="1">
        <f t="array" ref="Q581">IFERROR(IF($A581="","",IF(K581="","",_xlfn.XLOOKUP($C581&amp;"_"&amp;$AG581,符文权重!$A:$A&amp;"_"&amp;符文权重!$C:$C,符文权重!$D:$D)*$X581/SUMIFS($X:$X,K:K,K581,$C:$C,$C581,$AG:$AG,$AG581)/SUMIF(符文权重!$A:$A,$C581,符文权重!$D:$D))),"")</f>
        <v/>
      </c>
      <c r="R581" s="25" t="s">
        <v>330</v>
      </c>
      <c r="S581" s="25" t="s">
        <v>551</v>
      </c>
      <c r="T581" s="25" t="s">
        <v>380</v>
      </c>
      <c r="U581" s="25" t="s">
        <v>552</v>
      </c>
      <c r="W581" s="25" t="s">
        <v>540</v>
      </c>
      <c r="X581" s="25">
        <v>100</v>
      </c>
      <c r="Z581" s="25" t="s">
        <v>165</v>
      </c>
      <c r="AA581" s="32" t="str">
        <f t="shared" si="264"/>
        <v>炽焰巫师烤鸡有15%概率点燃怪物</v>
      </c>
      <c r="AB581" s="32"/>
      <c r="AC581" s="32" t="s">
        <v>166</v>
      </c>
      <c r="AD581" s="32">
        <f t="shared" si="258"/>
        <v>1576</v>
      </c>
      <c r="AE581" s="25">
        <v>5301223</v>
      </c>
      <c r="AF581" s="25" t="s">
        <v>393</v>
      </c>
      <c r="AG581" s="25">
        <v>4</v>
      </c>
      <c r="AJ581" s="25">
        <v>1</v>
      </c>
      <c r="AK581" s="26"/>
      <c r="AL581" s="25" t="s">
        <v>553</v>
      </c>
      <c r="AM581" s="26"/>
      <c r="AN581" s="25">
        <v>4</v>
      </c>
      <c r="AO581" s="25" t="s">
        <v>32</v>
      </c>
      <c r="AP581" s="20">
        <f t="shared" si="259"/>
        <v>576</v>
      </c>
    </row>
    <row r="582" s="20" customFormat="1" customHeight="1" spans="1:42">
      <c r="A582" s="25">
        <v>5510032</v>
      </c>
      <c r="B582" s="25">
        <v>5301223</v>
      </c>
      <c r="C582" s="25">
        <v>2</v>
      </c>
      <c r="D582" s="25"/>
      <c r="E582" s="25" t="s">
        <v>182</v>
      </c>
      <c r="F582" s="26" t="str">
        <f t="shared" si="255"/>
        <v/>
      </c>
      <c r="G582" s="26" t="str">
        <f>IFERROR(IF(--MID($E582,2*COUNTIF($F582:F582,"&gt;"&amp;0)+2,1)=G$1,G$1,""),"")</f>
        <v/>
      </c>
      <c r="H582" s="26">
        <f>IFERROR(IF(--MID($E582,2*COUNTIF($F582:G582,"&gt;"&amp;0)+2,1)=H$1,H$1,""),"")</f>
        <v>3</v>
      </c>
      <c r="I582" s="26" t="str">
        <f>IFERROR(IF(--MID($E582,2*COUNTIF($F582:H582,"&gt;"&amp;0)+2,1)=I$1,I$1,""),"")</f>
        <v/>
      </c>
      <c r="J582" s="26" t="str">
        <f>IFERROR(IF(--MID($E582,2*COUNTIF($F582:I582,"&gt;"&amp;0)+2,1)=J$1,J$1,""),"")</f>
        <v/>
      </c>
      <c r="K582" s="26" t="str">
        <f>IFERROR(IF(--MID($E582,2*COUNTIF($F582:J582,"&gt;"&amp;0)+2,1)=K$1,K$1,""),"")</f>
        <v/>
      </c>
      <c r="L582" s="39" t="str" cm="1">
        <f t="array" ref="L582">IFERROR(IF($A582="","",IF(F582="","",_xlfn.XLOOKUP($C582&amp;"_"&amp;$AG582,符文权重!$A:$A&amp;"_"&amp;符文权重!$C:$C,符文权重!$D:$D)*$X582/SUMIFS($X:$X,F:F,F582,$C:$C,$C582,$AG:$AG,$AG582)/SUMIF(符文权重!$A:$A,$C582,符文权重!$D:$D))),"")</f>
        <v/>
      </c>
      <c r="M582" s="39" t="str" cm="1">
        <f t="array" ref="M582">IFERROR(IF($A582="","",IF(G582="","",_xlfn.XLOOKUP($C582&amp;"_"&amp;$AG582,符文权重!$A:$A&amp;"_"&amp;符文权重!$C:$C,符文权重!$D:$D)*$X582/SUMIFS($X:$X,G:G,G582,$C:$C,$C582,$AG:$AG,$AG582)/SUMIF(符文权重!$A:$A,$C582,符文权重!$D:$D))),"")</f>
        <v/>
      </c>
      <c r="N582" s="39" cm="1">
        <f t="array" ref="N582">IFERROR(IF($A582="","",IF(H582="","",_xlfn.XLOOKUP($C582&amp;"_"&amp;$AG582,符文权重!$A:$A&amp;"_"&amp;符文权重!$C:$C,符文权重!$D:$D)*$X582/SUMIFS($X:$X,H:H,H582,$C:$C,$C582,$AG:$AG,$AG582)/SUMIF(符文权重!$A:$A,$C582,符文权重!$D:$D))),"")</f>
        <v>0.025</v>
      </c>
      <c r="O582" s="39" t="str" cm="1">
        <f t="array" ref="O582">IFERROR(IF($A582="","",IF(I582="","",_xlfn.XLOOKUP($C582&amp;"_"&amp;$AG582,符文权重!$A:$A&amp;"_"&amp;符文权重!$C:$C,符文权重!$D:$D)*$X582/SUMIFS($X:$X,I:I,I582,$C:$C,$C582,$AG:$AG,$AG582)/SUMIF(符文权重!$A:$A,$C582,符文权重!$D:$D))),"")</f>
        <v/>
      </c>
      <c r="P582" s="39" t="str" cm="1">
        <f t="array" ref="P582">IFERROR(IF($A582="","",IF(J582="","",_xlfn.XLOOKUP($C582&amp;"_"&amp;$AG582,符文权重!$A:$A&amp;"_"&amp;符文权重!$C:$C,符文权重!$D:$D)*$X582/SUMIFS($X:$X,J:J,J582,$C:$C,$C582,$AG:$AG,$AG582)/SUMIF(符文权重!$A:$A,$C582,符文权重!$D:$D))),"")</f>
        <v/>
      </c>
      <c r="Q582" s="39" t="str" cm="1">
        <f t="array" ref="Q582">IFERROR(IF($A582="","",IF(K582="","",_xlfn.XLOOKUP($C582&amp;"_"&amp;$AG582,符文权重!$A:$A&amp;"_"&amp;符文权重!$C:$C,符文权重!$D:$D)*$X582/SUMIFS($X:$X,K:K,K582,$C:$C,$C582,$AG:$AG,$AG582)/SUMIF(符文权重!$A:$A,$C582,符文权重!$D:$D))),"")</f>
        <v/>
      </c>
      <c r="R582" s="25" t="s">
        <v>330</v>
      </c>
      <c r="S582" s="25" t="s">
        <v>551</v>
      </c>
      <c r="T582" s="25" t="s">
        <v>383</v>
      </c>
      <c r="U582" s="25" t="s">
        <v>554</v>
      </c>
      <c r="W582" s="25" t="s">
        <v>544</v>
      </c>
      <c r="X582" s="25">
        <v>100</v>
      </c>
      <c r="Z582" s="25" t="s">
        <v>170</v>
      </c>
      <c r="AA582" s="32" t="str">
        <f t="shared" si="264"/>
        <v>炽焰巫师烤鸡有25%概率点燃怪物</v>
      </c>
      <c r="AB582" s="32"/>
      <c r="AC582" s="32" t="s">
        <v>166</v>
      </c>
      <c r="AD582" s="32">
        <f t="shared" si="258"/>
        <v>1577</v>
      </c>
      <c r="AE582" s="25">
        <v>5301223</v>
      </c>
      <c r="AF582" s="25" t="s">
        <v>396</v>
      </c>
      <c r="AG582" s="25">
        <v>4</v>
      </c>
      <c r="AJ582" s="25">
        <v>1</v>
      </c>
      <c r="AK582" s="26"/>
      <c r="AL582" s="25" t="s">
        <v>555</v>
      </c>
      <c r="AM582" s="26"/>
      <c r="AN582" s="25">
        <v>4</v>
      </c>
      <c r="AO582" s="25" t="s">
        <v>32</v>
      </c>
      <c r="AP582" s="20">
        <f t="shared" si="259"/>
        <v>577</v>
      </c>
    </row>
    <row r="583" s="20" customFormat="1" customHeight="1" spans="1:42">
      <c r="E583" s="25"/>
      <c r="F583" s="26" t="str">
        <f t="shared" ref="F583:F646" si="281">IF(LEFT(E583,2)="[1",1,"")</f>
        <v/>
      </c>
      <c r="G583" s="26" t="str">
        <f>IFERROR(IF(--MID($E583,2*COUNTIF($F583:F583,"&gt;"&amp;0)+2,1)=G$1,G$1,""),"")</f>
        <v/>
      </c>
      <c r="H583" s="26" t="str">
        <f>IFERROR(IF(--MID($E583,2*COUNTIF($F583:G583,"&gt;"&amp;0)+2,1)=H$1,H$1,""),"")</f>
        <v/>
      </c>
      <c r="I583" s="26" t="str">
        <f>IFERROR(IF(--MID($E583,2*COUNTIF($F583:H583,"&gt;"&amp;0)+2,1)=I$1,I$1,""),"")</f>
        <v/>
      </c>
      <c r="J583" s="26" t="str">
        <f>IFERROR(IF(--MID($E583,2*COUNTIF($F583:I583,"&gt;"&amp;0)+2,1)=J$1,J$1,""),"")</f>
        <v/>
      </c>
      <c r="K583" s="26" t="str">
        <f>IFERROR(IF(--MID($E583,2*COUNTIF($F583:J583,"&gt;"&amp;0)+2,1)=K$1,K$1,""),"")</f>
        <v/>
      </c>
      <c r="L583" s="39" t="str" cm="1">
        <f t="array" ref="L583">IFERROR(IF($A583="","",IF(F583="","",_xlfn.XLOOKUP($C583&amp;"_"&amp;$AG583,符文权重!$A:$A&amp;"_"&amp;符文权重!$C:$C,符文权重!$D:$D)*$X583/SUMIFS($X:$X,F:F,F583,$C:$C,$C583,$AG:$AG,$AG583)/SUMIF(符文权重!$A:$A,$C583,符文权重!$D:$D))),"")</f>
        <v/>
      </c>
      <c r="M583" s="39" t="str" cm="1">
        <f t="array" ref="M583">IFERROR(IF($A583="","",IF(G583="","",_xlfn.XLOOKUP($C583&amp;"_"&amp;$AG583,符文权重!$A:$A&amp;"_"&amp;符文权重!$C:$C,符文权重!$D:$D)*$X583/SUMIFS($X:$X,G:G,G583,$C:$C,$C583,$AG:$AG,$AG583)/SUMIF(符文权重!$A:$A,$C583,符文权重!$D:$D))),"")</f>
        <v/>
      </c>
      <c r="N583" s="39" t="str" cm="1">
        <f t="array" ref="N583">IFERROR(IF($A583="","",IF(H583="","",_xlfn.XLOOKUP($C583&amp;"_"&amp;$AG583,符文权重!$A:$A&amp;"_"&amp;符文权重!$C:$C,符文权重!$D:$D)*$X583/SUMIFS($X:$X,H:H,H583,$C:$C,$C583,$AG:$AG,$AG583)/SUMIF(符文权重!$A:$A,$C583,符文权重!$D:$D))),"")</f>
        <v/>
      </c>
      <c r="O583" s="39" t="str" cm="1">
        <f t="array" ref="O583">IFERROR(IF($A583="","",IF(I583="","",_xlfn.XLOOKUP($C583&amp;"_"&amp;$AG583,符文权重!$A:$A&amp;"_"&amp;符文权重!$C:$C,符文权重!$D:$D)*$X583/SUMIFS($X:$X,I:I,I583,$C:$C,$C583,$AG:$AG,$AG583)/SUMIF(符文权重!$A:$A,$C583,符文权重!$D:$D))),"")</f>
        <v/>
      </c>
      <c r="P583" s="39" t="str" cm="1">
        <f t="array" ref="P583">IFERROR(IF($A583="","",IF(J583="","",_xlfn.XLOOKUP($C583&amp;"_"&amp;$AG583,符文权重!$A:$A&amp;"_"&amp;符文权重!$C:$C,符文权重!$D:$D)*$X583/SUMIFS($X:$X,J:J,J583,$C:$C,$C583,$AG:$AG,$AG583)/SUMIF(符文权重!$A:$A,$C583,符文权重!$D:$D))),"")</f>
        <v/>
      </c>
      <c r="Q583" s="39" t="str" cm="1">
        <f t="array" ref="Q583">IFERROR(IF($A583="","",IF(K583="","",_xlfn.XLOOKUP($C583&amp;"_"&amp;$AG583,符文权重!$A:$A&amp;"_"&amp;符文权重!$C:$C,符文权重!$D:$D)*$X583/SUMIFS($X:$X,K:K,K583,$C:$C,$C583,$AG:$AG,$AG583)/SUMIF(符文权重!$A:$A,$C583,符文权重!$D:$D))),"")</f>
        <v/>
      </c>
      <c r="R583" s="25" t="s">
        <v>167</v>
      </c>
      <c r="S583" s="25" t="s">
        <v>167</v>
      </c>
      <c r="T583" s="25" t="s">
        <v>167</v>
      </c>
      <c r="W583" s="25" t="s">
        <v>167</v>
      </c>
      <c r="X583" s="25"/>
      <c r="Z583" s="25" t="s">
        <v>167</v>
      </c>
      <c r="AA583" s="32" t="str">
        <f t="shared" si="264"/>
        <v/>
      </c>
      <c r="AB583" s="32"/>
      <c r="AC583" s="32" t="s">
        <v>166</v>
      </c>
      <c r="AD583" s="32">
        <f t="shared" si="258"/>
        <v>1578</v>
      </c>
      <c r="AG583" s="25" t="s">
        <v>167</v>
      </c>
      <c r="AJ583" s="25" t="s">
        <v>167</v>
      </c>
      <c r="AK583" s="26"/>
      <c r="AM583" s="26"/>
      <c r="AN583" s="25">
        <v>4</v>
      </c>
      <c r="AO583" s="25" t="s">
        <v>32</v>
      </c>
      <c r="AP583" s="20">
        <f t="shared" si="259"/>
        <v>578</v>
      </c>
    </row>
    <row r="584" s="20" customFormat="1" customHeight="1" spans="1:42">
      <c r="A584" s="25">
        <v>5510041</v>
      </c>
      <c r="B584" s="25">
        <v>5301224</v>
      </c>
      <c r="C584" s="25">
        <v>1</v>
      </c>
      <c r="D584" s="25"/>
      <c r="E584" s="25" t="s">
        <v>375</v>
      </c>
      <c r="F584" s="26" t="str">
        <f t="shared" si="281"/>
        <v/>
      </c>
      <c r="G584" s="26" t="str">
        <f>IFERROR(IF(--MID($E584,2*COUNTIF($F584:F584,"&gt;"&amp;0)+2,1)=G$1,G$1,""),"")</f>
        <v/>
      </c>
      <c r="H584" s="26" t="str">
        <f>IFERROR(IF(--MID($E584,2*COUNTIF($F584:G584,"&gt;"&amp;0)+2,1)=H$1,H$1,""),"")</f>
        <v/>
      </c>
      <c r="I584" s="26">
        <f>IFERROR(IF(--MID($E584,2*COUNTIF($F584:H584,"&gt;"&amp;0)+2,1)=I$1,I$1,""),"")</f>
        <v>4</v>
      </c>
      <c r="J584" s="26" t="str">
        <f>IFERROR(IF(--MID($E584,2*COUNTIF($F584:I584,"&gt;"&amp;0)+2,1)=J$1,J$1,""),"")</f>
        <v/>
      </c>
      <c r="K584" s="26" t="str">
        <f>IFERROR(IF(--MID($E584,2*COUNTIF($F584:J584,"&gt;"&amp;0)+2,1)=K$1,K$1,""),"")</f>
        <v/>
      </c>
      <c r="L584" s="39" t="str" cm="1">
        <f t="array" ref="L584">IFERROR(IF($A584="","",IF(F584="","",_xlfn.XLOOKUP($C584&amp;"_"&amp;$AG584,符文权重!$A:$A&amp;"_"&amp;符文权重!$C:$C,符文权重!$D:$D)*$X584/SUMIFS($X:$X,F:F,F584,$C:$C,$C584,$AG:$AG,$AG584)/SUMIF(符文权重!$A:$A,$C584,符文权重!$D:$D))),"")</f>
        <v/>
      </c>
      <c r="M584" s="39" t="str" cm="1">
        <f t="array" ref="M584">IFERROR(IF($A584="","",IF(G584="","",_xlfn.XLOOKUP($C584&amp;"_"&amp;$AG584,符文权重!$A:$A&amp;"_"&amp;符文权重!$C:$C,符文权重!$D:$D)*$X584/SUMIFS($X:$X,G:G,G584,$C:$C,$C584,$AG:$AG,$AG584)/SUMIF(符文权重!$A:$A,$C584,符文权重!$D:$D))),"")</f>
        <v/>
      </c>
      <c r="N584" s="39" t="str" cm="1">
        <f t="array" ref="N584">IFERROR(IF($A584="","",IF(H584="","",_xlfn.XLOOKUP($C584&amp;"_"&amp;$AG584,符文权重!$A:$A&amp;"_"&amp;符文权重!$C:$C,符文权重!$D:$D)*$X584/SUMIFS($X:$X,H:H,H584,$C:$C,$C584,$AG:$AG,$AG584)/SUMIF(符文权重!$A:$A,$C584,符文权重!$D:$D))),"")</f>
        <v/>
      </c>
      <c r="O584" s="39" cm="1">
        <f t="array" ref="O584">IFERROR(IF($A584="","",IF(I584="","",_xlfn.XLOOKUP($C584&amp;"_"&amp;$AG584,符文权重!$A:$A&amp;"_"&amp;符文权重!$C:$C,符文权重!$D:$D)*$X584/SUMIFS($X:$X,I:I,I584,$C:$C,$C584,$AG:$AG,$AG584)/SUMIF(符文权重!$A:$A,$C584,符文权重!$D:$D))),"")</f>
        <v>0.05</v>
      </c>
      <c r="P584" s="39" t="str" cm="1">
        <f t="array" ref="P584">IFERROR(IF($A584="","",IF(J584="","",_xlfn.XLOOKUP($C584&amp;"_"&amp;$AG584,符文权重!$A:$A&amp;"_"&amp;符文权重!$C:$C,符文权重!$D:$D)*$X584/SUMIFS($X:$X,J:J,J584,$C:$C,$C584,$AG:$AG,$AG584)/SUMIF(符文权重!$A:$A,$C584,符文权重!$D:$D))),"")</f>
        <v/>
      </c>
      <c r="Q584" s="39" t="str" cm="1">
        <f t="array" ref="Q584">IFERROR(IF($A584="","",IF(K584="","",_xlfn.XLOOKUP($C584&amp;"_"&amp;$AG584,符文权重!$A:$A&amp;"_"&amp;符文权重!$C:$C,符文权重!$D:$D)*$X584/SUMIFS($X:$X,K:K,K584,$C:$C,$C584,$AG:$AG,$AG584)/SUMIF(符文权重!$A:$A,$C584,符文权重!$D:$D))),"")</f>
        <v/>
      </c>
      <c r="R584" s="25" t="s">
        <v>330</v>
      </c>
      <c r="S584" s="25" t="s">
        <v>551</v>
      </c>
      <c r="T584" s="25" t="s">
        <v>380</v>
      </c>
      <c r="U584" s="25" t="s">
        <v>556</v>
      </c>
      <c r="W584" s="25" t="s">
        <v>540</v>
      </c>
      <c r="X584" s="25">
        <v>100</v>
      </c>
      <c r="Z584" s="25" t="s">
        <v>165</v>
      </c>
      <c r="AA584" s="32" t="str">
        <f t="shared" si="264"/>
        <v>炽焰巫师烤鸡弹跳次数+1，伤害-20%</v>
      </c>
      <c r="AB584" s="32"/>
      <c r="AC584" s="32" t="s">
        <v>166</v>
      </c>
      <c r="AD584" s="32">
        <f t="shared" ref="AD584:AD647" si="282">AD583+1</f>
        <v>1579</v>
      </c>
      <c r="AE584" s="25">
        <v>5301224</v>
      </c>
      <c r="AF584" s="25" t="s">
        <v>396</v>
      </c>
      <c r="AG584" s="25">
        <v>4</v>
      </c>
      <c r="AJ584" s="25">
        <v>1</v>
      </c>
      <c r="AK584" s="26"/>
      <c r="AL584" s="25" t="s">
        <v>557</v>
      </c>
      <c r="AM584" s="26"/>
      <c r="AN584" s="25">
        <v>4</v>
      </c>
      <c r="AO584" s="25" t="s">
        <v>32</v>
      </c>
      <c r="AP584" s="20">
        <f t="shared" ref="AP584:AP647" si="283">AP583+1</f>
        <v>579</v>
      </c>
    </row>
    <row r="585" s="20" customFormat="1" customHeight="1" spans="1:42">
      <c r="A585" s="25">
        <v>5510042</v>
      </c>
      <c r="B585" s="25">
        <v>5301224</v>
      </c>
      <c r="C585" s="25">
        <v>2</v>
      </c>
      <c r="D585" s="25"/>
      <c r="E585" s="25" t="s">
        <v>375</v>
      </c>
      <c r="F585" s="26" t="str">
        <f t="shared" si="281"/>
        <v/>
      </c>
      <c r="G585" s="26" t="str">
        <f>IFERROR(IF(--MID($E585,2*COUNTIF($F585:F585,"&gt;"&amp;0)+2,1)=G$1,G$1,""),"")</f>
        <v/>
      </c>
      <c r="H585" s="26" t="str">
        <f>IFERROR(IF(--MID($E585,2*COUNTIF($F585:G585,"&gt;"&amp;0)+2,1)=H$1,H$1,""),"")</f>
        <v/>
      </c>
      <c r="I585" s="26">
        <f>IFERROR(IF(--MID($E585,2*COUNTIF($F585:H585,"&gt;"&amp;0)+2,1)=I$1,I$1,""),"")</f>
        <v>4</v>
      </c>
      <c r="J585" s="26" t="str">
        <f>IFERROR(IF(--MID($E585,2*COUNTIF($F585:I585,"&gt;"&amp;0)+2,1)=J$1,J$1,""),"")</f>
        <v/>
      </c>
      <c r="K585" s="26" t="str">
        <f>IFERROR(IF(--MID($E585,2*COUNTIF($F585:J585,"&gt;"&amp;0)+2,1)=K$1,K$1,""),"")</f>
        <v/>
      </c>
      <c r="L585" s="39" t="str" cm="1">
        <f t="array" ref="L585">IFERROR(IF($A585="","",IF(F585="","",_xlfn.XLOOKUP($C585&amp;"_"&amp;$AG585,符文权重!$A:$A&amp;"_"&amp;符文权重!$C:$C,符文权重!$D:$D)*$X585/SUMIFS($X:$X,F:F,F585,$C:$C,$C585,$AG:$AG,$AG585)/SUMIF(符文权重!$A:$A,$C585,符文权重!$D:$D))),"")</f>
        <v/>
      </c>
      <c r="M585" s="39" t="str" cm="1">
        <f t="array" ref="M585">IFERROR(IF($A585="","",IF(G585="","",_xlfn.XLOOKUP($C585&amp;"_"&amp;$AG585,符文权重!$A:$A&amp;"_"&amp;符文权重!$C:$C,符文权重!$D:$D)*$X585/SUMIFS($X:$X,G:G,G585,$C:$C,$C585,$AG:$AG,$AG585)/SUMIF(符文权重!$A:$A,$C585,符文权重!$D:$D))),"")</f>
        <v/>
      </c>
      <c r="N585" s="39" t="str" cm="1">
        <f t="array" ref="N585">IFERROR(IF($A585="","",IF(H585="","",_xlfn.XLOOKUP($C585&amp;"_"&amp;$AG585,符文权重!$A:$A&amp;"_"&amp;符文权重!$C:$C,符文权重!$D:$D)*$X585/SUMIFS($X:$X,H:H,H585,$C:$C,$C585,$AG:$AG,$AG585)/SUMIF(符文权重!$A:$A,$C585,符文权重!$D:$D))),"")</f>
        <v/>
      </c>
      <c r="O585" s="39" cm="1">
        <f t="array" ref="O585">IFERROR(IF($A585="","",IF(I585="","",_xlfn.XLOOKUP($C585&amp;"_"&amp;$AG585,符文权重!$A:$A&amp;"_"&amp;符文权重!$C:$C,符文权重!$D:$D)*$X585/SUMIFS($X:$X,I:I,I585,$C:$C,$C585,$AG:$AG,$AG585)/SUMIF(符文权重!$A:$A,$C585,符文权重!$D:$D))),"")</f>
        <v>0.05</v>
      </c>
      <c r="P585" s="39" t="str" cm="1">
        <f t="array" ref="P585">IFERROR(IF($A585="","",IF(J585="","",_xlfn.XLOOKUP($C585&amp;"_"&amp;$AG585,符文权重!$A:$A&amp;"_"&amp;符文权重!$C:$C,符文权重!$D:$D)*$X585/SUMIFS($X:$X,J:J,J585,$C:$C,$C585,$AG:$AG,$AG585)/SUMIF(符文权重!$A:$A,$C585,符文权重!$D:$D))),"")</f>
        <v/>
      </c>
      <c r="Q585" s="39" t="str" cm="1">
        <f t="array" ref="Q585">IFERROR(IF($A585="","",IF(K585="","",_xlfn.XLOOKUP($C585&amp;"_"&amp;$AG585,符文权重!$A:$A&amp;"_"&amp;符文权重!$C:$C,符文权重!$D:$D)*$X585/SUMIFS($X:$X,K:K,K585,$C:$C,$C585,$AG:$AG,$AG585)/SUMIF(符文权重!$A:$A,$C585,符文权重!$D:$D))),"")</f>
        <v/>
      </c>
      <c r="R585" s="25" t="s">
        <v>330</v>
      </c>
      <c r="S585" s="25" t="s">
        <v>551</v>
      </c>
      <c r="T585" s="25" t="s">
        <v>383</v>
      </c>
      <c r="U585" s="25" t="s">
        <v>558</v>
      </c>
      <c r="V585" s="25"/>
      <c r="W585" s="25" t="s">
        <v>544</v>
      </c>
      <c r="X585" s="25">
        <v>100</v>
      </c>
      <c r="Z585" s="25" t="s">
        <v>170</v>
      </c>
      <c r="AA585" s="32" t="str">
        <f t="shared" si="264"/>
        <v>炽焰巫师烤鸡弹跳次数+1，伤害-15%</v>
      </c>
      <c r="AB585" s="32"/>
      <c r="AC585" s="32" t="s">
        <v>166</v>
      </c>
      <c r="AD585" s="32">
        <f t="shared" si="282"/>
        <v>1580</v>
      </c>
      <c r="AE585" s="25">
        <v>5301224</v>
      </c>
      <c r="AF585" s="25" t="s">
        <v>393</v>
      </c>
      <c r="AG585" s="25">
        <v>4</v>
      </c>
      <c r="AJ585" s="25">
        <v>1</v>
      </c>
      <c r="AK585" s="26"/>
      <c r="AL585" s="25" t="s">
        <v>559</v>
      </c>
      <c r="AM585" s="26"/>
      <c r="AN585" s="25">
        <v>4</v>
      </c>
      <c r="AO585" s="25" t="s">
        <v>32</v>
      </c>
      <c r="AP585" s="20">
        <f t="shared" si="283"/>
        <v>580</v>
      </c>
    </row>
    <row r="586" s="20" customFormat="1" customHeight="1" spans="1:42">
      <c r="A586" s="25"/>
      <c r="B586" s="25"/>
      <c r="C586" s="25"/>
      <c r="D586" s="25"/>
      <c r="E586" s="25"/>
      <c r="F586" s="26" t="str">
        <f t="shared" si="281"/>
        <v/>
      </c>
      <c r="G586" s="26" t="str">
        <f>IFERROR(IF(--MID($E586,2*COUNTIF($F586:F586,"&gt;"&amp;0)+2,1)=G$1,G$1,""),"")</f>
        <v/>
      </c>
      <c r="H586" s="26" t="str">
        <f>IFERROR(IF(--MID($E586,2*COUNTIF($F586:G586,"&gt;"&amp;0)+2,1)=H$1,H$1,""),"")</f>
        <v/>
      </c>
      <c r="I586" s="26" t="str">
        <f>IFERROR(IF(--MID($E586,2*COUNTIF($F586:H586,"&gt;"&amp;0)+2,1)=I$1,I$1,""),"")</f>
        <v/>
      </c>
      <c r="J586" s="26" t="str">
        <f>IFERROR(IF(--MID($E586,2*COUNTIF($F586:I586,"&gt;"&amp;0)+2,1)=J$1,J$1,""),"")</f>
        <v/>
      </c>
      <c r="K586" s="26" t="str">
        <f>IFERROR(IF(--MID($E586,2*COUNTIF($F586:J586,"&gt;"&amp;0)+2,1)=K$1,K$1,""),"")</f>
        <v/>
      </c>
      <c r="L586" s="39" t="str" cm="1">
        <f t="array" ref="L586">IFERROR(IF($A586="","",IF(F586="","",_xlfn.XLOOKUP($C586&amp;"_"&amp;$AG586,符文权重!$A:$A&amp;"_"&amp;符文权重!$C:$C,符文权重!$D:$D)*$X586/SUMIFS($X:$X,F:F,F586,$C:$C,$C586,$AG:$AG,$AG586)/SUMIF(符文权重!$A:$A,$C586,符文权重!$D:$D))),"")</f>
        <v/>
      </c>
      <c r="M586" s="39" t="str" cm="1">
        <f t="array" ref="M586">IFERROR(IF($A586="","",IF(G586="","",_xlfn.XLOOKUP($C586&amp;"_"&amp;$AG586,符文权重!$A:$A&amp;"_"&amp;符文权重!$C:$C,符文权重!$D:$D)*$X586/SUMIFS($X:$X,G:G,G586,$C:$C,$C586,$AG:$AG,$AG586)/SUMIF(符文权重!$A:$A,$C586,符文权重!$D:$D))),"")</f>
        <v/>
      </c>
      <c r="N586" s="39" t="str" cm="1">
        <f t="array" ref="N586">IFERROR(IF($A586="","",IF(H586="","",_xlfn.XLOOKUP($C586&amp;"_"&amp;$AG586,符文权重!$A:$A&amp;"_"&amp;符文权重!$C:$C,符文权重!$D:$D)*$X586/SUMIFS($X:$X,H:H,H586,$C:$C,$C586,$AG:$AG,$AG586)/SUMIF(符文权重!$A:$A,$C586,符文权重!$D:$D))),"")</f>
        <v/>
      </c>
      <c r="O586" s="39" t="str" cm="1">
        <f t="array" ref="O586">IFERROR(IF($A586="","",IF(I586="","",_xlfn.XLOOKUP($C586&amp;"_"&amp;$AG586,符文权重!$A:$A&amp;"_"&amp;符文权重!$C:$C,符文权重!$D:$D)*$X586/SUMIFS($X:$X,I:I,I586,$C:$C,$C586,$AG:$AG,$AG586)/SUMIF(符文权重!$A:$A,$C586,符文权重!$D:$D))),"")</f>
        <v/>
      </c>
      <c r="P586" s="39" t="str" cm="1">
        <f t="array" ref="P586">IFERROR(IF($A586="","",IF(J586="","",_xlfn.XLOOKUP($C586&amp;"_"&amp;$AG586,符文权重!$A:$A&amp;"_"&amp;符文权重!$C:$C,符文权重!$D:$D)*$X586/SUMIFS($X:$X,J:J,J586,$C:$C,$C586,$AG:$AG,$AG586)/SUMIF(符文权重!$A:$A,$C586,符文权重!$D:$D))),"")</f>
        <v/>
      </c>
      <c r="Q586" s="39" t="str" cm="1">
        <f t="array" ref="Q586">IFERROR(IF($A586="","",IF(K586="","",_xlfn.XLOOKUP($C586&amp;"_"&amp;$AG586,符文权重!$A:$A&amp;"_"&amp;符文权重!$C:$C,符文权重!$D:$D)*$X586/SUMIFS($X:$X,K:K,K586,$C:$C,$C586,$AG:$AG,$AG586)/SUMIF(符文权重!$A:$A,$C586,符文权重!$D:$D))),"")</f>
        <v/>
      </c>
      <c r="R586" s="25" t="s">
        <v>167</v>
      </c>
      <c r="S586" s="25" t="s">
        <v>167</v>
      </c>
      <c r="T586" s="25" t="s">
        <v>167</v>
      </c>
      <c r="U586" s="25"/>
      <c r="V586" s="25"/>
      <c r="W586" s="25" t="s">
        <v>167</v>
      </c>
      <c r="X586" s="25"/>
      <c r="Z586" s="25" t="s">
        <v>167</v>
      </c>
      <c r="AA586" s="32" t="str">
        <f t="shared" si="264"/>
        <v/>
      </c>
      <c r="AB586" s="32"/>
      <c r="AC586" s="32" t="s">
        <v>166</v>
      </c>
      <c r="AD586" s="32">
        <f t="shared" si="282"/>
        <v>1581</v>
      </c>
      <c r="AE586" s="25"/>
      <c r="AF586" s="25"/>
      <c r="AG586" s="25" t="s">
        <v>167</v>
      </c>
      <c r="AJ586" s="25" t="s">
        <v>167</v>
      </c>
      <c r="AK586" s="26"/>
      <c r="AL586" s="25"/>
      <c r="AM586" s="26"/>
      <c r="AN586" s="25">
        <v>4</v>
      </c>
      <c r="AO586" s="25" t="s">
        <v>32</v>
      </c>
      <c r="AP586" s="20">
        <f t="shared" si="283"/>
        <v>581</v>
      </c>
    </row>
    <row r="587" s="20" customFormat="1" customHeight="1" spans="1:42">
      <c r="A587" s="25">
        <v>5510051</v>
      </c>
      <c r="B587" s="25">
        <v>5301226</v>
      </c>
      <c r="C587" s="25">
        <v>1</v>
      </c>
      <c r="D587" s="25"/>
      <c r="E587" s="25" t="s">
        <v>218</v>
      </c>
      <c r="F587" s="26" t="str">
        <f t="shared" si="281"/>
        <v/>
      </c>
      <c r="G587" s="26" t="str">
        <f>IFERROR(IF(--MID($E587,2*COUNTIF($F587:F587,"&gt;"&amp;0)+2,1)=G$1,G$1,""),"")</f>
        <v/>
      </c>
      <c r="H587" s="26" t="str">
        <f>IFERROR(IF(--MID($E587,2*COUNTIF($F587:G587,"&gt;"&amp;0)+2,1)=H$1,H$1,""),"")</f>
        <v/>
      </c>
      <c r="I587" s="26" t="str">
        <f>IFERROR(IF(--MID($E587,2*COUNTIF($F587:H587,"&gt;"&amp;0)+2,1)=I$1,I$1,""),"")</f>
        <v/>
      </c>
      <c r="J587" s="26">
        <f>IFERROR(IF(--MID($E587,2*COUNTIF($F587:I587,"&gt;"&amp;0)+2,1)=J$1,J$1,""),"")</f>
        <v>5</v>
      </c>
      <c r="K587" s="26" t="str">
        <f>IFERROR(IF(--MID($E587,2*COUNTIF($F587:J587,"&gt;"&amp;0)+2,1)=K$1,K$1,""),"")</f>
        <v/>
      </c>
      <c r="L587" s="39" t="str" cm="1">
        <f t="array" ref="L587">IFERROR(IF($A587="","",IF(F587="","",_xlfn.XLOOKUP($C587&amp;"_"&amp;$AG587,符文权重!$A:$A&amp;"_"&amp;符文权重!$C:$C,符文权重!$D:$D)*$X587/SUMIFS($X:$X,F:F,F587,$C:$C,$C587,$AG:$AG,$AG587)/SUMIF(符文权重!$A:$A,$C587,符文权重!$D:$D))),"")</f>
        <v/>
      </c>
      <c r="M587" s="39" t="str" cm="1">
        <f t="array" ref="M587">IFERROR(IF($A587="","",IF(G587="","",_xlfn.XLOOKUP($C587&amp;"_"&amp;$AG587,符文权重!$A:$A&amp;"_"&amp;符文权重!$C:$C,符文权重!$D:$D)*$X587/SUMIFS($X:$X,G:G,G587,$C:$C,$C587,$AG:$AG,$AG587)/SUMIF(符文权重!$A:$A,$C587,符文权重!$D:$D))),"")</f>
        <v/>
      </c>
      <c r="N587" s="39" t="str" cm="1">
        <f t="array" ref="N587">IFERROR(IF($A587="","",IF(H587="","",_xlfn.XLOOKUP($C587&amp;"_"&amp;$AG587,符文权重!$A:$A&amp;"_"&amp;符文权重!$C:$C,符文权重!$D:$D)*$X587/SUMIFS($X:$X,H:H,H587,$C:$C,$C587,$AG:$AG,$AG587)/SUMIF(符文权重!$A:$A,$C587,符文权重!$D:$D))),"")</f>
        <v/>
      </c>
      <c r="O587" s="39" t="str" cm="1">
        <f t="array" ref="O587">IFERROR(IF($A587="","",IF(I587="","",_xlfn.XLOOKUP($C587&amp;"_"&amp;$AG587,符文权重!$A:$A&amp;"_"&amp;符文权重!$C:$C,符文权重!$D:$D)*$X587/SUMIFS($X:$X,I:I,I587,$C:$C,$C587,$AG:$AG,$AG587)/SUMIF(符文权重!$A:$A,$C587,符文权重!$D:$D))),"")</f>
        <v/>
      </c>
      <c r="P587" s="39" cm="1">
        <f t="array" ref="P587">IFERROR(IF($A587="","",IF(J587="","",_xlfn.XLOOKUP($C587&amp;"_"&amp;$AG587,符文权重!$A:$A&amp;"_"&amp;符文权重!$C:$C,符文权重!$D:$D)*$X587/SUMIFS($X:$X,J:J,J587,$C:$C,$C587,$AG:$AG,$AG587)/SUMIF(符文权重!$A:$A,$C587,符文权重!$D:$D))),"")</f>
        <v>0.05</v>
      </c>
      <c r="Q587" s="39" t="str" cm="1">
        <f t="array" ref="Q587">IFERROR(IF($A587="","",IF(K587="","",_xlfn.XLOOKUP($C587&amp;"_"&amp;$AG587,符文权重!$A:$A&amp;"_"&amp;符文权重!$C:$C,符文权重!$D:$D)*$X587/SUMIFS($X:$X,K:K,K587,$C:$C,$C587,$AG:$AG,$AG587)/SUMIF(符文权重!$A:$A,$C587,符文权重!$D:$D))),"")</f>
        <v/>
      </c>
      <c r="R587" s="25" t="s">
        <v>330</v>
      </c>
      <c r="S587" s="25" t="s">
        <v>560</v>
      </c>
      <c r="T587" s="25" t="s">
        <v>380</v>
      </c>
      <c r="U587" s="25" t="s">
        <v>561</v>
      </c>
      <c r="V587" s="25"/>
      <c r="W587" s="25" t="s">
        <v>562</v>
      </c>
      <c r="X587" s="25">
        <v>100</v>
      </c>
      <c r="Z587" s="25" t="s">
        <v>165</v>
      </c>
      <c r="AA587" s="32" t="str">
        <f t="shared" si="264"/>
        <v>吟游诗人施加祝福时50%几率攻击1个敌人并附加15%[易伤]</v>
      </c>
      <c r="AB587" s="32"/>
      <c r="AC587" s="32" t="s">
        <v>166</v>
      </c>
      <c r="AD587" s="32">
        <f t="shared" si="282"/>
        <v>1582</v>
      </c>
      <c r="AE587" s="25">
        <v>5301226</v>
      </c>
      <c r="AF587" s="25" t="s">
        <v>393</v>
      </c>
      <c r="AG587" s="25">
        <v>4</v>
      </c>
      <c r="AJ587" s="25">
        <v>1</v>
      </c>
      <c r="AK587" s="26"/>
      <c r="AL587" s="25" t="s">
        <v>563</v>
      </c>
      <c r="AM587" s="26"/>
      <c r="AN587" s="25">
        <v>4</v>
      </c>
      <c r="AO587" s="25" t="s">
        <v>32</v>
      </c>
      <c r="AP587" s="20">
        <f t="shared" si="283"/>
        <v>582</v>
      </c>
    </row>
    <row r="588" s="20" customFormat="1" customHeight="1" spans="1:42">
      <c r="A588" s="25">
        <v>5510052</v>
      </c>
      <c r="B588" s="25">
        <v>5301226</v>
      </c>
      <c r="C588" s="25">
        <v>2</v>
      </c>
      <c r="D588" s="25"/>
      <c r="E588" s="25" t="s">
        <v>218</v>
      </c>
      <c r="F588" s="26" t="str">
        <f t="shared" si="281"/>
        <v/>
      </c>
      <c r="G588" s="26" t="str">
        <f>IFERROR(IF(--MID($E588,2*COUNTIF($F588:F588,"&gt;"&amp;0)+2,1)=G$1,G$1,""),"")</f>
        <v/>
      </c>
      <c r="H588" s="26" t="str">
        <f>IFERROR(IF(--MID($E588,2*COUNTIF($F588:G588,"&gt;"&amp;0)+2,1)=H$1,H$1,""),"")</f>
        <v/>
      </c>
      <c r="I588" s="26" t="str">
        <f>IFERROR(IF(--MID($E588,2*COUNTIF($F588:H588,"&gt;"&amp;0)+2,1)=I$1,I$1,""),"")</f>
        <v/>
      </c>
      <c r="J588" s="26">
        <f>IFERROR(IF(--MID($E588,2*COUNTIF($F588:I588,"&gt;"&amp;0)+2,1)=J$1,J$1,""),"")</f>
        <v>5</v>
      </c>
      <c r="K588" s="26" t="str">
        <f>IFERROR(IF(--MID($E588,2*COUNTIF($F588:J588,"&gt;"&amp;0)+2,1)=K$1,K$1,""),"")</f>
        <v/>
      </c>
      <c r="L588" s="39" t="str" cm="1">
        <f t="array" ref="L588">IFERROR(IF($A588="","",IF(F588="","",_xlfn.XLOOKUP($C588&amp;"_"&amp;$AG588,符文权重!$A:$A&amp;"_"&amp;符文权重!$C:$C,符文权重!$D:$D)*$X588/SUMIFS($X:$X,F:F,F588,$C:$C,$C588,$AG:$AG,$AG588)/SUMIF(符文权重!$A:$A,$C588,符文权重!$D:$D))),"")</f>
        <v/>
      </c>
      <c r="M588" s="39" t="str" cm="1">
        <f t="array" ref="M588">IFERROR(IF($A588="","",IF(G588="","",_xlfn.XLOOKUP($C588&amp;"_"&amp;$AG588,符文权重!$A:$A&amp;"_"&amp;符文权重!$C:$C,符文权重!$D:$D)*$X588/SUMIFS($X:$X,G:G,G588,$C:$C,$C588,$AG:$AG,$AG588)/SUMIF(符文权重!$A:$A,$C588,符文权重!$D:$D))),"")</f>
        <v/>
      </c>
      <c r="N588" s="39" t="str" cm="1">
        <f t="array" ref="N588">IFERROR(IF($A588="","",IF(H588="","",_xlfn.XLOOKUP($C588&amp;"_"&amp;$AG588,符文权重!$A:$A&amp;"_"&amp;符文权重!$C:$C,符文权重!$D:$D)*$X588/SUMIFS($X:$X,H:H,H588,$C:$C,$C588,$AG:$AG,$AG588)/SUMIF(符文权重!$A:$A,$C588,符文权重!$D:$D))),"")</f>
        <v/>
      </c>
      <c r="O588" s="39" t="str" cm="1">
        <f t="array" ref="O588">IFERROR(IF($A588="","",IF(I588="","",_xlfn.XLOOKUP($C588&amp;"_"&amp;$AG588,符文权重!$A:$A&amp;"_"&amp;符文权重!$C:$C,符文权重!$D:$D)*$X588/SUMIFS($X:$X,I:I,I588,$C:$C,$C588,$AG:$AG,$AG588)/SUMIF(符文权重!$A:$A,$C588,符文权重!$D:$D))),"")</f>
        <v/>
      </c>
      <c r="P588" s="39" cm="1">
        <f t="array" ref="P588">IFERROR(IF($A588="","",IF(J588="","",_xlfn.XLOOKUP($C588&amp;"_"&amp;$AG588,符文权重!$A:$A&amp;"_"&amp;符文权重!$C:$C,符文权重!$D:$D)*$X588/SUMIFS($X:$X,J:J,J588,$C:$C,$C588,$AG:$AG,$AG588)/SUMIF(符文权重!$A:$A,$C588,符文权重!$D:$D))),"")</f>
        <v>0.05</v>
      </c>
      <c r="Q588" s="39" t="str" cm="1">
        <f t="array" ref="Q588">IFERROR(IF($A588="","",IF(K588="","",_xlfn.XLOOKUP($C588&amp;"_"&amp;$AG588,符文权重!$A:$A&amp;"_"&amp;符文权重!$C:$C,符文权重!$D:$D)*$X588/SUMIFS($X:$X,K:K,K588,$C:$C,$C588,$AG:$AG,$AG588)/SUMIF(符文权重!$A:$A,$C588,符文权重!$D:$D))),"")</f>
        <v/>
      </c>
      <c r="R588" s="25" t="s">
        <v>330</v>
      </c>
      <c r="S588" s="25" t="s">
        <v>560</v>
      </c>
      <c r="T588" s="25" t="s">
        <v>383</v>
      </c>
      <c r="U588" s="25" t="s">
        <v>564</v>
      </c>
      <c r="W588" s="25" t="s">
        <v>565</v>
      </c>
      <c r="X588" s="25">
        <v>100</v>
      </c>
      <c r="Z588" s="25" t="s">
        <v>170</v>
      </c>
      <c r="AA588" s="32" t="str">
        <f t="shared" si="264"/>
        <v>吟游诗人施加祝福时50%几率攻击1个敌人并附加20%[易伤]</v>
      </c>
      <c r="AB588" s="32"/>
      <c r="AC588" s="32" t="s">
        <v>166</v>
      </c>
      <c r="AD588" s="32">
        <f t="shared" si="282"/>
        <v>1583</v>
      </c>
      <c r="AE588" s="25">
        <v>5301226</v>
      </c>
      <c r="AF588" s="25" t="s">
        <v>396</v>
      </c>
      <c r="AG588" s="25">
        <v>4</v>
      </c>
      <c r="AJ588" s="25">
        <v>1</v>
      </c>
      <c r="AK588" s="26"/>
      <c r="AL588" s="25" t="s">
        <v>566</v>
      </c>
      <c r="AM588" s="26"/>
      <c r="AN588" s="25">
        <v>4</v>
      </c>
      <c r="AO588" s="25" t="s">
        <v>32</v>
      </c>
      <c r="AP588" s="20">
        <f t="shared" si="283"/>
        <v>583</v>
      </c>
    </row>
    <row r="589" s="20" customFormat="1" customHeight="1" spans="1:42">
      <c r="E589" s="25"/>
      <c r="F589" s="26" t="str">
        <f t="shared" si="281"/>
        <v/>
      </c>
      <c r="G589" s="26" t="str">
        <f>IFERROR(IF(--MID($E589,2*COUNTIF($F589:F589,"&gt;"&amp;0)+2,1)=G$1,G$1,""),"")</f>
        <v/>
      </c>
      <c r="H589" s="26" t="str">
        <f>IFERROR(IF(--MID($E589,2*COUNTIF($F589:G589,"&gt;"&amp;0)+2,1)=H$1,H$1,""),"")</f>
        <v/>
      </c>
      <c r="I589" s="26" t="str">
        <f>IFERROR(IF(--MID($E589,2*COUNTIF($F589:H589,"&gt;"&amp;0)+2,1)=I$1,I$1,""),"")</f>
        <v/>
      </c>
      <c r="J589" s="26" t="str">
        <f>IFERROR(IF(--MID($E589,2*COUNTIF($F589:I589,"&gt;"&amp;0)+2,1)=J$1,J$1,""),"")</f>
        <v/>
      </c>
      <c r="K589" s="26" t="str">
        <f>IFERROR(IF(--MID($E589,2*COUNTIF($F589:J589,"&gt;"&amp;0)+2,1)=K$1,K$1,""),"")</f>
        <v/>
      </c>
      <c r="L589" s="39" t="str" cm="1">
        <f t="array" ref="L589">IFERROR(IF($A589="","",IF(F589="","",_xlfn.XLOOKUP($C589&amp;"_"&amp;$AG589,符文权重!$A:$A&amp;"_"&amp;符文权重!$C:$C,符文权重!$D:$D)*$X589/SUMIFS($X:$X,F:F,F589,$C:$C,$C589,$AG:$AG,$AG589)/SUMIF(符文权重!$A:$A,$C589,符文权重!$D:$D))),"")</f>
        <v/>
      </c>
      <c r="M589" s="39" t="str" cm="1">
        <f t="array" ref="M589">IFERROR(IF($A589="","",IF(G589="","",_xlfn.XLOOKUP($C589&amp;"_"&amp;$AG589,符文权重!$A:$A&amp;"_"&amp;符文权重!$C:$C,符文权重!$D:$D)*$X589/SUMIFS($X:$X,G:G,G589,$C:$C,$C589,$AG:$AG,$AG589)/SUMIF(符文权重!$A:$A,$C589,符文权重!$D:$D))),"")</f>
        <v/>
      </c>
      <c r="N589" s="39" t="str" cm="1">
        <f t="array" ref="N589">IFERROR(IF($A589="","",IF(H589="","",_xlfn.XLOOKUP($C589&amp;"_"&amp;$AG589,符文权重!$A:$A&amp;"_"&amp;符文权重!$C:$C,符文权重!$D:$D)*$X589/SUMIFS($X:$X,H:H,H589,$C:$C,$C589,$AG:$AG,$AG589)/SUMIF(符文权重!$A:$A,$C589,符文权重!$D:$D))),"")</f>
        <v/>
      </c>
      <c r="O589" s="39" t="str" cm="1">
        <f t="array" ref="O589">IFERROR(IF($A589="","",IF(I589="","",_xlfn.XLOOKUP($C589&amp;"_"&amp;$AG589,符文权重!$A:$A&amp;"_"&amp;符文权重!$C:$C,符文权重!$D:$D)*$X589/SUMIFS($X:$X,I:I,I589,$C:$C,$C589,$AG:$AG,$AG589)/SUMIF(符文权重!$A:$A,$C589,符文权重!$D:$D))),"")</f>
        <v/>
      </c>
      <c r="P589" s="39" t="str" cm="1">
        <f t="array" ref="P589">IFERROR(IF($A589="","",IF(J589="","",_xlfn.XLOOKUP($C589&amp;"_"&amp;$AG589,符文权重!$A:$A&amp;"_"&amp;符文权重!$C:$C,符文权重!$D:$D)*$X589/SUMIFS($X:$X,J:J,J589,$C:$C,$C589,$AG:$AG,$AG589)/SUMIF(符文权重!$A:$A,$C589,符文权重!$D:$D))),"")</f>
        <v/>
      </c>
      <c r="Q589" s="39" t="str" cm="1">
        <f t="array" ref="Q589">IFERROR(IF($A589="","",IF(K589="","",_xlfn.XLOOKUP($C589&amp;"_"&amp;$AG589,符文权重!$A:$A&amp;"_"&amp;符文权重!$C:$C,符文权重!$D:$D)*$X589/SUMIFS($X:$X,K:K,K589,$C:$C,$C589,$AG:$AG,$AG589)/SUMIF(符文权重!$A:$A,$C589,符文权重!$D:$D))),"")</f>
        <v/>
      </c>
      <c r="R589" s="25" t="s">
        <v>167</v>
      </c>
      <c r="S589" s="25" t="s">
        <v>167</v>
      </c>
      <c r="T589" s="25" t="s">
        <v>167</v>
      </c>
      <c r="W589" s="25" t="s">
        <v>167</v>
      </c>
      <c r="X589" s="25"/>
      <c r="Z589" s="25" t="s">
        <v>167</v>
      </c>
      <c r="AA589" s="32" t="str">
        <f t="shared" si="264"/>
        <v/>
      </c>
      <c r="AB589" s="32"/>
      <c r="AC589" s="32" t="s">
        <v>166</v>
      </c>
      <c r="AD589" s="32">
        <f t="shared" si="282"/>
        <v>1584</v>
      </c>
      <c r="AG589" s="25" t="s">
        <v>167</v>
      </c>
      <c r="AJ589" s="25" t="s">
        <v>167</v>
      </c>
      <c r="AK589" s="26"/>
      <c r="AM589" s="26"/>
      <c r="AN589" s="25">
        <v>4</v>
      </c>
      <c r="AO589" s="25" t="s">
        <v>32</v>
      </c>
      <c r="AP589" s="20">
        <f t="shared" si="283"/>
        <v>584</v>
      </c>
    </row>
    <row r="590" s="20" customFormat="1" customHeight="1" spans="1:42">
      <c r="A590" s="25">
        <v>5510061</v>
      </c>
      <c r="B590" s="25">
        <v>5301227</v>
      </c>
      <c r="C590" s="25">
        <v>1</v>
      </c>
      <c r="D590" s="25"/>
      <c r="E590" s="25" t="s">
        <v>200</v>
      </c>
      <c r="F590" s="26" t="str">
        <f t="shared" si="281"/>
        <v/>
      </c>
      <c r="G590" s="26">
        <f>IFERROR(IF(--MID($E590,2*COUNTIF($F590:F590,"&gt;"&amp;0)+2,1)=G$1,G$1,""),"")</f>
        <v>2</v>
      </c>
      <c r="H590" s="26" t="str">
        <f>IFERROR(IF(--MID($E590,2*COUNTIF($F590:G590,"&gt;"&amp;0)+2,1)=H$1,H$1,""),"")</f>
        <v/>
      </c>
      <c r="I590" s="26" t="str">
        <f>IFERROR(IF(--MID($E590,2*COUNTIF($F590:H590,"&gt;"&amp;0)+2,1)=I$1,I$1,""),"")</f>
        <v/>
      </c>
      <c r="J590" s="26" t="str">
        <f>IFERROR(IF(--MID($E590,2*COUNTIF($F590:I590,"&gt;"&amp;0)+2,1)=J$1,J$1,""),"")</f>
        <v/>
      </c>
      <c r="K590" s="26" t="str">
        <f>IFERROR(IF(--MID($E590,2*COUNTIF($F590:J590,"&gt;"&amp;0)+2,1)=K$1,K$1,""),"")</f>
        <v/>
      </c>
      <c r="L590" s="39" t="str" cm="1">
        <f t="array" ref="L590">IFERROR(IF($A590="","",IF(F590="","",_xlfn.XLOOKUP($C590&amp;"_"&amp;$AG590,符文权重!$A:$A&amp;"_"&amp;符文权重!$C:$C,符文权重!$D:$D)*$X590/SUMIFS($X:$X,F:F,F590,$C:$C,$C590,$AG:$AG,$AG590)/SUMIF(符文权重!$A:$A,$C590,符文权重!$D:$D))),"")</f>
        <v/>
      </c>
      <c r="M590" s="39" cm="1">
        <f t="array" ref="M590">IFERROR(IF($A590="","",IF(G590="","",_xlfn.XLOOKUP($C590&amp;"_"&amp;$AG590,符文权重!$A:$A&amp;"_"&amp;符文权重!$C:$C,符文权重!$D:$D)*$X590/SUMIFS($X:$X,G:G,G590,$C:$C,$C590,$AG:$AG,$AG590)/SUMIF(符文权重!$A:$A,$C590,符文权重!$D:$D))),"")</f>
        <v>0.025</v>
      </c>
      <c r="N590" s="39" t="str" cm="1">
        <f t="array" ref="N590">IFERROR(IF($A590="","",IF(H590="","",_xlfn.XLOOKUP($C590&amp;"_"&amp;$AG590,符文权重!$A:$A&amp;"_"&amp;符文权重!$C:$C,符文权重!$D:$D)*$X590/SUMIFS($X:$X,H:H,H590,$C:$C,$C590,$AG:$AG,$AG590)/SUMIF(符文权重!$A:$A,$C590,符文权重!$D:$D))),"")</f>
        <v/>
      </c>
      <c r="O590" s="39" t="str" cm="1">
        <f t="array" ref="O590">IFERROR(IF($A590="","",IF(I590="","",_xlfn.XLOOKUP($C590&amp;"_"&amp;$AG590,符文权重!$A:$A&amp;"_"&amp;符文权重!$C:$C,符文权重!$D:$D)*$X590/SUMIFS($X:$X,I:I,I590,$C:$C,$C590,$AG:$AG,$AG590)/SUMIF(符文权重!$A:$A,$C590,符文权重!$D:$D))),"")</f>
        <v/>
      </c>
      <c r="P590" s="39" t="str" cm="1">
        <f t="array" ref="P590">IFERROR(IF($A590="","",IF(J590="","",_xlfn.XLOOKUP($C590&amp;"_"&amp;$AG590,符文权重!$A:$A&amp;"_"&amp;符文权重!$C:$C,符文权重!$D:$D)*$X590/SUMIFS($X:$X,J:J,J590,$C:$C,$C590,$AG:$AG,$AG590)/SUMIF(符文权重!$A:$A,$C590,符文权重!$D:$D))),"")</f>
        <v/>
      </c>
      <c r="Q590" s="39" t="str" cm="1">
        <f t="array" ref="Q590">IFERROR(IF($A590="","",IF(K590="","",_xlfn.XLOOKUP($C590&amp;"_"&amp;$AG590,符文权重!$A:$A&amp;"_"&amp;符文权重!$C:$C,符文权重!$D:$D)*$X590/SUMIFS($X:$X,K:K,K590,$C:$C,$C590,$AG:$AG,$AG590)/SUMIF(符文权重!$A:$A,$C590,符文权重!$D:$D))),"")</f>
        <v/>
      </c>
      <c r="R590" s="25" t="s">
        <v>330</v>
      </c>
      <c r="S590" s="25" t="s">
        <v>560</v>
      </c>
      <c r="T590" s="25" t="s">
        <v>380</v>
      </c>
      <c r="U590" s="25" t="s">
        <v>567</v>
      </c>
      <c r="W590" s="25" t="s">
        <v>562</v>
      </c>
      <c r="X590" s="25">
        <v>100</v>
      </c>
      <c r="Z590" s="25" t="s">
        <v>165</v>
      </c>
      <c r="AA590" s="32" t="str">
        <f t="shared" si="264"/>
        <v>吟游诗人增幅持续时间+1秒</v>
      </c>
      <c r="AB590" s="32"/>
      <c r="AC590" s="32" t="s">
        <v>166</v>
      </c>
      <c r="AD590" s="32">
        <f t="shared" si="282"/>
        <v>1585</v>
      </c>
      <c r="AE590" s="25">
        <v>5301227</v>
      </c>
      <c r="AF590" s="25" t="s">
        <v>191</v>
      </c>
      <c r="AG590" s="25">
        <v>4</v>
      </c>
      <c r="AJ590" s="25">
        <v>1</v>
      </c>
      <c r="AK590" s="26"/>
      <c r="AL590" s="25" t="s">
        <v>568</v>
      </c>
      <c r="AM590" s="26"/>
      <c r="AN590" s="25">
        <v>4</v>
      </c>
      <c r="AO590" s="25" t="s">
        <v>32</v>
      </c>
      <c r="AP590" s="20">
        <f t="shared" si="283"/>
        <v>585</v>
      </c>
    </row>
    <row r="591" s="20" customFormat="1" customHeight="1" spans="1:42">
      <c r="A591" s="25">
        <v>5510062</v>
      </c>
      <c r="B591" s="25">
        <v>5301227</v>
      </c>
      <c r="C591" s="25">
        <v>2</v>
      </c>
      <c r="D591" s="25"/>
      <c r="E591" s="25" t="s">
        <v>200</v>
      </c>
      <c r="F591" s="26" t="str">
        <f t="shared" si="281"/>
        <v/>
      </c>
      <c r="G591" s="26">
        <f>IFERROR(IF(--MID($E591,2*COUNTIF($F591:F591,"&gt;"&amp;0)+2,1)=G$1,G$1,""),"")</f>
        <v>2</v>
      </c>
      <c r="H591" s="26" t="str">
        <f>IFERROR(IF(--MID($E591,2*COUNTIF($F591:G591,"&gt;"&amp;0)+2,1)=H$1,H$1,""),"")</f>
        <v/>
      </c>
      <c r="I591" s="26" t="str">
        <f>IFERROR(IF(--MID($E591,2*COUNTIF($F591:H591,"&gt;"&amp;0)+2,1)=I$1,I$1,""),"")</f>
        <v/>
      </c>
      <c r="J591" s="26" t="str">
        <f>IFERROR(IF(--MID($E591,2*COUNTIF($F591:I591,"&gt;"&amp;0)+2,1)=J$1,J$1,""),"")</f>
        <v/>
      </c>
      <c r="K591" s="26" t="str">
        <f>IFERROR(IF(--MID($E591,2*COUNTIF($F591:J591,"&gt;"&amp;0)+2,1)=K$1,K$1,""),"")</f>
        <v/>
      </c>
      <c r="L591" s="39" t="str" cm="1">
        <f t="array" ref="L591">IFERROR(IF($A591="","",IF(F591="","",_xlfn.XLOOKUP($C591&amp;"_"&amp;$AG591,符文权重!$A:$A&amp;"_"&amp;符文权重!$C:$C,符文权重!$D:$D)*$X591/SUMIFS($X:$X,F:F,F591,$C:$C,$C591,$AG:$AG,$AG591)/SUMIF(符文权重!$A:$A,$C591,符文权重!$D:$D))),"")</f>
        <v/>
      </c>
      <c r="M591" s="39" cm="1">
        <f t="array" ref="M591">IFERROR(IF($A591="","",IF(G591="","",_xlfn.XLOOKUP($C591&amp;"_"&amp;$AG591,符文权重!$A:$A&amp;"_"&amp;符文权重!$C:$C,符文权重!$D:$D)*$X591/SUMIFS($X:$X,G:G,G591,$C:$C,$C591,$AG:$AG,$AG591)/SUMIF(符文权重!$A:$A,$C591,符文权重!$D:$D))),"")</f>
        <v>0.025</v>
      </c>
      <c r="N591" s="39" t="str" cm="1">
        <f t="array" ref="N591">IFERROR(IF($A591="","",IF(H591="","",_xlfn.XLOOKUP($C591&amp;"_"&amp;$AG591,符文权重!$A:$A&amp;"_"&amp;符文权重!$C:$C,符文权重!$D:$D)*$X591/SUMIFS($X:$X,H:H,H591,$C:$C,$C591,$AG:$AG,$AG591)/SUMIF(符文权重!$A:$A,$C591,符文权重!$D:$D))),"")</f>
        <v/>
      </c>
      <c r="O591" s="39" t="str" cm="1">
        <f t="array" ref="O591">IFERROR(IF($A591="","",IF(I591="","",_xlfn.XLOOKUP($C591&amp;"_"&amp;$AG591,符文权重!$A:$A&amp;"_"&amp;符文权重!$C:$C,符文权重!$D:$D)*$X591/SUMIFS($X:$X,I:I,I591,$C:$C,$C591,$AG:$AG,$AG591)/SUMIF(符文权重!$A:$A,$C591,符文权重!$D:$D))),"")</f>
        <v/>
      </c>
      <c r="P591" s="39" t="str" cm="1">
        <f t="array" ref="P591">IFERROR(IF($A591="","",IF(J591="","",_xlfn.XLOOKUP($C591&amp;"_"&amp;$AG591,符文权重!$A:$A&amp;"_"&amp;符文权重!$C:$C,符文权重!$D:$D)*$X591/SUMIFS($X:$X,J:J,J591,$C:$C,$C591,$AG:$AG,$AG591)/SUMIF(符文权重!$A:$A,$C591,符文权重!$D:$D))),"")</f>
        <v/>
      </c>
      <c r="Q591" s="39" t="str" cm="1">
        <f t="array" ref="Q591">IFERROR(IF($A591="","",IF(K591="","",_xlfn.XLOOKUP($C591&amp;"_"&amp;$AG591,符文权重!$A:$A&amp;"_"&amp;符文权重!$C:$C,符文权重!$D:$D)*$X591/SUMIFS($X:$X,K:K,K591,$C:$C,$C591,$AG:$AG,$AG591)/SUMIF(符文权重!$A:$A,$C591,符文权重!$D:$D))),"")</f>
        <v/>
      </c>
      <c r="R591" s="25" t="s">
        <v>330</v>
      </c>
      <c r="S591" s="25" t="s">
        <v>560</v>
      </c>
      <c r="T591" s="25" t="s">
        <v>383</v>
      </c>
      <c r="U591" s="25" t="s">
        <v>569</v>
      </c>
      <c r="W591" s="25" t="s">
        <v>565</v>
      </c>
      <c r="X591" s="25">
        <v>100</v>
      </c>
      <c r="Z591" s="25" t="s">
        <v>170</v>
      </c>
      <c r="AA591" s="32" t="str">
        <f t="shared" si="264"/>
        <v>吟游诗人增幅持续时间+1.5秒</v>
      </c>
      <c r="AB591" s="32"/>
      <c r="AC591" s="32" t="s">
        <v>166</v>
      </c>
      <c r="AD591" s="32">
        <f t="shared" si="282"/>
        <v>1586</v>
      </c>
      <c r="AE591" s="25">
        <v>5301227</v>
      </c>
      <c r="AF591" s="25" t="s">
        <v>570</v>
      </c>
      <c r="AG591" s="25">
        <v>4</v>
      </c>
      <c r="AJ591" s="25">
        <v>1</v>
      </c>
      <c r="AK591" s="26"/>
      <c r="AL591" s="25" t="s">
        <v>571</v>
      </c>
      <c r="AM591" s="26"/>
      <c r="AN591" s="25">
        <v>4</v>
      </c>
      <c r="AO591" s="25" t="s">
        <v>32</v>
      </c>
      <c r="AP591" s="20">
        <f t="shared" si="283"/>
        <v>586</v>
      </c>
    </row>
    <row r="592" s="20" customFormat="1" customHeight="1" spans="1:42">
      <c r="A592" s="25"/>
      <c r="B592" s="25"/>
      <c r="C592" s="25"/>
      <c r="D592" s="25"/>
      <c r="E592" s="25"/>
      <c r="F592" s="26" t="str">
        <f t="shared" si="281"/>
        <v/>
      </c>
      <c r="G592" s="26" t="str">
        <f>IFERROR(IF(--MID($E592,2*COUNTIF($F592:F592,"&gt;"&amp;0)+2,1)=G$1,G$1,""),"")</f>
        <v/>
      </c>
      <c r="H592" s="26" t="str">
        <f>IFERROR(IF(--MID($E592,2*COUNTIF($F592:G592,"&gt;"&amp;0)+2,1)=H$1,H$1,""),"")</f>
        <v/>
      </c>
      <c r="I592" s="26" t="str">
        <f>IFERROR(IF(--MID($E592,2*COUNTIF($F592:H592,"&gt;"&amp;0)+2,1)=I$1,I$1,""),"")</f>
        <v/>
      </c>
      <c r="J592" s="26" t="str">
        <f>IFERROR(IF(--MID($E592,2*COUNTIF($F592:I592,"&gt;"&amp;0)+2,1)=J$1,J$1,""),"")</f>
        <v/>
      </c>
      <c r="K592" s="26" t="str">
        <f>IFERROR(IF(--MID($E592,2*COUNTIF($F592:J592,"&gt;"&amp;0)+2,1)=K$1,K$1,""),"")</f>
        <v/>
      </c>
      <c r="L592" s="39" t="str" cm="1">
        <f t="array" ref="L592">IFERROR(IF($A592="","",IF(F592="","",_xlfn.XLOOKUP($C592&amp;"_"&amp;$AG592,符文权重!$A:$A&amp;"_"&amp;符文权重!$C:$C,符文权重!$D:$D)*$X592/SUMIFS($X:$X,F:F,F592,$C:$C,$C592,$AG:$AG,$AG592)/SUMIF(符文权重!$A:$A,$C592,符文权重!$D:$D))),"")</f>
        <v/>
      </c>
      <c r="M592" s="39" t="str" cm="1">
        <f t="array" ref="M592">IFERROR(IF($A592="","",IF(G592="","",_xlfn.XLOOKUP($C592&amp;"_"&amp;$AG592,符文权重!$A:$A&amp;"_"&amp;符文权重!$C:$C,符文权重!$D:$D)*$X592/SUMIFS($X:$X,G:G,G592,$C:$C,$C592,$AG:$AG,$AG592)/SUMIF(符文权重!$A:$A,$C592,符文权重!$D:$D))),"")</f>
        <v/>
      </c>
      <c r="N592" s="39" t="str" cm="1">
        <f t="array" ref="N592">IFERROR(IF($A592="","",IF(H592="","",_xlfn.XLOOKUP($C592&amp;"_"&amp;$AG592,符文权重!$A:$A&amp;"_"&amp;符文权重!$C:$C,符文权重!$D:$D)*$X592/SUMIFS($X:$X,H:H,H592,$C:$C,$C592,$AG:$AG,$AG592)/SUMIF(符文权重!$A:$A,$C592,符文权重!$D:$D))),"")</f>
        <v/>
      </c>
      <c r="O592" s="39" t="str" cm="1">
        <f t="array" ref="O592">IFERROR(IF($A592="","",IF(I592="","",_xlfn.XLOOKUP($C592&amp;"_"&amp;$AG592,符文权重!$A:$A&amp;"_"&amp;符文权重!$C:$C,符文权重!$D:$D)*$X592/SUMIFS($X:$X,I:I,I592,$C:$C,$C592,$AG:$AG,$AG592)/SUMIF(符文权重!$A:$A,$C592,符文权重!$D:$D))),"")</f>
        <v/>
      </c>
      <c r="P592" s="39" t="str" cm="1">
        <f t="array" ref="P592">IFERROR(IF($A592="","",IF(J592="","",_xlfn.XLOOKUP($C592&amp;"_"&amp;$AG592,符文权重!$A:$A&amp;"_"&amp;符文权重!$C:$C,符文权重!$D:$D)*$X592/SUMIFS($X:$X,J:J,J592,$C:$C,$C592,$AG:$AG,$AG592)/SUMIF(符文权重!$A:$A,$C592,符文权重!$D:$D))),"")</f>
        <v/>
      </c>
      <c r="Q592" s="39" t="str" cm="1">
        <f t="array" ref="Q592">IFERROR(IF($A592="","",IF(K592="","",_xlfn.XLOOKUP($C592&amp;"_"&amp;$AG592,符文权重!$A:$A&amp;"_"&amp;符文权重!$C:$C,符文权重!$D:$D)*$X592/SUMIFS($X:$X,K:K,K592,$C:$C,$C592,$AG:$AG,$AG592)/SUMIF(符文权重!$A:$A,$C592,符文权重!$D:$D))),"")</f>
        <v/>
      </c>
      <c r="R592" s="25" t="s">
        <v>167</v>
      </c>
      <c r="S592" s="25" t="s">
        <v>167</v>
      </c>
      <c r="T592" s="25" t="s">
        <v>167</v>
      </c>
      <c r="U592" s="25"/>
      <c r="W592" s="25" t="s">
        <v>167</v>
      </c>
      <c r="X592" s="25"/>
      <c r="Z592" s="25" t="s">
        <v>167</v>
      </c>
      <c r="AA592" s="32" t="str">
        <f t="shared" si="264"/>
        <v/>
      </c>
      <c r="AB592" s="32"/>
      <c r="AC592" s="32" t="s">
        <v>166</v>
      </c>
      <c r="AD592" s="32">
        <f t="shared" si="282"/>
        <v>1587</v>
      </c>
      <c r="AE592" s="25"/>
      <c r="AF592" s="25"/>
      <c r="AG592" s="25" t="s">
        <v>167</v>
      </c>
      <c r="AJ592" s="25" t="s">
        <v>167</v>
      </c>
      <c r="AK592" s="26"/>
      <c r="AL592" s="25"/>
      <c r="AM592" s="26"/>
      <c r="AN592" s="25">
        <v>4</v>
      </c>
      <c r="AO592" s="25" t="s">
        <v>32</v>
      </c>
      <c r="AP592" s="20">
        <f t="shared" si="283"/>
        <v>587</v>
      </c>
    </row>
    <row r="593" s="20" customFormat="1" customHeight="1" spans="1:42">
      <c r="A593" s="25">
        <v>5510072</v>
      </c>
      <c r="B593" s="25">
        <v>5301229</v>
      </c>
      <c r="C593" s="26">
        <v>2</v>
      </c>
      <c r="D593" s="26"/>
      <c r="E593" s="25" t="s">
        <v>200</v>
      </c>
      <c r="F593" s="26" t="str">
        <f t="shared" si="281"/>
        <v/>
      </c>
      <c r="G593" s="26">
        <f>IFERROR(IF(--MID($E593,2*COUNTIF($F593:F593,"&gt;"&amp;0)+2,1)=G$1,G$1,""),"")</f>
        <v>2</v>
      </c>
      <c r="H593" s="26" t="str">
        <f>IFERROR(IF(--MID($E593,2*COUNTIF($F593:G593,"&gt;"&amp;0)+2,1)=H$1,H$1,""),"")</f>
        <v/>
      </c>
      <c r="I593" s="26" t="str">
        <f>IFERROR(IF(--MID($E593,2*COUNTIF($F593:H593,"&gt;"&amp;0)+2,1)=I$1,I$1,""),"")</f>
        <v/>
      </c>
      <c r="J593" s="26" t="str">
        <f>IFERROR(IF(--MID($E593,2*COUNTIF($F593:I593,"&gt;"&amp;0)+2,1)=J$1,J$1,""),"")</f>
        <v/>
      </c>
      <c r="K593" s="26" t="str">
        <f>IFERROR(IF(--MID($E593,2*COUNTIF($F593:J593,"&gt;"&amp;0)+2,1)=K$1,K$1,""),"")</f>
        <v/>
      </c>
      <c r="L593" s="39" t="str" cm="1">
        <f t="array" ref="L593">IFERROR(IF($A593="","",IF(F593="","",_xlfn.XLOOKUP($C593&amp;"_"&amp;$AG593,符文权重!$A:$A&amp;"_"&amp;符文权重!$C:$C,符文权重!$D:$D)*$X593/SUMIFS($X:$X,F:F,F593,$C:$C,$C593,$AG:$AG,$AG593)/SUMIF(符文权重!$A:$A,$C593,符文权重!$D:$D))),"")</f>
        <v/>
      </c>
      <c r="M593" s="39" t="str" cm="1">
        <f t="array" ref="M593">IFERROR(IF($A593="","",IF(G593="","",_xlfn.XLOOKUP($C593&amp;"_"&amp;$AG593,符文权重!$A:$A&amp;"_"&amp;符文权重!$C:$C,符文权重!$D:$D)*$X593/SUMIFS($X:$X,G:G,G593,$C:$C,$C593,$AG:$AG,$AG593)/SUMIF(符文权重!$A:$A,$C593,符文权重!$D:$D))),"")</f>
        <v/>
      </c>
      <c r="N593" s="39" t="str" cm="1">
        <f t="array" ref="N593">IFERROR(IF($A593="","",IF(H593="","",_xlfn.XLOOKUP($C593&amp;"_"&amp;$AG593,符文权重!$A:$A&amp;"_"&amp;符文权重!$C:$C,符文权重!$D:$D)*$X593/SUMIFS($X:$X,H:H,H593,$C:$C,$C593,$AG:$AG,$AG593)/SUMIF(符文权重!$A:$A,$C593,符文权重!$D:$D))),"")</f>
        <v/>
      </c>
      <c r="O593" s="39" t="str" cm="1">
        <f t="array" ref="O593">IFERROR(IF($A593="","",IF(I593="","",_xlfn.XLOOKUP($C593&amp;"_"&amp;$AG593,符文权重!$A:$A&amp;"_"&amp;符文权重!$C:$C,符文权重!$D:$D)*$X593/SUMIFS($X:$X,I:I,I593,$C:$C,$C593,$AG:$AG,$AG593)/SUMIF(符文权重!$A:$A,$C593,符文权重!$D:$D))),"")</f>
        <v/>
      </c>
      <c r="P593" s="39" t="str" cm="1">
        <f t="array" ref="P593">IFERROR(IF($A593="","",IF(J593="","",_xlfn.XLOOKUP($C593&amp;"_"&amp;$AG593,符文权重!$A:$A&amp;"_"&amp;符文权重!$C:$C,符文权重!$D:$D)*$X593/SUMIFS($X:$X,J:J,J593,$C:$C,$C593,$AG:$AG,$AG593)/SUMIF(符文权重!$A:$A,$C593,符文权重!$D:$D))),"")</f>
        <v/>
      </c>
      <c r="Q593" s="39" t="str" cm="1">
        <f t="array" ref="Q593">IFERROR(IF($A593="","",IF(K593="","",_xlfn.XLOOKUP($C593&amp;"_"&amp;$AG593,符文权重!$A:$A&amp;"_"&amp;符文权重!$C:$C,符文权重!$D:$D)*$X593/SUMIFS($X:$X,K:K,K593,$C:$C,$C593,$AG:$AG,$AG593)/SUMIF(符文权重!$A:$A,$C593,符文权重!$D:$D))),"")</f>
        <v/>
      </c>
      <c r="R593" s="26" t="s">
        <v>330</v>
      </c>
      <c r="S593" s="26" t="s">
        <v>572</v>
      </c>
      <c r="T593" s="26" t="s">
        <v>383</v>
      </c>
      <c r="U593" s="20" t="s">
        <v>573</v>
      </c>
      <c r="V593" s="26"/>
      <c r="W593" s="25" t="s">
        <v>574</v>
      </c>
      <c r="X593" s="25">
        <v>100</v>
      </c>
      <c r="Y593" s="25"/>
      <c r="Z593" s="26" t="s">
        <v>170</v>
      </c>
      <c r="AA593" s="32" t="str">
        <f t="shared" si="264"/>
        <v>摇滚巨石12秒内没受到攻击，可获得1层[免伤盾]，上限1层</v>
      </c>
      <c r="AB593" s="32"/>
      <c r="AC593" s="32" t="s">
        <v>166</v>
      </c>
      <c r="AD593" s="32">
        <f t="shared" si="282"/>
        <v>1588</v>
      </c>
      <c r="AE593" s="25">
        <v>5301229</v>
      </c>
      <c r="AF593" s="26" t="s">
        <v>182</v>
      </c>
      <c r="AG593" s="26">
        <v>100</v>
      </c>
      <c r="AH593" s="26"/>
      <c r="AI593" s="26">
        <v>1</v>
      </c>
      <c r="AJ593" s="26">
        <v>0</v>
      </c>
      <c r="AL593" s="26" t="s">
        <v>575</v>
      </c>
      <c r="AN593" s="25">
        <v>4</v>
      </c>
      <c r="AO593" s="25" t="s">
        <v>32</v>
      </c>
      <c r="AP593" s="20">
        <f t="shared" si="283"/>
        <v>588</v>
      </c>
    </row>
    <row r="594" s="20" customFormat="1" customHeight="1" spans="1:42">
      <c r="A594" s="25">
        <v>5510073</v>
      </c>
      <c r="B594" s="25">
        <v>5301229</v>
      </c>
      <c r="C594" s="25">
        <v>3</v>
      </c>
      <c r="D594" s="25"/>
      <c r="E594" s="25" t="s">
        <v>200</v>
      </c>
      <c r="F594" s="26" t="str">
        <f t="shared" si="281"/>
        <v/>
      </c>
      <c r="G594" s="26">
        <f>IFERROR(IF(--MID($E594,2*COUNTIF($F594:F594,"&gt;"&amp;0)+2,1)=G$1,G$1,""),"")</f>
        <v>2</v>
      </c>
      <c r="H594" s="26" t="str">
        <f>IFERROR(IF(--MID($E594,2*COUNTIF($F594:G594,"&gt;"&amp;0)+2,1)=H$1,H$1,""),"")</f>
        <v/>
      </c>
      <c r="I594" s="26" t="str">
        <f>IFERROR(IF(--MID($E594,2*COUNTIF($F594:H594,"&gt;"&amp;0)+2,1)=I$1,I$1,""),"")</f>
        <v/>
      </c>
      <c r="J594" s="26" t="str">
        <f>IFERROR(IF(--MID($E594,2*COUNTIF($F594:I594,"&gt;"&amp;0)+2,1)=J$1,J$1,""),"")</f>
        <v/>
      </c>
      <c r="K594" s="26" t="str">
        <f>IFERROR(IF(--MID($E594,2*COUNTIF($F594:J594,"&gt;"&amp;0)+2,1)=K$1,K$1,""),"")</f>
        <v/>
      </c>
      <c r="L594" s="39" t="str" cm="1">
        <f t="array" ref="L594">IFERROR(IF($A594="","",IF(F594="","",_xlfn.XLOOKUP($C594&amp;"_"&amp;$AG594,符文权重!$A:$A&amp;"_"&amp;符文权重!$C:$C,符文权重!$D:$D)*$X594/SUMIFS($X:$X,F:F,F594,$C:$C,$C594,$AG:$AG,$AG594)/SUMIF(符文权重!$A:$A,$C594,符文权重!$D:$D))),"")</f>
        <v/>
      </c>
      <c r="M594" s="39" cm="1">
        <f t="array" ref="M594">IFERROR(IF($A594="","",IF(G594="","",_xlfn.XLOOKUP($C594&amp;"_"&amp;$AG594,符文权重!$A:$A&amp;"_"&amp;符文权重!$C:$C,符文权重!$D:$D)*$X594/SUMIFS($X:$X,G:G,G594,$C:$C,$C594,$AG:$AG,$AG594)/SUMIF(符文权重!$A:$A,$C594,符文权重!$D:$D))),"")</f>
        <v>0.0166666666666667</v>
      </c>
      <c r="N594" s="39" t="str" cm="1">
        <f t="array" ref="N594">IFERROR(IF($A594="","",IF(H594="","",_xlfn.XLOOKUP($C594&amp;"_"&amp;$AG594,符文权重!$A:$A&amp;"_"&amp;符文权重!$C:$C,符文权重!$D:$D)*$X594/SUMIFS($X:$X,H:H,H594,$C:$C,$C594,$AG:$AG,$AG594)/SUMIF(符文权重!$A:$A,$C594,符文权重!$D:$D))),"")</f>
        <v/>
      </c>
      <c r="O594" s="39" t="str" cm="1">
        <f t="array" ref="O594">IFERROR(IF($A594="","",IF(I594="","",_xlfn.XLOOKUP($C594&amp;"_"&amp;$AG594,符文权重!$A:$A&amp;"_"&amp;符文权重!$C:$C,符文权重!$D:$D)*$X594/SUMIFS($X:$X,I:I,I594,$C:$C,$C594,$AG:$AG,$AG594)/SUMIF(符文权重!$A:$A,$C594,符文权重!$D:$D))),"")</f>
        <v/>
      </c>
      <c r="P594" s="39" t="str" cm="1">
        <f t="array" ref="P594">IFERROR(IF($A594="","",IF(J594="","",_xlfn.XLOOKUP($C594&amp;"_"&amp;$AG594,符文权重!$A:$A&amp;"_"&amp;符文权重!$C:$C,符文权重!$D:$D)*$X594/SUMIFS($X:$X,J:J,J594,$C:$C,$C594,$AG:$AG,$AG594)/SUMIF(符文权重!$A:$A,$C594,符文权重!$D:$D))),"")</f>
        <v/>
      </c>
      <c r="Q594" s="39" t="str" cm="1">
        <f t="array" ref="Q594">IFERROR(IF($A594="","",IF(K594="","",_xlfn.XLOOKUP($C594&amp;"_"&amp;$AG594,符文权重!$A:$A&amp;"_"&amp;符文权重!$C:$C,符文权重!$D:$D)*$X594/SUMIFS($X:$X,K:K,K594,$C:$C,$C594,$AG:$AG,$AG594)/SUMIF(符文权重!$A:$A,$C594,符文权重!$D:$D))),"")</f>
        <v/>
      </c>
      <c r="R594" s="25" t="s">
        <v>330</v>
      </c>
      <c r="S594" s="25" t="s">
        <v>572</v>
      </c>
      <c r="T594" s="25" t="s">
        <v>385</v>
      </c>
      <c r="U594" s="25" t="s">
        <v>576</v>
      </c>
      <c r="W594" s="25" t="s">
        <v>577</v>
      </c>
      <c r="X594" s="25">
        <v>100</v>
      </c>
      <c r="Z594" s="25" t="s">
        <v>172</v>
      </c>
      <c r="AA594" s="32" t="str">
        <f t="shared" ref="AA594:AA657" si="284">SUBSTITUTE(SUBSTITUTE(SUBSTITUTE(SUBSTITUTE(AL594,"%s",AM594),"&lt;color=#54b76b&gt;",""),"&lt;/color&gt; ",""),"&lt;/color&gt;","")</f>
        <v>摇滚巨石12秒内没受到攻击，可获得1层[免伤盾]，上限2层</v>
      </c>
      <c r="AB594" s="32"/>
      <c r="AC594" s="32" t="s">
        <v>166</v>
      </c>
      <c r="AD594" s="32">
        <f t="shared" si="282"/>
        <v>1589</v>
      </c>
      <c r="AE594" s="25">
        <v>5301229</v>
      </c>
      <c r="AF594" s="25" t="s">
        <v>375</v>
      </c>
      <c r="AG594" s="25">
        <v>4</v>
      </c>
      <c r="AJ594" s="25">
        <v>1</v>
      </c>
      <c r="AK594" s="26"/>
      <c r="AL594" s="25" t="s">
        <v>578</v>
      </c>
      <c r="AM594" s="26"/>
      <c r="AN594" s="25">
        <v>4</v>
      </c>
      <c r="AO594" s="25" t="s">
        <v>32</v>
      </c>
      <c r="AP594" s="20">
        <f t="shared" si="283"/>
        <v>589</v>
      </c>
    </row>
    <row r="595" s="20" customFormat="1" customHeight="1" spans="1:42">
      <c r="A595" s="25">
        <v>5510074</v>
      </c>
      <c r="B595" s="25">
        <v>5301229</v>
      </c>
      <c r="C595" s="25">
        <v>4</v>
      </c>
      <c r="D595" s="25"/>
      <c r="E595" s="25" t="s">
        <v>200</v>
      </c>
      <c r="F595" s="26" t="str">
        <f t="shared" si="281"/>
        <v/>
      </c>
      <c r="G595" s="26">
        <f>IFERROR(IF(--MID($E595,2*COUNTIF($F595:F595,"&gt;"&amp;0)+2,1)=G$1,G$1,""),"")</f>
        <v>2</v>
      </c>
      <c r="H595" s="26" t="str">
        <f>IFERROR(IF(--MID($E595,2*COUNTIF($F595:G595,"&gt;"&amp;0)+2,1)=H$1,H$1,""),"")</f>
        <v/>
      </c>
      <c r="I595" s="26" t="str">
        <f>IFERROR(IF(--MID($E595,2*COUNTIF($F595:H595,"&gt;"&amp;0)+2,1)=I$1,I$1,""),"")</f>
        <v/>
      </c>
      <c r="J595" s="26" t="str">
        <f>IFERROR(IF(--MID($E595,2*COUNTIF($F595:I595,"&gt;"&amp;0)+2,1)=J$1,J$1,""),"")</f>
        <v/>
      </c>
      <c r="K595" s="26" t="str">
        <f>IFERROR(IF(--MID($E595,2*COUNTIF($F595:J595,"&gt;"&amp;0)+2,1)=K$1,K$1,""),"")</f>
        <v/>
      </c>
      <c r="L595" s="39" t="str" cm="1">
        <f t="array" ref="L595">IFERROR(IF($A595="","",IF(F595="","",_xlfn.XLOOKUP($C595&amp;"_"&amp;$AG595,符文权重!$A:$A&amp;"_"&amp;符文权重!$C:$C,符文权重!$D:$D)*$X595/SUMIFS($X:$X,F:F,F595,$C:$C,$C595,$AG:$AG,$AG595)/SUMIF(符文权重!$A:$A,$C595,符文权重!$D:$D))),"")</f>
        <v/>
      </c>
      <c r="M595" s="39" cm="1">
        <f t="array" ref="M595">IFERROR(IF($A595="","",IF(G595="","",_xlfn.XLOOKUP($C595&amp;"_"&amp;$AG595,符文权重!$A:$A&amp;"_"&amp;符文权重!$C:$C,符文权重!$D:$D)*$X595/SUMIFS($X:$X,G:G,G595,$C:$C,$C595,$AG:$AG,$AG595)/SUMIF(符文权重!$A:$A,$C595,符文权重!$D:$D))),"")</f>
        <v>0.015625</v>
      </c>
      <c r="N595" s="39" t="str" cm="1">
        <f t="array" ref="N595">IFERROR(IF($A595="","",IF(H595="","",_xlfn.XLOOKUP($C595&amp;"_"&amp;$AG595,符文权重!$A:$A&amp;"_"&amp;符文权重!$C:$C,符文权重!$D:$D)*$X595/SUMIFS($X:$X,H:H,H595,$C:$C,$C595,$AG:$AG,$AG595)/SUMIF(符文权重!$A:$A,$C595,符文权重!$D:$D))),"")</f>
        <v/>
      </c>
      <c r="O595" s="39" t="str" cm="1">
        <f t="array" ref="O595">IFERROR(IF($A595="","",IF(I595="","",_xlfn.XLOOKUP($C595&amp;"_"&amp;$AG595,符文权重!$A:$A&amp;"_"&amp;符文权重!$C:$C,符文权重!$D:$D)*$X595/SUMIFS($X:$X,I:I,I595,$C:$C,$C595,$AG:$AG,$AG595)/SUMIF(符文权重!$A:$A,$C595,符文权重!$D:$D))),"")</f>
        <v/>
      </c>
      <c r="P595" s="39" t="str" cm="1">
        <f t="array" ref="P595">IFERROR(IF($A595="","",IF(J595="","",_xlfn.XLOOKUP($C595&amp;"_"&amp;$AG595,符文权重!$A:$A&amp;"_"&amp;符文权重!$C:$C,符文权重!$D:$D)*$X595/SUMIFS($X:$X,J:J,J595,$C:$C,$C595,$AG:$AG,$AG595)/SUMIF(符文权重!$A:$A,$C595,符文权重!$D:$D))),"")</f>
        <v/>
      </c>
      <c r="Q595" s="39" t="str" cm="1">
        <f t="array" ref="Q595">IFERROR(IF($A595="","",IF(K595="","",_xlfn.XLOOKUP($C595&amp;"_"&amp;$AG595,符文权重!$A:$A&amp;"_"&amp;符文权重!$C:$C,符文权重!$D:$D)*$X595/SUMIFS($X:$X,K:K,K595,$C:$C,$C595,$AG:$AG,$AG595)/SUMIF(符文权重!$A:$A,$C595,符文权重!$D:$D))),"")</f>
        <v/>
      </c>
      <c r="R595" s="25" t="s">
        <v>330</v>
      </c>
      <c r="S595" s="25" t="s">
        <v>572</v>
      </c>
      <c r="T595" s="25" t="s">
        <v>388</v>
      </c>
      <c r="U595" s="25" t="s">
        <v>579</v>
      </c>
      <c r="W595" s="25" t="s">
        <v>580</v>
      </c>
      <c r="X595" s="25">
        <v>100</v>
      </c>
      <c r="Z595" s="25" t="s">
        <v>174</v>
      </c>
      <c r="AA595" s="32" t="str">
        <f t="shared" si="284"/>
        <v>摇滚巨石12秒内没受到攻击，可获得1层[免伤盾]，上限3层</v>
      </c>
      <c r="AB595" s="32"/>
      <c r="AC595" s="32" t="s">
        <v>166</v>
      </c>
      <c r="AD595" s="32">
        <f t="shared" si="282"/>
        <v>1590</v>
      </c>
      <c r="AE595" s="25">
        <v>5301229</v>
      </c>
      <c r="AF595" s="25" t="s">
        <v>218</v>
      </c>
      <c r="AG595" s="25">
        <v>4</v>
      </c>
      <c r="AJ595" s="25">
        <v>1</v>
      </c>
      <c r="AK595" s="26"/>
      <c r="AL595" s="25" t="s">
        <v>581</v>
      </c>
      <c r="AM595" s="26"/>
      <c r="AN595" s="25">
        <v>4</v>
      </c>
      <c r="AO595" s="25" t="s">
        <v>32</v>
      </c>
      <c r="AP595" s="20">
        <f t="shared" si="283"/>
        <v>590</v>
      </c>
    </row>
    <row r="596" s="20" customFormat="1" customHeight="1" spans="1:42">
      <c r="A596" s="25">
        <v>5510082</v>
      </c>
      <c r="B596" s="25">
        <v>5301230</v>
      </c>
      <c r="C596" s="26">
        <v>2</v>
      </c>
      <c r="D596" s="26"/>
      <c r="E596" s="25" t="s">
        <v>182</v>
      </c>
      <c r="F596" s="26" t="str">
        <f t="shared" si="281"/>
        <v/>
      </c>
      <c r="G596" s="26" t="str">
        <f>IFERROR(IF(--MID($E596,2*COUNTIF($F596:F596,"&gt;"&amp;0)+2,1)=G$1,G$1,""),"")</f>
        <v/>
      </c>
      <c r="H596" s="26">
        <f>IFERROR(IF(--MID($E596,2*COUNTIF($F596:G596,"&gt;"&amp;0)+2,1)=H$1,H$1,""),"")</f>
        <v>3</v>
      </c>
      <c r="I596" s="26" t="str">
        <f>IFERROR(IF(--MID($E596,2*COUNTIF($F596:H596,"&gt;"&amp;0)+2,1)=I$1,I$1,""),"")</f>
        <v/>
      </c>
      <c r="J596" s="26" t="str">
        <f>IFERROR(IF(--MID($E596,2*COUNTIF($F596:I596,"&gt;"&amp;0)+2,1)=J$1,J$1,""),"")</f>
        <v/>
      </c>
      <c r="K596" s="26" t="str">
        <f>IFERROR(IF(--MID($E596,2*COUNTIF($F596:J596,"&gt;"&amp;0)+2,1)=K$1,K$1,""),"")</f>
        <v/>
      </c>
      <c r="L596" s="39" t="str" cm="1">
        <f t="array" ref="L596">IFERROR(IF($A596="","",IF(F596="","",_xlfn.XLOOKUP($C596&amp;"_"&amp;$AG596,符文权重!$A:$A&amp;"_"&amp;符文权重!$C:$C,符文权重!$D:$D)*$X596/SUMIFS($X:$X,F:F,F596,$C:$C,$C596,$AG:$AG,$AG596)/SUMIF(符文权重!$A:$A,$C596,符文权重!$D:$D))),"")</f>
        <v/>
      </c>
      <c r="M596" s="39" t="str" cm="1">
        <f t="array" ref="M596">IFERROR(IF($A596="","",IF(G596="","",_xlfn.XLOOKUP($C596&amp;"_"&amp;$AG596,符文权重!$A:$A&amp;"_"&amp;符文权重!$C:$C,符文权重!$D:$D)*$X596/SUMIFS($X:$X,G:G,G596,$C:$C,$C596,$AG:$AG,$AG596)/SUMIF(符文权重!$A:$A,$C596,符文权重!$D:$D))),"")</f>
        <v/>
      </c>
      <c r="N596" s="39" t="str" cm="1">
        <f t="array" ref="N596">IFERROR(IF($A596="","",IF(H596="","",_xlfn.XLOOKUP($C596&amp;"_"&amp;$AG596,符文权重!$A:$A&amp;"_"&amp;符文权重!$C:$C,符文权重!$D:$D)*$X596/SUMIFS($X:$X,H:H,H596,$C:$C,$C596,$AG:$AG,$AG596)/SUMIF(符文权重!$A:$A,$C596,符文权重!$D:$D))),"")</f>
        <v/>
      </c>
      <c r="O596" s="39" t="str" cm="1">
        <f t="array" ref="O596">IFERROR(IF($A596="","",IF(I596="","",_xlfn.XLOOKUP($C596&amp;"_"&amp;$AG596,符文权重!$A:$A&amp;"_"&amp;符文权重!$C:$C,符文权重!$D:$D)*$X596/SUMIFS($X:$X,I:I,I596,$C:$C,$C596,$AG:$AG,$AG596)/SUMIF(符文权重!$A:$A,$C596,符文权重!$D:$D))),"")</f>
        <v/>
      </c>
      <c r="P596" s="39" t="str" cm="1">
        <f t="array" ref="P596">IFERROR(IF($A596="","",IF(J596="","",_xlfn.XLOOKUP($C596&amp;"_"&amp;$AG596,符文权重!$A:$A&amp;"_"&amp;符文权重!$C:$C,符文权重!$D:$D)*$X596/SUMIFS($X:$X,J:J,J596,$C:$C,$C596,$AG:$AG,$AG596)/SUMIF(符文权重!$A:$A,$C596,符文权重!$D:$D))),"")</f>
        <v/>
      </c>
      <c r="Q596" s="39" t="str" cm="1">
        <f t="array" ref="Q596">IFERROR(IF($A596="","",IF(K596="","",_xlfn.XLOOKUP($C596&amp;"_"&amp;$AG596,符文权重!$A:$A&amp;"_"&amp;符文权重!$C:$C,符文权重!$D:$D)*$X596/SUMIFS($X:$X,K:K,K596,$C:$C,$C596,$AG:$AG,$AG596)/SUMIF(符文权重!$A:$A,$C596,符文权重!$D:$D))),"")</f>
        <v/>
      </c>
      <c r="R596" s="26" t="s">
        <v>330</v>
      </c>
      <c r="S596" s="26" t="s">
        <v>572</v>
      </c>
      <c r="T596" s="26" t="s">
        <v>383</v>
      </c>
      <c r="V596" s="26" t="s">
        <v>582</v>
      </c>
      <c r="W596" s="25" t="s">
        <v>574</v>
      </c>
      <c r="X596" s="25">
        <v>100</v>
      </c>
      <c r="Y596" s="25"/>
      <c r="Z596" s="26" t="s">
        <v>170</v>
      </c>
      <c r="AA596" s="32" t="str">
        <f t="shared" si="284"/>
        <v>摇滚巨石受到的治疗量+20%</v>
      </c>
      <c r="AB596" s="32"/>
      <c r="AC596" s="32" t="s">
        <v>166</v>
      </c>
      <c r="AD596" s="32">
        <f t="shared" si="282"/>
        <v>1591</v>
      </c>
      <c r="AE596" s="25">
        <v>5301230</v>
      </c>
      <c r="AF596" s="26" t="s">
        <v>396</v>
      </c>
      <c r="AG596" s="26">
        <v>100</v>
      </c>
      <c r="AH596" s="26"/>
      <c r="AI596" s="26">
        <v>1</v>
      </c>
      <c r="AJ596" s="26">
        <v>0</v>
      </c>
      <c r="AL596" s="26" t="s">
        <v>583</v>
      </c>
      <c r="AN596" s="25">
        <v>4</v>
      </c>
      <c r="AO596" s="25" t="s">
        <v>32</v>
      </c>
      <c r="AP596" s="20">
        <f t="shared" si="283"/>
        <v>591</v>
      </c>
    </row>
    <row r="597" s="20" customFormat="1" customHeight="1" spans="1:42">
      <c r="A597" s="25">
        <v>5510083</v>
      </c>
      <c r="B597" s="25">
        <v>5301230</v>
      </c>
      <c r="C597" s="25">
        <v>3</v>
      </c>
      <c r="D597" s="25"/>
      <c r="E597" s="25" t="s">
        <v>182</v>
      </c>
      <c r="F597" s="26" t="str">
        <f t="shared" si="281"/>
        <v/>
      </c>
      <c r="G597" s="26" t="str">
        <f>IFERROR(IF(--MID($E597,2*COUNTIF($F597:F597,"&gt;"&amp;0)+2,1)=G$1,G$1,""),"")</f>
        <v/>
      </c>
      <c r="H597" s="26">
        <f>IFERROR(IF(--MID($E597,2*COUNTIF($F597:G597,"&gt;"&amp;0)+2,1)=H$1,H$1,""),"")</f>
        <v>3</v>
      </c>
      <c r="I597" s="26" t="str">
        <f>IFERROR(IF(--MID($E597,2*COUNTIF($F597:H597,"&gt;"&amp;0)+2,1)=I$1,I$1,""),"")</f>
        <v/>
      </c>
      <c r="J597" s="26" t="str">
        <f>IFERROR(IF(--MID($E597,2*COUNTIF($F597:I597,"&gt;"&amp;0)+2,1)=J$1,J$1,""),"")</f>
        <v/>
      </c>
      <c r="K597" s="26" t="str">
        <f>IFERROR(IF(--MID($E597,2*COUNTIF($F597:J597,"&gt;"&amp;0)+2,1)=K$1,K$1,""),"")</f>
        <v/>
      </c>
      <c r="L597" s="39" t="str" cm="1">
        <f t="array" ref="L597">IFERROR(IF($A597="","",IF(F597="","",_xlfn.XLOOKUP($C597&amp;"_"&amp;$AG597,符文权重!$A:$A&amp;"_"&amp;符文权重!$C:$C,符文权重!$D:$D)*$X597/SUMIFS($X:$X,F:F,F597,$C:$C,$C597,$AG:$AG,$AG597)/SUMIF(符文权重!$A:$A,$C597,符文权重!$D:$D))),"")</f>
        <v/>
      </c>
      <c r="M597" s="39" t="str" cm="1">
        <f t="array" ref="M597">IFERROR(IF($A597="","",IF(G597="","",_xlfn.XLOOKUP($C597&amp;"_"&amp;$AG597,符文权重!$A:$A&amp;"_"&amp;符文权重!$C:$C,符文权重!$D:$D)*$X597/SUMIFS($X:$X,G:G,G597,$C:$C,$C597,$AG:$AG,$AG597)/SUMIF(符文权重!$A:$A,$C597,符文权重!$D:$D))),"")</f>
        <v/>
      </c>
      <c r="N597" s="39" cm="1">
        <f t="array" ref="N597">IFERROR(IF($A597="","",IF(H597="","",_xlfn.XLOOKUP($C597&amp;"_"&amp;$AG597,符文权重!$A:$A&amp;"_"&amp;符文权重!$C:$C,符文权重!$D:$D)*$X597/SUMIFS($X:$X,H:H,H597,$C:$C,$C597,$AG:$AG,$AG597)/SUMIF(符文权重!$A:$A,$C597,符文权重!$D:$D))),"")</f>
        <v>0.0125</v>
      </c>
      <c r="O597" s="39" t="str" cm="1">
        <f t="array" ref="O597">IFERROR(IF($A597="","",IF(I597="","",_xlfn.XLOOKUP($C597&amp;"_"&amp;$AG597,符文权重!$A:$A&amp;"_"&amp;符文权重!$C:$C,符文权重!$D:$D)*$X597/SUMIFS($X:$X,I:I,I597,$C:$C,$C597,$AG:$AG,$AG597)/SUMIF(符文权重!$A:$A,$C597,符文权重!$D:$D))),"")</f>
        <v/>
      </c>
      <c r="P597" s="39" t="str" cm="1">
        <f t="array" ref="P597">IFERROR(IF($A597="","",IF(J597="","",_xlfn.XLOOKUP($C597&amp;"_"&amp;$AG597,符文权重!$A:$A&amp;"_"&amp;符文权重!$C:$C,符文权重!$D:$D)*$X597/SUMIFS($X:$X,J:J,J597,$C:$C,$C597,$AG:$AG,$AG597)/SUMIF(符文权重!$A:$A,$C597,符文权重!$D:$D))),"")</f>
        <v/>
      </c>
      <c r="Q597" s="39" t="str" cm="1">
        <f t="array" ref="Q597">IFERROR(IF($A597="","",IF(K597="","",_xlfn.XLOOKUP($C597&amp;"_"&amp;$AG597,符文权重!$A:$A&amp;"_"&amp;符文权重!$C:$C,符文权重!$D:$D)*$X597/SUMIFS($X:$X,K:K,K597,$C:$C,$C597,$AG:$AG,$AG597)/SUMIF(符文权重!$A:$A,$C597,符文权重!$D:$D))),"")</f>
        <v/>
      </c>
      <c r="R597" s="25" t="s">
        <v>330</v>
      </c>
      <c r="S597" s="25" t="s">
        <v>572</v>
      </c>
      <c r="T597" s="25" t="s">
        <v>385</v>
      </c>
      <c r="U597" s="25"/>
      <c r="V597" s="25" t="s">
        <v>584</v>
      </c>
      <c r="W597" s="25" t="s">
        <v>577</v>
      </c>
      <c r="X597" s="25">
        <v>100</v>
      </c>
      <c r="Z597" s="25" t="s">
        <v>172</v>
      </c>
      <c r="AA597" s="32" t="str">
        <f t="shared" si="284"/>
        <v>摇滚巨石受到的治疗量+25%</v>
      </c>
      <c r="AB597" s="32"/>
      <c r="AC597" s="32" t="s">
        <v>166</v>
      </c>
      <c r="AD597" s="32">
        <f t="shared" si="282"/>
        <v>1592</v>
      </c>
      <c r="AE597" s="25">
        <v>5301230</v>
      </c>
      <c r="AF597" s="25" t="s">
        <v>399</v>
      </c>
      <c r="AG597" s="25">
        <v>4</v>
      </c>
      <c r="AJ597" s="25">
        <v>1</v>
      </c>
      <c r="AK597" s="26"/>
      <c r="AL597" s="25" t="s">
        <v>585</v>
      </c>
      <c r="AM597" s="26"/>
      <c r="AN597" s="25">
        <v>4</v>
      </c>
      <c r="AO597" s="25" t="s">
        <v>32</v>
      </c>
      <c r="AP597" s="20">
        <f t="shared" si="283"/>
        <v>592</v>
      </c>
    </row>
    <row r="598" s="20" customFormat="1" customHeight="1" spans="1:42">
      <c r="A598" s="25">
        <v>5510084</v>
      </c>
      <c r="B598" s="25">
        <v>5301230</v>
      </c>
      <c r="C598" s="25">
        <v>4</v>
      </c>
      <c r="D598" s="25"/>
      <c r="E598" s="25" t="s">
        <v>182</v>
      </c>
      <c r="F598" s="26" t="str">
        <f t="shared" si="281"/>
        <v/>
      </c>
      <c r="G598" s="26" t="str">
        <f>IFERROR(IF(--MID($E598,2*COUNTIF($F598:F598,"&gt;"&amp;0)+2,1)=G$1,G$1,""),"")</f>
        <v/>
      </c>
      <c r="H598" s="26">
        <f>IFERROR(IF(--MID($E598,2*COUNTIF($F598:G598,"&gt;"&amp;0)+2,1)=H$1,H$1,""),"")</f>
        <v>3</v>
      </c>
      <c r="I598" s="26" t="str">
        <f>IFERROR(IF(--MID($E598,2*COUNTIF($F598:H598,"&gt;"&amp;0)+2,1)=I$1,I$1,""),"")</f>
        <v/>
      </c>
      <c r="J598" s="26" t="str">
        <f>IFERROR(IF(--MID($E598,2*COUNTIF($F598:I598,"&gt;"&amp;0)+2,1)=J$1,J$1,""),"")</f>
        <v/>
      </c>
      <c r="K598" s="26" t="str">
        <f>IFERROR(IF(--MID($E598,2*COUNTIF($F598:J598,"&gt;"&amp;0)+2,1)=K$1,K$1,""),"")</f>
        <v/>
      </c>
      <c r="L598" s="39" t="str" cm="1">
        <f t="array" ref="L598">IFERROR(IF($A598="","",IF(F598="","",_xlfn.XLOOKUP($C598&amp;"_"&amp;$AG598,符文权重!$A:$A&amp;"_"&amp;符文权重!$C:$C,符文权重!$D:$D)*$X598/SUMIFS($X:$X,F:F,F598,$C:$C,$C598,$AG:$AG,$AG598)/SUMIF(符文权重!$A:$A,$C598,符文权重!$D:$D))),"")</f>
        <v/>
      </c>
      <c r="M598" s="39" t="str" cm="1">
        <f t="array" ref="M598">IFERROR(IF($A598="","",IF(G598="","",_xlfn.XLOOKUP($C598&amp;"_"&amp;$AG598,符文权重!$A:$A&amp;"_"&amp;符文权重!$C:$C,符文权重!$D:$D)*$X598/SUMIFS($X:$X,G:G,G598,$C:$C,$C598,$AG:$AG,$AG598)/SUMIF(符文权重!$A:$A,$C598,符文权重!$D:$D))),"")</f>
        <v/>
      </c>
      <c r="N598" s="39" cm="1">
        <f t="array" ref="N598">IFERROR(IF($A598="","",IF(H598="","",_xlfn.XLOOKUP($C598&amp;"_"&amp;$AG598,符文权重!$A:$A&amp;"_"&amp;符文权重!$C:$C,符文权重!$D:$D)*$X598/SUMIFS($X:$X,H:H,H598,$C:$C,$C598,$AG:$AG,$AG598)/SUMIF(符文权重!$A:$A,$C598,符文权重!$D:$D))),"")</f>
        <v>0.0119047619047619</v>
      </c>
      <c r="O598" s="39" t="str" cm="1">
        <f t="array" ref="O598">IFERROR(IF($A598="","",IF(I598="","",_xlfn.XLOOKUP($C598&amp;"_"&amp;$AG598,符文权重!$A:$A&amp;"_"&amp;符文权重!$C:$C,符文权重!$D:$D)*$X598/SUMIFS($X:$X,I:I,I598,$C:$C,$C598,$AG:$AG,$AG598)/SUMIF(符文权重!$A:$A,$C598,符文权重!$D:$D))),"")</f>
        <v/>
      </c>
      <c r="P598" s="39" t="str" cm="1">
        <f t="array" ref="P598">IFERROR(IF($A598="","",IF(J598="","",_xlfn.XLOOKUP($C598&amp;"_"&amp;$AG598,符文权重!$A:$A&amp;"_"&amp;符文权重!$C:$C,符文权重!$D:$D)*$X598/SUMIFS($X:$X,J:J,J598,$C:$C,$C598,$AG:$AG,$AG598)/SUMIF(符文权重!$A:$A,$C598,符文权重!$D:$D))),"")</f>
        <v/>
      </c>
      <c r="Q598" s="39" t="str" cm="1">
        <f t="array" ref="Q598">IFERROR(IF($A598="","",IF(K598="","",_xlfn.XLOOKUP($C598&amp;"_"&amp;$AG598,符文权重!$A:$A&amp;"_"&amp;符文权重!$C:$C,符文权重!$D:$D)*$X598/SUMIFS($X:$X,K:K,K598,$C:$C,$C598,$AG:$AG,$AG598)/SUMIF(符文权重!$A:$A,$C598,符文权重!$D:$D))),"")</f>
        <v/>
      </c>
      <c r="R598" s="25" t="s">
        <v>330</v>
      </c>
      <c r="S598" s="25" t="s">
        <v>572</v>
      </c>
      <c r="T598" s="25" t="s">
        <v>388</v>
      </c>
      <c r="U598" s="25"/>
      <c r="V598" s="25" t="s">
        <v>586</v>
      </c>
      <c r="W598" s="25" t="s">
        <v>580</v>
      </c>
      <c r="X598" s="25">
        <v>100</v>
      </c>
      <c r="Z598" s="25" t="s">
        <v>174</v>
      </c>
      <c r="AA598" s="32" t="str">
        <f t="shared" si="284"/>
        <v>摇滚巨石受到的治疗量+30%</v>
      </c>
      <c r="AB598" s="32"/>
      <c r="AC598" s="32" t="s">
        <v>166</v>
      </c>
      <c r="AD598" s="32">
        <f t="shared" si="282"/>
        <v>1593</v>
      </c>
      <c r="AE598" s="25">
        <v>5301230</v>
      </c>
      <c r="AF598" s="25" t="s">
        <v>449</v>
      </c>
      <c r="AG598" s="25">
        <v>4</v>
      </c>
      <c r="AJ598" s="25">
        <v>1</v>
      </c>
      <c r="AK598" s="26"/>
      <c r="AL598" s="25" t="s">
        <v>587</v>
      </c>
      <c r="AM598" s="26"/>
      <c r="AN598" s="25">
        <v>4</v>
      </c>
      <c r="AO598" s="25" t="s">
        <v>32</v>
      </c>
      <c r="AP598" s="20">
        <f t="shared" si="283"/>
        <v>593</v>
      </c>
    </row>
    <row r="599" s="20" customFormat="1" customHeight="1" spans="1:42">
      <c r="A599" s="25">
        <v>5510092</v>
      </c>
      <c r="B599" s="25">
        <v>5301231</v>
      </c>
      <c r="C599" s="26">
        <v>2</v>
      </c>
      <c r="D599" s="26"/>
      <c r="E599" s="25" t="s">
        <v>375</v>
      </c>
      <c r="F599" s="26" t="str">
        <f t="shared" si="281"/>
        <v/>
      </c>
      <c r="G599" s="26" t="str">
        <f>IFERROR(IF(--MID($E599,2*COUNTIF($F599:F599,"&gt;"&amp;0)+2,1)=G$1,G$1,""),"")</f>
        <v/>
      </c>
      <c r="H599" s="26" t="str">
        <f>IFERROR(IF(--MID($E599,2*COUNTIF($F599:G599,"&gt;"&amp;0)+2,1)=H$1,H$1,""),"")</f>
        <v/>
      </c>
      <c r="I599" s="26">
        <f>IFERROR(IF(--MID($E599,2*COUNTIF($F599:H599,"&gt;"&amp;0)+2,1)=I$1,I$1,""),"")</f>
        <v>4</v>
      </c>
      <c r="J599" s="26" t="str">
        <f>IFERROR(IF(--MID($E599,2*COUNTIF($F599:I599,"&gt;"&amp;0)+2,1)=J$1,J$1,""),"")</f>
        <v/>
      </c>
      <c r="K599" s="26" t="str">
        <f>IFERROR(IF(--MID($E599,2*COUNTIF($F599:J599,"&gt;"&amp;0)+2,1)=K$1,K$1,""),"")</f>
        <v/>
      </c>
      <c r="L599" s="39" t="str" cm="1">
        <f t="array" ref="L599">IFERROR(IF($A599="","",IF(F599="","",_xlfn.XLOOKUP($C599&amp;"_"&amp;$AG599,符文权重!$A:$A&amp;"_"&amp;符文权重!$C:$C,符文权重!$D:$D)*$X599/SUMIFS($X:$X,F:F,F599,$C:$C,$C599,$AG:$AG,$AG599)/SUMIF(符文权重!$A:$A,$C599,符文权重!$D:$D))),"")</f>
        <v/>
      </c>
      <c r="M599" s="39" t="str" cm="1">
        <f t="array" ref="M599">IFERROR(IF($A599="","",IF(G599="","",_xlfn.XLOOKUP($C599&amp;"_"&amp;$AG599,符文权重!$A:$A&amp;"_"&amp;符文权重!$C:$C,符文权重!$D:$D)*$X599/SUMIFS($X:$X,G:G,G599,$C:$C,$C599,$AG:$AG,$AG599)/SUMIF(符文权重!$A:$A,$C599,符文权重!$D:$D))),"")</f>
        <v/>
      </c>
      <c r="N599" s="39" t="str" cm="1">
        <f t="array" ref="N599">IFERROR(IF($A599="","",IF(H599="","",_xlfn.XLOOKUP($C599&amp;"_"&amp;$AG599,符文权重!$A:$A&amp;"_"&amp;符文权重!$C:$C,符文权重!$D:$D)*$X599/SUMIFS($X:$X,H:H,H599,$C:$C,$C599,$AG:$AG,$AG599)/SUMIF(符文权重!$A:$A,$C599,符文权重!$D:$D))),"")</f>
        <v/>
      </c>
      <c r="O599" s="39" t="str" cm="1">
        <f t="array" ref="O599">IFERROR(IF($A599="","",IF(I599="","",_xlfn.XLOOKUP($C599&amp;"_"&amp;$AG599,符文权重!$A:$A&amp;"_"&amp;符文权重!$C:$C,符文权重!$D:$D)*$X599/SUMIFS($X:$X,I:I,I599,$C:$C,$C599,$AG:$AG,$AG599)/SUMIF(符文权重!$A:$A,$C599,符文权重!$D:$D))),"")</f>
        <v/>
      </c>
      <c r="P599" s="39" t="str" cm="1">
        <f t="array" ref="P599">IFERROR(IF($A599="","",IF(J599="","",_xlfn.XLOOKUP($C599&amp;"_"&amp;$AG599,符文权重!$A:$A&amp;"_"&amp;符文权重!$C:$C,符文权重!$D:$D)*$X599/SUMIFS($X:$X,J:J,J599,$C:$C,$C599,$AG:$AG,$AG599)/SUMIF(符文权重!$A:$A,$C599,符文权重!$D:$D))),"")</f>
        <v/>
      </c>
      <c r="Q599" s="39" t="str" cm="1">
        <f t="array" ref="Q599">IFERROR(IF($A599="","",IF(K599="","",_xlfn.XLOOKUP($C599&amp;"_"&amp;$AG599,符文权重!$A:$A&amp;"_"&amp;符文权重!$C:$C,符文权重!$D:$D)*$X599/SUMIFS($X:$X,K:K,K599,$C:$C,$C599,$AG:$AG,$AG599)/SUMIF(符文权重!$A:$A,$C599,符文权重!$D:$D))),"")</f>
        <v/>
      </c>
      <c r="R599" s="26" t="s">
        <v>330</v>
      </c>
      <c r="S599" s="26" t="s">
        <v>572</v>
      </c>
      <c r="T599" s="26" t="s">
        <v>383</v>
      </c>
      <c r="U599" s="20" t="s">
        <v>588</v>
      </c>
      <c r="V599" s="26"/>
      <c r="W599" s="25" t="s">
        <v>574</v>
      </c>
      <c r="X599" s="25">
        <v>100</v>
      </c>
      <c r="Y599" s="25"/>
      <c r="Z599" s="26" t="s">
        <v>170</v>
      </c>
      <c r="AA599" s="32" t="str">
        <f t="shared" si="284"/>
        <v>摇滚巨石攻击被控制的敌人时，伤害+12%</v>
      </c>
      <c r="AB599" s="32"/>
      <c r="AC599" s="32" t="s">
        <v>166</v>
      </c>
      <c r="AD599" s="32">
        <f t="shared" si="282"/>
        <v>1594</v>
      </c>
      <c r="AE599" s="25">
        <v>5301231</v>
      </c>
      <c r="AF599" s="26" t="s">
        <v>454</v>
      </c>
      <c r="AG599" s="26">
        <v>100</v>
      </c>
      <c r="AH599" s="26"/>
      <c r="AI599" s="26">
        <v>1</v>
      </c>
      <c r="AJ599" s="26">
        <v>0</v>
      </c>
      <c r="AL599" s="26" t="s">
        <v>589</v>
      </c>
      <c r="AN599" s="25">
        <v>4</v>
      </c>
      <c r="AO599" s="25" t="s">
        <v>32</v>
      </c>
      <c r="AP599" s="20">
        <f t="shared" si="283"/>
        <v>594</v>
      </c>
    </row>
    <row r="600" s="20" customFormat="1" customHeight="1" spans="1:42">
      <c r="A600" s="25">
        <v>5510093</v>
      </c>
      <c r="B600" s="25">
        <v>5301231</v>
      </c>
      <c r="C600" s="25">
        <v>3</v>
      </c>
      <c r="D600" s="25"/>
      <c r="E600" s="25" t="s">
        <v>375</v>
      </c>
      <c r="F600" s="26" t="str">
        <f t="shared" si="281"/>
        <v/>
      </c>
      <c r="G600" s="26" t="str">
        <f>IFERROR(IF(--MID($E600,2*COUNTIF($F600:F600,"&gt;"&amp;0)+2,1)=G$1,G$1,""),"")</f>
        <v/>
      </c>
      <c r="H600" s="26" t="str">
        <f>IFERROR(IF(--MID($E600,2*COUNTIF($F600:G600,"&gt;"&amp;0)+2,1)=H$1,H$1,""),"")</f>
        <v/>
      </c>
      <c r="I600" s="26">
        <f>IFERROR(IF(--MID($E600,2*COUNTIF($F600:H600,"&gt;"&amp;0)+2,1)=I$1,I$1,""),"")</f>
        <v>4</v>
      </c>
      <c r="J600" s="26" t="str">
        <f>IFERROR(IF(--MID($E600,2*COUNTIF($F600:I600,"&gt;"&amp;0)+2,1)=J$1,J$1,""),"")</f>
        <v/>
      </c>
      <c r="K600" s="26" t="str">
        <f>IFERROR(IF(--MID($E600,2*COUNTIF($F600:J600,"&gt;"&amp;0)+2,1)=K$1,K$1,""),"")</f>
        <v/>
      </c>
      <c r="L600" s="39" t="str" cm="1">
        <f t="array" ref="L600">IFERROR(IF($A600="","",IF(F600="","",_xlfn.XLOOKUP($C600&amp;"_"&amp;$AG600,符文权重!$A:$A&amp;"_"&amp;符文权重!$C:$C,符文权重!$D:$D)*$X600/SUMIFS($X:$X,F:F,F600,$C:$C,$C600,$AG:$AG,$AG600)/SUMIF(符文权重!$A:$A,$C600,符文权重!$D:$D))),"")</f>
        <v/>
      </c>
      <c r="M600" s="39" t="str" cm="1">
        <f t="array" ref="M600">IFERROR(IF($A600="","",IF(G600="","",_xlfn.XLOOKUP($C600&amp;"_"&amp;$AG600,符文权重!$A:$A&amp;"_"&amp;符文权重!$C:$C,符文权重!$D:$D)*$X600/SUMIFS($X:$X,G:G,G600,$C:$C,$C600,$AG:$AG,$AG600)/SUMIF(符文权重!$A:$A,$C600,符文权重!$D:$D))),"")</f>
        <v/>
      </c>
      <c r="N600" s="39" t="str" cm="1">
        <f t="array" ref="N600">IFERROR(IF($A600="","",IF(H600="","",_xlfn.XLOOKUP($C600&amp;"_"&amp;$AG600,符文权重!$A:$A&amp;"_"&amp;符文权重!$C:$C,符文权重!$D:$D)*$X600/SUMIFS($X:$X,H:H,H600,$C:$C,$C600,$AG:$AG,$AG600)/SUMIF(符文权重!$A:$A,$C600,符文权重!$D:$D))),"")</f>
        <v/>
      </c>
      <c r="O600" s="39" cm="1">
        <f t="array" ref="O600">IFERROR(IF($A600="","",IF(I600="","",_xlfn.XLOOKUP($C600&amp;"_"&amp;$AG600,符文权重!$A:$A&amp;"_"&amp;符文权重!$C:$C,符文权重!$D:$D)*$X600/SUMIFS($X:$X,I:I,I600,$C:$C,$C600,$AG:$AG,$AG600)/SUMIF(符文权重!$A:$A,$C600,符文权重!$D:$D))),"")</f>
        <v>0.0125</v>
      </c>
      <c r="P600" s="39" t="str" cm="1">
        <f t="array" ref="P600">IFERROR(IF($A600="","",IF(J600="","",_xlfn.XLOOKUP($C600&amp;"_"&amp;$AG600,符文权重!$A:$A&amp;"_"&amp;符文权重!$C:$C,符文权重!$D:$D)*$X600/SUMIFS($X:$X,J:J,J600,$C:$C,$C600,$AG:$AG,$AG600)/SUMIF(符文权重!$A:$A,$C600,符文权重!$D:$D))),"")</f>
        <v/>
      </c>
      <c r="Q600" s="39" t="str" cm="1">
        <f t="array" ref="Q600">IFERROR(IF($A600="","",IF(K600="","",_xlfn.XLOOKUP($C600&amp;"_"&amp;$AG600,符文权重!$A:$A&amp;"_"&amp;符文权重!$C:$C,符文权重!$D:$D)*$X600/SUMIFS($X:$X,K:K,K600,$C:$C,$C600,$AG:$AG,$AG600)/SUMIF(符文权重!$A:$A,$C600,符文权重!$D:$D))),"")</f>
        <v/>
      </c>
      <c r="R600" s="25" t="s">
        <v>330</v>
      </c>
      <c r="S600" s="25" t="s">
        <v>572</v>
      </c>
      <c r="T600" s="25" t="s">
        <v>385</v>
      </c>
      <c r="U600" s="25" t="s">
        <v>590</v>
      </c>
      <c r="W600" s="25" t="s">
        <v>577</v>
      </c>
      <c r="X600" s="25">
        <v>100</v>
      </c>
      <c r="Z600" s="25" t="s">
        <v>172</v>
      </c>
      <c r="AA600" s="32" t="str">
        <f t="shared" si="284"/>
        <v>摇滚巨石攻击被控制的敌人时，伤害+18%</v>
      </c>
      <c r="AB600" s="32"/>
      <c r="AC600" s="32" t="s">
        <v>166</v>
      </c>
      <c r="AD600" s="32">
        <f t="shared" si="282"/>
        <v>1595</v>
      </c>
      <c r="AE600" s="25">
        <v>5301231</v>
      </c>
      <c r="AF600" s="25" t="s">
        <v>456</v>
      </c>
      <c r="AG600" s="25">
        <v>4</v>
      </c>
      <c r="AJ600" s="25">
        <v>1</v>
      </c>
      <c r="AK600" s="26"/>
      <c r="AL600" s="25" t="s">
        <v>591</v>
      </c>
      <c r="AM600" s="26"/>
      <c r="AN600" s="25">
        <v>4</v>
      </c>
      <c r="AO600" s="25" t="s">
        <v>32</v>
      </c>
      <c r="AP600" s="20">
        <f t="shared" si="283"/>
        <v>595</v>
      </c>
    </row>
    <row r="601" s="20" customFormat="1" customHeight="1" spans="1:42">
      <c r="A601" s="25">
        <v>5510094</v>
      </c>
      <c r="B601" s="25">
        <v>5301231</v>
      </c>
      <c r="C601" s="25">
        <v>4</v>
      </c>
      <c r="D601" s="25"/>
      <c r="E601" s="25" t="s">
        <v>375</v>
      </c>
      <c r="F601" s="26" t="str">
        <f t="shared" si="281"/>
        <v/>
      </c>
      <c r="G601" s="26" t="str">
        <f>IFERROR(IF(--MID($E601,2*COUNTIF($F601:F601,"&gt;"&amp;0)+2,1)=G$1,G$1,""),"")</f>
        <v/>
      </c>
      <c r="H601" s="26" t="str">
        <f>IFERROR(IF(--MID($E601,2*COUNTIF($F601:G601,"&gt;"&amp;0)+2,1)=H$1,H$1,""),"")</f>
        <v/>
      </c>
      <c r="I601" s="26">
        <f>IFERROR(IF(--MID($E601,2*COUNTIF($F601:H601,"&gt;"&amp;0)+2,1)=I$1,I$1,""),"")</f>
        <v>4</v>
      </c>
      <c r="J601" s="26" t="str">
        <f>IFERROR(IF(--MID($E601,2*COUNTIF($F601:I601,"&gt;"&amp;0)+2,1)=J$1,J$1,""),"")</f>
        <v/>
      </c>
      <c r="K601" s="26" t="str">
        <f>IFERROR(IF(--MID($E601,2*COUNTIF($F601:J601,"&gt;"&amp;0)+2,1)=K$1,K$1,""),"")</f>
        <v/>
      </c>
      <c r="L601" s="39" t="str" cm="1">
        <f t="array" ref="L601">IFERROR(IF($A601="","",IF(F601="","",_xlfn.XLOOKUP($C601&amp;"_"&amp;$AG601,符文权重!$A:$A&amp;"_"&amp;符文权重!$C:$C,符文权重!$D:$D)*$X601/SUMIFS($X:$X,F:F,F601,$C:$C,$C601,$AG:$AG,$AG601)/SUMIF(符文权重!$A:$A,$C601,符文权重!$D:$D))),"")</f>
        <v/>
      </c>
      <c r="M601" s="39" t="str" cm="1">
        <f t="array" ref="M601">IFERROR(IF($A601="","",IF(G601="","",_xlfn.XLOOKUP($C601&amp;"_"&amp;$AG601,符文权重!$A:$A&amp;"_"&amp;符文权重!$C:$C,符文权重!$D:$D)*$X601/SUMIFS($X:$X,G:G,G601,$C:$C,$C601,$AG:$AG,$AG601)/SUMIF(符文权重!$A:$A,$C601,符文权重!$D:$D))),"")</f>
        <v/>
      </c>
      <c r="N601" s="39" t="str" cm="1">
        <f t="array" ref="N601">IFERROR(IF($A601="","",IF(H601="","",_xlfn.XLOOKUP($C601&amp;"_"&amp;$AG601,符文权重!$A:$A&amp;"_"&amp;符文权重!$C:$C,符文权重!$D:$D)*$X601/SUMIFS($X:$X,H:H,H601,$C:$C,$C601,$AG:$AG,$AG601)/SUMIF(符文权重!$A:$A,$C601,符文权重!$D:$D))),"")</f>
        <v/>
      </c>
      <c r="O601" s="39" cm="1">
        <f t="array" ref="O601">IFERROR(IF($A601="","",IF(I601="","",_xlfn.XLOOKUP($C601&amp;"_"&amp;$AG601,符文权重!$A:$A&amp;"_"&amp;符文权重!$C:$C,符文权重!$D:$D)*$X601/SUMIFS($X:$X,I:I,I601,$C:$C,$C601,$AG:$AG,$AG601)/SUMIF(符文权重!$A:$A,$C601,符文权重!$D:$D))),"")</f>
        <v>0.0119047619047619</v>
      </c>
      <c r="P601" s="39" t="str" cm="1">
        <f t="array" ref="P601">IFERROR(IF($A601="","",IF(J601="","",_xlfn.XLOOKUP($C601&amp;"_"&amp;$AG601,符文权重!$A:$A&amp;"_"&amp;符文权重!$C:$C,符文权重!$D:$D)*$X601/SUMIFS($X:$X,J:J,J601,$C:$C,$C601,$AG:$AG,$AG601)/SUMIF(符文权重!$A:$A,$C601,符文权重!$D:$D))),"")</f>
        <v/>
      </c>
      <c r="Q601" s="39" t="str" cm="1">
        <f t="array" ref="Q601">IFERROR(IF($A601="","",IF(K601="","",_xlfn.XLOOKUP($C601&amp;"_"&amp;$AG601,符文权重!$A:$A&amp;"_"&amp;符文权重!$C:$C,符文权重!$D:$D)*$X601/SUMIFS($X:$X,K:K,K601,$C:$C,$C601,$AG:$AG,$AG601)/SUMIF(符文权重!$A:$A,$C601,符文权重!$D:$D))),"")</f>
        <v/>
      </c>
      <c r="R601" s="25" t="s">
        <v>330</v>
      </c>
      <c r="S601" s="25" t="s">
        <v>572</v>
      </c>
      <c r="T601" s="25" t="s">
        <v>388</v>
      </c>
      <c r="U601" s="25" t="s">
        <v>592</v>
      </c>
      <c r="W601" s="25" t="s">
        <v>580</v>
      </c>
      <c r="X601" s="25">
        <v>100</v>
      </c>
      <c r="Z601" s="25" t="s">
        <v>174</v>
      </c>
      <c r="AA601" s="32" t="str">
        <f t="shared" si="284"/>
        <v>摇滚巨石攻击被控制的敌人时，伤害+24%</v>
      </c>
      <c r="AB601" s="32"/>
      <c r="AC601" s="32" t="s">
        <v>166</v>
      </c>
      <c r="AD601" s="32">
        <f t="shared" si="282"/>
        <v>1596</v>
      </c>
      <c r="AE601" s="25">
        <v>5301231</v>
      </c>
      <c r="AF601" s="25" t="s">
        <v>593</v>
      </c>
      <c r="AG601" s="25">
        <v>4</v>
      </c>
      <c r="AJ601" s="25">
        <v>1</v>
      </c>
      <c r="AK601" s="26"/>
      <c r="AL601" s="25" t="s">
        <v>594</v>
      </c>
      <c r="AM601" s="26"/>
      <c r="AN601" s="25">
        <v>4</v>
      </c>
      <c r="AO601" s="25" t="s">
        <v>32</v>
      </c>
      <c r="AP601" s="20">
        <f t="shared" si="283"/>
        <v>596</v>
      </c>
    </row>
    <row r="602" s="20" customFormat="1" customHeight="1" spans="1:42">
      <c r="A602" s="25">
        <v>5510102</v>
      </c>
      <c r="B602" s="25">
        <v>5301233</v>
      </c>
      <c r="C602" s="26">
        <v>2</v>
      </c>
      <c r="D602" s="26"/>
      <c r="E602" s="25" t="s">
        <v>218</v>
      </c>
      <c r="F602" s="26" t="str">
        <f t="shared" si="281"/>
        <v/>
      </c>
      <c r="G602" s="26" t="str">
        <f>IFERROR(IF(--MID($E602,2*COUNTIF($F602:F602,"&gt;"&amp;0)+2,1)=G$1,G$1,""),"")</f>
        <v/>
      </c>
      <c r="H602" s="26" t="str">
        <f>IFERROR(IF(--MID($E602,2*COUNTIF($F602:G602,"&gt;"&amp;0)+2,1)=H$1,H$1,""),"")</f>
        <v/>
      </c>
      <c r="I602" s="26" t="str">
        <f>IFERROR(IF(--MID($E602,2*COUNTIF($F602:H602,"&gt;"&amp;0)+2,1)=I$1,I$1,""),"")</f>
        <v/>
      </c>
      <c r="J602" s="26">
        <f>IFERROR(IF(--MID($E602,2*COUNTIF($F602:I602,"&gt;"&amp;0)+2,1)=J$1,J$1,""),"")</f>
        <v>5</v>
      </c>
      <c r="K602" s="26" t="str">
        <f>IFERROR(IF(--MID($E602,2*COUNTIF($F602:J602,"&gt;"&amp;0)+2,1)=K$1,K$1,""),"")</f>
        <v/>
      </c>
      <c r="L602" s="39" t="str" cm="1">
        <f t="array" ref="L602">IFERROR(IF($A602="","",IF(F602="","",_xlfn.XLOOKUP($C602&amp;"_"&amp;$AG602,符文权重!$A:$A&amp;"_"&amp;符文权重!$C:$C,符文权重!$D:$D)*$X602/SUMIFS($X:$X,F:F,F602,$C:$C,$C602,$AG:$AG,$AG602)/SUMIF(符文权重!$A:$A,$C602,符文权重!$D:$D))),"")</f>
        <v/>
      </c>
      <c r="M602" s="39" t="str" cm="1">
        <f t="array" ref="M602">IFERROR(IF($A602="","",IF(G602="","",_xlfn.XLOOKUP($C602&amp;"_"&amp;$AG602,符文权重!$A:$A&amp;"_"&amp;符文权重!$C:$C,符文权重!$D:$D)*$X602/SUMIFS($X:$X,G:G,G602,$C:$C,$C602,$AG:$AG,$AG602)/SUMIF(符文权重!$A:$A,$C602,符文权重!$D:$D))),"")</f>
        <v/>
      </c>
      <c r="N602" s="39" t="str" cm="1">
        <f t="array" ref="N602">IFERROR(IF($A602="","",IF(H602="","",_xlfn.XLOOKUP($C602&amp;"_"&amp;$AG602,符文权重!$A:$A&amp;"_"&amp;符文权重!$C:$C,符文权重!$D:$D)*$X602/SUMIFS($X:$X,H:H,H602,$C:$C,$C602,$AG:$AG,$AG602)/SUMIF(符文权重!$A:$A,$C602,符文权重!$D:$D))),"")</f>
        <v/>
      </c>
      <c r="O602" s="39" t="str" cm="1">
        <f t="array" ref="O602">IFERROR(IF($A602="","",IF(I602="","",_xlfn.XLOOKUP($C602&amp;"_"&amp;$AG602,符文权重!$A:$A&amp;"_"&amp;符文权重!$C:$C,符文权重!$D:$D)*$X602/SUMIFS($X:$X,I:I,I602,$C:$C,$C602,$AG:$AG,$AG602)/SUMIF(符文权重!$A:$A,$C602,符文权重!$D:$D))),"")</f>
        <v/>
      </c>
      <c r="P602" s="39" t="str" cm="1">
        <f t="array" ref="P602">IFERROR(IF($A602="","",IF(J602="","",_xlfn.XLOOKUP($C602&amp;"_"&amp;$AG602,符文权重!$A:$A&amp;"_"&amp;符文权重!$C:$C,符文权重!$D:$D)*$X602/SUMIFS($X:$X,J:J,J602,$C:$C,$C602,$AG:$AG,$AG602)/SUMIF(符文权重!$A:$A,$C602,符文权重!$D:$D))),"")</f>
        <v/>
      </c>
      <c r="Q602" s="39" t="str" cm="1">
        <f t="array" ref="Q602">IFERROR(IF($A602="","",IF(K602="","",_xlfn.XLOOKUP($C602&amp;"_"&amp;$AG602,符文权重!$A:$A&amp;"_"&amp;符文权重!$C:$C,符文权重!$D:$D)*$X602/SUMIFS($X:$X,K:K,K602,$C:$C,$C602,$AG:$AG,$AG602)/SUMIF(符文权重!$A:$A,$C602,符文权重!$D:$D))),"")</f>
        <v/>
      </c>
      <c r="R602" s="26" t="s">
        <v>330</v>
      </c>
      <c r="S602" s="26" t="s">
        <v>595</v>
      </c>
      <c r="T602" s="26" t="s">
        <v>383</v>
      </c>
      <c r="U602" s="20" t="s">
        <v>596</v>
      </c>
      <c r="V602" s="26"/>
      <c r="W602" s="25" t="s">
        <v>580</v>
      </c>
      <c r="X602" s="25">
        <v>100</v>
      </c>
      <c r="Y602" s="25"/>
      <c r="Z602" s="26" t="s">
        <v>170</v>
      </c>
      <c r="AA602" s="32" t="str">
        <f t="shared" si="284"/>
        <v>果冻少女冻冻弹射+1，伤害-45%</v>
      </c>
      <c r="AB602" s="32"/>
      <c r="AC602" s="32" t="s">
        <v>166</v>
      </c>
      <c r="AD602" s="32">
        <f t="shared" si="282"/>
        <v>1597</v>
      </c>
      <c r="AE602" s="25">
        <v>5301233</v>
      </c>
      <c r="AF602" s="26" t="s">
        <v>437</v>
      </c>
      <c r="AG602" s="26">
        <v>100</v>
      </c>
      <c r="AH602" s="26"/>
      <c r="AI602" s="26">
        <v>1</v>
      </c>
      <c r="AJ602" s="26">
        <v>0</v>
      </c>
      <c r="AL602" s="26" t="s">
        <v>597</v>
      </c>
      <c r="AN602" s="25">
        <v>4</v>
      </c>
      <c r="AO602" s="25" t="s">
        <v>32</v>
      </c>
      <c r="AP602" s="20">
        <f t="shared" si="283"/>
        <v>597</v>
      </c>
    </row>
    <row r="603" s="20" customFormat="1" customHeight="1" spans="1:42">
      <c r="A603" s="25">
        <v>5510103</v>
      </c>
      <c r="B603" s="25">
        <v>5301233</v>
      </c>
      <c r="C603" s="25">
        <v>3</v>
      </c>
      <c r="D603" s="25"/>
      <c r="E603" s="25" t="s">
        <v>218</v>
      </c>
      <c r="F603" s="26" t="str">
        <f t="shared" si="281"/>
        <v/>
      </c>
      <c r="G603" s="26" t="str">
        <f>IFERROR(IF(--MID($E603,2*COUNTIF($F603:F603,"&gt;"&amp;0)+2,1)=G$1,G$1,""),"")</f>
        <v/>
      </c>
      <c r="H603" s="26" t="str">
        <f>IFERROR(IF(--MID($E603,2*COUNTIF($F603:G603,"&gt;"&amp;0)+2,1)=H$1,H$1,""),"")</f>
        <v/>
      </c>
      <c r="I603" s="26" t="str">
        <f>IFERROR(IF(--MID($E603,2*COUNTIF($F603:H603,"&gt;"&amp;0)+2,1)=I$1,I$1,""),"")</f>
        <v/>
      </c>
      <c r="J603" s="26">
        <f>IFERROR(IF(--MID($E603,2*COUNTIF($F603:I603,"&gt;"&amp;0)+2,1)=J$1,J$1,""),"")</f>
        <v>5</v>
      </c>
      <c r="K603" s="26" t="str">
        <f>IFERROR(IF(--MID($E603,2*COUNTIF($F603:J603,"&gt;"&amp;0)+2,1)=K$1,K$1,""),"")</f>
        <v/>
      </c>
      <c r="L603" s="39" t="str" cm="1">
        <f t="array" ref="L603">IFERROR(IF($A603="","",IF(F603="","",_xlfn.XLOOKUP($C603&amp;"_"&amp;$AG603,符文权重!$A:$A&amp;"_"&amp;符文权重!$C:$C,符文权重!$D:$D)*$X603/SUMIFS($X:$X,F:F,F603,$C:$C,$C603,$AG:$AG,$AG603)/SUMIF(符文权重!$A:$A,$C603,符文权重!$D:$D))),"")</f>
        <v/>
      </c>
      <c r="M603" s="39" t="str" cm="1">
        <f t="array" ref="M603">IFERROR(IF($A603="","",IF(G603="","",_xlfn.XLOOKUP($C603&amp;"_"&amp;$AG603,符文权重!$A:$A&amp;"_"&amp;符文权重!$C:$C,符文权重!$D:$D)*$X603/SUMIFS($X:$X,G:G,G603,$C:$C,$C603,$AG:$AG,$AG603)/SUMIF(符文权重!$A:$A,$C603,符文权重!$D:$D))),"")</f>
        <v/>
      </c>
      <c r="N603" s="39" t="str" cm="1">
        <f t="array" ref="N603">IFERROR(IF($A603="","",IF(H603="","",_xlfn.XLOOKUP($C603&amp;"_"&amp;$AG603,符文权重!$A:$A&amp;"_"&amp;符文权重!$C:$C,符文权重!$D:$D)*$X603/SUMIFS($X:$X,H:H,H603,$C:$C,$C603,$AG:$AG,$AG603)/SUMIF(符文权重!$A:$A,$C603,符文权重!$D:$D))),"")</f>
        <v/>
      </c>
      <c r="O603" s="39" t="str" cm="1">
        <f t="array" ref="O603">IFERROR(IF($A603="","",IF(I603="","",_xlfn.XLOOKUP($C603&amp;"_"&amp;$AG603,符文权重!$A:$A&amp;"_"&amp;符文权重!$C:$C,符文权重!$D:$D)*$X603/SUMIFS($X:$X,I:I,I603,$C:$C,$C603,$AG:$AG,$AG603)/SUMIF(符文权重!$A:$A,$C603,符文权重!$D:$D))),"")</f>
        <v/>
      </c>
      <c r="P603" s="39" cm="1">
        <f t="array" ref="P603">IFERROR(IF($A603="","",IF(J603="","",_xlfn.XLOOKUP($C603&amp;"_"&amp;$AG603,符文权重!$A:$A&amp;"_"&amp;符文权重!$C:$C,符文权重!$D:$D)*$X603/SUMIFS($X:$X,J:J,J603,$C:$C,$C603,$AG:$AG,$AG603)/SUMIF(符文权重!$A:$A,$C603,符文权重!$D:$D))),"")</f>
        <v>0.0125</v>
      </c>
      <c r="Q603" s="39" t="str" cm="1">
        <f t="array" ref="Q603">IFERROR(IF($A603="","",IF(K603="","",_xlfn.XLOOKUP($C603&amp;"_"&amp;$AG603,符文权重!$A:$A&amp;"_"&amp;符文权重!$C:$C,符文权重!$D:$D)*$X603/SUMIFS($X:$X,K:K,K603,$C:$C,$C603,$AG:$AG,$AG603)/SUMIF(符文权重!$A:$A,$C603,符文权重!$D:$D))),"")</f>
        <v/>
      </c>
      <c r="R603" s="25" t="s">
        <v>330</v>
      </c>
      <c r="S603" s="25" t="s">
        <v>595</v>
      </c>
      <c r="T603" s="25" t="s">
        <v>385</v>
      </c>
      <c r="U603" s="25" t="s">
        <v>598</v>
      </c>
      <c r="W603" s="25" t="s">
        <v>599</v>
      </c>
      <c r="X603" s="25">
        <v>100</v>
      </c>
      <c r="Z603" s="25" t="s">
        <v>172</v>
      </c>
      <c r="AA603" s="32" t="str">
        <f t="shared" si="284"/>
        <v>果冻少女冻冻弹射+1，伤害-40%</v>
      </c>
      <c r="AB603" s="32"/>
      <c r="AC603" s="32" t="s">
        <v>166</v>
      </c>
      <c r="AD603" s="32">
        <f t="shared" si="282"/>
        <v>1598</v>
      </c>
      <c r="AE603" s="25">
        <v>5301233</v>
      </c>
      <c r="AF603" s="25" t="s">
        <v>459</v>
      </c>
      <c r="AG603" s="25">
        <v>4</v>
      </c>
      <c r="AJ603" s="25">
        <v>1</v>
      </c>
      <c r="AK603" s="26"/>
      <c r="AL603" s="25" t="s">
        <v>600</v>
      </c>
      <c r="AM603" s="26"/>
      <c r="AN603" s="25">
        <v>4</v>
      </c>
      <c r="AO603" s="25" t="s">
        <v>32</v>
      </c>
      <c r="AP603" s="20">
        <f t="shared" si="283"/>
        <v>598</v>
      </c>
    </row>
    <row r="604" s="20" customFormat="1" customHeight="1" spans="1:42">
      <c r="A604" s="25">
        <v>5510104</v>
      </c>
      <c r="B604" s="25">
        <v>5301233</v>
      </c>
      <c r="C604" s="25">
        <v>4</v>
      </c>
      <c r="D604" s="25"/>
      <c r="E604" s="25" t="s">
        <v>218</v>
      </c>
      <c r="F604" s="26" t="str">
        <f t="shared" si="281"/>
        <v/>
      </c>
      <c r="G604" s="26" t="str">
        <f>IFERROR(IF(--MID($E604,2*COUNTIF($F604:F604,"&gt;"&amp;0)+2,1)=G$1,G$1,""),"")</f>
        <v/>
      </c>
      <c r="H604" s="26" t="str">
        <f>IFERROR(IF(--MID($E604,2*COUNTIF($F604:G604,"&gt;"&amp;0)+2,1)=H$1,H$1,""),"")</f>
        <v/>
      </c>
      <c r="I604" s="26" t="str">
        <f>IFERROR(IF(--MID($E604,2*COUNTIF($F604:H604,"&gt;"&amp;0)+2,1)=I$1,I$1,""),"")</f>
        <v/>
      </c>
      <c r="J604" s="26">
        <f>IFERROR(IF(--MID($E604,2*COUNTIF($F604:I604,"&gt;"&amp;0)+2,1)=J$1,J$1,""),"")</f>
        <v>5</v>
      </c>
      <c r="K604" s="26" t="str">
        <f>IFERROR(IF(--MID($E604,2*COUNTIF($F604:J604,"&gt;"&amp;0)+2,1)=K$1,K$1,""),"")</f>
        <v/>
      </c>
      <c r="L604" s="39" t="str" cm="1">
        <f t="array" ref="L604">IFERROR(IF($A604="","",IF(F604="","",_xlfn.XLOOKUP($C604&amp;"_"&amp;$AG604,符文权重!$A:$A&amp;"_"&amp;符文权重!$C:$C,符文权重!$D:$D)*$X604/SUMIFS($X:$X,F:F,F604,$C:$C,$C604,$AG:$AG,$AG604)/SUMIF(符文权重!$A:$A,$C604,符文权重!$D:$D))),"")</f>
        <v/>
      </c>
      <c r="M604" s="39" t="str" cm="1">
        <f t="array" ref="M604">IFERROR(IF($A604="","",IF(G604="","",_xlfn.XLOOKUP($C604&amp;"_"&amp;$AG604,符文权重!$A:$A&amp;"_"&amp;符文权重!$C:$C,符文权重!$D:$D)*$X604/SUMIFS($X:$X,G:G,G604,$C:$C,$C604,$AG:$AG,$AG604)/SUMIF(符文权重!$A:$A,$C604,符文权重!$D:$D))),"")</f>
        <v/>
      </c>
      <c r="N604" s="39" t="str" cm="1">
        <f t="array" ref="N604">IFERROR(IF($A604="","",IF(H604="","",_xlfn.XLOOKUP($C604&amp;"_"&amp;$AG604,符文权重!$A:$A&amp;"_"&amp;符文权重!$C:$C,符文权重!$D:$D)*$X604/SUMIFS($X:$X,H:H,H604,$C:$C,$C604,$AG:$AG,$AG604)/SUMIF(符文权重!$A:$A,$C604,符文权重!$D:$D))),"")</f>
        <v/>
      </c>
      <c r="O604" s="39" t="str" cm="1">
        <f t="array" ref="O604">IFERROR(IF($A604="","",IF(I604="","",_xlfn.XLOOKUP($C604&amp;"_"&amp;$AG604,符文权重!$A:$A&amp;"_"&amp;符文权重!$C:$C,符文权重!$D:$D)*$X604/SUMIFS($X:$X,I:I,I604,$C:$C,$C604,$AG:$AG,$AG604)/SUMIF(符文权重!$A:$A,$C604,符文权重!$D:$D))),"")</f>
        <v/>
      </c>
      <c r="P604" s="39" cm="1">
        <f t="array" ref="P604">IFERROR(IF($A604="","",IF(J604="","",_xlfn.XLOOKUP($C604&amp;"_"&amp;$AG604,符文权重!$A:$A&amp;"_"&amp;符文权重!$C:$C,符文权重!$D:$D)*$X604/SUMIFS($X:$X,J:J,J604,$C:$C,$C604,$AG:$AG,$AG604)/SUMIF(符文权重!$A:$A,$C604,符文权重!$D:$D))),"")</f>
        <v>0.0119047619047619</v>
      </c>
      <c r="Q604" s="39" t="str" cm="1">
        <f t="array" ref="Q604">IFERROR(IF($A604="","",IF(K604="","",_xlfn.XLOOKUP($C604&amp;"_"&amp;$AG604,符文权重!$A:$A&amp;"_"&amp;符文权重!$C:$C,符文权重!$D:$D)*$X604/SUMIFS($X:$X,K:K,K604,$C:$C,$C604,$AG:$AG,$AG604)/SUMIF(符文权重!$A:$A,$C604,符文权重!$D:$D))),"")</f>
        <v/>
      </c>
      <c r="R604" s="25" t="s">
        <v>330</v>
      </c>
      <c r="S604" s="25" t="s">
        <v>595</v>
      </c>
      <c r="T604" s="25" t="s">
        <v>388</v>
      </c>
      <c r="U604" s="25" t="s">
        <v>601</v>
      </c>
      <c r="V604" s="25"/>
      <c r="W604" s="25" t="s">
        <v>602</v>
      </c>
      <c r="X604" s="25">
        <v>100</v>
      </c>
      <c r="Z604" s="25" t="s">
        <v>174</v>
      </c>
      <c r="AA604" s="32" t="str">
        <f t="shared" si="284"/>
        <v>果冻少女冻冻弹射+1，伤害-36%</v>
      </c>
      <c r="AB604" s="32"/>
      <c r="AC604" s="32" t="s">
        <v>166</v>
      </c>
      <c r="AD604" s="32">
        <f t="shared" si="282"/>
        <v>1599</v>
      </c>
      <c r="AE604" s="25">
        <v>5301233</v>
      </c>
      <c r="AF604" s="25" t="s">
        <v>603</v>
      </c>
      <c r="AG604" s="25">
        <v>4</v>
      </c>
      <c r="AJ604" s="25">
        <v>1</v>
      </c>
      <c r="AK604" s="26"/>
      <c r="AL604" s="25" t="s">
        <v>604</v>
      </c>
      <c r="AM604" s="26"/>
      <c r="AN604" s="25">
        <v>4</v>
      </c>
      <c r="AO604" s="25" t="s">
        <v>32</v>
      </c>
      <c r="AP604" s="20">
        <f t="shared" si="283"/>
        <v>599</v>
      </c>
    </row>
    <row r="605" s="20" customFormat="1" customHeight="1" spans="1:42">
      <c r="A605" s="25">
        <v>5510112</v>
      </c>
      <c r="B605" s="25">
        <v>5301234</v>
      </c>
      <c r="C605" s="26">
        <v>2</v>
      </c>
      <c r="D605" s="26"/>
      <c r="E605" s="25" t="s">
        <v>209</v>
      </c>
      <c r="F605" s="26" t="str">
        <f t="shared" si="281"/>
        <v/>
      </c>
      <c r="G605" s="26" t="str">
        <f>IFERROR(IF(--MID($E605,2*COUNTIF($F605:F605,"&gt;"&amp;0)+2,1)=G$1,G$1,""),"")</f>
        <v/>
      </c>
      <c r="H605" s="26" t="str">
        <f>IFERROR(IF(--MID($E605,2*COUNTIF($F605:G605,"&gt;"&amp;0)+2,1)=H$1,H$1,""),"")</f>
        <v/>
      </c>
      <c r="I605" s="26" t="str">
        <f>IFERROR(IF(--MID($E605,2*COUNTIF($F605:H605,"&gt;"&amp;0)+2,1)=I$1,I$1,""),"")</f>
        <v/>
      </c>
      <c r="J605" s="26" t="str">
        <f>IFERROR(IF(--MID($E605,2*COUNTIF($F605:I605,"&gt;"&amp;0)+2,1)=J$1,J$1,""),"")</f>
        <v/>
      </c>
      <c r="K605" s="26">
        <f>IFERROR(IF(--MID($E605,2*COUNTIF($F605:J605,"&gt;"&amp;0)+2,1)=K$1,K$1,""),"")</f>
        <v>6</v>
      </c>
      <c r="L605" s="39" t="str" cm="1">
        <f t="array" ref="L605">IFERROR(IF($A605="","",IF(F605="","",_xlfn.XLOOKUP($C605&amp;"_"&amp;$AG605,符文权重!$A:$A&amp;"_"&amp;符文权重!$C:$C,符文权重!$D:$D)*$X605/SUMIFS($X:$X,F:F,F605,$C:$C,$C605,$AG:$AG,$AG605)/SUMIF(符文权重!$A:$A,$C605,符文权重!$D:$D))),"")</f>
        <v/>
      </c>
      <c r="M605" s="39" t="str" cm="1">
        <f t="array" ref="M605">IFERROR(IF($A605="","",IF(G605="","",_xlfn.XLOOKUP($C605&amp;"_"&amp;$AG605,符文权重!$A:$A&amp;"_"&amp;符文权重!$C:$C,符文权重!$D:$D)*$X605/SUMIFS($X:$X,G:G,G605,$C:$C,$C605,$AG:$AG,$AG605)/SUMIF(符文权重!$A:$A,$C605,符文权重!$D:$D))),"")</f>
        <v/>
      </c>
      <c r="N605" s="39" t="str" cm="1">
        <f t="array" ref="N605">IFERROR(IF($A605="","",IF(H605="","",_xlfn.XLOOKUP($C605&amp;"_"&amp;$AG605,符文权重!$A:$A&amp;"_"&amp;符文权重!$C:$C,符文权重!$D:$D)*$X605/SUMIFS($X:$X,H:H,H605,$C:$C,$C605,$AG:$AG,$AG605)/SUMIF(符文权重!$A:$A,$C605,符文权重!$D:$D))),"")</f>
        <v/>
      </c>
      <c r="O605" s="39" t="str" cm="1">
        <f t="array" ref="O605">IFERROR(IF($A605="","",IF(I605="","",_xlfn.XLOOKUP($C605&amp;"_"&amp;$AG605,符文权重!$A:$A&amp;"_"&amp;符文权重!$C:$C,符文权重!$D:$D)*$X605/SUMIFS($X:$X,I:I,I605,$C:$C,$C605,$AG:$AG,$AG605)/SUMIF(符文权重!$A:$A,$C605,符文权重!$D:$D))),"")</f>
        <v/>
      </c>
      <c r="P605" s="39" t="str" cm="1">
        <f t="array" ref="P605">IFERROR(IF($A605="","",IF(J605="","",_xlfn.XLOOKUP($C605&amp;"_"&amp;$AG605,符文权重!$A:$A&amp;"_"&amp;符文权重!$C:$C,符文权重!$D:$D)*$X605/SUMIFS($X:$X,J:J,J605,$C:$C,$C605,$AG:$AG,$AG605)/SUMIF(符文权重!$A:$A,$C605,符文权重!$D:$D))),"")</f>
        <v/>
      </c>
      <c r="Q605" s="39" t="str" cm="1">
        <f t="array" ref="Q605">IFERROR(IF($A605="","",IF(K605="","",_xlfn.XLOOKUP($C605&amp;"_"&amp;$AG605,符文权重!$A:$A&amp;"_"&amp;符文权重!$C:$C,符文权重!$D:$D)*$X605/SUMIFS($X:$X,K:K,K605,$C:$C,$C605,$AG:$AG,$AG605)/SUMIF(符文权重!$A:$A,$C605,符文权重!$D:$D))),"")</f>
        <v/>
      </c>
      <c r="R605" s="26" t="s">
        <v>330</v>
      </c>
      <c r="S605" s="26" t="s">
        <v>595</v>
      </c>
      <c r="T605" s="26" t="s">
        <v>383</v>
      </c>
      <c r="V605" s="26" t="s">
        <v>605</v>
      </c>
      <c r="W605" s="25" t="s">
        <v>580</v>
      </c>
      <c r="X605" s="25">
        <v>100</v>
      </c>
      <c r="Y605" s="25"/>
      <c r="Z605" s="26" t="s">
        <v>170</v>
      </c>
      <c r="AA605" s="32" t="str">
        <f t="shared" si="284"/>
        <v>果冻少女中毒伤害+25%</v>
      </c>
      <c r="AB605" s="32"/>
      <c r="AC605" s="32" t="s">
        <v>166</v>
      </c>
      <c r="AD605" s="32">
        <f t="shared" si="282"/>
        <v>1600</v>
      </c>
      <c r="AE605" s="25">
        <v>5301234</v>
      </c>
      <c r="AF605" s="26" t="s">
        <v>399</v>
      </c>
      <c r="AG605" s="26">
        <v>100</v>
      </c>
      <c r="AH605" s="26"/>
      <c r="AI605" s="26">
        <v>1</v>
      </c>
      <c r="AJ605" s="26">
        <v>0</v>
      </c>
      <c r="AL605" s="26" t="s">
        <v>606</v>
      </c>
      <c r="AN605" s="25">
        <v>4</v>
      </c>
      <c r="AO605" s="25" t="s">
        <v>32</v>
      </c>
      <c r="AP605" s="20">
        <f t="shared" si="283"/>
        <v>600</v>
      </c>
    </row>
    <row r="606" s="20" customFormat="1" customHeight="1" spans="1:42">
      <c r="A606" s="25">
        <v>5510113</v>
      </c>
      <c r="B606" s="25">
        <v>5301234</v>
      </c>
      <c r="C606" s="25">
        <v>3</v>
      </c>
      <c r="D606" s="25"/>
      <c r="E606" s="25" t="s">
        <v>209</v>
      </c>
      <c r="F606" s="26" t="str">
        <f t="shared" si="281"/>
        <v/>
      </c>
      <c r="G606" s="26" t="str">
        <f>IFERROR(IF(--MID($E606,2*COUNTIF($F606:F606,"&gt;"&amp;0)+2,1)=G$1,G$1,""),"")</f>
        <v/>
      </c>
      <c r="H606" s="26" t="str">
        <f>IFERROR(IF(--MID($E606,2*COUNTIF($F606:G606,"&gt;"&amp;0)+2,1)=H$1,H$1,""),"")</f>
        <v/>
      </c>
      <c r="I606" s="26" t="str">
        <f>IFERROR(IF(--MID($E606,2*COUNTIF($F606:H606,"&gt;"&amp;0)+2,1)=I$1,I$1,""),"")</f>
        <v/>
      </c>
      <c r="J606" s="26" t="str">
        <f>IFERROR(IF(--MID($E606,2*COUNTIF($F606:I606,"&gt;"&amp;0)+2,1)=J$1,J$1,""),"")</f>
        <v/>
      </c>
      <c r="K606" s="26">
        <f>IFERROR(IF(--MID($E606,2*COUNTIF($F606:J606,"&gt;"&amp;0)+2,1)=K$1,K$1,""),"")</f>
        <v>6</v>
      </c>
      <c r="L606" s="39" t="str" cm="1">
        <f t="array" ref="L606">IFERROR(IF($A606="","",IF(F606="","",_xlfn.XLOOKUP($C606&amp;"_"&amp;$AG606,符文权重!$A:$A&amp;"_"&amp;符文权重!$C:$C,符文权重!$D:$D)*$X606/SUMIFS($X:$X,F:F,F606,$C:$C,$C606,$AG:$AG,$AG606)/SUMIF(符文权重!$A:$A,$C606,符文权重!$D:$D))),"")</f>
        <v/>
      </c>
      <c r="M606" s="39" t="str" cm="1">
        <f t="array" ref="M606">IFERROR(IF($A606="","",IF(G606="","",_xlfn.XLOOKUP($C606&amp;"_"&amp;$AG606,符文权重!$A:$A&amp;"_"&amp;符文权重!$C:$C,符文权重!$D:$D)*$X606/SUMIFS($X:$X,G:G,G606,$C:$C,$C606,$AG:$AG,$AG606)/SUMIF(符文权重!$A:$A,$C606,符文权重!$D:$D))),"")</f>
        <v/>
      </c>
      <c r="N606" s="39" t="str" cm="1">
        <f t="array" ref="N606">IFERROR(IF($A606="","",IF(H606="","",_xlfn.XLOOKUP($C606&amp;"_"&amp;$AG606,符文权重!$A:$A&amp;"_"&amp;符文权重!$C:$C,符文权重!$D:$D)*$X606/SUMIFS($X:$X,H:H,H606,$C:$C,$C606,$AG:$AG,$AG606)/SUMIF(符文权重!$A:$A,$C606,符文权重!$D:$D))),"")</f>
        <v/>
      </c>
      <c r="O606" s="39" t="str" cm="1">
        <f t="array" ref="O606">IFERROR(IF($A606="","",IF(I606="","",_xlfn.XLOOKUP($C606&amp;"_"&amp;$AG606,符文权重!$A:$A&amp;"_"&amp;符文权重!$C:$C,符文权重!$D:$D)*$X606/SUMIFS($X:$X,I:I,I606,$C:$C,$C606,$AG:$AG,$AG606)/SUMIF(符文权重!$A:$A,$C606,符文权重!$D:$D))),"")</f>
        <v/>
      </c>
      <c r="P606" s="39" t="str" cm="1">
        <f t="array" ref="P606">IFERROR(IF($A606="","",IF(J606="","",_xlfn.XLOOKUP($C606&amp;"_"&amp;$AG606,符文权重!$A:$A&amp;"_"&amp;符文权重!$C:$C,符文权重!$D:$D)*$X606/SUMIFS($X:$X,J:J,J606,$C:$C,$C606,$AG:$AG,$AG606)/SUMIF(符文权重!$A:$A,$C606,符文权重!$D:$D))),"")</f>
        <v/>
      </c>
      <c r="Q606" s="39" cm="1">
        <f t="array" ref="Q606">IFERROR(IF($A606="","",IF(K606="","",_xlfn.XLOOKUP($C606&amp;"_"&amp;$AG606,符文权重!$A:$A&amp;"_"&amp;符文权重!$C:$C,符文权重!$D:$D)*$X606/SUMIFS($X:$X,K:K,K606,$C:$C,$C606,$AG:$AG,$AG606)/SUMIF(符文权重!$A:$A,$C606,符文权重!$D:$D))),"")</f>
        <v>0.0166666666666667</v>
      </c>
      <c r="R606" s="25" t="s">
        <v>330</v>
      </c>
      <c r="S606" s="25" t="s">
        <v>595</v>
      </c>
      <c r="T606" s="25" t="s">
        <v>385</v>
      </c>
      <c r="V606" s="25" t="s">
        <v>607</v>
      </c>
      <c r="W606" s="25" t="s">
        <v>599</v>
      </c>
      <c r="X606" s="25">
        <v>100</v>
      </c>
      <c r="Z606" s="25" t="s">
        <v>172</v>
      </c>
      <c r="AA606" s="32" t="str">
        <f t="shared" si="284"/>
        <v>果冻少女中毒伤害+36%</v>
      </c>
      <c r="AB606" s="32"/>
      <c r="AC606" s="32" t="s">
        <v>166</v>
      </c>
      <c r="AD606" s="32">
        <f t="shared" si="282"/>
        <v>1601</v>
      </c>
      <c r="AE606" s="25">
        <v>5301234</v>
      </c>
      <c r="AF606" s="25" t="s">
        <v>603</v>
      </c>
      <c r="AG606" s="25">
        <v>4</v>
      </c>
      <c r="AJ606" s="25">
        <v>1</v>
      </c>
      <c r="AK606" s="26"/>
      <c r="AL606" s="25" t="s">
        <v>608</v>
      </c>
      <c r="AM606" s="26"/>
      <c r="AN606" s="25">
        <v>4</v>
      </c>
      <c r="AO606" s="25" t="s">
        <v>32</v>
      </c>
      <c r="AP606" s="20">
        <f t="shared" si="283"/>
        <v>601</v>
      </c>
    </row>
    <row r="607" s="20" customFormat="1" customHeight="1" spans="1:42">
      <c r="A607" s="25">
        <v>5510114</v>
      </c>
      <c r="B607" s="25">
        <v>5301234</v>
      </c>
      <c r="C607" s="25">
        <v>4</v>
      </c>
      <c r="D607" s="25"/>
      <c r="E607" s="25" t="s">
        <v>209</v>
      </c>
      <c r="F607" s="26" t="str">
        <f t="shared" si="281"/>
        <v/>
      </c>
      <c r="G607" s="26" t="str">
        <f>IFERROR(IF(--MID($E607,2*COUNTIF($F607:F607,"&gt;"&amp;0)+2,1)=G$1,G$1,""),"")</f>
        <v/>
      </c>
      <c r="H607" s="26" t="str">
        <f>IFERROR(IF(--MID($E607,2*COUNTIF($F607:G607,"&gt;"&amp;0)+2,1)=H$1,H$1,""),"")</f>
        <v/>
      </c>
      <c r="I607" s="26" t="str">
        <f>IFERROR(IF(--MID($E607,2*COUNTIF($F607:H607,"&gt;"&amp;0)+2,1)=I$1,I$1,""),"")</f>
        <v/>
      </c>
      <c r="J607" s="26" t="str">
        <f>IFERROR(IF(--MID($E607,2*COUNTIF($F607:I607,"&gt;"&amp;0)+2,1)=J$1,J$1,""),"")</f>
        <v/>
      </c>
      <c r="K607" s="26">
        <f>IFERROR(IF(--MID($E607,2*COUNTIF($F607:J607,"&gt;"&amp;0)+2,1)=K$1,K$1,""),"")</f>
        <v>6</v>
      </c>
      <c r="L607" s="39" t="str" cm="1">
        <f t="array" ref="L607">IFERROR(IF($A607="","",IF(F607="","",_xlfn.XLOOKUP($C607&amp;"_"&amp;$AG607,符文权重!$A:$A&amp;"_"&amp;符文权重!$C:$C,符文权重!$D:$D)*$X607/SUMIFS($X:$X,F:F,F607,$C:$C,$C607,$AG:$AG,$AG607)/SUMIF(符文权重!$A:$A,$C607,符文权重!$D:$D))),"")</f>
        <v/>
      </c>
      <c r="M607" s="39" t="str" cm="1">
        <f t="array" ref="M607">IFERROR(IF($A607="","",IF(G607="","",_xlfn.XLOOKUP($C607&amp;"_"&amp;$AG607,符文权重!$A:$A&amp;"_"&amp;符文权重!$C:$C,符文权重!$D:$D)*$X607/SUMIFS($X:$X,G:G,G607,$C:$C,$C607,$AG:$AG,$AG607)/SUMIF(符文权重!$A:$A,$C607,符文权重!$D:$D))),"")</f>
        <v/>
      </c>
      <c r="N607" s="39" t="str" cm="1">
        <f t="array" ref="N607">IFERROR(IF($A607="","",IF(H607="","",_xlfn.XLOOKUP($C607&amp;"_"&amp;$AG607,符文权重!$A:$A&amp;"_"&amp;符文权重!$C:$C,符文权重!$D:$D)*$X607/SUMIFS($X:$X,H:H,H607,$C:$C,$C607,$AG:$AG,$AG607)/SUMIF(符文权重!$A:$A,$C607,符文权重!$D:$D))),"")</f>
        <v/>
      </c>
      <c r="O607" s="39" t="str" cm="1">
        <f t="array" ref="O607">IFERROR(IF($A607="","",IF(I607="","",_xlfn.XLOOKUP($C607&amp;"_"&amp;$AG607,符文权重!$A:$A&amp;"_"&amp;符文权重!$C:$C,符文权重!$D:$D)*$X607/SUMIFS($X:$X,I:I,I607,$C:$C,$C607,$AG:$AG,$AG607)/SUMIF(符文权重!$A:$A,$C607,符文权重!$D:$D))),"")</f>
        <v/>
      </c>
      <c r="P607" s="39" t="str" cm="1">
        <f t="array" ref="P607">IFERROR(IF($A607="","",IF(J607="","",_xlfn.XLOOKUP($C607&amp;"_"&amp;$AG607,符文权重!$A:$A&amp;"_"&amp;符文权重!$C:$C,符文权重!$D:$D)*$X607/SUMIFS($X:$X,J:J,J607,$C:$C,$C607,$AG:$AG,$AG607)/SUMIF(符文权重!$A:$A,$C607,符文权重!$D:$D))),"")</f>
        <v/>
      </c>
      <c r="Q607" s="39" cm="1">
        <f t="array" ref="Q607">IFERROR(IF($A607="","",IF(K607="","",_xlfn.XLOOKUP($C607&amp;"_"&amp;$AG607,符文权重!$A:$A&amp;"_"&amp;符文权重!$C:$C,符文权重!$D:$D)*$X607/SUMIFS($X:$X,K:K,K607,$C:$C,$C607,$AG:$AG,$AG607)/SUMIF(符文权重!$A:$A,$C607,符文权重!$D:$D))),"")</f>
        <v>0.015625</v>
      </c>
      <c r="R607" s="25" t="s">
        <v>330</v>
      </c>
      <c r="S607" s="25" t="s">
        <v>595</v>
      </c>
      <c r="T607" s="25" t="s">
        <v>388</v>
      </c>
      <c r="V607" s="25" t="s">
        <v>609</v>
      </c>
      <c r="W607" s="25" t="s">
        <v>602</v>
      </c>
      <c r="X607" s="25">
        <v>100</v>
      </c>
      <c r="Z607" s="25" t="s">
        <v>174</v>
      </c>
      <c r="AA607" s="32" t="str">
        <f t="shared" si="284"/>
        <v>果冻少女中毒伤害+48%</v>
      </c>
      <c r="AB607" s="32"/>
      <c r="AC607" s="32" t="s">
        <v>166</v>
      </c>
      <c r="AD607" s="32">
        <f t="shared" si="282"/>
        <v>1602</v>
      </c>
      <c r="AE607" s="25">
        <v>5301234</v>
      </c>
      <c r="AF607" s="25" t="s">
        <v>610</v>
      </c>
      <c r="AG607" s="25">
        <v>4</v>
      </c>
      <c r="AJ607" s="25">
        <v>1</v>
      </c>
      <c r="AK607" s="26"/>
      <c r="AL607" s="25" t="s">
        <v>611</v>
      </c>
      <c r="AM607" s="26"/>
      <c r="AN607" s="25">
        <v>4</v>
      </c>
      <c r="AO607" s="25" t="s">
        <v>32</v>
      </c>
      <c r="AP607" s="20">
        <f t="shared" si="283"/>
        <v>602</v>
      </c>
    </row>
    <row r="608" s="20" customFormat="1" customHeight="1" spans="1:42">
      <c r="A608" s="25">
        <v>5510122</v>
      </c>
      <c r="B608" s="25">
        <v>5301235</v>
      </c>
      <c r="C608" s="26">
        <v>2</v>
      </c>
      <c r="D608" s="26"/>
      <c r="E608" s="25" t="s">
        <v>191</v>
      </c>
      <c r="F608" s="26">
        <f t="shared" si="281"/>
        <v>1</v>
      </c>
      <c r="G608" s="26" t="str">
        <f>IFERROR(IF(--MID($E608,2*COUNTIF($F608:F608,"&gt;"&amp;0)+2,1)=G$1,G$1,""),"")</f>
        <v/>
      </c>
      <c r="H608" s="26" t="str">
        <f>IFERROR(IF(--MID($E608,2*COUNTIF($F608:G608,"&gt;"&amp;0)+2,1)=H$1,H$1,""),"")</f>
        <v/>
      </c>
      <c r="I608" s="26" t="str">
        <f>IFERROR(IF(--MID($E608,2*COUNTIF($F608:H608,"&gt;"&amp;0)+2,1)=I$1,I$1,""),"")</f>
        <v/>
      </c>
      <c r="J608" s="26" t="str">
        <f>IFERROR(IF(--MID($E608,2*COUNTIF($F608:I608,"&gt;"&amp;0)+2,1)=J$1,J$1,""),"")</f>
        <v/>
      </c>
      <c r="K608" s="26" t="str">
        <f>IFERROR(IF(--MID($E608,2*COUNTIF($F608:J608,"&gt;"&amp;0)+2,1)=K$1,K$1,""),"")</f>
        <v/>
      </c>
      <c r="L608" s="39" t="str" cm="1">
        <f t="array" ref="L608">IFERROR(IF($A608="","",IF(F608="","",_xlfn.XLOOKUP($C608&amp;"_"&amp;$AG608,符文权重!$A:$A&amp;"_"&amp;符文权重!$C:$C,符文权重!$D:$D)*$X608/SUMIFS($X:$X,F:F,F608,$C:$C,$C608,$AG:$AG,$AG608)/SUMIF(符文权重!$A:$A,$C608,符文权重!$D:$D))),"")</f>
        <v/>
      </c>
      <c r="M608" s="39" t="str" cm="1">
        <f t="array" ref="M608">IFERROR(IF($A608="","",IF(G608="","",_xlfn.XLOOKUP($C608&amp;"_"&amp;$AG608,符文权重!$A:$A&amp;"_"&amp;符文权重!$C:$C,符文权重!$D:$D)*$X608/SUMIFS($X:$X,G:G,G608,$C:$C,$C608,$AG:$AG,$AG608)/SUMIF(符文权重!$A:$A,$C608,符文权重!$D:$D))),"")</f>
        <v/>
      </c>
      <c r="N608" s="39" t="str" cm="1">
        <f t="array" ref="N608">IFERROR(IF($A608="","",IF(H608="","",_xlfn.XLOOKUP($C608&amp;"_"&amp;$AG608,符文权重!$A:$A&amp;"_"&amp;符文权重!$C:$C,符文权重!$D:$D)*$X608/SUMIFS($X:$X,H:H,H608,$C:$C,$C608,$AG:$AG,$AG608)/SUMIF(符文权重!$A:$A,$C608,符文权重!$D:$D))),"")</f>
        <v/>
      </c>
      <c r="O608" s="39" t="str" cm="1">
        <f t="array" ref="O608">IFERROR(IF($A608="","",IF(I608="","",_xlfn.XLOOKUP($C608&amp;"_"&amp;$AG608,符文权重!$A:$A&amp;"_"&amp;符文权重!$C:$C,符文权重!$D:$D)*$X608/SUMIFS($X:$X,I:I,I608,$C:$C,$C608,$AG:$AG,$AG608)/SUMIF(符文权重!$A:$A,$C608,符文权重!$D:$D))),"")</f>
        <v/>
      </c>
      <c r="P608" s="39" t="str" cm="1">
        <f t="array" ref="P608">IFERROR(IF($A608="","",IF(J608="","",_xlfn.XLOOKUP($C608&amp;"_"&amp;$AG608,符文权重!$A:$A&amp;"_"&amp;符文权重!$C:$C,符文权重!$D:$D)*$X608/SUMIFS($X:$X,J:J,J608,$C:$C,$C608,$AG:$AG,$AG608)/SUMIF(符文权重!$A:$A,$C608,符文权重!$D:$D))),"")</f>
        <v/>
      </c>
      <c r="Q608" s="39" t="str" cm="1">
        <f t="array" ref="Q608">IFERROR(IF($A608="","",IF(K608="","",_xlfn.XLOOKUP($C608&amp;"_"&amp;$AG608,符文权重!$A:$A&amp;"_"&amp;符文权重!$C:$C,符文权重!$D:$D)*$X608/SUMIFS($X:$X,K:K,K608,$C:$C,$C608,$AG:$AG,$AG608)/SUMIF(符文权重!$A:$A,$C608,符文权重!$D:$D))),"")</f>
        <v/>
      </c>
      <c r="R608" s="26" t="s">
        <v>330</v>
      </c>
      <c r="S608" s="26" t="s">
        <v>595</v>
      </c>
      <c r="T608" s="26" t="s">
        <v>383</v>
      </c>
      <c r="U608" s="20" t="s">
        <v>612</v>
      </c>
      <c r="V608" s="26"/>
      <c r="W608" s="25" t="s">
        <v>580</v>
      </c>
      <c r="X608" s="25">
        <v>100</v>
      </c>
      <c r="Y608" s="25"/>
      <c r="Z608" s="26" t="s">
        <v>170</v>
      </c>
      <c r="AA608" s="32" t="str">
        <f t="shared" si="284"/>
        <v>果冻少女中毒时间+20%</v>
      </c>
      <c r="AB608" s="32"/>
      <c r="AC608" s="32" t="s">
        <v>166</v>
      </c>
      <c r="AD608" s="32">
        <f t="shared" si="282"/>
        <v>1603</v>
      </c>
      <c r="AE608" s="25">
        <v>5301235</v>
      </c>
      <c r="AF608" s="26" t="s">
        <v>396</v>
      </c>
      <c r="AG608" s="26">
        <v>100</v>
      </c>
      <c r="AH608" s="26"/>
      <c r="AI608" s="26">
        <v>1</v>
      </c>
      <c r="AJ608" s="26">
        <v>0</v>
      </c>
      <c r="AL608" s="26" t="s">
        <v>613</v>
      </c>
      <c r="AN608" s="25">
        <v>4</v>
      </c>
      <c r="AO608" s="25" t="s">
        <v>32</v>
      </c>
      <c r="AP608" s="20">
        <f t="shared" si="283"/>
        <v>603</v>
      </c>
    </row>
    <row r="609" s="20" customFormat="1" customHeight="1" spans="1:42">
      <c r="A609" s="25">
        <v>5510123</v>
      </c>
      <c r="B609" s="25">
        <v>5301235</v>
      </c>
      <c r="C609" s="25">
        <v>3</v>
      </c>
      <c r="D609" s="25"/>
      <c r="E609" s="25" t="s">
        <v>191</v>
      </c>
      <c r="F609" s="26">
        <f t="shared" si="281"/>
        <v>1</v>
      </c>
      <c r="G609" s="26" t="str">
        <f>IFERROR(IF(--MID($E609,2*COUNTIF($F609:F609,"&gt;"&amp;0)+2,1)=G$1,G$1,""),"")</f>
        <v/>
      </c>
      <c r="H609" s="26" t="str">
        <f>IFERROR(IF(--MID($E609,2*COUNTIF($F609:G609,"&gt;"&amp;0)+2,1)=H$1,H$1,""),"")</f>
        <v/>
      </c>
      <c r="I609" s="26" t="str">
        <f>IFERROR(IF(--MID($E609,2*COUNTIF($F609:H609,"&gt;"&amp;0)+2,1)=I$1,I$1,""),"")</f>
        <v/>
      </c>
      <c r="J609" s="26" t="str">
        <f>IFERROR(IF(--MID($E609,2*COUNTIF($F609:I609,"&gt;"&amp;0)+2,1)=J$1,J$1,""),"")</f>
        <v/>
      </c>
      <c r="K609" s="26" t="str">
        <f>IFERROR(IF(--MID($E609,2*COUNTIF($F609:J609,"&gt;"&amp;0)+2,1)=K$1,K$1,""),"")</f>
        <v/>
      </c>
      <c r="L609" s="39" cm="1">
        <f t="array" ref="L609">IFERROR(IF($A609="","",IF(F609="","",_xlfn.XLOOKUP($C609&amp;"_"&amp;$AG609,符文权重!$A:$A&amp;"_"&amp;符文权重!$C:$C,符文权重!$D:$D)*$X609/SUMIFS($X:$X,F:F,F609,$C:$C,$C609,$AG:$AG,$AG609)/SUMIF(符文权重!$A:$A,$C609,符文权重!$D:$D))),"")</f>
        <v>0.025</v>
      </c>
      <c r="M609" s="39" t="str" cm="1">
        <f t="array" ref="M609">IFERROR(IF($A609="","",IF(G609="","",_xlfn.XLOOKUP($C609&amp;"_"&amp;$AG609,符文权重!$A:$A&amp;"_"&amp;符文权重!$C:$C,符文权重!$D:$D)*$X609/SUMIFS($X:$X,G:G,G609,$C:$C,$C609,$AG:$AG,$AG609)/SUMIF(符文权重!$A:$A,$C609,符文权重!$D:$D))),"")</f>
        <v/>
      </c>
      <c r="N609" s="39" t="str" cm="1">
        <f t="array" ref="N609">IFERROR(IF($A609="","",IF(H609="","",_xlfn.XLOOKUP($C609&amp;"_"&amp;$AG609,符文权重!$A:$A&amp;"_"&amp;符文权重!$C:$C,符文权重!$D:$D)*$X609/SUMIFS($X:$X,H:H,H609,$C:$C,$C609,$AG:$AG,$AG609)/SUMIF(符文权重!$A:$A,$C609,符文权重!$D:$D))),"")</f>
        <v/>
      </c>
      <c r="O609" s="39" t="str" cm="1">
        <f t="array" ref="O609">IFERROR(IF($A609="","",IF(I609="","",_xlfn.XLOOKUP($C609&amp;"_"&amp;$AG609,符文权重!$A:$A&amp;"_"&amp;符文权重!$C:$C,符文权重!$D:$D)*$X609/SUMIFS($X:$X,I:I,I609,$C:$C,$C609,$AG:$AG,$AG609)/SUMIF(符文权重!$A:$A,$C609,符文权重!$D:$D))),"")</f>
        <v/>
      </c>
      <c r="P609" s="39" t="str" cm="1">
        <f t="array" ref="P609">IFERROR(IF($A609="","",IF(J609="","",_xlfn.XLOOKUP($C609&amp;"_"&amp;$AG609,符文权重!$A:$A&amp;"_"&amp;符文权重!$C:$C,符文权重!$D:$D)*$X609/SUMIFS($X:$X,J:J,J609,$C:$C,$C609,$AG:$AG,$AG609)/SUMIF(符文权重!$A:$A,$C609,符文权重!$D:$D))),"")</f>
        <v/>
      </c>
      <c r="Q609" s="39" t="str" cm="1">
        <f t="array" ref="Q609">IFERROR(IF($A609="","",IF(K609="","",_xlfn.XLOOKUP($C609&amp;"_"&amp;$AG609,符文权重!$A:$A&amp;"_"&amp;符文权重!$C:$C,符文权重!$D:$D)*$X609/SUMIFS($X:$X,K:K,K609,$C:$C,$C609,$AG:$AG,$AG609)/SUMIF(符文权重!$A:$A,$C609,符文权重!$D:$D))),"")</f>
        <v/>
      </c>
      <c r="R609" s="25" t="s">
        <v>330</v>
      </c>
      <c r="S609" s="25" t="s">
        <v>595</v>
      </c>
      <c r="T609" s="25" t="s">
        <v>385</v>
      </c>
      <c r="U609" s="25" t="s">
        <v>614</v>
      </c>
      <c r="V609" s="25"/>
      <c r="W609" s="25" t="s">
        <v>599</v>
      </c>
      <c r="X609" s="25">
        <v>100</v>
      </c>
      <c r="Z609" s="25" t="s">
        <v>172</v>
      </c>
      <c r="AA609" s="32" t="str">
        <f t="shared" si="284"/>
        <v>果冻少女中毒时间+30%</v>
      </c>
      <c r="AB609" s="32"/>
      <c r="AC609" s="32" t="s">
        <v>166</v>
      </c>
      <c r="AD609" s="32">
        <f t="shared" si="282"/>
        <v>1604</v>
      </c>
      <c r="AE609" s="25">
        <v>5301235</v>
      </c>
      <c r="AF609" s="25" t="s">
        <v>449</v>
      </c>
      <c r="AG609" s="25">
        <v>4</v>
      </c>
      <c r="AJ609" s="25">
        <v>1</v>
      </c>
      <c r="AK609" s="26"/>
      <c r="AL609" s="25" t="s">
        <v>615</v>
      </c>
      <c r="AM609" s="26"/>
      <c r="AN609" s="25">
        <v>4</v>
      </c>
      <c r="AO609" s="25" t="s">
        <v>32</v>
      </c>
      <c r="AP609" s="20">
        <f t="shared" si="283"/>
        <v>604</v>
      </c>
    </row>
    <row r="610" s="20" customFormat="1" customHeight="1" spans="1:42">
      <c r="A610" s="25">
        <v>5510124</v>
      </c>
      <c r="B610" s="25">
        <v>5301235</v>
      </c>
      <c r="C610" s="25">
        <v>4</v>
      </c>
      <c r="D610" s="25"/>
      <c r="E610" s="25" t="s">
        <v>191</v>
      </c>
      <c r="F610" s="26">
        <f t="shared" si="281"/>
        <v>1</v>
      </c>
      <c r="G610" s="26" t="str">
        <f>IFERROR(IF(--MID($E610,2*COUNTIF($F610:F610,"&gt;"&amp;0)+2,1)=G$1,G$1,""),"")</f>
        <v/>
      </c>
      <c r="H610" s="26" t="str">
        <f>IFERROR(IF(--MID($E610,2*COUNTIF($F610:G610,"&gt;"&amp;0)+2,1)=H$1,H$1,""),"")</f>
        <v/>
      </c>
      <c r="I610" s="26" t="str">
        <f>IFERROR(IF(--MID($E610,2*COUNTIF($F610:H610,"&gt;"&amp;0)+2,1)=I$1,I$1,""),"")</f>
        <v/>
      </c>
      <c r="J610" s="26" t="str">
        <f>IFERROR(IF(--MID($E610,2*COUNTIF($F610:I610,"&gt;"&amp;0)+2,1)=J$1,J$1,""),"")</f>
        <v/>
      </c>
      <c r="K610" s="26" t="str">
        <f>IFERROR(IF(--MID($E610,2*COUNTIF($F610:J610,"&gt;"&amp;0)+2,1)=K$1,K$1,""),"")</f>
        <v/>
      </c>
      <c r="L610" s="39" cm="1">
        <f t="array" ref="L610">IFERROR(IF($A610="","",IF(F610="","",_xlfn.XLOOKUP($C610&amp;"_"&amp;$AG610,符文权重!$A:$A&amp;"_"&amp;符文权重!$C:$C,符文权重!$D:$D)*$X610/SUMIFS($X:$X,F:F,F610,$C:$C,$C610,$AG:$AG,$AG610)/SUMIF(符文权重!$A:$A,$C610,符文权重!$D:$D))),"")</f>
        <v>0.0208333333333333</v>
      </c>
      <c r="M610" s="39" t="str" cm="1">
        <f t="array" ref="M610">IFERROR(IF($A610="","",IF(G610="","",_xlfn.XLOOKUP($C610&amp;"_"&amp;$AG610,符文权重!$A:$A&amp;"_"&amp;符文权重!$C:$C,符文权重!$D:$D)*$X610/SUMIFS($X:$X,G:G,G610,$C:$C,$C610,$AG:$AG,$AG610)/SUMIF(符文权重!$A:$A,$C610,符文权重!$D:$D))),"")</f>
        <v/>
      </c>
      <c r="N610" s="39" t="str" cm="1">
        <f t="array" ref="N610">IFERROR(IF($A610="","",IF(H610="","",_xlfn.XLOOKUP($C610&amp;"_"&amp;$AG610,符文权重!$A:$A&amp;"_"&amp;符文权重!$C:$C,符文权重!$D:$D)*$X610/SUMIFS($X:$X,H:H,H610,$C:$C,$C610,$AG:$AG,$AG610)/SUMIF(符文权重!$A:$A,$C610,符文权重!$D:$D))),"")</f>
        <v/>
      </c>
      <c r="O610" s="39" t="str" cm="1">
        <f t="array" ref="O610">IFERROR(IF($A610="","",IF(I610="","",_xlfn.XLOOKUP($C610&amp;"_"&amp;$AG610,符文权重!$A:$A&amp;"_"&amp;符文权重!$C:$C,符文权重!$D:$D)*$X610/SUMIFS($X:$X,I:I,I610,$C:$C,$C610,$AG:$AG,$AG610)/SUMIF(符文权重!$A:$A,$C610,符文权重!$D:$D))),"")</f>
        <v/>
      </c>
      <c r="P610" s="39" t="str" cm="1">
        <f t="array" ref="P610">IFERROR(IF($A610="","",IF(J610="","",_xlfn.XLOOKUP($C610&amp;"_"&amp;$AG610,符文权重!$A:$A&amp;"_"&amp;符文权重!$C:$C,符文权重!$D:$D)*$X610/SUMIFS($X:$X,J:J,J610,$C:$C,$C610,$AG:$AG,$AG610)/SUMIF(符文权重!$A:$A,$C610,符文权重!$D:$D))),"")</f>
        <v/>
      </c>
      <c r="Q610" s="39" t="str" cm="1">
        <f t="array" ref="Q610">IFERROR(IF($A610="","",IF(K610="","",_xlfn.XLOOKUP($C610&amp;"_"&amp;$AG610,符文权重!$A:$A&amp;"_"&amp;符文权重!$C:$C,符文权重!$D:$D)*$X610/SUMIFS($X:$X,K:K,K610,$C:$C,$C610,$AG:$AG,$AG610)/SUMIF(符文权重!$A:$A,$C610,符文权重!$D:$D))),"")</f>
        <v/>
      </c>
      <c r="R610" s="25" t="s">
        <v>330</v>
      </c>
      <c r="S610" s="25" t="s">
        <v>595</v>
      </c>
      <c r="T610" s="25" t="s">
        <v>388</v>
      </c>
      <c r="U610" s="25" t="s">
        <v>616</v>
      </c>
      <c r="V610" s="25"/>
      <c r="W610" s="25" t="s">
        <v>602</v>
      </c>
      <c r="X610" s="25">
        <v>100</v>
      </c>
      <c r="Z610" s="25" t="s">
        <v>174</v>
      </c>
      <c r="AA610" s="32" t="str">
        <f t="shared" si="284"/>
        <v>果冻少女中毒时间+40%</v>
      </c>
      <c r="AB610" s="32"/>
      <c r="AC610" s="32" t="s">
        <v>166</v>
      </c>
      <c r="AD610" s="32">
        <f t="shared" si="282"/>
        <v>1605</v>
      </c>
      <c r="AE610" s="25">
        <v>5301235</v>
      </c>
      <c r="AF610" s="25" t="s">
        <v>459</v>
      </c>
      <c r="AG610" s="25">
        <v>4</v>
      </c>
      <c r="AJ610" s="25">
        <v>1</v>
      </c>
      <c r="AK610" s="26"/>
      <c r="AL610" s="25" t="s">
        <v>617</v>
      </c>
      <c r="AM610" s="26"/>
      <c r="AN610" s="25">
        <v>4</v>
      </c>
      <c r="AO610" s="25" t="s">
        <v>32</v>
      </c>
      <c r="AP610" s="20">
        <f t="shared" si="283"/>
        <v>605</v>
      </c>
    </row>
    <row r="611" s="20" customFormat="1" customHeight="1" spans="1:42">
      <c r="A611" s="25">
        <v>5510132</v>
      </c>
      <c r="B611" s="25">
        <v>5301237</v>
      </c>
      <c r="C611" s="26">
        <v>2</v>
      </c>
      <c r="D611" s="26"/>
      <c r="E611" s="25" t="s">
        <v>375</v>
      </c>
      <c r="F611" s="26" t="str">
        <f t="shared" si="281"/>
        <v/>
      </c>
      <c r="G611" s="26" t="str">
        <f>IFERROR(IF(--MID($E611,2*COUNTIF($F611:F611,"&gt;"&amp;0)+2,1)=G$1,G$1,""),"")</f>
        <v/>
      </c>
      <c r="H611" s="26" t="str">
        <f>IFERROR(IF(--MID($E611,2*COUNTIF($F611:G611,"&gt;"&amp;0)+2,1)=H$1,H$1,""),"")</f>
        <v/>
      </c>
      <c r="I611" s="26">
        <f>IFERROR(IF(--MID($E611,2*COUNTIF($F611:H611,"&gt;"&amp;0)+2,1)=I$1,I$1,""),"")</f>
        <v>4</v>
      </c>
      <c r="J611" s="26" t="str">
        <f>IFERROR(IF(--MID($E611,2*COUNTIF($F611:I611,"&gt;"&amp;0)+2,1)=J$1,J$1,""),"")</f>
        <v/>
      </c>
      <c r="K611" s="26" t="str">
        <f>IFERROR(IF(--MID($E611,2*COUNTIF($F611:J611,"&gt;"&amp;0)+2,1)=K$1,K$1,""),"")</f>
        <v/>
      </c>
      <c r="L611" s="39" t="str" cm="1">
        <f t="array" ref="L611">IFERROR(IF($A611="","",IF(F611="","",_xlfn.XLOOKUP($C611&amp;"_"&amp;$AG611,符文权重!$A:$A&amp;"_"&amp;符文权重!$C:$C,符文权重!$D:$D)*$X611/SUMIFS($X:$X,F:F,F611,$C:$C,$C611,$AG:$AG,$AG611)/SUMIF(符文权重!$A:$A,$C611,符文权重!$D:$D))),"")</f>
        <v/>
      </c>
      <c r="M611" s="39" t="str" cm="1">
        <f t="array" ref="M611">IFERROR(IF($A611="","",IF(G611="","",_xlfn.XLOOKUP($C611&amp;"_"&amp;$AG611,符文权重!$A:$A&amp;"_"&amp;符文权重!$C:$C,符文权重!$D:$D)*$X611/SUMIFS($X:$X,G:G,G611,$C:$C,$C611,$AG:$AG,$AG611)/SUMIF(符文权重!$A:$A,$C611,符文权重!$D:$D))),"")</f>
        <v/>
      </c>
      <c r="N611" s="39" t="str" cm="1">
        <f t="array" ref="N611">IFERROR(IF($A611="","",IF(H611="","",_xlfn.XLOOKUP($C611&amp;"_"&amp;$AG611,符文权重!$A:$A&amp;"_"&amp;符文权重!$C:$C,符文权重!$D:$D)*$X611/SUMIFS($X:$X,H:H,H611,$C:$C,$C611,$AG:$AG,$AG611)/SUMIF(符文权重!$A:$A,$C611,符文权重!$D:$D))),"")</f>
        <v/>
      </c>
      <c r="O611" s="39" t="str" cm="1">
        <f t="array" ref="O611">IFERROR(IF($A611="","",IF(I611="","",_xlfn.XLOOKUP($C611&amp;"_"&amp;$AG611,符文权重!$A:$A&amp;"_"&amp;符文权重!$C:$C,符文权重!$D:$D)*$X611/SUMIFS($X:$X,I:I,I611,$C:$C,$C611,$AG:$AG,$AG611)/SUMIF(符文权重!$A:$A,$C611,符文权重!$D:$D))),"")</f>
        <v/>
      </c>
      <c r="P611" s="39" t="str" cm="1">
        <f t="array" ref="P611">IFERROR(IF($A611="","",IF(J611="","",_xlfn.XLOOKUP($C611&amp;"_"&amp;$AG611,符文权重!$A:$A&amp;"_"&amp;符文权重!$C:$C,符文权重!$D:$D)*$X611/SUMIFS($X:$X,J:J,J611,$C:$C,$C611,$AG:$AG,$AG611)/SUMIF(符文权重!$A:$A,$C611,符文权重!$D:$D))),"")</f>
        <v/>
      </c>
      <c r="Q611" s="39" t="str" cm="1">
        <f t="array" ref="Q611">IFERROR(IF($A611="","",IF(K611="","",_xlfn.XLOOKUP($C611&amp;"_"&amp;$AG611,符文权重!$A:$A&amp;"_"&amp;符文权重!$C:$C,符文权重!$D:$D)*$X611/SUMIFS($X:$X,K:K,K611,$C:$C,$C611,$AG:$AG,$AG611)/SUMIF(符文权重!$A:$A,$C611,符文权重!$D:$D))),"")</f>
        <v/>
      </c>
      <c r="R611" s="26" t="s">
        <v>330</v>
      </c>
      <c r="S611" s="26" t="s">
        <v>618</v>
      </c>
      <c r="T611" s="26" t="s">
        <v>383</v>
      </c>
      <c r="V611" s="26" t="s">
        <v>619</v>
      </c>
      <c r="W611" s="25" t="s">
        <v>580</v>
      </c>
      <c r="X611" s="25">
        <v>100</v>
      </c>
      <c r="Y611" s="25"/>
      <c r="Z611" s="26" t="s">
        <v>170</v>
      </c>
      <c r="AA611" s="32" t="str">
        <f t="shared" si="284"/>
        <v>雷震子暴击+3%</v>
      </c>
      <c r="AB611" s="32"/>
      <c r="AC611" s="32" t="s">
        <v>166</v>
      </c>
      <c r="AD611" s="32">
        <f t="shared" si="282"/>
        <v>1606</v>
      </c>
      <c r="AE611" s="25">
        <v>5301237</v>
      </c>
      <c r="AF611" s="26" t="s">
        <v>182</v>
      </c>
      <c r="AG611" s="26">
        <v>100</v>
      </c>
      <c r="AH611" s="26"/>
      <c r="AI611" s="26">
        <v>1</v>
      </c>
      <c r="AJ611" s="26">
        <v>0</v>
      </c>
      <c r="AL611" s="32" t="s">
        <v>620</v>
      </c>
      <c r="AN611" s="25">
        <v>4</v>
      </c>
      <c r="AO611" s="25" t="s">
        <v>32</v>
      </c>
      <c r="AP611" s="20">
        <f t="shared" si="283"/>
        <v>606</v>
      </c>
    </row>
    <row r="612" s="20" customFormat="1" customHeight="1" spans="1:42">
      <c r="A612" s="25">
        <v>5510133</v>
      </c>
      <c r="B612" s="25">
        <v>5301237</v>
      </c>
      <c r="C612" s="25">
        <v>3</v>
      </c>
      <c r="D612" s="25"/>
      <c r="E612" s="25" t="s">
        <v>375</v>
      </c>
      <c r="F612" s="26" t="str">
        <f t="shared" si="281"/>
        <v/>
      </c>
      <c r="G612" s="26" t="str">
        <f>IFERROR(IF(--MID($E612,2*COUNTIF($F612:F612,"&gt;"&amp;0)+2,1)=G$1,G$1,""),"")</f>
        <v/>
      </c>
      <c r="H612" s="26" t="str">
        <f>IFERROR(IF(--MID($E612,2*COUNTIF($F612:G612,"&gt;"&amp;0)+2,1)=H$1,H$1,""),"")</f>
        <v/>
      </c>
      <c r="I612" s="26">
        <f>IFERROR(IF(--MID($E612,2*COUNTIF($F612:H612,"&gt;"&amp;0)+2,1)=I$1,I$1,""),"")</f>
        <v>4</v>
      </c>
      <c r="J612" s="26" t="str">
        <f>IFERROR(IF(--MID($E612,2*COUNTIF($F612:I612,"&gt;"&amp;0)+2,1)=J$1,J$1,""),"")</f>
        <v/>
      </c>
      <c r="K612" s="26" t="str">
        <f>IFERROR(IF(--MID($E612,2*COUNTIF($F612:J612,"&gt;"&amp;0)+2,1)=K$1,K$1,""),"")</f>
        <v/>
      </c>
      <c r="L612" s="39" t="str" cm="1">
        <f t="array" ref="L612">IFERROR(IF($A612="","",IF(F612="","",_xlfn.XLOOKUP($C612&amp;"_"&amp;$AG612,符文权重!$A:$A&amp;"_"&amp;符文权重!$C:$C,符文权重!$D:$D)*$X612/SUMIFS($X:$X,F:F,F612,$C:$C,$C612,$AG:$AG,$AG612)/SUMIF(符文权重!$A:$A,$C612,符文权重!$D:$D))),"")</f>
        <v/>
      </c>
      <c r="M612" s="39" t="str" cm="1">
        <f t="array" ref="M612">IFERROR(IF($A612="","",IF(G612="","",_xlfn.XLOOKUP($C612&amp;"_"&amp;$AG612,符文权重!$A:$A&amp;"_"&amp;符文权重!$C:$C,符文权重!$D:$D)*$X612/SUMIFS($X:$X,G:G,G612,$C:$C,$C612,$AG:$AG,$AG612)/SUMIF(符文权重!$A:$A,$C612,符文权重!$D:$D))),"")</f>
        <v/>
      </c>
      <c r="N612" s="39" t="str" cm="1">
        <f t="array" ref="N612">IFERROR(IF($A612="","",IF(H612="","",_xlfn.XLOOKUP($C612&amp;"_"&amp;$AG612,符文权重!$A:$A&amp;"_"&amp;符文权重!$C:$C,符文权重!$D:$D)*$X612/SUMIFS($X:$X,H:H,H612,$C:$C,$C612,$AG:$AG,$AG612)/SUMIF(符文权重!$A:$A,$C612,符文权重!$D:$D))),"")</f>
        <v/>
      </c>
      <c r="O612" s="39" cm="1">
        <f t="array" ref="O612">IFERROR(IF($A612="","",IF(I612="","",_xlfn.XLOOKUP($C612&amp;"_"&amp;$AG612,符文权重!$A:$A&amp;"_"&amp;符文权重!$C:$C,符文权重!$D:$D)*$X612/SUMIFS($X:$X,I:I,I612,$C:$C,$C612,$AG:$AG,$AG612)/SUMIF(符文权重!$A:$A,$C612,符文权重!$D:$D))),"")</f>
        <v>0.0125</v>
      </c>
      <c r="P612" s="39" t="str" cm="1">
        <f t="array" ref="P612">IFERROR(IF($A612="","",IF(J612="","",_xlfn.XLOOKUP($C612&amp;"_"&amp;$AG612,符文权重!$A:$A&amp;"_"&amp;符文权重!$C:$C,符文权重!$D:$D)*$X612/SUMIFS($X:$X,J:J,J612,$C:$C,$C612,$AG:$AG,$AG612)/SUMIF(符文权重!$A:$A,$C612,符文权重!$D:$D))),"")</f>
        <v/>
      </c>
      <c r="Q612" s="39" t="str" cm="1">
        <f t="array" ref="Q612">IFERROR(IF($A612="","",IF(K612="","",_xlfn.XLOOKUP($C612&amp;"_"&amp;$AG612,符文权重!$A:$A&amp;"_"&amp;符文权重!$C:$C,符文权重!$D:$D)*$X612/SUMIFS($X:$X,K:K,K612,$C:$C,$C612,$AG:$AG,$AG612)/SUMIF(符文权重!$A:$A,$C612,符文权重!$D:$D))),"")</f>
        <v/>
      </c>
      <c r="R612" s="25" t="s">
        <v>330</v>
      </c>
      <c r="S612" s="25" t="s">
        <v>618</v>
      </c>
      <c r="T612" s="25" t="s">
        <v>385</v>
      </c>
      <c r="U612" s="25"/>
      <c r="V612" s="25" t="s">
        <v>621</v>
      </c>
      <c r="W612" s="25" t="s">
        <v>599</v>
      </c>
      <c r="X612" s="25">
        <v>100</v>
      </c>
      <c r="Z612" s="25" t="s">
        <v>172</v>
      </c>
      <c r="AA612" s="32" t="str">
        <f t="shared" si="284"/>
        <v>雷震子暴击+5%</v>
      </c>
      <c r="AB612" s="32"/>
      <c r="AC612" s="32" t="s">
        <v>166</v>
      </c>
      <c r="AD612" s="32">
        <f t="shared" si="282"/>
        <v>1607</v>
      </c>
      <c r="AE612" s="25">
        <v>5301237</v>
      </c>
      <c r="AF612" s="25" t="s">
        <v>218</v>
      </c>
      <c r="AG612" s="25">
        <v>4</v>
      </c>
      <c r="AJ612" s="25">
        <v>1</v>
      </c>
      <c r="AK612" s="26"/>
      <c r="AL612" s="25" t="s">
        <v>622</v>
      </c>
      <c r="AM612" s="26"/>
      <c r="AN612" s="25">
        <v>4</v>
      </c>
      <c r="AO612" s="25" t="s">
        <v>32</v>
      </c>
      <c r="AP612" s="20">
        <f t="shared" si="283"/>
        <v>607</v>
      </c>
    </row>
    <row r="613" s="20" customFormat="1" customHeight="1" spans="1:42">
      <c r="A613" s="25">
        <v>5510134</v>
      </c>
      <c r="B613" s="25">
        <v>5301237</v>
      </c>
      <c r="C613" s="25">
        <v>4</v>
      </c>
      <c r="D613" s="25"/>
      <c r="E613" s="25" t="s">
        <v>375</v>
      </c>
      <c r="F613" s="26" t="str">
        <f t="shared" si="281"/>
        <v/>
      </c>
      <c r="G613" s="26" t="str">
        <f>IFERROR(IF(--MID($E613,2*COUNTIF($F613:F613,"&gt;"&amp;0)+2,1)=G$1,G$1,""),"")</f>
        <v/>
      </c>
      <c r="H613" s="26" t="str">
        <f>IFERROR(IF(--MID($E613,2*COUNTIF($F613:G613,"&gt;"&amp;0)+2,1)=H$1,H$1,""),"")</f>
        <v/>
      </c>
      <c r="I613" s="26">
        <f>IFERROR(IF(--MID($E613,2*COUNTIF($F613:H613,"&gt;"&amp;0)+2,1)=I$1,I$1,""),"")</f>
        <v>4</v>
      </c>
      <c r="J613" s="26" t="str">
        <f>IFERROR(IF(--MID($E613,2*COUNTIF($F613:I613,"&gt;"&amp;0)+2,1)=J$1,J$1,""),"")</f>
        <v/>
      </c>
      <c r="K613" s="26" t="str">
        <f>IFERROR(IF(--MID($E613,2*COUNTIF($F613:J613,"&gt;"&amp;0)+2,1)=K$1,K$1,""),"")</f>
        <v/>
      </c>
      <c r="L613" s="39" t="str" cm="1">
        <f t="array" ref="L613">IFERROR(IF($A613="","",IF(F613="","",_xlfn.XLOOKUP($C613&amp;"_"&amp;$AG613,符文权重!$A:$A&amp;"_"&amp;符文权重!$C:$C,符文权重!$D:$D)*$X613/SUMIFS($X:$X,F:F,F613,$C:$C,$C613,$AG:$AG,$AG613)/SUMIF(符文权重!$A:$A,$C613,符文权重!$D:$D))),"")</f>
        <v/>
      </c>
      <c r="M613" s="39" t="str" cm="1">
        <f t="array" ref="M613">IFERROR(IF($A613="","",IF(G613="","",_xlfn.XLOOKUP($C613&amp;"_"&amp;$AG613,符文权重!$A:$A&amp;"_"&amp;符文权重!$C:$C,符文权重!$D:$D)*$X613/SUMIFS($X:$X,G:G,G613,$C:$C,$C613,$AG:$AG,$AG613)/SUMIF(符文权重!$A:$A,$C613,符文权重!$D:$D))),"")</f>
        <v/>
      </c>
      <c r="N613" s="39" t="str" cm="1">
        <f t="array" ref="N613">IFERROR(IF($A613="","",IF(H613="","",_xlfn.XLOOKUP($C613&amp;"_"&amp;$AG613,符文权重!$A:$A&amp;"_"&amp;符文权重!$C:$C,符文权重!$D:$D)*$X613/SUMIFS($X:$X,H:H,H613,$C:$C,$C613,$AG:$AG,$AG613)/SUMIF(符文权重!$A:$A,$C613,符文权重!$D:$D))),"")</f>
        <v/>
      </c>
      <c r="O613" s="39" cm="1">
        <f t="array" ref="O613">IFERROR(IF($A613="","",IF(I613="","",_xlfn.XLOOKUP($C613&amp;"_"&amp;$AG613,符文权重!$A:$A&amp;"_"&amp;符文权重!$C:$C,符文权重!$D:$D)*$X613/SUMIFS($X:$X,I:I,I613,$C:$C,$C613,$AG:$AG,$AG613)/SUMIF(符文权重!$A:$A,$C613,符文权重!$D:$D))),"")</f>
        <v>0.0119047619047619</v>
      </c>
      <c r="P613" s="39" t="str" cm="1">
        <f t="array" ref="P613">IFERROR(IF($A613="","",IF(J613="","",_xlfn.XLOOKUP($C613&amp;"_"&amp;$AG613,符文权重!$A:$A&amp;"_"&amp;符文权重!$C:$C,符文权重!$D:$D)*$X613/SUMIFS($X:$X,J:J,J613,$C:$C,$C613,$AG:$AG,$AG613)/SUMIF(符文权重!$A:$A,$C613,符文权重!$D:$D))),"")</f>
        <v/>
      </c>
      <c r="Q613" s="39" t="str" cm="1">
        <f t="array" ref="Q613">IFERROR(IF($A613="","",IF(K613="","",_xlfn.XLOOKUP($C613&amp;"_"&amp;$AG613,符文权重!$A:$A&amp;"_"&amp;符文权重!$C:$C,符文权重!$D:$D)*$X613/SUMIFS($X:$X,K:K,K613,$C:$C,$C613,$AG:$AG,$AG613)/SUMIF(符文权重!$A:$A,$C613,符文权重!$D:$D))),"")</f>
        <v/>
      </c>
      <c r="R613" s="25" t="s">
        <v>330</v>
      </c>
      <c r="S613" s="25" t="s">
        <v>618</v>
      </c>
      <c r="T613" s="25" t="s">
        <v>388</v>
      </c>
      <c r="U613" s="25"/>
      <c r="V613" s="25" t="s">
        <v>623</v>
      </c>
      <c r="W613" s="25" t="s">
        <v>602</v>
      </c>
      <c r="X613" s="25">
        <v>100</v>
      </c>
      <c r="Z613" s="25" t="s">
        <v>174</v>
      </c>
      <c r="AA613" s="32" t="str">
        <f t="shared" si="284"/>
        <v>雷震子暴击+7%</v>
      </c>
      <c r="AB613" s="32"/>
      <c r="AC613" s="32" t="s">
        <v>166</v>
      </c>
      <c r="AD613" s="32">
        <f t="shared" si="282"/>
        <v>1608</v>
      </c>
      <c r="AE613" s="25">
        <v>5301237</v>
      </c>
      <c r="AF613" s="25" t="s">
        <v>227</v>
      </c>
      <c r="AG613" s="25">
        <v>4</v>
      </c>
      <c r="AJ613" s="25">
        <v>1</v>
      </c>
      <c r="AK613" s="26"/>
      <c r="AL613" s="25" t="s">
        <v>624</v>
      </c>
      <c r="AM613" s="26"/>
      <c r="AN613" s="25">
        <v>4</v>
      </c>
      <c r="AO613" s="25" t="s">
        <v>32</v>
      </c>
      <c r="AP613" s="20">
        <f t="shared" si="283"/>
        <v>608</v>
      </c>
    </row>
    <row r="614" s="20" customFormat="1" customHeight="1" spans="1:42">
      <c r="A614" s="25">
        <v>5510142</v>
      </c>
      <c r="B614" s="25">
        <v>5301238</v>
      </c>
      <c r="C614" s="26">
        <v>2</v>
      </c>
      <c r="D614" s="26"/>
      <c r="E614" s="25" t="s">
        <v>218</v>
      </c>
      <c r="F614" s="26" t="str">
        <f t="shared" si="281"/>
        <v/>
      </c>
      <c r="G614" s="26" t="str">
        <f>IFERROR(IF(--MID($E614,2*COUNTIF($F614:F614,"&gt;"&amp;0)+2,1)=G$1,G$1,""),"")</f>
        <v/>
      </c>
      <c r="H614" s="26" t="str">
        <f>IFERROR(IF(--MID($E614,2*COUNTIF($F614:G614,"&gt;"&amp;0)+2,1)=H$1,H$1,""),"")</f>
        <v/>
      </c>
      <c r="I614" s="26" t="str">
        <f>IFERROR(IF(--MID($E614,2*COUNTIF($F614:H614,"&gt;"&amp;0)+2,1)=I$1,I$1,""),"")</f>
        <v/>
      </c>
      <c r="J614" s="26">
        <f>IFERROR(IF(--MID($E614,2*COUNTIF($F614:I614,"&gt;"&amp;0)+2,1)=J$1,J$1,""),"")</f>
        <v>5</v>
      </c>
      <c r="K614" s="26" t="str">
        <f>IFERROR(IF(--MID($E614,2*COUNTIF($F614:J614,"&gt;"&amp;0)+2,1)=K$1,K$1,""),"")</f>
        <v/>
      </c>
      <c r="L614" s="39" t="str" cm="1">
        <f t="array" ref="L614">IFERROR(IF($A614="","",IF(F614="","",_xlfn.XLOOKUP($C614&amp;"_"&amp;$AG614,符文权重!$A:$A&amp;"_"&amp;符文权重!$C:$C,符文权重!$D:$D)*$X614/SUMIFS($X:$X,F:F,F614,$C:$C,$C614,$AG:$AG,$AG614)/SUMIF(符文权重!$A:$A,$C614,符文权重!$D:$D))),"")</f>
        <v/>
      </c>
      <c r="M614" s="39" t="str" cm="1">
        <f t="array" ref="M614">IFERROR(IF($A614="","",IF(G614="","",_xlfn.XLOOKUP($C614&amp;"_"&amp;$AG614,符文权重!$A:$A&amp;"_"&amp;符文权重!$C:$C,符文权重!$D:$D)*$X614/SUMIFS($X:$X,G:G,G614,$C:$C,$C614,$AG:$AG,$AG614)/SUMIF(符文权重!$A:$A,$C614,符文权重!$D:$D))),"")</f>
        <v/>
      </c>
      <c r="N614" s="39" t="str" cm="1">
        <f t="array" ref="N614">IFERROR(IF($A614="","",IF(H614="","",_xlfn.XLOOKUP($C614&amp;"_"&amp;$AG614,符文权重!$A:$A&amp;"_"&amp;符文权重!$C:$C,符文权重!$D:$D)*$X614/SUMIFS($X:$X,H:H,H614,$C:$C,$C614,$AG:$AG,$AG614)/SUMIF(符文权重!$A:$A,$C614,符文权重!$D:$D))),"")</f>
        <v/>
      </c>
      <c r="O614" s="39" t="str" cm="1">
        <f t="array" ref="O614">IFERROR(IF($A614="","",IF(I614="","",_xlfn.XLOOKUP($C614&amp;"_"&amp;$AG614,符文权重!$A:$A&amp;"_"&amp;符文权重!$C:$C,符文权重!$D:$D)*$X614/SUMIFS($X:$X,I:I,I614,$C:$C,$C614,$AG:$AG,$AG614)/SUMIF(符文权重!$A:$A,$C614,符文权重!$D:$D))),"")</f>
        <v/>
      </c>
      <c r="P614" s="39" t="str" cm="1">
        <f t="array" ref="P614">IFERROR(IF($A614="","",IF(J614="","",_xlfn.XLOOKUP($C614&amp;"_"&amp;$AG614,符文权重!$A:$A&amp;"_"&amp;符文权重!$C:$C,符文权重!$D:$D)*$X614/SUMIFS($X:$X,J:J,J614,$C:$C,$C614,$AG:$AG,$AG614)/SUMIF(符文权重!$A:$A,$C614,符文权重!$D:$D))),"")</f>
        <v/>
      </c>
      <c r="Q614" s="39" t="str" cm="1">
        <f t="array" ref="Q614">IFERROR(IF($A614="","",IF(K614="","",_xlfn.XLOOKUP($C614&amp;"_"&amp;$AG614,符文权重!$A:$A&amp;"_"&amp;符文权重!$C:$C,符文权重!$D:$D)*$X614/SUMIFS($X:$X,K:K,K614,$C:$C,$C614,$AG:$AG,$AG614)/SUMIF(符文权重!$A:$A,$C614,符文权重!$D:$D))),"")</f>
        <v/>
      </c>
      <c r="R614" s="26" t="s">
        <v>330</v>
      </c>
      <c r="S614" s="26" t="s">
        <v>618</v>
      </c>
      <c r="T614" s="26" t="s">
        <v>383</v>
      </c>
      <c r="U614" s="20" t="s">
        <v>625</v>
      </c>
      <c r="V614" s="26"/>
      <c r="W614" s="25" t="s">
        <v>580</v>
      </c>
      <c r="X614" s="25">
        <v>100</v>
      </c>
      <c r="Y614" s="25"/>
      <c r="Z614" s="26" t="s">
        <v>170</v>
      </c>
      <c r="AA614" s="32" t="str">
        <f t="shared" si="284"/>
        <v>雷震子闪电链对中毒的敌人造成伤害时，造成15%额外伤害</v>
      </c>
      <c r="AB614" s="32"/>
      <c r="AC614" s="32" t="s">
        <v>166</v>
      </c>
      <c r="AD614" s="32">
        <f t="shared" si="282"/>
        <v>1609</v>
      </c>
      <c r="AE614" s="25">
        <v>5301238</v>
      </c>
      <c r="AF614" s="26" t="s">
        <v>393</v>
      </c>
      <c r="AG614" s="26">
        <v>100</v>
      </c>
      <c r="AH614" s="26"/>
      <c r="AI614" s="26">
        <v>1</v>
      </c>
      <c r="AJ614" s="26">
        <v>0</v>
      </c>
      <c r="AL614" s="32" t="s">
        <v>626</v>
      </c>
      <c r="AN614" s="25">
        <v>4</v>
      </c>
      <c r="AO614" s="25" t="s">
        <v>32</v>
      </c>
      <c r="AP614" s="20">
        <f t="shared" si="283"/>
        <v>609</v>
      </c>
    </row>
    <row r="615" s="20" customFormat="1" customHeight="1" spans="1:42">
      <c r="A615" s="25">
        <v>5510143</v>
      </c>
      <c r="B615" s="25">
        <v>5301238</v>
      </c>
      <c r="C615" s="25">
        <v>3</v>
      </c>
      <c r="D615" s="25"/>
      <c r="E615" s="25" t="s">
        <v>218</v>
      </c>
      <c r="F615" s="26" t="str">
        <f t="shared" si="281"/>
        <v/>
      </c>
      <c r="G615" s="26" t="str">
        <f>IFERROR(IF(--MID($E615,2*COUNTIF($F615:F615,"&gt;"&amp;0)+2,1)=G$1,G$1,""),"")</f>
        <v/>
      </c>
      <c r="H615" s="26" t="str">
        <f>IFERROR(IF(--MID($E615,2*COUNTIF($F615:G615,"&gt;"&amp;0)+2,1)=H$1,H$1,""),"")</f>
        <v/>
      </c>
      <c r="I615" s="26" t="str">
        <f>IFERROR(IF(--MID($E615,2*COUNTIF($F615:H615,"&gt;"&amp;0)+2,1)=I$1,I$1,""),"")</f>
        <v/>
      </c>
      <c r="J615" s="26">
        <f>IFERROR(IF(--MID($E615,2*COUNTIF($F615:I615,"&gt;"&amp;0)+2,1)=J$1,J$1,""),"")</f>
        <v>5</v>
      </c>
      <c r="K615" s="26" t="str">
        <f>IFERROR(IF(--MID($E615,2*COUNTIF($F615:J615,"&gt;"&amp;0)+2,1)=K$1,K$1,""),"")</f>
        <v/>
      </c>
      <c r="L615" s="39" t="str" cm="1">
        <f t="array" ref="L615">IFERROR(IF($A615="","",IF(F615="","",_xlfn.XLOOKUP($C615&amp;"_"&amp;$AG615,符文权重!$A:$A&amp;"_"&amp;符文权重!$C:$C,符文权重!$D:$D)*$X615/SUMIFS($X:$X,F:F,F615,$C:$C,$C615,$AG:$AG,$AG615)/SUMIF(符文权重!$A:$A,$C615,符文权重!$D:$D))),"")</f>
        <v/>
      </c>
      <c r="M615" s="39" t="str" cm="1">
        <f t="array" ref="M615">IFERROR(IF($A615="","",IF(G615="","",_xlfn.XLOOKUP($C615&amp;"_"&amp;$AG615,符文权重!$A:$A&amp;"_"&amp;符文权重!$C:$C,符文权重!$D:$D)*$X615/SUMIFS($X:$X,G:G,G615,$C:$C,$C615,$AG:$AG,$AG615)/SUMIF(符文权重!$A:$A,$C615,符文权重!$D:$D))),"")</f>
        <v/>
      </c>
      <c r="N615" s="39" t="str" cm="1">
        <f t="array" ref="N615">IFERROR(IF($A615="","",IF(H615="","",_xlfn.XLOOKUP($C615&amp;"_"&amp;$AG615,符文权重!$A:$A&amp;"_"&amp;符文权重!$C:$C,符文权重!$D:$D)*$X615/SUMIFS($X:$X,H:H,H615,$C:$C,$C615,$AG:$AG,$AG615)/SUMIF(符文权重!$A:$A,$C615,符文权重!$D:$D))),"")</f>
        <v/>
      </c>
      <c r="O615" s="39" t="str" cm="1">
        <f t="array" ref="O615">IFERROR(IF($A615="","",IF(I615="","",_xlfn.XLOOKUP($C615&amp;"_"&amp;$AG615,符文权重!$A:$A&amp;"_"&amp;符文权重!$C:$C,符文权重!$D:$D)*$X615/SUMIFS($X:$X,I:I,I615,$C:$C,$C615,$AG:$AG,$AG615)/SUMIF(符文权重!$A:$A,$C615,符文权重!$D:$D))),"")</f>
        <v/>
      </c>
      <c r="P615" s="39" cm="1">
        <f t="array" ref="P615">IFERROR(IF($A615="","",IF(J615="","",_xlfn.XLOOKUP($C615&amp;"_"&amp;$AG615,符文权重!$A:$A&amp;"_"&amp;符文权重!$C:$C,符文权重!$D:$D)*$X615/SUMIFS($X:$X,J:J,J615,$C:$C,$C615,$AG:$AG,$AG615)/SUMIF(符文权重!$A:$A,$C615,符文权重!$D:$D))),"")</f>
        <v>0.0125</v>
      </c>
      <c r="Q615" s="39" t="str" cm="1">
        <f t="array" ref="Q615">IFERROR(IF($A615="","",IF(K615="","",_xlfn.XLOOKUP($C615&amp;"_"&amp;$AG615,符文权重!$A:$A&amp;"_"&amp;符文权重!$C:$C,符文权重!$D:$D)*$X615/SUMIFS($X:$X,K:K,K615,$C:$C,$C615,$AG:$AG,$AG615)/SUMIF(符文权重!$A:$A,$C615,符文权重!$D:$D))),"")</f>
        <v/>
      </c>
      <c r="R615" s="25" t="s">
        <v>330</v>
      </c>
      <c r="S615" s="25" t="s">
        <v>618</v>
      </c>
      <c r="T615" s="25" t="s">
        <v>385</v>
      </c>
      <c r="U615" s="25" t="s">
        <v>627</v>
      </c>
      <c r="W615" s="25" t="s">
        <v>599</v>
      </c>
      <c r="X615" s="25">
        <v>100</v>
      </c>
      <c r="Z615" s="25" t="s">
        <v>172</v>
      </c>
      <c r="AA615" s="32" t="str">
        <f t="shared" si="284"/>
        <v>雷震子闪电链对中毒的敌人造成伤害时，造成22%额外伤害</v>
      </c>
      <c r="AB615" s="32"/>
      <c r="AC615" s="32" t="s">
        <v>166</v>
      </c>
      <c r="AD615" s="32">
        <f t="shared" si="282"/>
        <v>1610</v>
      </c>
      <c r="AE615" s="25">
        <v>5301238</v>
      </c>
      <c r="AF615" s="25" t="s">
        <v>628</v>
      </c>
      <c r="AG615" s="25">
        <v>4</v>
      </c>
      <c r="AJ615" s="25">
        <v>1</v>
      </c>
      <c r="AK615" s="26"/>
      <c r="AL615" s="25" t="s">
        <v>629</v>
      </c>
      <c r="AM615" s="26"/>
      <c r="AN615" s="25">
        <v>4</v>
      </c>
      <c r="AO615" s="25" t="s">
        <v>32</v>
      </c>
      <c r="AP615" s="20">
        <f t="shared" si="283"/>
        <v>610</v>
      </c>
    </row>
    <row r="616" s="20" customFormat="1" customHeight="1" spans="1:42">
      <c r="A616" s="25">
        <v>5510144</v>
      </c>
      <c r="B616" s="25">
        <v>5301238</v>
      </c>
      <c r="C616" s="25">
        <v>4</v>
      </c>
      <c r="D616" s="25"/>
      <c r="E616" s="25" t="s">
        <v>218</v>
      </c>
      <c r="F616" s="26" t="str">
        <f t="shared" si="281"/>
        <v/>
      </c>
      <c r="G616" s="26" t="str">
        <f>IFERROR(IF(--MID($E616,2*COUNTIF($F616:F616,"&gt;"&amp;0)+2,1)=G$1,G$1,""),"")</f>
        <v/>
      </c>
      <c r="H616" s="26" t="str">
        <f>IFERROR(IF(--MID($E616,2*COUNTIF($F616:G616,"&gt;"&amp;0)+2,1)=H$1,H$1,""),"")</f>
        <v/>
      </c>
      <c r="I616" s="26" t="str">
        <f>IFERROR(IF(--MID($E616,2*COUNTIF($F616:H616,"&gt;"&amp;0)+2,1)=I$1,I$1,""),"")</f>
        <v/>
      </c>
      <c r="J616" s="26">
        <f>IFERROR(IF(--MID($E616,2*COUNTIF($F616:I616,"&gt;"&amp;0)+2,1)=J$1,J$1,""),"")</f>
        <v>5</v>
      </c>
      <c r="K616" s="26" t="str">
        <f>IFERROR(IF(--MID($E616,2*COUNTIF($F616:J616,"&gt;"&amp;0)+2,1)=K$1,K$1,""),"")</f>
        <v/>
      </c>
      <c r="L616" s="39" t="str" cm="1">
        <f t="array" ref="L616">IFERROR(IF($A616="","",IF(F616="","",_xlfn.XLOOKUP($C616&amp;"_"&amp;$AG616,符文权重!$A:$A&amp;"_"&amp;符文权重!$C:$C,符文权重!$D:$D)*$X616/SUMIFS($X:$X,F:F,F616,$C:$C,$C616,$AG:$AG,$AG616)/SUMIF(符文权重!$A:$A,$C616,符文权重!$D:$D))),"")</f>
        <v/>
      </c>
      <c r="M616" s="39" t="str" cm="1">
        <f t="array" ref="M616">IFERROR(IF($A616="","",IF(G616="","",_xlfn.XLOOKUP($C616&amp;"_"&amp;$AG616,符文权重!$A:$A&amp;"_"&amp;符文权重!$C:$C,符文权重!$D:$D)*$X616/SUMIFS($X:$X,G:G,G616,$C:$C,$C616,$AG:$AG,$AG616)/SUMIF(符文权重!$A:$A,$C616,符文权重!$D:$D))),"")</f>
        <v/>
      </c>
      <c r="N616" s="39" t="str" cm="1">
        <f t="array" ref="N616">IFERROR(IF($A616="","",IF(H616="","",_xlfn.XLOOKUP($C616&amp;"_"&amp;$AG616,符文权重!$A:$A&amp;"_"&amp;符文权重!$C:$C,符文权重!$D:$D)*$X616/SUMIFS($X:$X,H:H,H616,$C:$C,$C616,$AG:$AG,$AG616)/SUMIF(符文权重!$A:$A,$C616,符文权重!$D:$D))),"")</f>
        <v/>
      </c>
      <c r="O616" s="39" t="str" cm="1">
        <f t="array" ref="O616">IFERROR(IF($A616="","",IF(I616="","",_xlfn.XLOOKUP($C616&amp;"_"&amp;$AG616,符文权重!$A:$A&amp;"_"&amp;符文权重!$C:$C,符文权重!$D:$D)*$X616/SUMIFS($X:$X,I:I,I616,$C:$C,$C616,$AG:$AG,$AG616)/SUMIF(符文权重!$A:$A,$C616,符文权重!$D:$D))),"")</f>
        <v/>
      </c>
      <c r="P616" s="39" cm="1">
        <f t="array" ref="P616">IFERROR(IF($A616="","",IF(J616="","",_xlfn.XLOOKUP($C616&amp;"_"&amp;$AG616,符文权重!$A:$A&amp;"_"&amp;符文权重!$C:$C,符文权重!$D:$D)*$X616/SUMIFS($X:$X,J:J,J616,$C:$C,$C616,$AG:$AG,$AG616)/SUMIF(符文权重!$A:$A,$C616,符文权重!$D:$D))),"")</f>
        <v>0.0119047619047619</v>
      </c>
      <c r="Q616" s="39" t="str" cm="1">
        <f t="array" ref="Q616">IFERROR(IF($A616="","",IF(K616="","",_xlfn.XLOOKUP($C616&amp;"_"&amp;$AG616,符文权重!$A:$A&amp;"_"&amp;符文权重!$C:$C,符文权重!$D:$D)*$X616/SUMIFS($X:$X,K:K,K616,$C:$C,$C616,$AG:$AG,$AG616)/SUMIF(符文权重!$A:$A,$C616,符文权重!$D:$D))),"")</f>
        <v/>
      </c>
      <c r="R616" s="25" t="s">
        <v>330</v>
      </c>
      <c r="S616" s="25" t="s">
        <v>618</v>
      </c>
      <c r="T616" s="25" t="s">
        <v>388</v>
      </c>
      <c r="U616" s="25" t="s">
        <v>630</v>
      </c>
      <c r="W616" s="25" t="s">
        <v>602</v>
      </c>
      <c r="X616" s="25">
        <v>100</v>
      </c>
      <c r="Z616" s="25" t="s">
        <v>174</v>
      </c>
      <c r="AA616" s="32" t="str">
        <f t="shared" si="284"/>
        <v>雷震子闪电链对中毒的敌人造成伤害时，造成30%额外伤害</v>
      </c>
      <c r="AB616" s="32"/>
      <c r="AC616" s="32" t="s">
        <v>166</v>
      </c>
      <c r="AD616" s="32">
        <f t="shared" si="282"/>
        <v>1611</v>
      </c>
      <c r="AE616" s="25">
        <v>5301238</v>
      </c>
      <c r="AF616" s="25" t="s">
        <v>449</v>
      </c>
      <c r="AG616" s="25">
        <v>4</v>
      </c>
      <c r="AJ616" s="25">
        <v>1</v>
      </c>
      <c r="AK616" s="26"/>
      <c r="AL616" s="25" t="s">
        <v>631</v>
      </c>
      <c r="AM616" s="26"/>
      <c r="AN616" s="25">
        <v>4</v>
      </c>
      <c r="AO616" s="25" t="s">
        <v>32</v>
      </c>
      <c r="AP616" s="20">
        <f t="shared" si="283"/>
        <v>611</v>
      </c>
    </row>
    <row r="617" s="20" customFormat="1" customHeight="1" spans="1:42">
      <c r="A617" s="25">
        <v>5510152</v>
      </c>
      <c r="B617" s="20">
        <v>5301239</v>
      </c>
      <c r="C617" s="20">
        <v>2</v>
      </c>
      <c r="E617" s="25" t="s">
        <v>209</v>
      </c>
      <c r="F617" s="26" t="str">
        <f t="shared" si="281"/>
        <v/>
      </c>
      <c r="G617" s="26" t="str">
        <f>IFERROR(IF(--MID($E617,2*COUNTIF($F617:F617,"&gt;"&amp;0)+2,1)=G$1,G$1,""),"")</f>
        <v/>
      </c>
      <c r="H617" s="26" t="str">
        <f>IFERROR(IF(--MID($E617,2*COUNTIF($F617:G617,"&gt;"&amp;0)+2,1)=H$1,H$1,""),"")</f>
        <v/>
      </c>
      <c r="I617" s="26" t="str">
        <f>IFERROR(IF(--MID($E617,2*COUNTIF($F617:H617,"&gt;"&amp;0)+2,1)=I$1,I$1,""),"")</f>
        <v/>
      </c>
      <c r="J617" s="26" t="str">
        <f>IFERROR(IF(--MID($E617,2*COUNTIF($F617:I617,"&gt;"&amp;0)+2,1)=J$1,J$1,""),"")</f>
        <v/>
      </c>
      <c r="K617" s="26">
        <f>IFERROR(IF(--MID($E617,2*COUNTIF($F617:J617,"&gt;"&amp;0)+2,1)=K$1,K$1,""),"")</f>
        <v>6</v>
      </c>
      <c r="L617" s="39" t="str" cm="1">
        <f t="array" ref="L617">IFERROR(IF($A617="","",IF(F617="","",_xlfn.XLOOKUP($C617&amp;"_"&amp;$AG617,符文权重!$A:$A&amp;"_"&amp;符文权重!$C:$C,符文权重!$D:$D)*$X617/SUMIFS($X:$X,F:F,F617,$C:$C,$C617,$AG:$AG,$AG617)/SUMIF(符文权重!$A:$A,$C617,符文权重!$D:$D))),"")</f>
        <v/>
      </c>
      <c r="M617" s="39" t="str" cm="1">
        <f t="array" ref="M617">IFERROR(IF($A617="","",IF(G617="","",_xlfn.XLOOKUP($C617&amp;"_"&amp;$AG617,符文权重!$A:$A&amp;"_"&amp;符文权重!$C:$C,符文权重!$D:$D)*$X617/SUMIFS($X:$X,G:G,G617,$C:$C,$C617,$AG:$AG,$AG617)/SUMIF(符文权重!$A:$A,$C617,符文权重!$D:$D))),"")</f>
        <v/>
      </c>
      <c r="N617" s="39" t="str" cm="1">
        <f t="array" ref="N617">IFERROR(IF($A617="","",IF(H617="","",_xlfn.XLOOKUP($C617&amp;"_"&amp;$AG617,符文权重!$A:$A&amp;"_"&amp;符文权重!$C:$C,符文权重!$D:$D)*$X617/SUMIFS($X:$X,H:H,H617,$C:$C,$C617,$AG:$AG,$AG617)/SUMIF(符文权重!$A:$A,$C617,符文权重!$D:$D))),"")</f>
        <v/>
      </c>
      <c r="O617" s="39" t="str" cm="1">
        <f t="array" ref="O617">IFERROR(IF($A617="","",IF(I617="","",_xlfn.XLOOKUP($C617&amp;"_"&amp;$AG617,符文权重!$A:$A&amp;"_"&amp;符文权重!$C:$C,符文权重!$D:$D)*$X617/SUMIFS($X:$X,I:I,I617,$C:$C,$C617,$AG:$AG,$AG617)/SUMIF(符文权重!$A:$A,$C617,符文权重!$D:$D))),"")</f>
        <v/>
      </c>
      <c r="P617" s="39" t="str" cm="1">
        <f t="array" ref="P617">IFERROR(IF($A617="","",IF(J617="","",_xlfn.XLOOKUP($C617&amp;"_"&amp;$AG617,符文权重!$A:$A&amp;"_"&amp;符文权重!$C:$C,符文权重!$D:$D)*$X617/SUMIFS($X:$X,J:J,J617,$C:$C,$C617,$AG:$AG,$AG617)/SUMIF(符文权重!$A:$A,$C617,符文权重!$D:$D))),"")</f>
        <v/>
      </c>
      <c r="Q617" s="39" t="str" cm="1">
        <f t="array" ref="Q617">IFERROR(IF($A617="","",IF(K617="","",_xlfn.XLOOKUP($C617&amp;"_"&amp;$AG617,符文权重!$A:$A&amp;"_"&amp;符文权重!$C:$C,符文权重!$D:$D)*$X617/SUMIFS($X:$X,K:K,K617,$C:$C,$C617,$AG:$AG,$AG617)/SUMIF(符文权重!$A:$A,$C617,符文权重!$D:$D))),"")</f>
        <v/>
      </c>
      <c r="R617" s="20" t="s">
        <v>330</v>
      </c>
      <c r="S617" s="20" t="s">
        <v>618</v>
      </c>
      <c r="T617" s="20" t="s">
        <v>383</v>
      </c>
      <c r="U617" s="20" t="s">
        <v>632</v>
      </c>
      <c r="W617" s="20" t="s">
        <v>580</v>
      </c>
      <c r="X617" s="25">
        <v>100</v>
      </c>
      <c r="Z617" s="20" t="s">
        <v>170</v>
      </c>
      <c r="AA617" s="32" t="str">
        <f t="shared" si="284"/>
        <v>雷震子大招冷却缩减25%</v>
      </c>
      <c r="AB617" s="32"/>
      <c r="AC617" s="32" t="s">
        <v>166</v>
      </c>
      <c r="AD617" s="32">
        <f t="shared" si="282"/>
        <v>1612</v>
      </c>
      <c r="AE617" s="20">
        <v>5301239</v>
      </c>
      <c r="AF617" s="20" t="s">
        <v>399</v>
      </c>
      <c r="AG617" s="20">
        <v>100</v>
      </c>
      <c r="AI617" s="20">
        <v>1</v>
      </c>
      <c r="AJ617" s="20">
        <v>0</v>
      </c>
      <c r="AL617" s="20" t="s">
        <v>633</v>
      </c>
      <c r="AN617" s="25">
        <v>4</v>
      </c>
      <c r="AO617" s="25" t="s">
        <v>32</v>
      </c>
      <c r="AP617" s="20">
        <f t="shared" si="283"/>
        <v>612</v>
      </c>
    </row>
    <row r="618" s="20" customFormat="1" customHeight="1" spans="1:42">
      <c r="A618" s="25">
        <v>5510153</v>
      </c>
      <c r="B618" s="25">
        <v>5301239</v>
      </c>
      <c r="C618" s="25">
        <v>3</v>
      </c>
      <c r="D618" s="25"/>
      <c r="E618" s="25" t="s">
        <v>209</v>
      </c>
      <c r="F618" s="26" t="str">
        <f t="shared" si="281"/>
        <v/>
      </c>
      <c r="G618" s="26" t="str">
        <f>IFERROR(IF(--MID($E618,2*COUNTIF($F618:F618,"&gt;"&amp;0)+2,1)=G$1,G$1,""),"")</f>
        <v/>
      </c>
      <c r="H618" s="26" t="str">
        <f>IFERROR(IF(--MID($E618,2*COUNTIF($F618:G618,"&gt;"&amp;0)+2,1)=H$1,H$1,""),"")</f>
        <v/>
      </c>
      <c r="I618" s="26" t="str">
        <f>IFERROR(IF(--MID($E618,2*COUNTIF($F618:H618,"&gt;"&amp;0)+2,1)=I$1,I$1,""),"")</f>
        <v/>
      </c>
      <c r="J618" s="26" t="str">
        <f>IFERROR(IF(--MID($E618,2*COUNTIF($F618:I618,"&gt;"&amp;0)+2,1)=J$1,J$1,""),"")</f>
        <v/>
      </c>
      <c r="K618" s="26">
        <f>IFERROR(IF(--MID($E618,2*COUNTIF($F618:J618,"&gt;"&amp;0)+2,1)=K$1,K$1,""),"")</f>
        <v>6</v>
      </c>
      <c r="L618" s="39" t="str" cm="1">
        <f t="array" ref="L618">IFERROR(IF($A618="","",IF(F618="","",_xlfn.XLOOKUP($C618&amp;"_"&amp;$AG618,符文权重!$A:$A&amp;"_"&amp;符文权重!$C:$C,符文权重!$D:$D)*$X618/SUMIFS($X:$X,F:F,F618,$C:$C,$C618,$AG:$AG,$AG618)/SUMIF(符文权重!$A:$A,$C618,符文权重!$D:$D))),"")</f>
        <v/>
      </c>
      <c r="M618" s="39" t="str" cm="1">
        <f t="array" ref="M618">IFERROR(IF($A618="","",IF(G618="","",_xlfn.XLOOKUP($C618&amp;"_"&amp;$AG618,符文权重!$A:$A&amp;"_"&amp;符文权重!$C:$C,符文权重!$D:$D)*$X618/SUMIFS($X:$X,G:G,G618,$C:$C,$C618,$AG:$AG,$AG618)/SUMIF(符文权重!$A:$A,$C618,符文权重!$D:$D))),"")</f>
        <v/>
      </c>
      <c r="N618" s="39" t="str" cm="1">
        <f t="array" ref="N618">IFERROR(IF($A618="","",IF(H618="","",_xlfn.XLOOKUP($C618&amp;"_"&amp;$AG618,符文权重!$A:$A&amp;"_"&amp;符文权重!$C:$C,符文权重!$D:$D)*$X618/SUMIFS($X:$X,H:H,H618,$C:$C,$C618,$AG:$AG,$AG618)/SUMIF(符文权重!$A:$A,$C618,符文权重!$D:$D))),"")</f>
        <v/>
      </c>
      <c r="O618" s="39" t="str" cm="1">
        <f t="array" ref="O618">IFERROR(IF($A618="","",IF(I618="","",_xlfn.XLOOKUP($C618&amp;"_"&amp;$AG618,符文权重!$A:$A&amp;"_"&amp;符文权重!$C:$C,符文权重!$D:$D)*$X618/SUMIFS($X:$X,I:I,I618,$C:$C,$C618,$AG:$AG,$AG618)/SUMIF(符文权重!$A:$A,$C618,符文权重!$D:$D))),"")</f>
        <v/>
      </c>
      <c r="P618" s="39" t="str" cm="1">
        <f t="array" ref="P618">IFERROR(IF($A618="","",IF(J618="","",_xlfn.XLOOKUP($C618&amp;"_"&amp;$AG618,符文权重!$A:$A&amp;"_"&amp;符文权重!$C:$C,符文权重!$D:$D)*$X618/SUMIFS($X:$X,J:J,J618,$C:$C,$C618,$AG:$AG,$AG618)/SUMIF(符文权重!$A:$A,$C618,符文权重!$D:$D))),"")</f>
        <v/>
      </c>
      <c r="Q618" s="39" cm="1">
        <f t="array" ref="Q618">IFERROR(IF($A618="","",IF(K618="","",_xlfn.XLOOKUP($C618&amp;"_"&amp;$AG618,符文权重!$A:$A&amp;"_"&amp;符文权重!$C:$C,符文权重!$D:$D)*$X618/SUMIFS($X:$X,K:K,K618,$C:$C,$C618,$AG:$AG,$AG618)/SUMIF(符文权重!$A:$A,$C618,符文权重!$D:$D))),"")</f>
        <v>0.0166666666666667</v>
      </c>
      <c r="R618" s="25" t="s">
        <v>330</v>
      </c>
      <c r="S618" s="25" t="s">
        <v>618</v>
      </c>
      <c r="T618" s="25" t="s">
        <v>385</v>
      </c>
      <c r="U618" s="25" t="s">
        <v>634</v>
      </c>
      <c r="W618" s="25" t="s">
        <v>599</v>
      </c>
      <c r="X618" s="25">
        <v>100</v>
      </c>
      <c r="Z618" s="25" t="s">
        <v>172</v>
      </c>
      <c r="AA618" s="32" t="str">
        <f t="shared" si="284"/>
        <v>雷震子大招冷却缩减35%</v>
      </c>
      <c r="AB618" s="32"/>
      <c r="AC618" s="32" t="s">
        <v>166</v>
      </c>
      <c r="AD618" s="32">
        <f t="shared" si="282"/>
        <v>1613</v>
      </c>
      <c r="AE618" s="25">
        <v>5301239</v>
      </c>
      <c r="AF618" s="25" t="s">
        <v>411</v>
      </c>
      <c r="AG618" s="25">
        <v>4</v>
      </c>
      <c r="AJ618" s="25">
        <v>1</v>
      </c>
      <c r="AK618" s="26"/>
      <c r="AL618" s="25" t="s">
        <v>635</v>
      </c>
      <c r="AM618" s="26"/>
      <c r="AN618" s="25">
        <v>4</v>
      </c>
      <c r="AO618" s="25" t="s">
        <v>32</v>
      </c>
      <c r="AP618" s="20">
        <f t="shared" si="283"/>
        <v>613</v>
      </c>
    </row>
    <row r="619" s="20" customFormat="1" customHeight="1" spans="1:42">
      <c r="A619" s="25">
        <v>5510154</v>
      </c>
      <c r="B619" s="25">
        <v>5301239</v>
      </c>
      <c r="C619" s="25">
        <v>4</v>
      </c>
      <c r="D619" s="25"/>
      <c r="E619" s="25" t="s">
        <v>209</v>
      </c>
      <c r="F619" s="26" t="str">
        <f t="shared" si="281"/>
        <v/>
      </c>
      <c r="G619" s="26" t="str">
        <f>IFERROR(IF(--MID($E619,2*COUNTIF($F619:F619,"&gt;"&amp;0)+2,1)=G$1,G$1,""),"")</f>
        <v/>
      </c>
      <c r="H619" s="26" t="str">
        <f>IFERROR(IF(--MID($E619,2*COUNTIF($F619:G619,"&gt;"&amp;0)+2,1)=H$1,H$1,""),"")</f>
        <v/>
      </c>
      <c r="I619" s="26" t="str">
        <f>IFERROR(IF(--MID($E619,2*COUNTIF($F619:H619,"&gt;"&amp;0)+2,1)=I$1,I$1,""),"")</f>
        <v/>
      </c>
      <c r="J619" s="26" t="str">
        <f>IFERROR(IF(--MID($E619,2*COUNTIF($F619:I619,"&gt;"&amp;0)+2,1)=J$1,J$1,""),"")</f>
        <v/>
      </c>
      <c r="K619" s="26">
        <f>IFERROR(IF(--MID($E619,2*COUNTIF($F619:J619,"&gt;"&amp;0)+2,1)=K$1,K$1,""),"")</f>
        <v>6</v>
      </c>
      <c r="L619" s="39" t="str" cm="1">
        <f t="array" ref="L619">IFERROR(IF($A619="","",IF(F619="","",_xlfn.XLOOKUP($C619&amp;"_"&amp;$AG619,符文权重!$A:$A&amp;"_"&amp;符文权重!$C:$C,符文权重!$D:$D)*$X619/SUMIFS($X:$X,F:F,F619,$C:$C,$C619,$AG:$AG,$AG619)/SUMIF(符文权重!$A:$A,$C619,符文权重!$D:$D))),"")</f>
        <v/>
      </c>
      <c r="M619" s="39" t="str" cm="1">
        <f t="array" ref="M619">IFERROR(IF($A619="","",IF(G619="","",_xlfn.XLOOKUP($C619&amp;"_"&amp;$AG619,符文权重!$A:$A&amp;"_"&amp;符文权重!$C:$C,符文权重!$D:$D)*$X619/SUMIFS($X:$X,G:G,G619,$C:$C,$C619,$AG:$AG,$AG619)/SUMIF(符文权重!$A:$A,$C619,符文权重!$D:$D))),"")</f>
        <v/>
      </c>
      <c r="N619" s="39" t="str" cm="1">
        <f t="array" ref="N619">IFERROR(IF($A619="","",IF(H619="","",_xlfn.XLOOKUP($C619&amp;"_"&amp;$AG619,符文权重!$A:$A&amp;"_"&amp;符文权重!$C:$C,符文权重!$D:$D)*$X619/SUMIFS($X:$X,H:H,H619,$C:$C,$C619,$AG:$AG,$AG619)/SUMIF(符文权重!$A:$A,$C619,符文权重!$D:$D))),"")</f>
        <v/>
      </c>
      <c r="O619" s="39" t="str" cm="1">
        <f t="array" ref="O619">IFERROR(IF($A619="","",IF(I619="","",_xlfn.XLOOKUP($C619&amp;"_"&amp;$AG619,符文权重!$A:$A&amp;"_"&amp;符文权重!$C:$C,符文权重!$D:$D)*$X619/SUMIFS($X:$X,I:I,I619,$C:$C,$C619,$AG:$AG,$AG619)/SUMIF(符文权重!$A:$A,$C619,符文权重!$D:$D))),"")</f>
        <v/>
      </c>
      <c r="P619" s="39" t="str" cm="1">
        <f t="array" ref="P619">IFERROR(IF($A619="","",IF(J619="","",_xlfn.XLOOKUP($C619&amp;"_"&amp;$AG619,符文权重!$A:$A&amp;"_"&amp;符文权重!$C:$C,符文权重!$D:$D)*$X619/SUMIFS($X:$X,J:J,J619,$C:$C,$C619,$AG:$AG,$AG619)/SUMIF(符文权重!$A:$A,$C619,符文权重!$D:$D))),"")</f>
        <v/>
      </c>
      <c r="Q619" s="39" cm="1">
        <f t="array" ref="Q619">IFERROR(IF($A619="","",IF(K619="","",_xlfn.XLOOKUP($C619&amp;"_"&amp;$AG619,符文权重!$A:$A&amp;"_"&amp;符文权重!$C:$C,符文权重!$D:$D)*$X619/SUMIFS($X:$X,K:K,K619,$C:$C,$C619,$AG:$AG,$AG619)/SUMIF(符文权重!$A:$A,$C619,符文权重!$D:$D))),"")</f>
        <v>0.015625</v>
      </c>
      <c r="R619" s="25" t="s">
        <v>330</v>
      </c>
      <c r="S619" s="25" t="s">
        <v>618</v>
      </c>
      <c r="T619" s="25" t="s">
        <v>388</v>
      </c>
      <c r="U619" s="25" t="s">
        <v>636</v>
      </c>
      <c r="W619" s="25" t="s">
        <v>602</v>
      </c>
      <c r="X619" s="25">
        <v>100</v>
      </c>
      <c r="Z619" s="25" t="s">
        <v>174</v>
      </c>
      <c r="AA619" s="32" t="str">
        <f t="shared" si="284"/>
        <v>雷震子大招冷却缩减50%</v>
      </c>
      <c r="AB619" s="32"/>
      <c r="AC619" s="32" t="s">
        <v>166</v>
      </c>
      <c r="AD619" s="32">
        <f t="shared" si="282"/>
        <v>1614</v>
      </c>
      <c r="AE619" s="25">
        <v>5301239</v>
      </c>
      <c r="AF619" s="25" t="s">
        <v>541</v>
      </c>
      <c r="AG619" s="25">
        <v>4</v>
      </c>
      <c r="AJ619" s="25">
        <v>1</v>
      </c>
      <c r="AK619" s="26"/>
      <c r="AL619" s="25" t="s">
        <v>637</v>
      </c>
      <c r="AM619" s="26"/>
      <c r="AN619" s="25">
        <v>4</v>
      </c>
      <c r="AO619" s="25" t="s">
        <v>32</v>
      </c>
      <c r="AP619" s="20">
        <f t="shared" si="283"/>
        <v>614</v>
      </c>
    </row>
    <row r="620" s="20" customFormat="1" customHeight="1" spans="1:42">
      <c r="A620" s="25">
        <v>5510162</v>
      </c>
      <c r="B620" s="20">
        <v>5301241</v>
      </c>
      <c r="C620" s="20">
        <v>2</v>
      </c>
      <c r="E620" s="25" t="s">
        <v>182</v>
      </c>
      <c r="F620" s="26" t="str">
        <f t="shared" si="281"/>
        <v/>
      </c>
      <c r="G620" s="26" t="str">
        <f>IFERROR(IF(--MID($E620,2*COUNTIF($F620:F620,"&gt;"&amp;0)+2,1)=G$1,G$1,""),"")</f>
        <v/>
      </c>
      <c r="H620" s="26">
        <f>IFERROR(IF(--MID($E620,2*COUNTIF($F620:G620,"&gt;"&amp;0)+2,1)=H$1,H$1,""),"")</f>
        <v>3</v>
      </c>
      <c r="I620" s="26" t="str">
        <f>IFERROR(IF(--MID($E620,2*COUNTIF($F620:H620,"&gt;"&amp;0)+2,1)=I$1,I$1,""),"")</f>
        <v/>
      </c>
      <c r="J620" s="26" t="str">
        <f>IFERROR(IF(--MID($E620,2*COUNTIF($F620:I620,"&gt;"&amp;0)+2,1)=J$1,J$1,""),"")</f>
        <v/>
      </c>
      <c r="K620" s="26" t="str">
        <f>IFERROR(IF(--MID($E620,2*COUNTIF($F620:J620,"&gt;"&amp;0)+2,1)=K$1,K$1,""),"")</f>
        <v/>
      </c>
      <c r="L620" s="39" t="str" cm="1">
        <f t="array" ref="L620">IFERROR(IF($A620="","",IF(F620="","",_xlfn.XLOOKUP($C620&amp;"_"&amp;$AG620,符文权重!$A:$A&amp;"_"&amp;符文权重!$C:$C,符文权重!$D:$D)*$X620/SUMIFS($X:$X,F:F,F620,$C:$C,$C620,$AG:$AG,$AG620)/SUMIF(符文权重!$A:$A,$C620,符文权重!$D:$D))),"")</f>
        <v/>
      </c>
      <c r="M620" s="39" t="str" cm="1">
        <f t="array" ref="M620">IFERROR(IF($A620="","",IF(G620="","",_xlfn.XLOOKUP($C620&amp;"_"&amp;$AG620,符文权重!$A:$A&amp;"_"&amp;符文权重!$C:$C,符文权重!$D:$D)*$X620/SUMIFS($X:$X,G:G,G620,$C:$C,$C620,$AG:$AG,$AG620)/SUMIF(符文权重!$A:$A,$C620,符文权重!$D:$D))),"")</f>
        <v/>
      </c>
      <c r="N620" s="39" t="str" cm="1">
        <f t="array" ref="N620">IFERROR(IF($A620="","",IF(H620="","",_xlfn.XLOOKUP($C620&amp;"_"&amp;$AG620,符文权重!$A:$A&amp;"_"&amp;符文权重!$C:$C,符文权重!$D:$D)*$X620/SUMIFS($X:$X,H:H,H620,$C:$C,$C620,$AG:$AG,$AG620)/SUMIF(符文权重!$A:$A,$C620,符文权重!$D:$D))),"")</f>
        <v/>
      </c>
      <c r="O620" s="39" t="str" cm="1">
        <f t="array" ref="O620">IFERROR(IF($A620="","",IF(I620="","",_xlfn.XLOOKUP($C620&amp;"_"&amp;$AG620,符文权重!$A:$A&amp;"_"&amp;符文权重!$C:$C,符文权重!$D:$D)*$X620/SUMIFS($X:$X,I:I,I620,$C:$C,$C620,$AG:$AG,$AG620)/SUMIF(符文权重!$A:$A,$C620,符文权重!$D:$D))),"")</f>
        <v/>
      </c>
      <c r="P620" s="39" t="str" cm="1">
        <f t="array" ref="P620">IFERROR(IF($A620="","",IF(J620="","",_xlfn.XLOOKUP($C620&amp;"_"&amp;$AG620,符文权重!$A:$A&amp;"_"&amp;符文权重!$C:$C,符文权重!$D:$D)*$X620/SUMIFS($X:$X,J:J,J620,$C:$C,$C620,$AG:$AG,$AG620)/SUMIF(符文权重!$A:$A,$C620,符文权重!$D:$D))),"")</f>
        <v/>
      </c>
      <c r="Q620" s="39" t="str" cm="1">
        <f t="array" ref="Q620">IFERROR(IF($A620="","",IF(K620="","",_xlfn.XLOOKUP($C620&amp;"_"&amp;$AG620,符文权重!$A:$A&amp;"_"&amp;符文权重!$C:$C,符文权重!$D:$D)*$X620/SUMIFS($X:$X,K:K,K620,$C:$C,$C620,$AG:$AG,$AG620)/SUMIF(符文权重!$A:$A,$C620,符文权重!$D:$D))),"")</f>
        <v/>
      </c>
      <c r="R620" s="20" t="s">
        <v>330</v>
      </c>
      <c r="S620" s="20" t="s">
        <v>638</v>
      </c>
      <c r="T620" s="20" t="s">
        <v>383</v>
      </c>
      <c r="V620" s="20" t="s">
        <v>639</v>
      </c>
      <c r="W620" s="20" t="s">
        <v>580</v>
      </c>
      <c r="X620" s="25">
        <v>100</v>
      </c>
      <c r="Z620" s="20" t="s">
        <v>170</v>
      </c>
      <c r="AA620" s="32" t="str">
        <f t="shared" si="284"/>
        <v>忍者鲨手手里剑15%几率不消耗能量</v>
      </c>
      <c r="AB620" s="32"/>
      <c r="AC620" s="32" t="s">
        <v>166</v>
      </c>
      <c r="AD620" s="32">
        <f t="shared" si="282"/>
        <v>1615</v>
      </c>
      <c r="AE620" s="20">
        <v>5301241</v>
      </c>
      <c r="AF620" s="20" t="s">
        <v>393</v>
      </c>
      <c r="AG620" s="20">
        <v>100</v>
      </c>
      <c r="AI620" s="20">
        <v>1</v>
      </c>
      <c r="AJ620" s="20">
        <v>0</v>
      </c>
      <c r="AL620" s="20" t="s">
        <v>640</v>
      </c>
      <c r="AN620" s="25">
        <v>4</v>
      </c>
      <c r="AO620" s="25" t="s">
        <v>32</v>
      </c>
      <c r="AP620" s="20">
        <f t="shared" si="283"/>
        <v>615</v>
      </c>
    </row>
    <row r="621" s="20" customFormat="1" customHeight="1" spans="1:42">
      <c r="A621" s="25">
        <v>5510163</v>
      </c>
      <c r="B621" s="25">
        <v>5301241</v>
      </c>
      <c r="C621" s="25">
        <v>3</v>
      </c>
      <c r="D621" s="25"/>
      <c r="E621" s="25" t="s">
        <v>182</v>
      </c>
      <c r="F621" s="26" t="str">
        <f t="shared" si="281"/>
        <v/>
      </c>
      <c r="G621" s="26" t="str">
        <f>IFERROR(IF(--MID($E621,2*COUNTIF($F621:F621,"&gt;"&amp;0)+2,1)=G$1,G$1,""),"")</f>
        <v/>
      </c>
      <c r="H621" s="26">
        <f>IFERROR(IF(--MID($E621,2*COUNTIF($F621:G621,"&gt;"&amp;0)+2,1)=H$1,H$1,""),"")</f>
        <v>3</v>
      </c>
      <c r="I621" s="26" t="str">
        <f>IFERROR(IF(--MID($E621,2*COUNTIF($F621:H621,"&gt;"&amp;0)+2,1)=I$1,I$1,""),"")</f>
        <v/>
      </c>
      <c r="J621" s="26" t="str">
        <f>IFERROR(IF(--MID($E621,2*COUNTIF($F621:I621,"&gt;"&amp;0)+2,1)=J$1,J$1,""),"")</f>
        <v/>
      </c>
      <c r="K621" s="26" t="str">
        <f>IFERROR(IF(--MID($E621,2*COUNTIF($F621:J621,"&gt;"&amp;0)+2,1)=K$1,K$1,""),"")</f>
        <v/>
      </c>
      <c r="L621" s="39" t="str" cm="1">
        <f t="array" ref="L621">IFERROR(IF($A621="","",IF(F621="","",_xlfn.XLOOKUP($C621&amp;"_"&amp;$AG621,符文权重!$A:$A&amp;"_"&amp;符文权重!$C:$C,符文权重!$D:$D)*$X621/SUMIFS($X:$X,F:F,F621,$C:$C,$C621,$AG:$AG,$AG621)/SUMIF(符文权重!$A:$A,$C621,符文权重!$D:$D))),"")</f>
        <v/>
      </c>
      <c r="M621" s="39" t="str" cm="1">
        <f t="array" ref="M621">IFERROR(IF($A621="","",IF(G621="","",_xlfn.XLOOKUP($C621&amp;"_"&amp;$AG621,符文权重!$A:$A&amp;"_"&amp;符文权重!$C:$C,符文权重!$D:$D)*$X621/SUMIFS($X:$X,G:G,G621,$C:$C,$C621,$AG:$AG,$AG621)/SUMIF(符文权重!$A:$A,$C621,符文权重!$D:$D))),"")</f>
        <v/>
      </c>
      <c r="N621" s="39" cm="1">
        <f t="array" ref="N621">IFERROR(IF($A621="","",IF(H621="","",_xlfn.XLOOKUP($C621&amp;"_"&amp;$AG621,符文权重!$A:$A&amp;"_"&amp;符文权重!$C:$C,符文权重!$D:$D)*$X621/SUMIFS($X:$X,H:H,H621,$C:$C,$C621,$AG:$AG,$AG621)/SUMIF(符文权重!$A:$A,$C621,符文权重!$D:$D))),"")</f>
        <v>0.0125</v>
      </c>
      <c r="O621" s="39" t="str" cm="1">
        <f t="array" ref="O621">IFERROR(IF($A621="","",IF(I621="","",_xlfn.XLOOKUP($C621&amp;"_"&amp;$AG621,符文权重!$A:$A&amp;"_"&amp;符文权重!$C:$C,符文权重!$D:$D)*$X621/SUMIFS($X:$X,I:I,I621,$C:$C,$C621,$AG:$AG,$AG621)/SUMIF(符文权重!$A:$A,$C621,符文权重!$D:$D))),"")</f>
        <v/>
      </c>
      <c r="P621" s="39" t="str" cm="1">
        <f t="array" ref="P621">IFERROR(IF($A621="","",IF(J621="","",_xlfn.XLOOKUP($C621&amp;"_"&amp;$AG621,符文权重!$A:$A&amp;"_"&amp;符文权重!$C:$C,符文权重!$D:$D)*$X621/SUMIFS($X:$X,J:J,J621,$C:$C,$C621,$AG:$AG,$AG621)/SUMIF(符文权重!$A:$A,$C621,符文权重!$D:$D))),"")</f>
        <v/>
      </c>
      <c r="Q621" s="39" t="str" cm="1">
        <f t="array" ref="Q621">IFERROR(IF($A621="","",IF(K621="","",_xlfn.XLOOKUP($C621&amp;"_"&amp;$AG621,符文权重!$A:$A&amp;"_"&amp;符文权重!$C:$C,符文权重!$D:$D)*$X621/SUMIFS($X:$X,K:K,K621,$C:$C,$C621,$AG:$AG,$AG621)/SUMIF(符文权重!$A:$A,$C621,符文权重!$D:$D))),"")</f>
        <v/>
      </c>
      <c r="R621" s="25" t="s">
        <v>330</v>
      </c>
      <c r="S621" s="25" t="s">
        <v>638</v>
      </c>
      <c r="T621" s="25" t="s">
        <v>385</v>
      </c>
      <c r="U621" s="25"/>
      <c r="V621" s="25" t="s">
        <v>641</v>
      </c>
      <c r="W621" s="25" t="s">
        <v>599</v>
      </c>
      <c r="X621" s="25">
        <v>100</v>
      </c>
      <c r="Z621" s="25" t="s">
        <v>172</v>
      </c>
      <c r="AA621" s="32" t="str">
        <f t="shared" si="284"/>
        <v>忍者鲨手手里剑22%几率不消耗能量</v>
      </c>
      <c r="AB621" s="32"/>
      <c r="AC621" s="32" t="s">
        <v>166</v>
      </c>
      <c r="AD621" s="32">
        <f t="shared" si="282"/>
        <v>1616</v>
      </c>
      <c r="AE621" s="25">
        <v>5301241</v>
      </c>
      <c r="AF621" s="25" t="s">
        <v>628</v>
      </c>
      <c r="AG621" s="25">
        <v>4</v>
      </c>
      <c r="AJ621" s="25">
        <v>1</v>
      </c>
      <c r="AK621" s="26"/>
      <c r="AL621" s="25" t="s">
        <v>642</v>
      </c>
      <c r="AM621" s="26"/>
      <c r="AN621" s="25">
        <v>4</v>
      </c>
      <c r="AO621" s="25" t="s">
        <v>32</v>
      </c>
      <c r="AP621" s="20">
        <f t="shared" si="283"/>
        <v>616</v>
      </c>
    </row>
    <row r="622" s="20" customFormat="1" customHeight="1" spans="1:42">
      <c r="A622" s="25">
        <v>5510164</v>
      </c>
      <c r="B622" s="25">
        <v>5301241</v>
      </c>
      <c r="C622" s="25">
        <v>4</v>
      </c>
      <c r="D622" s="25"/>
      <c r="E622" s="25" t="s">
        <v>182</v>
      </c>
      <c r="F622" s="26" t="str">
        <f t="shared" si="281"/>
        <v/>
      </c>
      <c r="G622" s="26" t="str">
        <f>IFERROR(IF(--MID($E622,2*COUNTIF($F622:F622,"&gt;"&amp;0)+2,1)=G$1,G$1,""),"")</f>
        <v/>
      </c>
      <c r="H622" s="26">
        <f>IFERROR(IF(--MID($E622,2*COUNTIF($F622:G622,"&gt;"&amp;0)+2,1)=H$1,H$1,""),"")</f>
        <v>3</v>
      </c>
      <c r="I622" s="26" t="str">
        <f>IFERROR(IF(--MID($E622,2*COUNTIF($F622:H622,"&gt;"&amp;0)+2,1)=I$1,I$1,""),"")</f>
        <v/>
      </c>
      <c r="J622" s="26" t="str">
        <f>IFERROR(IF(--MID($E622,2*COUNTIF($F622:I622,"&gt;"&amp;0)+2,1)=J$1,J$1,""),"")</f>
        <v/>
      </c>
      <c r="K622" s="26" t="str">
        <f>IFERROR(IF(--MID($E622,2*COUNTIF($F622:J622,"&gt;"&amp;0)+2,1)=K$1,K$1,""),"")</f>
        <v/>
      </c>
      <c r="L622" s="39" t="str" cm="1">
        <f t="array" ref="L622">IFERROR(IF($A622="","",IF(F622="","",_xlfn.XLOOKUP($C622&amp;"_"&amp;$AG622,符文权重!$A:$A&amp;"_"&amp;符文权重!$C:$C,符文权重!$D:$D)*$X622/SUMIFS($X:$X,F:F,F622,$C:$C,$C622,$AG:$AG,$AG622)/SUMIF(符文权重!$A:$A,$C622,符文权重!$D:$D))),"")</f>
        <v/>
      </c>
      <c r="M622" s="39" t="str" cm="1">
        <f t="array" ref="M622">IFERROR(IF($A622="","",IF(G622="","",_xlfn.XLOOKUP($C622&amp;"_"&amp;$AG622,符文权重!$A:$A&amp;"_"&amp;符文权重!$C:$C,符文权重!$D:$D)*$X622/SUMIFS($X:$X,G:G,G622,$C:$C,$C622,$AG:$AG,$AG622)/SUMIF(符文权重!$A:$A,$C622,符文权重!$D:$D))),"")</f>
        <v/>
      </c>
      <c r="N622" s="39" cm="1">
        <f t="array" ref="N622">IFERROR(IF($A622="","",IF(H622="","",_xlfn.XLOOKUP($C622&amp;"_"&amp;$AG622,符文权重!$A:$A&amp;"_"&amp;符文权重!$C:$C,符文权重!$D:$D)*$X622/SUMIFS($X:$X,H:H,H622,$C:$C,$C622,$AG:$AG,$AG622)/SUMIF(符文权重!$A:$A,$C622,符文权重!$D:$D))),"")</f>
        <v>0.0119047619047619</v>
      </c>
      <c r="O622" s="39" t="str" cm="1">
        <f t="array" ref="O622">IFERROR(IF($A622="","",IF(I622="","",_xlfn.XLOOKUP($C622&amp;"_"&amp;$AG622,符文权重!$A:$A&amp;"_"&amp;符文权重!$C:$C,符文权重!$D:$D)*$X622/SUMIFS($X:$X,I:I,I622,$C:$C,$C622,$AG:$AG,$AG622)/SUMIF(符文权重!$A:$A,$C622,符文权重!$D:$D))),"")</f>
        <v/>
      </c>
      <c r="P622" s="39" t="str" cm="1">
        <f t="array" ref="P622">IFERROR(IF($A622="","",IF(J622="","",_xlfn.XLOOKUP($C622&amp;"_"&amp;$AG622,符文权重!$A:$A&amp;"_"&amp;符文权重!$C:$C,符文权重!$D:$D)*$X622/SUMIFS($X:$X,J:J,J622,$C:$C,$C622,$AG:$AG,$AG622)/SUMIF(符文权重!$A:$A,$C622,符文权重!$D:$D))),"")</f>
        <v/>
      </c>
      <c r="Q622" s="39" t="str" cm="1">
        <f t="array" ref="Q622">IFERROR(IF($A622="","",IF(K622="","",_xlfn.XLOOKUP($C622&amp;"_"&amp;$AG622,符文权重!$A:$A&amp;"_"&amp;符文权重!$C:$C,符文权重!$D:$D)*$X622/SUMIFS($X:$X,K:K,K622,$C:$C,$C622,$AG:$AG,$AG622)/SUMIF(符文权重!$A:$A,$C622,符文权重!$D:$D))),"")</f>
        <v/>
      </c>
      <c r="R622" s="25" t="s">
        <v>330</v>
      </c>
      <c r="S622" s="25" t="s">
        <v>638</v>
      </c>
      <c r="T622" s="25" t="s">
        <v>388</v>
      </c>
      <c r="U622" s="25"/>
      <c r="V622" s="25" t="s">
        <v>643</v>
      </c>
      <c r="W622" s="25" t="s">
        <v>602</v>
      </c>
      <c r="X622" s="25">
        <v>100</v>
      </c>
      <c r="Z622" s="25" t="s">
        <v>174</v>
      </c>
      <c r="AA622" s="32" t="str">
        <f t="shared" si="284"/>
        <v>忍者鲨手手里剑30%几率不消耗能量</v>
      </c>
      <c r="AB622" s="32"/>
      <c r="AC622" s="32" t="s">
        <v>166</v>
      </c>
      <c r="AD622" s="32">
        <f t="shared" si="282"/>
        <v>1617</v>
      </c>
      <c r="AE622" s="25">
        <v>5301241</v>
      </c>
      <c r="AF622" s="25" t="s">
        <v>449</v>
      </c>
      <c r="AG622" s="25">
        <v>4</v>
      </c>
      <c r="AJ622" s="25">
        <v>1</v>
      </c>
      <c r="AK622" s="26"/>
      <c r="AL622" s="25" t="s">
        <v>644</v>
      </c>
      <c r="AM622" s="26"/>
      <c r="AN622" s="25">
        <v>4</v>
      </c>
      <c r="AO622" s="25" t="s">
        <v>32</v>
      </c>
      <c r="AP622" s="20">
        <f t="shared" si="283"/>
        <v>617</v>
      </c>
    </row>
    <row r="623" s="20" customFormat="1" customHeight="1" spans="1:42">
      <c r="A623" s="25">
        <v>5510172</v>
      </c>
      <c r="B623" s="25">
        <v>5301242</v>
      </c>
      <c r="C623" s="26">
        <v>2</v>
      </c>
      <c r="D623" s="26"/>
      <c r="E623" s="25" t="s">
        <v>375</v>
      </c>
      <c r="F623" s="26" t="str">
        <f t="shared" si="281"/>
        <v/>
      </c>
      <c r="G623" s="26" t="str">
        <f>IFERROR(IF(--MID($E623,2*COUNTIF($F623:F623,"&gt;"&amp;0)+2,1)=G$1,G$1,""),"")</f>
        <v/>
      </c>
      <c r="H623" s="26" t="str">
        <f>IFERROR(IF(--MID($E623,2*COUNTIF($F623:G623,"&gt;"&amp;0)+2,1)=H$1,H$1,""),"")</f>
        <v/>
      </c>
      <c r="I623" s="26">
        <f>IFERROR(IF(--MID($E623,2*COUNTIF($F623:H623,"&gt;"&amp;0)+2,1)=I$1,I$1,""),"")</f>
        <v>4</v>
      </c>
      <c r="J623" s="26" t="str">
        <f>IFERROR(IF(--MID($E623,2*COUNTIF($F623:I623,"&gt;"&amp;0)+2,1)=J$1,J$1,""),"")</f>
        <v/>
      </c>
      <c r="K623" s="26" t="str">
        <f>IFERROR(IF(--MID($E623,2*COUNTIF($F623:J623,"&gt;"&amp;0)+2,1)=K$1,K$1,""),"")</f>
        <v/>
      </c>
      <c r="L623" s="39" t="str" cm="1">
        <f t="array" ref="L623">IFERROR(IF($A623="","",IF(F623="","",_xlfn.XLOOKUP($C623&amp;"_"&amp;$AG623,符文权重!$A:$A&amp;"_"&amp;符文权重!$C:$C,符文权重!$D:$D)*$X623/SUMIFS($X:$X,F:F,F623,$C:$C,$C623,$AG:$AG,$AG623)/SUMIF(符文权重!$A:$A,$C623,符文权重!$D:$D))),"")</f>
        <v/>
      </c>
      <c r="M623" s="39" t="str" cm="1">
        <f t="array" ref="M623">IFERROR(IF($A623="","",IF(G623="","",_xlfn.XLOOKUP($C623&amp;"_"&amp;$AG623,符文权重!$A:$A&amp;"_"&amp;符文权重!$C:$C,符文权重!$D:$D)*$X623/SUMIFS($X:$X,G:G,G623,$C:$C,$C623,$AG:$AG,$AG623)/SUMIF(符文权重!$A:$A,$C623,符文权重!$D:$D))),"")</f>
        <v/>
      </c>
      <c r="N623" s="39" t="str" cm="1">
        <f t="array" ref="N623">IFERROR(IF($A623="","",IF(H623="","",_xlfn.XLOOKUP($C623&amp;"_"&amp;$AG623,符文权重!$A:$A&amp;"_"&amp;符文权重!$C:$C,符文权重!$D:$D)*$X623/SUMIFS($X:$X,H:H,H623,$C:$C,$C623,$AG:$AG,$AG623)/SUMIF(符文权重!$A:$A,$C623,符文权重!$D:$D))),"")</f>
        <v/>
      </c>
      <c r="O623" s="39" t="str" cm="1">
        <f t="array" ref="O623">IFERROR(IF($A623="","",IF(I623="","",_xlfn.XLOOKUP($C623&amp;"_"&amp;$AG623,符文权重!$A:$A&amp;"_"&amp;符文权重!$C:$C,符文权重!$D:$D)*$X623/SUMIFS($X:$X,I:I,I623,$C:$C,$C623,$AG:$AG,$AG623)/SUMIF(符文权重!$A:$A,$C623,符文权重!$D:$D))),"")</f>
        <v/>
      </c>
      <c r="P623" s="39" t="str" cm="1">
        <f t="array" ref="P623">IFERROR(IF($A623="","",IF(J623="","",_xlfn.XLOOKUP($C623&amp;"_"&amp;$AG623,符文权重!$A:$A&amp;"_"&amp;符文权重!$C:$C,符文权重!$D:$D)*$X623/SUMIFS($X:$X,J:J,J623,$C:$C,$C623,$AG:$AG,$AG623)/SUMIF(符文权重!$A:$A,$C623,符文权重!$D:$D))),"")</f>
        <v/>
      </c>
      <c r="Q623" s="39" t="str" cm="1">
        <f t="array" ref="Q623">IFERROR(IF($A623="","",IF(K623="","",_xlfn.XLOOKUP($C623&amp;"_"&amp;$AG623,符文权重!$A:$A&amp;"_"&amp;符文权重!$C:$C,符文权重!$D:$D)*$X623/SUMIFS($X:$X,K:K,K623,$C:$C,$C623,$AG:$AG,$AG623)/SUMIF(符文权重!$A:$A,$C623,符文权重!$D:$D))),"")</f>
        <v/>
      </c>
      <c r="R623" s="26" t="s">
        <v>330</v>
      </c>
      <c r="S623" s="26" t="s">
        <v>638</v>
      </c>
      <c r="T623" s="26" t="s">
        <v>383</v>
      </c>
      <c r="U623" s="20" t="s">
        <v>645</v>
      </c>
      <c r="V623" s="26"/>
      <c r="W623" s="25" t="s">
        <v>580</v>
      </c>
      <c r="X623" s="25">
        <v>100</v>
      </c>
      <c r="Y623" s="25"/>
      <c r="Z623" s="26" t="s">
        <v>170</v>
      </c>
      <c r="AA623" s="32" t="str">
        <f t="shared" si="284"/>
        <v>忍者鲨手对减速的敌人造成伤害时，造成12%额外伤害</v>
      </c>
      <c r="AB623" s="32"/>
      <c r="AC623" s="32" t="s">
        <v>166</v>
      </c>
      <c r="AD623" s="32">
        <f t="shared" si="282"/>
        <v>1618</v>
      </c>
      <c r="AE623" s="25">
        <v>5301242</v>
      </c>
      <c r="AF623" s="26" t="s">
        <v>454</v>
      </c>
      <c r="AG623" s="26">
        <v>100</v>
      </c>
      <c r="AH623" s="26"/>
      <c r="AI623" s="26">
        <v>1</v>
      </c>
      <c r="AJ623" s="26">
        <v>0</v>
      </c>
      <c r="AL623" s="26" t="s">
        <v>646</v>
      </c>
      <c r="AN623" s="25">
        <v>4</v>
      </c>
      <c r="AO623" s="25" t="s">
        <v>32</v>
      </c>
      <c r="AP623" s="20">
        <f t="shared" si="283"/>
        <v>618</v>
      </c>
    </row>
    <row r="624" s="20" customFormat="1" customHeight="1" spans="1:42">
      <c r="A624" s="25">
        <v>5510173</v>
      </c>
      <c r="B624" s="25">
        <v>5301242</v>
      </c>
      <c r="C624" s="25">
        <v>3</v>
      </c>
      <c r="D624" s="25"/>
      <c r="E624" s="25" t="s">
        <v>375</v>
      </c>
      <c r="F624" s="26" t="str">
        <f t="shared" si="281"/>
        <v/>
      </c>
      <c r="G624" s="26" t="str">
        <f>IFERROR(IF(--MID($E624,2*COUNTIF($F624:F624,"&gt;"&amp;0)+2,1)=G$1,G$1,""),"")</f>
        <v/>
      </c>
      <c r="H624" s="26" t="str">
        <f>IFERROR(IF(--MID($E624,2*COUNTIF($F624:G624,"&gt;"&amp;0)+2,1)=H$1,H$1,""),"")</f>
        <v/>
      </c>
      <c r="I624" s="26">
        <f>IFERROR(IF(--MID($E624,2*COUNTIF($F624:H624,"&gt;"&amp;0)+2,1)=I$1,I$1,""),"")</f>
        <v>4</v>
      </c>
      <c r="J624" s="26" t="str">
        <f>IFERROR(IF(--MID($E624,2*COUNTIF($F624:I624,"&gt;"&amp;0)+2,1)=J$1,J$1,""),"")</f>
        <v/>
      </c>
      <c r="K624" s="26" t="str">
        <f>IFERROR(IF(--MID($E624,2*COUNTIF($F624:J624,"&gt;"&amp;0)+2,1)=K$1,K$1,""),"")</f>
        <v/>
      </c>
      <c r="L624" s="39" t="str" cm="1">
        <f t="array" ref="L624">IFERROR(IF($A624="","",IF(F624="","",_xlfn.XLOOKUP($C624&amp;"_"&amp;$AG624,符文权重!$A:$A&amp;"_"&amp;符文权重!$C:$C,符文权重!$D:$D)*$X624/SUMIFS($X:$X,F:F,F624,$C:$C,$C624,$AG:$AG,$AG624)/SUMIF(符文权重!$A:$A,$C624,符文权重!$D:$D))),"")</f>
        <v/>
      </c>
      <c r="M624" s="39" t="str" cm="1">
        <f t="array" ref="M624">IFERROR(IF($A624="","",IF(G624="","",_xlfn.XLOOKUP($C624&amp;"_"&amp;$AG624,符文权重!$A:$A&amp;"_"&amp;符文权重!$C:$C,符文权重!$D:$D)*$X624/SUMIFS($X:$X,G:G,G624,$C:$C,$C624,$AG:$AG,$AG624)/SUMIF(符文权重!$A:$A,$C624,符文权重!$D:$D))),"")</f>
        <v/>
      </c>
      <c r="N624" s="39" t="str" cm="1">
        <f t="array" ref="N624">IFERROR(IF($A624="","",IF(H624="","",_xlfn.XLOOKUP($C624&amp;"_"&amp;$AG624,符文权重!$A:$A&amp;"_"&amp;符文权重!$C:$C,符文权重!$D:$D)*$X624/SUMIFS($X:$X,H:H,H624,$C:$C,$C624,$AG:$AG,$AG624)/SUMIF(符文权重!$A:$A,$C624,符文权重!$D:$D))),"")</f>
        <v/>
      </c>
      <c r="O624" s="39" cm="1">
        <f t="array" ref="O624">IFERROR(IF($A624="","",IF(I624="","",_xlfn.XLOOKUP($C624&amp;"_"&amp;$AG624,符文权重!$A:$A&amp;"_"&amp;符文权重!$C:$C,符文权重!$D:$D)*$X624/SUMIFS($X:$X,I:I,I624,$C:$C,$C624,$AG:$AG,$AG624)/SUMIF(符文权重!$A:$A,$C624,符文权重!$D:$D))),"")</f>
        <v>0.0125</v>
      </c>
      <c r="P624" s="39" t="str" cm="1">
        <f t="array" ref="P624">IFERROR(IF($A624="","",IF(J624="","",_xlfn.XLOOKUP($C624&amp;"_"&amp;$AG624,符文权重!$A:$A&amp;"_"&amp;符文权重!$C:$C,符文权重!$D:$D)*$X624/SUMIFS($X:$X,J:J,J624,$C:$C,$C624,$AG:$AG,$AG624)/SUMIF(符文权重!$A:$A,$C624,符文权重!$D:$D))),"")</f>
        <v/>
      </c>
      <c r="Q624" s="39" t="str" cm="1">
        <f t="array" ref="Q624">IFERROR(IF($A624="","",IF(K624="","",_xlfn.XLOOKUP($C624&amp;"_"&amp;$AG624,符文权重!$A:$A&amp;"_"&amp;符文权重!$C:$C,符文权重!$D:$D)*$X624/SUMIFS($X:$X,K:K,K624,$C:$C,$C624,$AG:$AG,$AG624)/SUMIF(符文权重!$A:$A,$C624,符文权重!$D:$D))),"")</f>
        <v/>
      </c>
      <c r="R624" s="25" t="s">
        <v>330</v>
      </c>
      <c r="S624" s="25" t="s">
        <v>638</v>
      </c>
      <c r="T624" s="25" t="s">
        <v>385</v>
      </c>
      <c r="U624" s="25" t="s">
        <v>647</v>
      </c>
      <c r="W624" s="25" t="s">
        <v>599</v>
      </c>
      <c r="X624" s="25">
        <v>100</v>
      </c>
      <c r="Z624" s="25" t="s">
        <v>172</v>
      </c>
      <c r="AA624" s="32" t="str">
        <f t="shared" si="284"/>
        <v>忍者鲨手对减速的敌人造成伤害时，造成18%额外伤害</v>
      </c>
      <c r="AB624" s="32"/>
      <c r="AC624" s="32" t="s">
        <v>166</v>
      </c>
      <c r="AD624" s="32">
        <f t="shared" si="282"/>
        <v>1619</v>
      </c>
      <c r="AE624" s="25">
        <v>5301242</v>
      </c>
      <c r="AF624" s="25" t="s">
        <v>456</v>
      </c>
      <c r="AG624" s="25">
        <v>4</v>
      </c>
      <c r="AJ624" s="25">
        <v>1</v>
      </c>
      <c r="AK624" s="26"/>
      <c r="AL624" s="25" t="s">
        <v>648</v>
      </c>
      <c r="AM624" s="26"/>
      <c r="AN624" s="25">
        <v>4</v>
      </c>
      <c r="AO624" s="25" t="s">
        <v>32</v>
      </c>
      <c r="AP624" s="20">
        <f t="shared" si="283"/>
        <v>619</v>
      </c>
    </row>
    <row r="625" s="20" customFormat="1" customHeight="1" spans="1:42">
      <c r="A625" s="25">
        <v>5510174</v>
      </c>
      <c r="B625" s="25">
        <v>5301242</v>
      </c>
      <c r="C625" s="25">
        <v>4</v>
      </c>
      <c r="D625" s="25"/>
      <c r="E625" s="25" t="s">
        <v>375</v>
      </c>
      <c r="F625" s="26" t="str">
        <f t="shared" si="281"/>
        <v/>
      </c>
      <c r="G625" s="26" t="str">
        <f>IFERROR(IF(--MID($E625,2*COUNTIF($F625:F625,"&gt;"&amp;0)+2,1)=G$1,G$1,""),"")</f>
        <v/>
      </c>
      <c r="H625" s="26" t="str">
        <f>IFERROR(IF(--MID($E625,2*COUNTIF($F625:G625,"&gt;"&amp;0)+2,1)=H$1,H$1,""),"")</f>
        <v/>
      </c>
      <c r="I625" s="26">
        <f>IFERROR(IF(--MID($E625,2*COUNTIF($F625:H625,"&gt;"&amp;0)+2,1)=I$1,I$1,""),"")</f>
        <v>4</v>
      </c>
      <c r="J625" s="26" t="str">
        <f>IFERROR(IF(--MID($E625,2*COUNTIF($F625:I625,"&gt;"&amp;0)+2,1)=J$1,J$1,""),"")</f>
        <v/>
      </c>
      <c r="K625" s="26" t="str">
        <f>IFERROR(IF(--MID($E625,2*COUNTIF($F625:J625,"&gt;"&amp;0)+2,1)=K$1,K$1,""),"")</f>
        <v/>
      </c>
      <c r="L625" s="39" t="str" cm="1">
        <f t="array" ref="L625">IFERROR(IF($A625="","",IF(F625="","",_xlfn.XLOOKUP($C625&amp;"_"&amp;$AG625,符文权重!$A:$A&amp;"_"&amp;符文权重!$C:$C,符文权重!$D:$D)*$X625/SUMIFS($X:$X,F:F,F625,$C:$C,$C625,$AG:$AG,$AG625)/SUMIF(符文权重!$A:$A,$C625,符文权重!$D:$D))),"")</f>
        <v/>
      </c>
      <c r="M625" s="39" t="str" cm="1">
        <f t="array" ref="M625">IFERROR(IF($A625="","",IF(G625="","",_xlfn.XLOOKUP($C625&amp;"_"&amp;$AG625,符文权重!$A:$A&amp;"_"&amp;符文权重!$C:$C,符文权重!$D:$D)*$X625/SUMIFS($X:$X,G:G,G625,$C:$C,$C625,$AG:$AG,$AG625)/SUMIF(符文权重!$A:$A,$C625,符文权重!$D:$D))),"")</f>
        <v/>
      </c>
      <c r="N625" s="39" t="str" cm="1">
        <f t="array" ref="N625">IFERROR(IF($A625="","",IF(H625="","",_xlfn.XLOOKUP($C625&amp;"_"&amp;$AG625,符文权重!$A:$A&amp;"_"&amp;符文权重!$C:$C,符文权重!$D:$D)*$X625/SUMIFS($X:$X,H:H,H625,$C:$C,$C625,$AG:$AG,$AG625)/SUMIF(符文权重!$A:$A,$C625,符文权重!$D:$D))),"")</f>
        <v/>
      </c>
      <c r="O625" s="39" cm="1">
        <f t="array" ref="O625">IFERROR(IF($A625="","",IF(I625="","",_xlfn.XLOOKUP($C625&amp;"_"&amp;$AG625,符文权重!$A:$A&amp;"_"&amp;符文权重!$C:$C,符文权重!$D:$D)*$X625/SUMIFS($X:$X,I:I,I625,$C:$C,$C625,$AG:$AG,$AG625)/SUMIF(符文权重!$A:$A,$C625,符文权重!$D:$D))),"")</f>
        <v>0.0119047619047619</v>
      </c>
      <c r="P625" s="39" t="str" cm="1">
        <f t="array" ref="P625">IFERROR(IF($A625="","",IF(J625="","",_xlfn.XLOOKUP($C625&amp;"_"&amp;$AG625,符文权重!$A:$A&amp;"_"&amp;符文权重!$C:$C,符文权重!$D:$D)*$X625/SUMIFS($X:$X,J:J,J625,$C:$C,$C625,$AG:$AG,$AG625)/SUMIF(符文权重!$A:$A,$C625,符文权重!$D:$D))),"")</f>
        <v/>
      </c>
      <c r="Q625" s="39" t="str" cm="1">
        <f t="array" ref="Q625">IFERROR(IF($A625="","",IF(K625="","",_xlfn.XLOOKUP($C625&amp;"_"&amp;$AG625,符文权重!$A:$A&amp;"_"&amp;符文权重!$C:$C,符文权重!$D:$D)*$X625/SUMIFS($X:$X,K:K,K625,$C:$C,$C625,$AG:$AG,$AG625)/SUMIF(符文权重!$A:$A,$C625,符文权重!$D:$D))),"")</f>
        <v/>
      </c>
      <c r="R625" s="25" t="s">
        <v>330</v>
      </c>
      <c r="S625" s="25" t="s">
        <v>638</v>
      </c>
      <c r="T625" s="25" t="s">
        <v>388</v>
      </c>
      <c r="U625" s="25" t="s">
        <v>649</v>
      </c>
      <c r="W625" s="25" t="s">
        <v>602</v>
      </c>
      <c r="X625" s="25">
        <v>100</v>
      </c>
      <c r="Z625" s="25" t="s">
        <v>174</v>
      </c>
      <c r="AA625" s="32" t="str">
        <f t="shared" si="284"/>
        <v>忍者鲨手对减速的敌人造成伤害时，造成24%额外伤害</v>
      </c>
      <c r="AB625" s="32"/>
      <c r="AC625" s="32" t="s">
        <v>166</v>
      </c>
      <c r="AD625" s="32">
        <f t="shared" si="282"/>
        <v>1620</v>
      </c>
      <c r="AE625" s="25">
        <v>5301242</v>
      </c>
      <c r="AF625" s="25" t="s">
        <v>593</v>
      </c>
      <c r="AG625" s="25">
        <v>4</v>
      </c>
      <c r="AJ625" s="25">
        <v>1</v>
      </c>
      <c r="AK625" s="26"/>
      <c r="AL625" s="25" t="s">
        <v>650</v>
      </c>
      <c r="AM625" s="26"/>
      <c r="AN625" s="25">
        <v>4</v>
      </c>
      <c r="AO625" s="25" t="s">
        <v>32</v>
      </c>
      <c r="AP625" s="20">
        <f t="shared" si="283"/>
        <v>620</v>
      </c>
    </row>
    <row r="626" s="20" customFormat="1" customHeight="1" spans="1:42">
      <c r="A626" s="25">
        <v>5510182</v>
      </c>
      <c r="B626" s="25">
        <v>5301243</v>
      </c>
      <c r="C626" s="26">
        <v>2</v>
      </c>
      <c r="D626" s="26"/>
      <c r="E626" s="25" t="s">
        <v>218</v>
      </c>
      <c r="F626" s="26" t="str">
        <f t="shared" si="281"/>
        <v/>
      </c>
      <c r="G626" s="26" t="str">
        <f>IFERROR(IF(--MID($E626,2*COUNTIF($F626:F626,"&gt;"&amp;0)+2,1)=G$1,G$1,""),"")</f>
        <v/>
      </c>
      <c r="H626" s="26" t="str">
        <f>IFERROR(IF(--MID($E626,2*COUNTIF($F626:G626,"&gt;"&amp;0)+2,1)=H$1,H$1,""),"")</f>
        <v/>
      </c>
      <c r="I626" s="26" t="str">
        <f>IFERROR(IF(--MID($E626,2*COUNTIF($F626:H626,"&gt;"&amp;0)+2,1)=I$1,I$1,""),"")</f>
        <v/>
      </c>
      <c r="J626" s="26">
        <f>IFERROR(IF(--MID($E626,2*COUNTIF($F626:I626,"&gt;"&amp;0)+2,1)=J$1,J$1,""),"")</f>
        <v>5</v>
      </c>
      <c r="K626" s="26" t="str">
        <f>IFERROR(IF(--MID($E626,2*COUNTIF($F626:J626,"&gt;"&amp;0)+2,1)=K$1,K$1,""),"")</f>
        <v/>
      </c>
      <c r="L626" s="39" t="str" cm="1">
        <f t="array" ref="L626">IFERROR(IF($A626="","",IF(F626="","",_xlfn.XLOOKUP($C626&amp;"_"&amp;$AG626,符文权重!$A:$A&amp;"_"&amp;符文权重!$C:$C,符文权重!$D:$D)*$X626/SUMIFS($X:$X,F:F,F626,$C:$C,$C626,$AG:$AG,$AG626)/SUMIF(符文权重!$A:$A,$C626,符文权重!$D:$D))),"")</f>
        <v/>
      </c>
      <c r="M626" s="39" t="str" cm="1">
        <f t="array" ref="M626">IFERROR(IF($A626="","",IF(G626="","",_xlfn.XLOOKUP($C626&amp;"_"&amp;$AG626,符文权重!$A:$A&amp;"_"&amp;符文权重!$C:$C,符文权重!$D:$D)*$X626/SUMIFS($X:$X,G:G,G626,$C:$C,$C626,$AG:$AG,$AG626)/SUMIF(符文权重!$A:$A,$C626,符文权重!$D:$D))),"")</f>
        <v/>
      </c>
      <c r="N626" s="39" t="str" cm="1">
        <f t="array" ref="N626">IFERROR(IF($A626="","",IF(H626="","",_xlfn.XLOOKUP($C626&amp;"_"&amp;$AG626,符文权重!$A:$A&amp;"_"&amp;符文权重!$C:$C,符文权重!$D:$D)*$X626/SUMIFS($X:$X,H:H,H626,$C:$C,$C626,$AG:$AG,$AG626)/SUMIF(符文权重!$A:$A,$C626,符文权重!$D:$D))),"")</f>
        <v/>
      </c>
      <c r="O626" s="39" t="str" cm="1">
        <f t="array" ref="O626">IFERROR(IF($A626="","",IF(I626="","",_xlfn.XLOOKUP($C626&amp;"_"&amp;$AG626,符文权重!$A:$A&amp;"_"&amp;符文权重!$C:$C,符文权重!$D:$D)*$X626/SUMIFS($X:$X,I:I,I626,$C:$C,$C626,$AG:$AG,$AG626)/SUMIF(符文权重!$A:$A,$C626,符文权重!$D:$D))),"")</f>
        <v/>
      </c>
      <c r="P626" s="39" t="str" cm="1">
        <f t="array" ref="P626">IFERROR(IF($A626="","",IF(J626="","",_xlfn.XLOOKUP($C626&amp;"_"&amp;$AG626,符文权重!$A:$A&amp;"_"&amp;符文权重!$C:$C,符文权重!$D:$D)*$X626/SUMIFS($X:$X,J:J,J626,$C:$C,$C626,$AG:$AG,$AG626)/SUMIF(符文权重!$A:$A,$C626,符文权重!$D:$D))),"")</f>
        <v/>
      </c>
      <c r="Q626" s="39" t="str" cm="1">
        <f t="array" ref="Q626">IFERROR(IF($A626="","",IF(K626="","",_xlfn.XLOOKUP($C626&amp;"_"&amp;$AG626,符文权重!$A:$A&amp;"_"&amp;符文权重!$C:$C,符文权重!$D:$D)*$X626/SUMIFS($X:$X,K:K,K626,$C:$C,$C626,$AG:$AG,$AG626)/SUMIF(符文权重!$A:$A,$C626,符文权重!$D:$D))),"")</f>
        <v/>
      </c>
      <c r="R626" s="26" t="s">
        <v>330</v>
      </c>
      <c r="S626" s="26" t="s">
        <v>638</v>
      </c>
      <c r="T626" s="26" t="s">
        <v>383</v>
      </c>
      <c r="U626" s="20" t="s">
        <v>651</v>
      </c>
      <c r="V626" s="26"/>
      <c r="W626" s="25" t="s">
        <v>580</v>
      </c>
      <c r="X626" s="25">
        <v>100</v>
      </c>
      <c r="Y626" s="25"/>
      <c r="Z626" s="26" t="s">
        <v>170</v>
      </c>
      <c r="AA626" s="32" t="str">
        <f t="shared" si="284"/>
        <v>忍者鲨手有12%的概率额外扔出一发手里剑</v>
      </c>
      <c r="AB626" s="32"/>
      <c r="AC626" s="32" t="s">
        <v>166</v>
      </c>
      <c r="AD626" s="32">
        <f t="shared" si="282"/>
        <v>1621</v>
      </c>
      <c r="AE626" s="25">
        <v>5301243</v>
      </c>
      <c r="AF626" s="26" t="s">
        <v>454</v>
      </c>
      <c r="AG626" s="26">
        <v>100</v>
      </c>
      <c r="AH626" s="26"/>
      <c r="AI626" s="26">
        <v>1</v>
      </c>
      <c r="AJ626" s="26">
        <v>0</v>
      </c>
      <c r="AL626" s="26" t="s">
        <v>652</v>
      </c>
      <c r="AN626" s="25">
        <v>4</v>
      </c>
      <c r="AO626" s="25" t="s">
        <v>32</v>
      </c>
      <c r="AP626" s="20">
        <f t="shared" si="283"/>
        <v>621</v>
      </c>
    </row>
    <row r="627" s="20" customFormat="1" customHeight="1" spans="1:42">
      <c r="A627" s="25">
        <v>5510183</v>
      </c>
      <c r="B627" s="25">
        <v>5301243</v>
      </c>
      <c r="C627" s="25">
        <v>3</v>
      </c>
      <c r="D627" s="25"/>
      <c r="E627" s="25" t="s">
        <v>218</v>
      </c>
      <c r="F627" s="26" t="str">
        <f t="shared" si="281"/>
        <v/>
      </c>
      <c r="G627" s="26" t="str">
        <f>IFERROR(IF(--MID($E627,2*COUNTIF($F627:F627,"&gt;"&amp;0)+2,1)=G$1,G$1,""),"")</f>
        <v/>
      </c>
      <c r="H627" s="26" t="str">
        <f>IFERROR(IF(--MID($E627,2*COUNTIF($F627:G627,"&gt;"&amp;0)+2,1)=H$1,H$1,""),"")</f>
        <v/>
      </c>
      <c r="I627" s="26" t="str">
        <f>IFERROR(IF(--MID($E627,2*COUNTIF($F627:H627,"&gt;"&amp;0)+2,1)=I$1,I$1,""),"")</f>
        <v/>
      </c>
      <c r="J627" s="26">
        <f>IFERROR(IF(--MID($E627,2*COUNTIF($F627:I627,"&gt;"&amp;0)+2,1)=J$1,J$1,""),"")</f>
        <v>5</v>
      </c>
      <c r="K627" s="26" t="str">
        <f>IFERROR(IF(--MID($E627,2*COUNTIF($F627:J627,"&gt;"&amp;0)+2,1)=K$1,K$1,""),"")</f>
        <v/>
      </c>
      <c r="L627" s="39" t="str" cm="1">
        <f t="array" ref="L627">IFERROR(IF($A627="","",IF(F627="","",_xlfn.XLOOKUP($C627&amp;"_"&amp;$AG627,符文权重!$A:$A&amp;"_"&amp;符文权重!$C:$C,符文权重!$D:$D)*$X627/SUMIFS($X:$X,F:F,F627,$C:$C,$C627,$AG:$AG,$AG627)/SUMIF(符文权重!$A:$A,$C627,符文权重!$D:$D))),"")</f>
        <v/>
      </c>
      <c r="M627" s="39" t="str" cm="1">
        <f t="array" ref="M627">IFERROR(IF($A627="","",IF(G627="","",_xlfn.XLOOKUP($C627&amp;"_"&amp;$AG627,符文权重!$A:$A&amp;"_"&amp;符文权重!$C:$C,符文权重!$D:$D)*$X627/SUMIFS($X:$X,G:G,G627,$C:$C,$C627,$AG:$AG,$AG627)/SUMIF(符文权重!$A:$A,$C627,符文权重!$D:$D))),"")</f>
        <v/>
      </c>
      <c r="N627" s="39" t="str" cm="1">
        <f t="array" ref="N627">IFERROR(IF($A627="","",IF(H627="","",_xlfn.XLOOKUP($C627&amp;"_"&amp;$AG627,符文权重!$A:$A&amp;"_"&amp;符文权重!$C:$C,符文权重!$D:$D)*$X627/SUMIFS($X:$X,H:H,H627,$C:$C,$C627,$AG:$AG,$AG627)/SUMIF(符文权重!$A:$A,$C627,符文权重!$D:$D))),"")</f>
        <v/>
      </c>
      <c r="O627" s="39" t="str" cm="1">
        <f t="array" ref="O627">IFERROR(IF($A627="","",IF(I627="","",_xlfn.XLOOKUP($C627&amp;"_"&amp;$AG627,符文权重!$A:$A&amp;"_"&amp;符文权重!$C:$C,符文权重!$D:$D)*$X627/SUMIFS($X:$X,I:I,I627,$C:$C,$C627,$AG:$AG,$AG627)/SUMIF(符文权重!$A:$A,$C627,符文权重!$D:$D))),"")</f>
        <v/>
      </c>
      <c r="P627" s="39" cm="1">
        <f t="array" ref="P627">IFERROR(IF($A627="","",IF(J627="","",_xlfn.XLOOKUP($C627&amp;"_"&amp;$AG627,符文权重!$A:$A&amp;"_"&amp;符文权重!$C:$C,符文权重!$D:$D)*$X627/SUMIFS($X:$X,J:J,J627,$C:$C,$C627,$AG:$AG,$AG627)/SUMIF(符文权重!$A:$A,$C627,符文权重!$D:$D))),"")</f>
        <v>0.0125</v>
      </c>
      <c r="Q627" s="39" t="str" cm="1">
        <f t="array" ref="Q627">IFERROR(IF($A627="","",IF(K627="","",_xlfn.XLOOKUP($C627&amp;"_"&amp;$AG627,符文权重!$A:$A&amp;"_"&amp;符文权重!$C:$C,符文权重!$D:$D)*$X627/SUMIFS($X:$X,K:K,K627,$C:$C,$C627,$AG:$AG,$AG627)/SUMIF(符文权重!$A:$A,$C627,符文权重!$D:$D))),"")</f>
        <v/>
      </c>
      <c r="R627" s="25" t="s">
        <v>330</v>
      </c>
      <c r="S627" s="25" t="s">
        <v>638</v>
      </c>
      <c r="T627" s="25" t="s">
        <v>385</v>
      </c>
      <c r="U627" s="25" t="s">
        <v>653</v>
      </c>
      <c r="W627" s="25" t="s">
        <v>599</v>
      </c>
      <c r="X627" s="25">
        <v>100</v>
      </c>
      <c r="Z627" s="25" t="s">
        <v>172</v>
      </c>
      <c r="AA627" s="32" t="str">
        <f t="shared" si="284"/>
        <v>忍者鲨手有16%的概率额外扔出一发手里剑</v>
      </c>
      <c r="AB627" s="32"/>
      <c r="AC627" s="32" t="s">
        <v>166</v>
      </c>
      <c r="AD627" s="32">
        <f t="shared" si="282"/>
        <v>1622</v>
      </c>
      <c r="AE627" s="25">
        <v>5301243</v>
      </c>
      <c r="AF627" s="25" t="s">
        <v>654</v>
      </c>
      <c r="AG627" s="25">
        <v>4</v>
      </c>
      <c r="AJ627" s="25">
        <v>1</v>
      </c>
      <c r="AK627" s="26"/>
      <c r="AL627" s="25" t="s">
        <v>655</v>
      </c>
      <c r="AM627" s="26"/>
      <c r="AN627" s="25">
        <v>4</v>
      </c>
      <c r="AO627" s="25" t="s">
        <v>32</v>
      </c>
      <c r="AP627" s="20">
        <f t="shared" si="283"/>
        <v>622</v>
      </c>
    </row>
    <row r="628" s="20" customFormat="1" customHeight="1" spans="1:42">
      <c r="A628" s="25">
        <v>5510184</v>
      </c>
      <c r="B628" s="25">
        <v>5301243</v>
      </c>
      <c r="C628" s="25">
        <v>4</v>
      </c>
      <c r="D628" s="25"/>
      <c r="E628" s="25" t="s">
        <v>218</v>
      </c>
      <c r="F628" s="26" t="str">
        <f t="shared" si="281"/>
        <v/>
      </c>
      <c r="G628" s="26" t="str">
        <f>IFERROR(IF(--MID($E628,2*COUNTIF($F628:F628,"&gt;"&amp;0)+2,1)=G$1,G$1,""),"")</f>
        <v/>
      </c>
      <c r="H628" s="26" t="str">
        <f>IFERROR(IF(--MID($E628,2*COUNTIF($F628:G628,"&gt;"&amp;0)+2,1)=H$1,H$1,""),"")</f>
        <v/>
      </c>
      <c r="I628" s="26" t="str">
        <f>IFERROR(IF(--MID($E628,2*COUNTIF($F628:H628,"&gt;"&amp;0)+2,1)=I$1,I$1,""),"")</f>
        <v/>
      </c>
      <c r="J628" s="26">
        <f>IFERROR(IF(--MID($E628,2*COUNTIF($F628:I628,"&gt;"&amp;0)+2,1)=J$1,J$1,""),"")</f>
        <v>5</v>
      </c>
      <c r="K628" s="26" t="str">
        <f>IFERROR(IF(--MID($E628,2*COUNTIF($F628:J628,"&gt;"&amp;0)+2,1)=K$1,K$1,""),"")</f>
        <v/>
      </c>
      <c r="L628" s="39" t="str" cm="1">
        <f t="array" ref="L628">IFERROR(IF($A628="","",IF(F628="","",_xlfn.XLOOKUP($C628&amp;"_"&amp;$AG628,符文权重!$A:$A&amp;"_"&amp;符文权重!$C:$C,符文权重!$D:$D)*$X628/SUMIFS($X:$X,F:F,F628,$C:$C,$C628,$AG:$AG,$AG628)/SUMIF(符文权重!$A:$A,$C628,符文权重!$D:$D))),"")</f>
        <v/>
      </c>
      <c r="M628" s="39" t="str" cm="1">
        <f t="array" ref="M628">IFERROR(IF($A628="","",IF(G628="","",_xlfn.XLOOKUP($C628&amp;"_"&amp;$AG628,符文权重!$A:$A&amp;"_"&amp;符文权重!$C:$C,符文权重!$D:$D)*$X628/SUMIFS($X:$X,G:G,G628,$C:$C,$C628,$AG:$AG,$AG628)/SUMIF(符文权重!$A:$A,$C628,符文权重!$D:$D))),"")</f>
        <v/>
      </c>
      <c r="N628" s="39" t="str" cm="1">
        <f t="array" ref="N628">IFERROR(IF($A628="","",IF(H628="","",_xlfn.XLOOKUP($C628&amp;"_"&amp;$AG628,符文权重!$A:$A&amp;"_"&amp;符文权重!$C:$C,符文权重!$D:$D)*$X628/SUMIFS($X:$X,H:H,H628,$C:$C,$C628,$AG:$AG,$AG628)/SUMIF(符文权重!$A:$A,$C628,符文权重!$D:$D))),"")</f>
        <v/>
      </c>
      <c r="O628" s="39" t="str" cm="1">
        <f t="array" ref="O628">IFERROR(IF($A628="","",IF(I628="","",_xlfn.XLOOKUP($C628&amp;"_"&amp;$AG628,符文权重!$A:$A&amp;"_"&amp;符文权重!$C:$C,符文权重!$D:$D)*$X628/SUMIFS($X:$X,I:I,I628,$C:$C,$C628,$AG:$AG,$AG628)/SUMIF(符文权重!$A:$A,$C628,符文权重!$D:$D))),"")</f>
        <v/>
      </c>
      <c r="P628" s="39" cm="1">
        <f t="array" ref="P628">IFERROR(IF($A628="","",IF(J628="","",_xlfn.XLOOKUP($C628&amp;"_"&amp;$AG628,符文权重!$A:$A&amp;"_"&amp;符文权重!$C:$C,符文权重!$D:$D)*$X628/SUMIFS($X:$X,J:J,J628,$C:$C,$C628,$AG:$AG,$AG628)/SUMIF(符文权重!$A:$A,$C628,符文权重!$D:$D))),"")</f>
        <v>0.0119047619047619</v>
      </c>
      <c r="Q628" s="39" t="str" cm="1">
        <f t="array" ref="Q628">IFERROR(IF($A628="","",IF(K628="","",_xlfn.XLOOKUP($C628&amp;"_"&amp;$AG628,符文权重!$A:$A&amp;"_"&amp;符文权重!$C:$C,符文权重!$D:$D)*$X628/SUMIFS($X:$X,K:K,K628,$C:$C,$C628,$AG:$AG,$AG628)/SUMIF(符文权重!$A:$A,$C628,符文权重!$D:$D))),"")</f>
        <v/>
      </c>
      <c r="R628" s="25" t="s">
        <v>330</v>
      </c>
      <c r="S628" s="25" t="s">
        <v>638</v>
      </c>
      <c r="T628" s="25" t="s">
        <v>388</v>
      </c>
      <c r="U628" s="25" t="s">
        <v>656</v>
      </c>
      <c r="W628" s="25" t="s">
        <v>602</v>
      </c>
      <c r="X628" s="25">
        <v>100</v>
      </c>
      <c r="Z628" s="25" t="s">
        <v>174</v>
      </c>
      <c r="AA628" s="32" t="str">
        <f t="shared" si="284"/>
        <v>忍者鲨手有20%的概率额外扔出一发手里剑</v>
      </c>
      <c r="AB628" s="32"/>
      <c r="AC628" s="32" t="s">
        <v>166</v>
      </c>
      <c r="AD628" s="32">
        <f t="shared" si="282"/>
        <v>1623</v>
      </c>
      <c r="AE628" s="25">
        <v>5301243</v>
      </c>
      <c r="AF628" s="25" t="s">
        <v>396</v>
      </c>
      <c r="AG628" s="25">
        <v>4</v>
      </c>
      <c r="AJ628" s="25">
        <v>1</v>
      </c>
      <c r="AK628" s="26"/>
      <c r="AL628" s="25" t="s">
        <v>657</v>
      </c>
      <c r="AM628" s="26"/>
      <c r="AN628" s="25">
        <v>4</v>
      </c>
      <c r="AO628" s="25" t="s">
        <v>32</v>
      </c>
      <c r="AP628" s="20">
        <f t="shared" si="283"/>
        <v>623</v>
      </c>
    </row>
    <row r="629" s="20" customFormat="1" customHeight="1" spans="1:42">
      <c r="A629" s="25">
        <v>5510192</v>
      </c>
      <c r="B629" s="25">
        <v>5301245</v>
      </c>
      <c r="C629" s="26">
        <v>2</v>
      </c>
      <c r="D629" s="26"/>
      <c r="E629" s="25" t="s">
        <v>209</v>
      </c>
      <c r="F629" s="26" t="str">
        <f t="shared" si="281"/>
        <v/>
      </c>
      <c r="G629" s="26" t="str">
        <f>IFERROR(IF(--MID($E629,2*COUNTIF($F629:F629,"&gt;"&amp;0)+2,1)=G$1,G$1,""),"")</f>
        <v/>
      </c>
      <c r="H629" s="26" t="str">
        <f>IFERROR(IF(--MID($E629,2*COUNTIF($F629:G629,"&gt;"&amp;0)+2,1)=H$1,H$1,""),"")</f>
        <v/>
      </c>
      <c r="I629" s="26" t="str">
        <f>IFERROR(IF(--MID($E629,2*COUNTIF($F629:H629,"&gt;"&amp;0)+2,1)=I$1,I$1,""),"")</f>
        <v/>
      </c>
      <c r="J629" s="26" t="str">
        <f>IFERROR(IF(--MID($E629,2*COUNTIF($F629:I629,"&gt;"&amp;0)+2,1)=J$1,J$1,""),"")</f>
        <v/>
      </c>
      <c r="K629" s="26">
        <f>IFERROR(IF(--MID($E629,2*COUNTIF($F629:J629,"&gt;"&amp;0)+2,1)=K$1,K$1,""),"")</f>
        <v>6</v>
      </c>
      <c r="L629" s="39" t="str" cm="1">
        <f t="array" ref="L629">IFERROR(IF($A629="","",IF(F629="","",_xlfn.XLOOKUP($C629&amp;"_"&amp;$AG629,符文权重!$A:$A&amp;"_"&amp;符文权重!$C:$C,符文权重!$D:$D)*$X629/SUMIFS($X:$X,F:F,F629,$C:$C,$C629,$AG:$AG,$AG629)/SUMIF(符文权重!$A:$A,$C629,符文权重!$D:$D))),"")</f>
        <v/>
      </c>
      <c r="M629" s="39" t="str" cm="1">
        <f t="array" ref="M629">IFERROR(IF($A629="","",IF(G629="","",_xlfn.XLOOKUP($C629&amp;"_"&amp;$AG629,符文权重!$A:$A&amp;"_"&amp;符文权重!$C:$C,符文权重!$D:$D)*$X629/SUMIFS($X:$X,G:G,G629,$C:$C,$C629,$AG:$AG,$AG629)/SUMIF(符文权重!$A:$A,$C629,符文权重!$D:$D))),"")</f>
        <v/>
      </c>
      <c r="N629" s="39" t="str" cm="1">
        <f t="array" ref="N629">IFERROR(IF($A629="","",IF(H629="","",_xlfn.XLOOKUP($C629&amp;"_"&amp;$AG629,符文权重!$A:$A&amp;"_"&amp;符文权重!$C:$C,符文权重!$D:$D)*$X629/SUMIFS($X:$X,H:H,H629,$C:$C,$C629,$AG:$AG,$AG629)/SUMIF(符文权重!$A:$A,$C629,符文权重!$D:$D))),"")</f>
        <v/>
      </c>
      <c r="O629" s="39" t="str" cm="1">
        <f t="array" ref="O629">IFERROR(IF($A629="","",IF(I629="","",_xlfn.XLOOKUP($C629&amp;"_"&amp;$AG629,符文权重!$A:$A&amp;"_"&amp;符文权重!$C:$C,符文权重!$D:$D)*$X629/SUMIFS($X:$X,I:I,I629,$C:$C,$C629,$AG:$AG,$AG629)/SUMIF(符文权重!$A:$A,$C629,符文权重!$D:$D))),"")</f>
        <v/>
      </c>
      <c r="P629" s="39" t="str" cm="1">
        <f t="array" ref="P629">IFERROR(IF($A629="","",IF(J629="","",_xlfn.XLOOKUP($C629&amp;"_"&amp;$AG629,符文权重!$A:$A&amp;"_"&amp;符文权重!$C:$C,符文权重!$D:$D)*$X629/SUMIFS($X:$X,J:J,J629,$C:$C,$C629,$AG:$AG,$AG629)/SUMIF(符文权重!$A:$A,$C629,符文权重!$D:$D))),"")</f>
        <v/>
      </c>
      <c r="Q629" s="39" t="str" cm="1">
        <f t="array" ref="Q629">IFERROR(IF($A629="","",IF(K629="","",_xlfn.XLOOKUP($C629&amp;"_"&amp;$AG629,符文权重!$A:$A&amp;"_"&amp;符文权重!$C:$C,符文权重!$D:$D)*$X629/SUMIFS($X:$X,K:K,K629,$C:$C,$C629,$AG:$AG,$AG629)/SUMIF(符文权重!$A:$A,$C629,符文权重!$D:$D))),"")</f>
        <v/>
      </c>
      <c r="R629" s="26" t="s">
        <v>330</v>
      </c>
      <c r="S629" s="26" t="s">
        <v>658</v>
      </c>
      <c r="T629" s="26" t="s">
        <v>383</v>
      </c>
      <c r="U629" s="20" t="s">
        <v>659</v>
      </c>
      <c r="V629" s="26"/>
      <c r="W629" s="25" t="s">
        <v>574</v>
      </c>
      <c r="X629" s="25">
        <v>100</v>
      </c>
      <c r="Y629" s="25"/>
      <c r="Z629" s="26" t="s">
        <v>170</v>
      </c>
      <c r="AA629" s="32" t="str">
        <f t="shared" si="284"/>
        <v>甜心护士额外发射1个针筒</v>
      </c>
      <c r="AB629" s="32"/>
      <c r="AC629" s="32" t="s">
        <v>166</v>
      </c>
      <c r="AD629" s="32">
        <f t="shared" si="282"/>
        <v>1624</v>
      </c>
      <c r="AE629" s="25">
        <v>5301245</v>
      </c>
      <c r="AF629" s="26" t="s">
        <v>191</v>
      </c>
      <c r="AG629" s="26">
        <v>100</v>
      </c>
      <c r="AH629" s="26"/>
      <c r="AI629" s="26">
        <v>1</v>
      </c>
      <c r="AJ629" s="26">
        <v>0</v>
      </c>
      <c r="AL629" s="26" t="s">
        <v>660</v>
      </c>
      <c r="AN629" s="25">
        <v>4</v>
      </c>
      <c r="AO629" s="25" t="s">
        <v>32</v>
      </c>
      <c r="AP629" s="20">
        <f t="shared" si="283"/>
        <v>624</v>
      </c>
    </row>
    <row r="630" s="20" customFormat="1" customHeight="1" spans="1:42">
      <c r="A630" s="25">
        <v>5510193</v>
      </c>
      <c r="B630" s="25">
        <v>5301245</v>
      </c>
      <c r="C630" s="25">
        <v>3</v>
      </c>
      <c r="D630" s="25"/>
      <c r="E630" s="25" t="s">
        <v>209</v>
      </c>
      <c r="F630" s="26" t="str">
        <f t="shared" si="281"/>
        <v/>
      </c>
      <c r="G630" s="26" t="str">
        <f>IFERROR(IF(--MID($E630,2*COUNTIF($F630:F630,"&gt;"&amp;0)+2,1)=G$1,G$1,""),"")</f>
        <v/>
      </c>
      <c r="H630" s="26" t="str">
        <f>IFERROR(IF(--MID($E630,2*COUNTIF($F630:G630,"&gt;"&amp;0)+2,1)=H$1,H$1,""),"")</f>
        <v/>
      </c>
      <c r="I630" s="26" t="str">
        <f>IFERROR(IF(--MID($E630,2*COUNTIF($F630:H630,"&gt;"&amp;0)+2,1)=I$1,I$1,""),"")</f>
        <v/>
      </c>
      <c r="J630" s="26" t="str">
        <f>IFERROR(IF(--MID($E630,2*COUNTIF($F630:I630,"&gt;"&amp;0)+2,1)=J$1,J$1,""),"")</f>
        <v/>
      </c>
      <c r="K630" s="26">
        <f>IFERROR(IF(--MID($E630,2*COUNTIF($F630:J630,"&gt;"&amp;0)+2,1)=K$1,K$1,""),"")</f>
        <v>6</v>
      </c>
      <c r="L630" s="39" t="str" cm="1">
        <f t="array" ref="L630">IFERROR(IF($A630="","",IF(F630="","",_xlfn.XLOOKUP($C630&amp;"_"&amp;$AG630,符文权重!$A:$A&amp;"_"&amp;符文权重!$C:$C,符文权重!$D:$D)*$X630/SUMIFS($X:$X,F:F,F630,$C:$C,$C630,$AG:$AG,$AG630)/SUMIF(符文权重!$A:$A,$C630,符文权重!$D:$D))),"")</f>
        <v/>
      </c>
      <c r="M630" s="39" t="str" cm="1">
        <f t="array" ref="M630">IFERROR(IF($A630="","",IF(G630="","",_xlfn.XLOOKUP($C630&amp;"_"&amp;$AG630,符文权重!$A:$A&amp;"_"&amp;符文权重!$C:$C,符文权重!$D:$D)*$X630/SUMIFS($X:$X,G:G,G630,$C:$C,$C630,$AG:$AG,$AG630)/SUMIF(符文权重!$A:$A,$C630,符文权重!$D:$D))),"")</f>
        <v/>
      </c>
      <c r="N630" s="39" t="str" cm="1">
        <f t="array" ref="N630">IFERROR(IF($A630="","",IF(H630="","",_xlfn.XLOOKUP($C630&amp;"_"&amp;$AG630,符文权重!$A:$A&amp;"_"&amp;符文权重!$C:$C,符文权重!$D:$D)*$X630/SUMIFS($X:$X,H:H,H630,$C:$C,$C630,$AG:$AG,$AG630)/SUMIF(符文权重!$A:$A,$C630,符文权重!$D:$D))),"")</f>
        <v/>
      </c>
      <c r="O630" s="39" t="str" cm="1">
        <f t="array" ref="O630">IFERROR(IF($A630="","",IF(I630="","",_xlfn.XLOOKUP($C630&amp;"_"&amp;$AG630,符文权重!$A:$A&amp;"_"&amp;符文权重!$C:$C,符文权重!$D:$D)*$X630/SUMIFS($X:$X,I:I,I630,$C:$C,$C630,$AG:$AG,$AG630)/SUMIF(符文权重!$A:$A,$C630,符文权重!$D:$D))),"")</f>
        <v/>
      </c>
      <c r="P630" s="39" t="str" cm="1">
        <f t="array" ref="P630">IFERROR(IF($A630="","",IF(J630="","",_xlfn.XLOOKUP($C630&amp;"_"&amp;$AG630,符文权重!$A:$A&amp;"_"&amp;符文权重!$C:$C,符文权重!$D:$D)*$X630/SUMIFS($X:$X,J:J,J630,$C:$C,$C630,$AG:$AG,$AG630)/SUMIF(符文权重!$A:$A,$C630,符文权重!$D:$D))),"")</f>
        <v/>
      </c>
      <c r="Q630" s="39" cm="1">
        <f t="array" ref="Q630">IFERROR(IF($A630="","",IF(K630="","",_xlfn.XLOOKUP($C630&amp;"_"&amp;$AG630,符文权重!$A:$A&amp;"_"&amp;符文权重!$C:$C,符文权重!$D:$D)*$X630/SUMIFS($X:$X,K:K,K630,$C:$C,$C630,$AG:$AG,$AG630)/SUMIF(符文权重!$A:$A,$C630,符文权重!$D:$D))),"")</f>
        <v>0.0166666666666667</v>
      </c>
      <c r="R630" s="25" t="s">
        <v>330</v>
      </c>
      <c r="S630" s="25" t="s">
        <v>658</v>
      </c>
      <c r="T630" s="25" t="s">
        <v>385</v>
      </c>
      <c r="U630" s="25" t="s">
        <v>661</v>
      </c>
      <c r="W630" s="25" t="s">
        <v>577</v>
      </c>
      <c r="X630" s="25">
        <v>100</v>
      </c>
      <c r="Z630" s="25" t="s">
        <v>172</v>
      </c>
      <c r="AA630" s="32" t="str">
        <f t="shared" si="284"/>
        <v>甜心护士额外发射2个针筒</v>
      </c>
      <c r="AB630" s="32"/>
      <c r="AC630" s="32" t="s">
        <v>166</v>
      </c>
      <c r="AD630" s="32">
        <f t="shared" si="282"/>
        <v>1625</v>
      </c>
      <c r="AE630" s="25">
        <v>5301245</v>
      </c>
      <c r="AF630" s="25" t="s">
        <v>200</v>
      </c>
      <c r="AG630" s="25">
        <v>4</v>
      </c>
      <c r="AJ630" s="25">
        <v>1</v>
      </c>
      <c r="AK630" s="26"/>
      <c r="AL630" s="25" t="s">
        <v>662</v>
      </c>
      <c r="AM630" s="26"/>
      <c r="AN630" s="25">
        <v>4</v>
      </c>
      <c r="AO630" s="25" t="s">
        <v>32</v>
      </c>
      <c r="AP630" s="20">
        <f t="shared" si="283"/>
        <v>625</v>
      </c>
    </row>
    <row r="631" s="20" customFormat="1" customHeight="1" spans="1:42">
      <c r="A631" s="25">
        <v>5510194</v>
      </c>
      <c r="B631" s="25">
        <v>5301245</v>
      </c>
      <c r="C631" s="25">
        <v>4</v>
      </c>
      <c r="D631" s="25"/>
      <c r="E631" s="25" t="s">
        <v>209</v>
      </c>
      <c r="F631" s="26" t="str">
        <f t="shared" si="281"/>
        <v/>
      </c>
      <c r="G631" s="26" t="str">
        <f>IFERROR(IF(--MID($E631,2*COUNTIF($F631:F631,"&gt;"&amp;0)+2,1)=G$1,G$1,""),"")</f>
        <v/>
      </c>
      <c r="H631" s="26" t="str">
        <f>IFERROR(IF(--MID($E631,2*COUNTIF($F631:G631,"&gt;"&amp;0)+2,1)=H$1,H$1,""),"")</f>
        <v/>
      </c>
      <c r="I631" s="26" t="str">
        <f>IFERROR(IF(--MID($E631,2*COUNTIF($F631:H631,"&gt;"&amp;0)+2,1)=I$1,I$1,""),"")</f>
        <v/>
      </c>
      <c r="J631" s="26" t="str">
        <f>IFERROR(IF(--MID($E631,2*COUNTIF($F631:I631,"&gt;"&amp;0)+2,1)=J$1,J$1,""),"")</f>
        <v/>
      </c>
      <c r="K631" s="26">
        <f>IFERROR(IF(--MID($E631,2*COUNTIF($F631:J631,"&gt;"&amp;0)+2,1)=K$1,K$1,""),"")</f>
        <v>6</v>
      </c>
      <c r="L631" s="39" t="str" cm="1">
        <f t="array" ref="L631">IFERROR(IF($A631="","",IF(F631="","",_xlfn.XLOOKUP($C631&amp;"_"&amp;$AG631,符文权重!$A:$A&amp;"_"&amp;符文权重!$C:$C,符文权重!$D:$D)*$X631/SUMIFS($X:$X,F:F,F631,$C:$C,$C631,$AG:$AG,$AG631)/SUMIF(符文权重!$A:$A,$C631,符文权重!$D:$D))),"")</f>
        <v/>
      </c>
      <c r="M631" s="39" t="str" cm="1">
        <f t="array" ref="M631">IFERROR(IF($A631="","",IF(G631="","",_xlfn.XLOOKUP($C631&amp;"_"&amp;$AG631,符文权重!$A:$A&amp;"_"&amp;符文权重!$C:$C,符文权重!$D:$D)*$X631/SUMIFS($X:$X,G:G,G631,$C:$C,$C631,$AG:$AG,$AG631)/SUMIF(符文权重!$A:$A,$C631,符文权重!$D:$D))),"")</f>
        <v/>
      </c>
      <c r="N631" s="39" t="str" cm="1">
        <f t="array" ref="N631">IFERROR(IF($A631="","",IF(H631="","",_xlfn.XLOOKUP($C631&amp;"_"&amp;$AG631,符文权重!$A:$A&amp;"_"&amp;符文权重!$C:$C,符文权重!$D:$D)*$X631/SUMIFS($X:$X,H:H,H631,$C:$C,$C631,$AG:$AG,$AG631)/SUMIF(符文权重!$A:$A,$C631,符文权重!$D:$D))),"")</f>
        <v/>
      </c>
      <c r="O631" s="39" t="str" cm="1">
        <f t="array" ref="O631">IFERROR(IF($A631="","",IF(I631="","",_xlfn.XLOOKUP($C631&amp;"_"&amp;$AG631,符文权重!$A:$A&amp;"_"&amp;符文权重!$C:$C,符文权重!$D:$D)*$X631/SUMIFS($X:$X,I:I,I631,$C:$C,$C631,$AG:$AG,$AG631)/SUMIF(符文权重!$A:$A,$C631,符文权重!$D:$D))),"")</f>
        <v/>
      </c>
      <c r="P631" s="39" t="str" cm="1">
        <f t="array" ref="P631">IFERROR(IF($A631="","",IF(J631="","",_xlfn.XLOOKUP($C631&amp;"_"&amp;$AG631,符文权重!$A:$A&amp;"_"&amp;符文权重!$C:$C,符文权重!$D:$D)*$X631/SUMIFS($X:$X,J:J,J631,$C:$C,$C631,$AG:$AG,$AG631)/SUMIF(符文权重!$A:$A,$C631,符文权重!$D:$D))),"")</f>
        <v/>
      </c>
      <c r="Q631" s="39" cm="1">
        <f t="array" ref="Q631">IFERROR(IF($A631="","",IF(K631="","",_xlfn.XLOOKUP($C631&amp;"_"&amp;$AG631,符文权重!$A:$A&amp;"_"&amp;符文权重!$C:$C,符文权重!$D:$D)*$X631/SUMIFS($X:$X,K:K,K631,$C:$C,$C631,$AG:$AG,$AG631)/SUMIF(符文权重!$A:$A,$C631,符文权重!$D:$D))),"")</f>
        <v>0.015625</v>
      </c>
      <c r="R631" s="25" t="s">
        <v>330</v>
      </c>
      <c r="S631" s="25" t="s">
        <v>658</v>
      </c>
      <c r="T631" s="25" t="s">
        <v>388</v>
      </c>
      <c r="U631" s="25" t="s">
        <v>663</v>
      </c>
      <c r="W631" s="25" t="s">
        <v>580</v>
      </c>
      <c r="X631" s="25">
        <v>100</v>
      </c>
      <c r="Z631" s="25" t="s">
        <v>174</v>
      </c>
      <c r="AA631" s="32" t="str">
        <f t="shared" si="284"/>
        <v>甜心护士额外发射3个针筒</v>
      </c>
      <c r="AB631" s="32"/>
      <c r="AC631" s="32" t="s">
        <v>166</v>
      </c>
      <c r="AD631" s="32">
        <f t="shared" si="282"/>
        <v>1626</v>
      </c>
      <c r="AE631" s="25">
        <v>5301245</v>
      </c>
      <c r="AF631" s="25" t="s">
        <v>182</v>
      </c>
      <c r="AG631" s="25">
        <v>4</v>
      </c>
      <c r="AJ631" s="25">
        <v>1</v>
      </c>
      <c r="AK631" s="26"/>
      <c r="AL631" s="25" t="s">
        <v>664</v>
      </c>
      <c r="AM631" s="26"/>
      <c r="AN631" s="25">
        <v>4</v>
      </c>
      <c r="AO631" s="25" t="s">
        <v>32</v>
      </c>
      <c r="AP631" s="20">
        <f t="shared" si="283"/>
        <v>626</v>
      </c>
    </row>
    <row r="632" s="20" customFormat="1" customHeight="1" spans="1:42">
      <c r="A632" s="25">
        <v>5510202</v>
      </c>
      <c r="B632" s="25">
        <v>5301246</v>
      </c>
      <c r="C632" s="26">
        <v>2</v>
      </c>
      <c r="D632" s="26"/>
      <c r="E632" s="25" t="s">
        <v>191</v>
      </c>
      <c r="F632" s="26">
        <f t="shared" si="281"/>
        <v>1</v>
      </c>
      <c r="G632" s="26" t="str">
        <f>IFERROR(IF(--MID($E632,2*COUNTIF($F632:F632,"&gt;"&amp;0)+2,1)=G$1,G$1,""),"")</f>
        <v/>
      </c>
      <c r="H632" s="26" t="str">
        <f>IFERROR(IF(--MID($E632,2*COUNTIF($F632:G632,"&gt;"&amp;0)+2,1)=H$1,H$1,""),"")</f>
        <v/>
      </c>
      <c r="I632" s="26" t="str">
        <f>IFERROR(IF(--MID($E632,2*COUNTIF($F632:H632,"&gt;"&amp;0)+2,1)=I$1,I$1,""),"")</f>
        <v/>
      </c>
      <c r="J632" s="26" t="str">
        <f>IFERROR(IF(--MID($E632,2*COUNTIF($F632:I632,"&gt;"&amp;0)+2,1)=J$1,J$1,""),"")</f>
        <v/>
      </c>
      <c r="K632" s="26" t="str">
        <f>IFERROR(IF(--MID($E632,2*COUNTIF($F632:J632,"&gt;"&amp;0)+2,1)=K$1,K$1,""),"")</f>
        <v/>
      </c>
      <c r="L632" s="39" t="str" cm="1">
        <f t="array" ref="L632">IFERROR(IF($A632="","",IF(F632="","",_xlfn.XLOOKUP($C632&amp;"_"&amp;$AG632,符文权重!$A:$A&amp;"_"&amp;符文权重!$C:$C,符文权重!$D:$D)*$X632/SUMIFS($X:$X,F:F,F632,$C:$C,$C632,$AG:$AG,$AG632)/SUMIF(符文权重!$A:$A,$C632,符文权重!$D:$D))),"")</f>
        <v/>
      </c>
      <c r="M632" s="39" t="str" cm="1">
        <f t="array" ref="M632">IFERROR(IF($A632="","",IF(G632="","",_xlfn.XLOOKUP($C632&amp;"_"&amp;$AG632,符文权重!$A:$A&amp;"_"&amp;符文权重!$C:$C,符文权重!$D:$D)*$X632/SUMIFS($X:$X,G:G,G632,$C:$C,$C632,$AG:$AG,$AG632)/SUMIF(符文权重!$A:$A,$C632,符文权重!$D:$D))),"")</f>
        <v/>
      </c>
      <c r="N632" s="39" t="str" cm="1">
        <f t="array" ref="N632">IFERROR(IF($A632="","",IF(H632="","",_xlfn.XLOOKUP($C632&amp;"_"&amp;$AG632,符文权重!$A:$A&amp;"_"&amp;符文权重!$C:$C,符文权重!$D:$D)*$X632/SUMIFS($X:$X,H:H,H632,$C:$C,$C632,$AG:$AG,$AG632)/SUMIF(符文权重!$A:$A,$C632,符文权重!$D:$D))),"")</f>
        <v/>
      </c>
      <c r="O632" s="39" t="str" cm="1">
        <f t="array" ref="O632">IFERROR(IF($A632="","",IF(I632="","",_xlfn.XLOOKUP($C632&amp;"_"&amp;$AG632,符文权重!$A:$A&amp;"_"&amp;符文权重!$C:$C,符文权重!$D:$D)*$X632/SUMIFS($X:$X,I:I,I632,$C:$C,$C632,$AG:$AG,$AG632)/SUMIF(符文权重!$A:$A,$C632,符文权重!$D:$D))),"")</f>
        <v/>
      </c>
      <c r="P632" s="39" t="str" cm="1">
        <f t="array" ref="P632">IFERROR(IF($A632="","",IF(J632="","",_xlfn.XLOOKUP($C632&amp;"_"&amp;$AG632,符文权重!$A:$A&amp;"_"&amp;符文权重!$C:$C,符文权重!$D:$D)*$X632/SUMIFS($X:$X,J:J,J632,$C:$C,$C632,$AG:$AG,$AG632)/SUMIF(符文权重!$A:$A,$C632,符文权重!$D:$D))),"")</f>
        <v/>
      </c>
      <c r="Q632" s="39" t="str" cm="1">
        <f t="array" ref="Q632">IFERROR(IF($A632="","",IF(K632="","",_xlfn.XLOOKUP($C632&amp;"_"&amp;$AG632,符文权重!$A:$A&amp;"_"&amp;符文权重!$C:$C,符文权重!$D:$D)*$X632/SUMIFS($X:$X,K:K,K632,$C:$C,$C632,$AG:$AG,$AG632)/SUMIF(符文权重!$A:$A,$C632,符文权重!$D:$D))),"")</f>
        <v/>
      </c>
      <c r="R632" s="26" t="s">
        <v>330</v>
      </c>
      <c r="S632" s="26" t="s">
        <v>658</v>
      </c>
      <c r="T632" s="26" t="s">
        <v>383</v>
      </c>
      <c r="U632" s="20" t="s">
        <v>665</v>
      </c>
      <c r="V632" s="26"/>
      <c r="W632" s="25" t="s">
        <v>574</v>
      </c>
      <c r="X632" s="25">
        <v>100</v>
      </c>
      <c r="Y632" s="25"/>
      <c r="Z632" s="26" t="s">
        <v>170</v>
      </c>
      <c r="AA632" s="32" t="str">
        <f t="shared" si="284"/>
        <v>甜心护士医疗包治疗效果+20%</v>
      </c>
      <c r="AB632" s="32"/>
      <c r="AC632" s="32" t="s">
        <v>166</v>
      </c>
      <c r="AD632" s="32">
        <f t="shared" si="282"/>
        <v>1627</v>
      </c>
      <c r="AE632" s="25">
        <v>5301246</v>
      </c>
      <c r="AF632" s="26" t="s">
        <v>396</v>
      </c>
      <c r="AG632" s="26">
        <v>100</v>
      </c>
      <c r="AH632" s="26"/>
      <c r="AI632" s="26">
        <v>1</v>
      </c>
      <c r="AJ632" s="26">
        <v>0</v>
      </c>
      <c r="AL632" s="26" t="s">
        <v>666</v>
      </c>
      <c r="AN632" s="25">
        <v>4</v>
      </c>
      <c r="AO632" s="25" t="s">
        <v>32</v>
      </c>
      <c r="AP632" s="20">
        <f t="shared" si="283"/>
        <v>627</v>
      </c>
    </row>
    <row r="633" s="20" customFormat="1" customHeight="1" spans="1:42">
      <c r="A633" s="25">
        <v>5510203</v>
      </c>
      <c r="B633" s="25">
        <v>5301246</v>
      </c>
      <c r="C633" s="25">
        <v>3</v>
      </c>
      <c r="D633" s="25"/>
      <c r="E633" s="25" t="s">
        <v>191</v>
      </c>
      <c r="F633" s="26">
        <f t="shared" si="281"/>
        <v>1</v>
      </c>
      <c r="G633" s="26" t="str">
        <f>IFERROR(IF(--MID($E633,2*COUNTIF($F633:F633,"&gt;"&amp;0)+2,1)=G$1,G$1,""),"")</f>
        <v/>
      </c>
      <c r="H633" s="26" t="str">
        <f>IFERROR(IF(--MID($E633,2*COUNTIF($F633:G633,"&gt;"&amp;0)+2,1)=H$1,H$1,""),"")</f>
        <v/>
      </c>
      <c r="I633" s="26" t="str">
        <f>IFERROR(IF(--MID($E633,2*COUNTIF($F633:H633,"&gt;"&amp;0)+2,1)=I$1,I$1,""),"")</f>
        <v/>
      </c>
      <c r="J633" s="26" t="str">
        <f>IFERROR(IF(--MID($E633,2*COUNTIF($F633:I633,"&gt;"&amp;0)+2,1)=J$1,J$1,""),"")</f>
        <v/>
      </c>
      <c r="K633" s="26" t="str">
        <f>IFERROR(IF(--MID($E633,2*COUNTIF($F633:J633,"&gt;"&amp;0)+2,1)=K$1,K$1,""),"")</f>
        <v/>
      </c>
      <c r="L633" s="39" cm="1">
        <f t="array" ref="L633">IFERROR(IF($A633="","",IF(F633="","",_xlfn.XLOOKUP($C633&amp;"_"&amp;$AG633,符文权重!$A:$A&amp;"_"&amp;符文权重!$C:$C,符文权重!$D:$D)*$X633/SUMIFS($X:$X,F:F,F633,$C:$C,$C633,$AG:$AG,$AG633)/SUMIF(符文权重!$A:$A,$C633,符文权重!$D:$D))),"")</f>
        <v>0.025</v>
      </c>
      <c r="M633" s="39" t="str" cm="1">
        <f t="array" ref="M633">IFERROR(IF($A633="","",IF(G633="","",_xlfn.XLOOKUP($C633&amp;"_"&amp;$AG633,符文权重!$A:$A&amp;"_"&amp;符文权重!$C:$C,符文权重!$D:$D)*$X633/SUMIFS($X:$X,G:G,G633,$C:$C,$C633,$AG:$AG,$AG633)/SUMIF(符文权重!$A:$A,$C633,符文权重!$D:$D))),"")</f>
        <v/>
      </c>
      <c r="N633" s="39" t="str" cm="1">
        <f t="array" ref="N633">IFERROR(IF($A633="","",IF(H633="","",_xlfn.XLOOKUP($C633&amp;"_"&amp;$AG633,符文权重!$A:$A&amp;"_"&amp;符文权重!$C:$C,符文权重!$D:$D)*$X633/SUMIFS($X:$X,H:H,H633,$C:$C,$C633,$AG:$AG,$AG633)/SUMIF(符文权重!$A:$A,$C633,符文权重!$D:$D))),"")</f>
        <v/>
      </c>
      <c r="O633" s="39" t="str" cm="1">
        <f t="array" ref="O633">IFERROR(IF($A633="","",IF(I633="","",_xlfn.XLOOKUP($C633&amp;"_"&amp;$AG633,符文权重!$A:$A&amp;"_"&amp;符文权重!$C:$C,符文权重!$D:$D)*$X633/SUMIFS($X:$X,I:I,I633,$C:$C,$C633,$AG:$AG,$AG633)/SUMIF(符文权重!$A:$A,$C633,符文权重!$D:$D))),"")</f>
        <v/>
      </c>
      <c r="P633" s="39" t="str" cm="1">
        <f t="array" ref="P633">IFERROR(IF($A633="","",IF(J633="","",_xlfn.XLOOKUP($C633&amp;"_"&amp;$AG633,符文权重!$A:$A&amp;"_"&amp;符文权重!$C:$C,符文权重!$D:$D)*$X633/SUMIFS($X:$X,J:J,J633,$C:$C,$C633,$AG:$AG,$AG633)/SUMIF(符文权重!$A:$A,$C633,符文权重!$D:$D))),"")</f>
        <v/>
      </c>
      <c r="Q633" s="39" t="str" cm="1">
        <f t="array" ref="Q633">IFERROR(IF($A633="","",IF(K633="","",_xlfn.XLOOKUP($C633&amp;"_"&amp;$AG633,符文权重!$A:$A&amp;"_"&amp;符文权重!$C:$C,符文权重!$D:$D)*$X633/SUMIFS($X:$X,K:K,K633,$C:$C,$C633,$AG:$AG,$AG633)/SUMIF(符文权重!$A:$A,$C633,符文权重!$D:$D))),"")</f>
        <v/>
      </c>
      <c r="R633" s="25" t="s">
        <v>330</v>
      </c>
      <c r="S633" s="25" t="s">
        <v>658</v>
      </c>
      <c r="T633" s="25" t="s">
        <v>385</v>
      </c>
      <c r="U633" s="25" t="s">
        <v>667</v>
      </c>
      <c r="W633" s="25" t="s">
        <v>577</v>
      </c>
      <c r="X633" s="25">
        <v>100</v>
      </c>
      <c r="Z633" s="25" t="s">
        <v>172</v>
      </c>
      <c r="AA633" s="32" t="str">
        <f t="shared" si="284"/>
        <v>甜心护士医疗包治疗效果+30%</v>
      </c>
      <c r="AB633" s="32"/>
      <c r="AC633" s="32" t="s">
        <v>166</v>
      </c>
      <c r="AD633" s="32">
        <f t="shared" si="282"/>
        <v>1628</v>
      </c>
      <c r="AE633" s="25">
        <v>5301246</v>
      </c>
      <c r="AF633" s="25" t="s">
        <v>449</v>
      </c>
      <c r="AG633" s="25">
        <v>4</v>
      </c>
      <c r="AJ633" s="25">
        <v>1</v>
      </c>
      <c r="AK633" s="26"/>
      <c r="AL633" s="25" t="s">
        <v>668</v>
      </c>
      <c r="AM633" s="26"/>
      <c r="AN633" s="25">
        <v>4</v>
      </c>
      <c r="AO633" s="25" t="s">
        <v>32</v>
      </c>
      <c r="AP633" s="20">
        <f t="shared" si="283"/>
        <v>628</v>
      </c>
    </row>
    <row r="634" s="20" customFormat="1" customHeight="1" spans="1:42">
      <c r="A634" s="25">
        <v>5510204</v>
      </c>
      <c r="B634" s="25">
        <v>5301246</v>
      </c>
      <c r="C634" s="25">
        <v>4</v>
      </c>
      <c r="D634" s="25"/>
      <c r="E634" s="25" t="s">
        <v>191</v>
      </c>
      <c r="F634" s="26">
        <f t="shared" si="281"/>
        <v>1</v>
      </c>
      <c r="G634" s="26" t="str">
        <f>IFERROR(IF(--MID($E634,2*COUNTIF($F634:F634,"&gt;"&amp;0)+2,1)=G$1,G$1,""),"")</f>
        <v/>
      </c>
      <c r="H634" s="26" t="str">
        <f>IFERROR(IF(--MID($E634,2*COUNTIF($F634:G634,"&gt;"&amp;0)+2,1)=H$1,H$1,""),"")</f>
        <v/>
      </c>
      <c r="I634" s="26" t="str">
        <f>IFERROR(IF(--MID($E634,2*COUNTIF($F634:H634,"&gt;"&amp;0)+2,1)=I$1,I$1,""),"")</f>
        <v/>
      </c>
      <c r="J634" s="26" t="str">
        <f>IFERROR(IF(--MID($E634,2*COUNTIF($F634:I634,"&gt;"&amp;0)+2,1)=J$1,J$1,""),"")</f>
        <v/>
      </c>
      <c r="K634" s="26" t="str">
        <f>IFERROR(IF(--MID($E634,2*COUNTIF($F634:J634,"&gt;"&amp;0)+2,1)=K$1,K$1,""),"")</f>
        <v/>
      </c>
      <c r="L634" s="39" cm="1">
        <f t="array" ref="L634">IFERROR(IF($A634="","",IF(F634="","",_xlfn.XLOOKUP($C634&amp;"_"&amp;$AG634,符文权重!$A:$A&amp;"_"&amp;符文权重!$C:$C,符文权重!$D:$D)*$X634/SUMIFS($X:$X,F:F,F634,$C:$C,$C634,$AG:$AG,$AG634)/SUMIF(符文权重!$A:$A,$C634,符文权重!$D:$D))),"")</f>
        <v>0.0208333333333333</v>
      </c>
      <c r="M634" s="39" t="str" cm="1">
        <f t="array" ref="M634">IFERROR(IF($A634="","",IF(G634="","",_xlfn.XLOOKUP($C634&amp;"_"&amp;$AG634,符文权重!$A:$A&amp;"_"&amp;符文权重!$C:$C,符文权重!$D:$D)*$X634/SUMIFS($X:$X,G:G,G634,$C:$C,$C634,$AG:$AG,$AG634)/SUMIF(符文权重!$A:$A,$C634,符文权重!$D:$D))),"")</f>
        <v/>
      </c>
      <c r="N634" s="39" t="str" cm="1">
        <f t="array" ref="N634">IFERROR(IF($A634="","",IF(H634="","",_xlfn.XLOOKUP($C634&amp;"_"&amp;$AG634,符文权重!$A:$A&amp;"_"&amp;符文权重!$C:$C,符文权重!$D:$D)*$X634/SUMIFS($X:$X,H:H,H634,$C:$C,$C634,$AG:$AG,$AG634)/SUMIF(符文权重!$A:$A,$C634,符文权重!$D:$D))),"")</f>
        <v/>
      </c>
      <c r="O634" s="39" t="str" cm="1">
        <f t="array" ref="O634">IFERROR(IF($A634="","",IF(I634="","",_xlfn.XLOOKUP($C634&amp;"_"&amp;$AG634,符文权重!$A:$A&amp;"_"&amp;符文权重!$C:$C,符文权重!$D:$D)*$X634/SUMIFS($X:$X,I:I,I634,$C:$C,$C634,$AG:$AG,$AG634)/SUMIF(符文权重!$A:$A,$C634,符文权重!$D:$D))),"")</f>
        <v/>
      </c>
      <c r="P634" s="39" t="str" cm="1">
        <f t="array" ref="P634">IFERROR(IF($A634="","",IF(J634="","",_xlfn.XLOOKUP($C634&amp;"_"&amp;$AG634,符文权重!$A:$A&amp;"_"&amp;符文权重!$C:$C,符文权重!$D:$D)*$X634/SUMIFS($X:$X,J:J,J634,$C:$C,$C634,$AG:$AG,$AG634)/SUMIF(符文权重!$A:$A,$C634,符文权重!$D:$D))),"")</f>
        <v/>
      </c>
      <c r="Q634" s="39" t="str" cm="1">
        <f t="array" ref="Q634">IFERROR(IF($A634="","",IF(K634="","",_xlfn.XLOOKUP($C634&amp;"_"&amp;$AG634,符文权重!$A:$A&amp;"_"&amp;符文权重!$C:$C,符文权重!$D:$D)*$X634/SUMIFS($X:$X,K:K,K634,$C:$C,$C634,$AG:$AG,$AG634)/SUMIF(符文权重!$A:$A,$C634,符文权重!$D:$D))),"")</f>
        <v/>
      </c>
      <c r="R634" s="25" t="s">
        <v>330</v>
      </c>
      <c r="S634" s="25" t="s">
        <v>658</v>
      </c>
      <c r="T634" s="25" t="s">
        <v>388</v>
      </c>
      <c r="U634" s="25" t="s">
        <v>669</v>
      </c>
      <c r="W634" s="25" t="s">
        <v>580</v>
      </c>
      <c r="X634" s="25">
        <v>100</v>
      </c>
      <c r="Z634" s="25" t="s">
        <v>174</v>
      </c>
      <c r="AA634" s="32" t="str">
        <f t="shared" si="284"/>
        <v>甜心护士医疗包治疗效果+40%</v>
      </c>
      <c r="AB634" s="32"/>
      <c r="AC634" s="32" t="s">
        <v>166</v>
      </c>
      <c r="AD634" s="32">
        <f t="shared" si="282"/>
        <v>1629</v>
      </c>
      <c r="AE634" s="25">
        <v>5301246</v>
      </c>
      <c r="AF634" s="25" t="s">
        <v>459</v>
      </c>
      <c r="AG634" s="25">
        <v>4</v>
      </c>
      <c r="AJ634" s="25">
        <v>1</v>
      </c>
      <c r="AK634" s="26"/>
      <c r="AL634" s="25" t="s">
        <v>670</v>
      </c>
      <c r="AM634" s="26"/>
      <c r="AN634" s="25">
        <v>4</v>
      </c>
      <c r="AO634" s="25" t="s">
        <v>32</v>
      </c>
      <c r="AP634" s="20">
        <f t="shared" si="283"/>
        <v>629</v>
      </c>
    </row>
    <row r="635" s="20" customFormat="1" customHeight="1" spans="1:42">
      <c r="A635" s="25">
        <v>5510212</v>
      </c>
      <c r="B635" s="25">
        <v>5301247</v>
      </c>
      <c r="C635" s="26">
        <v>2</v>
      </c>
      <c r="D635" s="26"/>
      <c r="E635" s="25" t="s">
        <v>182</v>
      </c>
      <c r="F635" s="26" t="str">
        <f t="shared" si="281"/>
        <v/>
      </c>
      <c r="G635" s="26" t="str">
        <f>IFERROR(IF(--MID($E635,2*COUNTIF($F635:F635,"&gt;"&amp;0)+2,1)=G$1,G$1,""),"")</f>
        <v/>
      </c>
      <c r="H635" s="26">
        <f>IFERROR(IF(--MID($E635,2*COUNTIF($F635:G635,"&gt;"&amp;0)+2,1)=H$1,H$1,""),"")</f>
        <v>3</v>
      </c>
      <c r="I635" s="26" t="str">
        <f>IFERROR(IF(--MID($E635,2*COUNTIF($F635:H635,"&gt;"&amp;0)+2,1)=I$1,I$1,""),"")</f>
        <v/>
      </c>
      <c r="J635" s="26" t="str">
        <f>IFERROR(IF(--MID($E635,2*COUNTIF($F635:I635,"&gt;"&amp;0)+2,1)=J$1,J$1,""),"")</f>
        <v/>
      </c>
      <c r="K635" s="26" t="str">
        <f>IFERROR(IF(--MID($E635,2*COUNTIF($F635:J635,"&gt;"&amp;0)+2,1)=K$1,K$1,""),"")</f>
        <v/>
      </c>
      <c r="L635" s="39" t="str" cm="1">
        <f t="array" ref="L635">IFERROR(IF($A635="","",IF(F635="","",_xlfn.XLOOKUP($C635&amp;"_"&amp;$AG635,符文权重!$A:$A&amp;"_"&amp;符文权重!$C:$C,符文权重!$D:$D)*$X635/SUMIFS($X:$X,F:F,F635,$C:$C,$C635,$AG:$AG,$AG635)/SUMIF(符文权重!$A:$A,$C635,符文权重!$D:$D))),"")</f>
        <v/>
      </c>
      <c r="M635" s="39" t="str" cm="1">
        <f t="array" ref="M635">IFERROR(IF($A635="","",IF(G635="","",_xlfn.XLOOKUP($C635&amp;"_"&amp;$AG635,符文权重!$A:$A&amp;"_"&amp;符文权重!$C:$C,符文权重!$D:$D)*$X635/SUMIFS($X:$X,G:G,G635,$C:$C,$C635,$AG:$AG,$AG635)/SUMIF(符文权重!$A:$A,$C635,符文权重!$D:$D))),"")</f>
        <v/>
      </c>
      <c r="N635" s="39" t="str" cm="1">
        <f t="array" ref="N635">IFERROR(IF($A635="","",IF(H635="","",_xlfn.XLOOKUP($C635&amp;"_"&amp;$AG635,符文权重!$A:$A&amp;"_"&amp;符文权重!$C:$C,符文权重!$D:$D)*$X635/SUMIFS($X:$X,H:H,H635,$C:$C,$C635,$AG:$AG,$AG635)/SUMIF(符文权重!$A:$A,$C635,符文权重!$D:$D))),"")</f>
        <v/>
      </c>
      <c r="O635" s="39" t="str" cm="1">
        <f t="array" ref="O635">IFERROR(IF($A635="","",IF(I635="","",_xlfn.XLOOKUP($C635&amp;"_"&amp;$AG635,符文权重!$A:$A&amp;"_"&amp;符文权重!$C:$C,符文权重!$D:$D)*$X635/SUMIFS($X:$X,I:I,I635,$C:$C,$C635,$AG:$AG,$AG635)/SUMIF(符文权重!$A:$A,$C635,符文权重!$D:$D))),"")</f>
        <v/>
      </c>
      <c r="P635" s="39" t="str" cm="1">
        <f t="array" ref="P635">IFERROR(IF($A635="","",IF(J635="","",_xlfn.XLOOKUP($C635&amp;"_"&amp;$AG635,符文权重!$A:$A&amp;"_"&amp;符文权重!$C:$C,符文权重!$D:$D)*$X635/SUMIFS($X:$X,J:J,J635,$C:$C,$C635,$AG:$AG,$AG635)/SUMIF(符文权重!$A:$A,$C635,符文权重!$D:$D))),"")</f>
        <v/>
      </c>
      <c r="Q635" s="39" t="str" cm="1">
        <f t="array" ref="Q635">IFERROR(IF($A635="","",IF(K635="","",_xlfn.XLOOKUP($C635&amp;"_"&amp;$AG635,符文权重!$A:$A&amp;"_"&amp;符文权重!$C:$C,符文权重!$D:$D)*$X635/SUMIFS($X:$X,K:K,K635,$C:$C,$C635,$AG:$AG,$AG635)/SUMIF(符文权重!$A:$A,$C635,符文权重!$D:$D))),"")</f>
        <v/>
      </c>
      <c r="R635" s="26" t="s">
        <v>330</v>
      </c>
      <c r="S635" s="26" t="s">
        <v>658</v>
      </c>
      <c r="T635" s="26" t="s">
        <v>383</v>
      </c>
      <c r="U635" s="20" t="s">
        <v>671</v>
      </c>
      <c r="V635" s="26"/>
      <c r="W635" s="25" t="s">
        <v>574</v>
      </c>
      <c r="X635" s="25">
        <v>100</v>
      </c>
      <c r="Y635" s="25"/>
      <c r="Z635" s="26" t="s">
        <v>170</v>
      </c>
      <c r="AA635" s="32" t="str">
        <f t="shared" si="284"/>
        <v>甜心护士医疗包能量消耗-20%</v>
      </c>
      <c r="AB635" s="32"/>
      <c r="AC635" s="32" t="s">
        <v>166</v>
      </c>
      <c r="AD635" s="32">
        <f t="shared" si="282"/>
        <v>1630</v>
      </c>
      <c r="AE635" s="25">
        <v>5301247</v>
      </c>
      <c r="AF635" s="26" t="s">
        <v>396</v>
      </c>
      <c r="AG635" s="26">
        <v>100</v>
      </c>
      <c r="AH635" s="26"/>
      <c r="AI635" s="26">
        <v>1</v>
      </c>
      <c r="AJ635" s="26">
        <v>0</v>
      </c>
      <c r="AL635" s="26" t="s">
        <v>672</v>
      </c>
      <c r="AN635" s="25">
        <v>4</v>
      </c>
      <c r="AO635" s="25" t="s">
        <v>32</v>
      </c>
      <c r="AP635" s="20">
        <f t="shared" si="283"/>
        <v>630</v>
      </c>
    </row>
    <row r="636" s="20" customFormat="1" customHeight="1" spans="1:42">
      <c r="A636" s="25">
        <v>5510213</v>
      </c>
      <c r="B636" s="25">
        <v>5301247</v>
      </c>
      <c r="C636" s="25">
        <v>3</v>
      </c>
      <c r="D636" s="25"/>
      <c r="E636" s="25" t="s">
        <v>182</v>
      </c>
      <c r="F636" s="26" t="str">
        <f t="shared" si="281"/>
        <v/>
      </c>
      <c r="G636" s="26" t="str">
        <f>IFERROR(IF(--MID($E636,2*COUNTIF($F636:F636,"&gt;"&amp;0)+2,1)=G$1,G$1,""),"")</f>
        <v/>
      </c>
      <c r="H636" s="26">
        <f>IFERROR(IF(--MID($E636,2*COUNTIF($F636:G636,"&gt;"&amp;0)+2,1)=H$1,H$1,""),"")</f>
        <v>3</v>
      </c>
      <c r="I636" s="26" t="str">
        <f>IFERROR(IF(--MID($E636,2*COUNTIF($F636:H636,"&gt;"&amp;0)+2,1)=I$1,I$1,""),"")</f>
        <v/>
      </c>
      <c r="J636" s="26" t="str">
        <f>IFERROR(IF(--MID($E636,2*COUNTIF($F636:I636,"&gt;"&amp;0)+2,1)=J$1,J$1,""),"")</f>
        <v/>
      </c>
      <c r="K636" s="26" t="str">
        <f>IFERROR(IF(--MID($E636,2*COUNTIF($F636:J636,"&gt;"&amp;0)+2,1)=K$1,K$1,""),"")</f>
        <v/>
      </c>
      <c r="L636" s="39" t="str" cm="1">
        <f t="array" ref="L636">IFERROR(IF($A636="","",IF(F636="","",_xlfn.XLOOKUP($C636&amp;"_"&amp;$AG636,符文权重!$A:$A&amp;"_"&amp;符文权重!$C:$C,符文权重!$D:$D)*$X636/SUMIFS($X:$X,F:F,F636,$C:$C,$C636,$AG:$AG,$AG636)/SUMIF(符文权重!$A:$A,$C636,符文权重!$D:$D))),"")</f>
        <v/>
      </c>
      <c r="M636" s="39" t="str" cm="1">
        <f t="array" ref="M636">IFERROR(IF($A636="","",IF(G636="","",_xlfn.XLOOKUP($C636&amp;"_"&amp;$AG636,符文权重!$A:$A&amp;"_"&amp;符文权重!$C:$C,符文权重!$D:$D)*$X636/SUMIFS($X:$X,G:G,G636,$C:$C,$C636,$AG:$AG,$AG636)/SUMIF(符文权重!$A:$A,$C636,符文权重!$D:$D))),"")</f>
        <v/>
      </c>
      <c r="N636" s="39" cm="1">
        <f t="array" ref="N636">IFERROR(IF($A636="","",IF(H636="","",_xlfn.XLOOKUP($C636&amp;"_"&amp;$AG636,符文权重!$A:$A&amp;"_"&amp;符文权重!$C:$C,符文权重!$D:$D)*$X636/SUMIFS($X:$X,H:H,H636,$C:$C,$C636,$AG:$AG,$AG636)/SUMIF(符文权重!$A:$A,$C636,符文权重!$D:$D))),"")</f>
        <v>0.0125</v>
      </c>
      <c r="O636" s="39" t="str" cm="1">
        <f t="array" ref="O636">IFERROR(IF($A636="","",IF(I636="","",_xlfn.XLOOKUP($C636&amp;"_"&amp;$AG636,符文权重!$A:$A&amp;"_"&amp;符文权重!$C:$C,符文权重!$D:$D)*$X636/SUMIFS($X:$X,I:I,I636,$C:$C,$C636,$AG:$AG,$AG636)/SUMIF(符文权重!$A:$A,$C636,符文权重!$D:$D))),"")</f>
        <v/>
      </c>
      <c r="P636" s="39" t="str" cm="1">
        <f t="array" ref="P636">IFERROR(IF($A636="","",IF(J636="","",_xlfn.XLOOKUP($C636&amp;"_"&amp;$AG636,符文权重!$A:$A&amp;"_"&amp;符文权重!$C:$C,符文权重!$D:$D)*$X636/SUMIFS($X:$X,J:J,J636,$C:$C,$C636,$AG:$AG,$AG636)/SUMIF(符文权重!$A:$A,$C636,符文权重!$D:$D))),"")</f>
        <v/>
      </c>
      <c r="Q636" s="39" t="str" cm="1">
        <f t="array" ref="Q636">IFERROR(IF($A636="","",IF(K636="","",_xlfn.XLOOKUP($C636&amp;"_"&amp;$AG636,符文权重!$A:$A&amp;"_"&amp;符文权重!$C:$C,符文权重!$D:$D)*$X636/SUMIFS($X:$X,K:K,K636,$C:$C,$C636,$AG:$AG,$AG636)/SUMIF(符文权重!$A:$A,$C636,符文权重!$D:$D))),"")</f>
        <v/>
      </c>
      <c r="R636" s="25" t="s">
        <v>330</v>
      </c>
      <c r="S636" s="25" t="s">
        <v>658</v>
      </c>
      <c r="T636" s="25" t="s">
        <v>385</v>
      </c>
      <c r="U636" s="25" t="s">
        <v>673</v>
      </c>
      <c r="W636" s="25" t="s">
        <v>577</v>
      </c>
      <c r="X636" s="25">
        <v>100</v>
      </c>
      <c r="Z636" s="25" t="s">
        <v>172</v>
      </c>
      <c r="AA636" s="32" t="str">
        <f t="shared" si="284"/>
        <v>甜心护士医疗包能量消耗-30%</v>
      </c>
      <c r="AB636" s="32"/>
      <c r="AC636" s="32" t="s">
        <v>166</v>
      </c>
      <c r="AD636" s="32">
        <f t="shared" si="282"/>
        <v>1631</v>
      </c>
      <c r="AE636" s="25">
        <v>5301247</v>
      </c>
      <c r="AF636" s="25" t="s">
        <v>449</v>
      </c>
      <c r="AG636" s="25">
        <v>4</v>
      </c>
      <c r="AJ636" s="25">
        <v>1</v>
      </c>
      <c r="AK636" s="26"/>
      <c r="AL636" s="25" t="s">
        <v>674</v>
      </c>
      <c r="AM636" s="26"/>
      <c r="AN636" s="25">
        <v>4</v>
      </c>
      <c r="AO636" s="25" t="s">
        <v>32</v>
      </c>
      <c r="AP636" s="20">
        <f t="shared" si="283"/>
        <v>631</v>
      </c>
    </row>
    <row r="637" s="20" customFormat="1" customHeight="1" spans="1:42">
      <c r="A637" s="25">
        <v>5510214</v>
      </c>
      <c r="B637" s="25">
        <v>5301247</v>
      </c>
      <c r="C637" s="25">
        <v>4</v>
      </c>
      <c r="D637" s="25"/>
      <c r="E637" s="25" t="s">
        <v>182</v>
      </c>
      <c r="F637" s="26" t="str">
        <f t="shared" si="281"/>
        <v/>
      </c>
      <c r="G637" s="26" t="str">
        <f>IFERROR(IF(--MID($E637,2*COUNTIF($F637:F637,"&gt;"&amp;0)+2,1)=G$1,G$1,""),"")</f>
        <v/>
      </c>
      <c r="H637" s="26">
        <f>IFERROR(IF(--MID($E637,2*COUNTIF($F637:G637,"&gt;"&amp;0)+2,1)=H$1,H$1,""),"")</f>
        <v>3</v>
      </c>
      <c r="I637" s="26" t="str">
        <f>IFERROR(IF(--MID($E637,2*COUNTIF($F637:H637,"&gt;"&amp;0)+2,1)=I$1,I$1,""),"")</f>
        <v/>
      </c>
      <c r="J637" s="26" t="str">
        <f>IFERROR(IF(--MID($E637,2*COUNTIF($F637:I637,"&gt;"&amp;0)+2,1)=J$1,J$1,""),"")</f>
        <v/>
      </c>
      <c r="K637" s="26" t="str">
        <f>IFERROR(IF(--MID($E637,2*COUNTIF($F637:J637,"&gt;"&amp;0)+2,1)=K$1,K$1,""),"")</f>
        <v/>
      </c>
      <c r="L637" s="39" t="str" cm="1">
        <f t="array" ref="L637">IFERROR(IF($A637="","",IF(F637="","",_xlfn.XLOOKUP($C637&amp;"_"&amp;$AG637,符文权重!$A:$A&amp;"_"&amp;符文权重!$C:$C,符文权重!$D:$D)*$X637/SUMIFS($X:$X,F:F,F637,$C:$C,$C637,$AG:$AG,$AG637)/SUMIF(符文权重!$A:$A,$C637,符文权重!$D:$D))),"")</f>
        <v/>
      </c>
      <c r="M637" s="39" t="str" cm="1">
        <f t="array" ref="M637">IFERROR(IF($A637="","",IF(G637="","",_xlfn.XLOOKUP($C637&amp;"_"&amp;$AG637,符文权重!$A:$A&amp;"_"&amp;符文权重!$C:$C,符文权重!$D:$D)*$X637/SUMIFS($X:$X,G:G,G637,$C:$C,$C637,$AG:$AG,$AG637)/SUMIF(符文权重!$A:$A,$C637,符文权重!$D:$D))),"")</f>
        <v/>
      </c>
      <c r="N637" s="39" cm="1">
        <f t="array" ref="N637">IFERROR(IF($A637="","",IF(H637="","",_xlfn.XLOOKUP($C637&amp;"_"&amp;$AG637,符文权重!$A:$A&amp;"_"&amp;符文权重!$C:$C,符文权重!$D:$D)*$X637/SUMIFS($X:$X,H:H,H637,$C:$C,$C637,$AG:$AG,$AG637)/SUMIF(符文权重!$A:$A,$C637,符文权重!$D:$D))),"")</f>
        <v>0.0119047619047619</v>
      </c>
      <c r="O637" s="39" t="str" cm="1">
        <f t="array" ref="O637">IFERROR(IF($A637="","",IF(I637="","",_xlfn.XLOOKUP($C637&amp;"_"&amp;$AG637,符文权重!$A:$A&amp;"_"&amp;符文权重!$C:$C,符文权重!$D:$D)*$X637/SUMIFS($X:$X,I:I,I637,$C:$C,$C637,$AG:$AG,$AG637)/SUMIF(符文权重!$A:$A,$C637,符文权重!$D:$D))),"")</f>
        <v/>
      </c>
      <c r="P637" s="39" t="str" cm="1">
        <f t="array" ref="P637">IFERROR(IF($A637="","",IF(J637="","",_xlfn.XLOOKUP($C637&amp;"_"&amp;$AG637,符文权重!$A:$A&amp;"_"&amp;符文权重!$C:$C,符文权重!$D:$D)*$X637/SUMIFS($X:$X,J:J,J637,$C:$C,$C637,$AG:$AG,$AG637)/SUMIF(符文权重!$A:$A,$C637,符文权重!$D:$D))),"")</f>
        <v/>
      </c>
      <c r="Q637" s="39" t="str" cm="1">
        <f t="array" ref="Q637">IFERROR(IF($A637="","",IF(K637="","",_xlfn.XLOOKUP($C637&amp;"_"&amp;$AG637,符文权重!$A:$A&amp;"_"&amp;符文权重!$C:$C,符文权重!$D:$D)*$X637/SUMIFS($X:$X,K:K,K637,$C:$C,$C637,$AG:$AG,$AG637)/SUMIF(符文权重!$A:$A,$C637,符文权重!$D:$D))),"")</f>
        <v/>
      </c>
      <c r="R637" s="25" t="s">
        <v>330</v>
      </c>
      <c r="S637" s="25" t="s">
        <v>658</v>
      </c>
      <c r="T637" s="25" t="s">
        <v>388</v>
      </c>
      <c r="U637" s="25" t="s">
        <v>675</v>
      </c>
      <c r="W637" s="25" t="s">
        <v>580</v>
      </c>
      <c r="X637" s="25">
        <v>100</v>
      </c>
      <c r="Z637" s="25" t="s">
        <v>174</v>
      </c>
      <c r="AA637" s="32" t="str">
        <f t="shared" si="284"/>
        <v>甜心护士医疗包能量消耗-50%</v>
      </c>
      <c r="AB637" s="32"/>
      <c r="AC637" s="32" t="s">
        <v>166</v>
      </c>
      <c r="AD637" s="32">
        <f t="shared" si="282"/>
        <v>1632</v>
      </c>
      <c r="AE637" s="25">
        <v>5301247</v>
      </c>
      <c r="AF637" s="25" t="s">
        <v>541</v>
      </c>
      <c r="AG637" s="25">
        <v>4</v>
      </c>
      <c r="AJ637" s="25">
        <v>1</v>
      </c>
      <c r="AK637" s="26"/>
      <c r="AL637" s="25" t="s">
        <v>676</v>
      </c>
      <c r="AM637" s="26"/>
      <c r="AN637" s="25">
        <v>4</v>
      </c>
      <c r="AO637" s="25" t="s">
        <v>32</v>
      </c>
      <c r="AP637" s="20">
        <f t="shared" si="283"/>
        <v>632</v>
      </c>
    </row>
    <row r="638" s="20" customFormat="1" customHeight="1" spans="1:42">
      <c r="A638" s="25">
        <v>5510222</v>
      </c>
      <c r="B638" s="25">
        <v>5301334</v>
      </c>
      <c r="C638" s="26">
        <v>2</v>
      </c>
      <c r="D638" s="26"/>
      <c r="E638" s="25" t="s">
        <v>200</v>
      </c>
      <c r="F638" s="26" t="str">
        <f t="shared" si="281"/>
        <v/>
      </c>
      <c r="G638" s="26">
        <f>IFERROR(IF(--MID($E638,2*COUNTIF($F638:F638,"&gt;"&amp;0)+2,1)=G$1,G$1,""),"")</f>
        <v>2</v>
      </c>
      <c r="H638" s="26" t="str">
        <f>IFERROR(IF(--MID($E638,2*COUNTIF($F638:G638,"&gt;"&amp;0)+2,1)=H$1,H$1,""),"")</f>
        <v/>
      </c>
      <c r="I638" s="26" t="str">
        <f>IFERROR(IF(--MID($E638,2*COUNTIF($F638:H638,"&gt;"&amp;0)+2,1)=I$1,I$1,""),"")</f>
        <v/>
      </c>
      <c r="J638" s="26" t="str">
        <f>IFERROR(IF(--MID($E638,2*COUNTIF($F638:I638,"&gt;"&amp;0)+2,1)=J$1,J$1,""),"")</f>
        <v/>
      </c>
      <c r="K638" s="26" t="str">
        <f>IFERROR(IF(--MID($E638,2*COUNTIF($F638:J638,"&gt;"&amp;0)+2,1)=K$1,K$1,""),"")</f>
        <v/>
      </c>
      <c r="L638" s="39" t="str" cm="1">
        <f t="array" ref="L638">IFERROR(IF($A638="","",IF(F638="","",_xlfn.XLOOKUP($C638&amp;"_"&amp;$AG638,符文权重!$A:$A&amp;"_"&amp;符文权重!$C:$C,符文权重!$D:$D)*$X638/SUMIFS($X:$X,F:F,F638,$C:$C,$C638,$AG:$AG,$AG638)/SUMIF(符文权重!$A:$A,$C638,符文权重!$D:$D))),"")</f>
        <v/>
      </c>
      <c r="M638" s="39" t="str" cm="1">
        <f t="array" ref="M638">IFERROR(IF($A638="","",IF(G638="","",_xlfn.XLOOKUP($C638&amp;"_"&amp;$AG638,符文权重!$A:$A&amp;"_"&amp;符文权重!$C:$C,符文权重!$D:$D)*$X638/SUMIFS($X:$X,G:G,G638,$C:$C,$C638,$AG:$AG,$AG638)/SUMIF(符文权重!$A:$A,$C638,符文权重!$D:$D))),"")</f>
        <v/>
      </c>
      <c r="N638" s="39" t="str" cm="1">
        <f t="array" ref="N638">IFERROR(IF($A638="","",IF(H638="","",_xlfn.XLOOKUP($C638&amp;"_"&amp;$AG638,符文权重!$A:$A&amp;"_"&amp;符文权重!$C:$C,符文权重!$D:$D)*$X638/SUMIFS($X:$X,H:H,H638,$C:$C,$C638,$AG:$AG,$AG638)/SUMIF(符文权重!$A:$A,$C638,符文权重!$D:$D))),"")</f>
        <v/>
      </c>
      <c r="O638" s="39" t="str" cm="1">
        <f t="array" ref="O638">IFERROR(IF($A638="","",IF(I638="","",_xlfn.XLOOKUP($C638&amp;"_"&amp;$AG638,符文权重!$A:$A&amp;"_"&amp;符文权重!$C:$C,符文权重!$D:$D)*$X638/SUMIFS($X:$X,I:I,I638,$C:$C,$C638,$AG:$AG,$AG638)/SUMIF(符文权重!$A:$A,$C638,符文权重!$D:$D))),"")</f>
        <v/>
      </c>
      <c r="P638" s="39" t="str" cm="1">
        <f t="array" ref="P638">IFERROR(IF($A638="","",IF(J638="","",_xlfn.XLOOKUP($C638&amp;"_"&amp;$AG638,符文权重!$A:$A&amp;"_"&amp;符文权重!$C:$C,符文权重!$D:$D)*$X638/SUMIFS($X:$X,J:J,J638,$C:$C,$C638,$AG:$AG,$AG638)/SUMIF(符文权重!$A:$A,$C638,符文权重!$D:$D))),"")</f>
        <v/>
      </c>
      <c r="Q638" s="39" t="str" cm="1">
        <f t="array" ref="Q638">IFERROR(IF($A638="","",IF(K638="","",_xlfn.XLOOKUP($C638&amp;"_"&amp;$AG638,符文权重!$A:$A&amp;"_"&amp;符文权重!$C:$C,符文权重!$D:$D)*$X638/SUMIFS($X:$X,K:K,K638,$C:$C,$C638,$AG:$AG,$AG638)/SUMIF(符文权重!$A:$A,$C638,符文权重!$D:$D))),"")</f>
        <v/>
      </c>
      <c r="R638" s="26" t="s">
        <v>330</v>
      </c>
      <c r="S638" s="26" t="s">
        <v>677</v>
      </c>
      <c r="T638" s="26" t="s">
        <v>383</v>
      </c>
      <c r="U638" s="20" t="s">
        <v>678</v>
      </c>
      <c r="V638" s="31"/>
      <c r="W638" s="25" t="s">
        <v>679</v>
      </c>
      <c r="X638" s="25">
        <v>100</v>
      </c>
      <c r="Y638" s="25"/>
      <c r="Z638" s="26" t="s">
        <v>170</v>
      </c>
      <c r="AA638" s="32" t="str">
        <f t="shared" si="284"/>
        <v>路人血量低于50%时，霸王轰拳护盾效果+25%，持续时间+50%</v>
      </c>
      <c r="AB638" s="32"/>
      <c r="AC638" s="32" t="s">
        <v>166</v>
      </c>
      <c r="AD638" s="32">
        <f t="shared" si="282"/>
        <v>1633</v>
      </c>
      <c r="AE638" s="25">
        <v>5301331</v>
      </c>
      <c r="AF638" s="26" t="s">
        <v>449</v>
      </c>
      <c r="AG638" s="26">
        <v>100</v>
      </c>
      <c r="AH638" s="26"/>
      <c r="AI638" s="26">
        <v>1</v>
      </c>
      <c r="AJ638" s="26">
        <v>0</v>
      </c>
      <c r="AL638" s="26" t="s">
        <v>680</v>
      </c>
      <c r="AN638" s="25">
        <v>4</v>
      </c>
      <c r="AO638" s="25" t="s">
        <v>32</v>
      </c>
      <c r="AP638" s="20">
        <f t="shared" si="283"/>
        <v>633</v>
      </c>
    </row>
    <row r="639" s="20" customFormat="1" customHeight="1" spans="1:42">
      <c r="A639" s="25">
        <v>5510223</v>
      </c>
      <c r="B639" s="25">
        <v>5301334</v>
      </c>
      <c r="C639" s="25">
        <v>3</v>
      </c>
      <c r="D639" s="25"/>
      <c r="E639" s="25" t="s">
        <v>200</v>
      </c>
      <c r="F639" s="26" t="str">
        <f t="shared" si="281"/>
        <v/>
      </c>
      <c r="G639" s="26">
        <f>IFERROR(IF(--MID($E639,2*COUNTIF($F639:F639,"&gt;"&amp;0)+2,1)=G$1,G$1,""),"")</f>
        <v>2</v>
      </c>
      <c r="H639" s="26" t="str">
        <f>IFERROR(IF(--MID($E639,2*COUNTIF($F639:G639,"&gt;"&amp;0)+2,1)=H$1,H$1,""),"")</f>
        <v/>
      </c>
      <c r="I639" s="26" t="str">
        <f>IFERROR(IF(--MID($E639,2*COUNTIF($F639:H639,"&gt;"&amp;0)+2,1)=I$1,I$1,""),"")</f>
        <v/>
      </c>
      <c r="J639" s="26" t="str">
        <f>IFERROR(IF(--MID($E639,2*COUNTIF($F639:I639,"&gt;"&amp;0)+2,1)=J$1,J$1,""),"")</f>
        <v/>
      </c>
      <c r="K639" s="26" t="str">
        <f>IFERROR(IF(--MID($E639,2*COUNTIF($F639:J639,"&gt;"&amp;0)+2,1)=K$1,K$1,""),"")</f>
        <v/>
      </c>
      <c r="L639" s="39" t="str" cm="1">
        <f t="array" ref="L639">IFERROR(IF($A639="","",IF(F639="","",_xlfn.XLOOKUP($C639&amp;"_"&amp;$AG639,符文权重!$A:$A&amp;"_"&amp;符文权重!$C:$C,符文权重!$D:$D)*$X639/SUMIFS($X:$X,F:F,F639,$C:$C,$C639,$AG:$AG,$AG639)/SUMIF(符文权重!$A:$A,$C639,符文权重!$D:$D))),"")</f>
        <v/>
      </c>
      <c r="M639" s="39" cm="1">
        <f t="array" ref="M639">IFERROR(IF($A639="","",IF(G639="","",_xlfn.XLOOKUP($C639&amp;"_"&amp;$AG639,符文权重!$A:$A&amp;"_"&amp;符文权重!$C:$C,符文权重!$D:$D)*$X639/SUMIFS($X:$X,G:G,G639,$C:$C,$C639,$AG:$AG,$AG639)/SUMIF(符文权重!$A:$A,$C639,符文权重!$D:$D))),"")</f>
        <v>0.0166666666666667</v>
      </c>
      <c r="N639" s="39" t="str" cm="1">
        <f t="array" ref="N639">IFERROR(IF($A639="","",IF(H639="","",_xlfn.XLOOKUP($C639&amp;"_"&amp;$AG639,符文权重!$A:$A&amp;"_"&amp;符文权重!$C:$C,符文权重!$D:$D)*$X639/SUMIFS($X:$X,H:H,H639,$C:$C,$C639,$AG:$AG,$AG639)/SUMIF(符文权重!$A:$A,$C639,符文权重!$D:$D))),"")</f>
        <v/>
      </c>
      <c r="O639" s="39" t="str" cm="1">
        <f t="array" ref="O639">IFERROR(IF($A639="","",IF(I639="","",_xlfn.XLOOKUP($C639&amp;"_"&amp;$AG639,符文权重!$A:$A&amp;"_"&amp;符文权重!$C:$C,符文权重!$D:$D)*$X639/SUMIFS($X:$X,I:I,I639,$C:$C,$C639,$AG:$AG,$AG639)/SUMIF(符文权重!$A:$A,$C639,符文权重!$D:$D))),"")</f>
        <v/>
      </c>
      <c r="P639" s="39" t="str" cm="1">
        <f t="array" ref="P639">IFERROR(IF($A639="","",IF(J639="","",_xlfn.XLOOKUP($C639&amp;"_"&amp;$AG639,符文权重!$A:$A&amp;"_"&amp;符文权重!$C:$C,符文权重!$D:$D)*$X639/SUMIFS($X:$X,J:J,J639,$C:$C,$C639,$AG:$AG,$AG639)/SUMIF(符文权重!$A:$A,$C639,符文权重!$D:$D))),"")</f>
        <v/>
      </c>
      <c r="Q639" s="39" t="str" cm="1">
        <f t="array" ref="Q639">IFERROR(IF($A639="","",IF(K639="","",_xlfn.XLOOKUP($C639&amp;"_"&amp;$AG639,符文权重!$A:$A&amp;"_"&amp;符文权重!$C:$C,符文权重!$D:$D)*$X639/SUMIFS($X:$X,K:K,K639,$C:$C,$C639,$AG:$AG,$AG639)/SUMIF(符文权重!$A:$A,$C639,符文权重!$D:$D))),"")</f>
        <v/>
      </c>
      <c r="R639" s="25" t="s">
        <v>330</v>
      </c>
      <c r="S639" s="25" t="s">
        <v>677</v>
      </c>
      <c r="T639" s="25" t="s">
        <v>385</v>
      </c>
      <c r="U639" s="25" t="s">
        <v>681</v>
      </c>
      <c r="W639" s="25" t="s">
        <v>682</v>
      </c>
      <c r="X639" s="25">
        <v>100</v>
      </c>
      <c r="Z639" s="25" t="s">
        <v>172</v>
      </c>
      <c r="AA639" s="32" t="str">
        <f t="shared" si="284"/>
        <v>路人血量低于50%时，霸王轰拳护盾效果+25%，持续时间+50%</v>
      </c>
      <c r="AB639" s="32"/>
      <c r="AC639" s="32" t="s">
        <v>166</v>
      </c>
      <c r="AD639" s="32">
        <f t="shared" si="282"/>
        <v>1634</v>
      </c>
      <c r="AE639" s="25">
        <v>5301331</v>
      </c>
      <c r="AF639" s="25" t="s">
        <v>459</v>
      </c>
      <c r="AG639" s="25">
        <v>4</v>
      </c>
      <c r="AJ639" s="25">
        <v>1</v>
      </c>
      <c r="AK639" s="26"/>
      <c r="AL639" s="25" t="s">
        <v>680</v>
      </c>
      <c r="AM639" s="26"/>
      <c r="AN639" s="25">
        <v>4</v>
      </c>
      <c r="AO639" s="25" t="s">
        <v>32</v>
      </c>
      <c r="AP639" s="20">
        <f t="shared" si="283"/>
        <v>634</v>
      </c>
    </row>
    <row r="640" s="20" customFormat="1" customHeight="1" spans="1:42">
      <c r="A640" s="25">
        <v>5510224</v>
      </c>
      <c r="B640" s="25">
        <v>5301334</v>
      </c>
      <c r="C640" s="25">
        <v>4</v>
      </c>
      <c r="D640" s="25"/>
      <c r="E640" s="25" t="s">
        <v>200</v>
      </c>
      <c r="F640" s="26" t="str">
        <f t="shared" si="281"/>
        <v/>
      </c>
      <c r="G640" s="26">
        <f>IFERROR(IF(--MID($E640,2*COUNTIF($F640:F640,"&gt;"&amp;0)+2,1)=G$1,G$1,""),"")</f>
        <v>2</v>
      </c>
      <c r="H640" s="26" t="str">
        <f>IFERROR(IF(--MID($E640,2*COUNTIF($F640:G640,"&gt;"&amp;0)+2,1)=H$1,H$1,""),"")</f>
        <v/>
      </c>
      <c r="I640" s="26" t="str">
        <f>IFERROR(IF(--MID($E640,2*COUNTIF($F640:H640,"&gt;"&amp;0)+2,1)=I$1,I$1,""),"")</f>
        <v/>
      </c>
      <c r="J640" s="26" t="str">
        <f>IFERROR(IF(--MID($E640,2*COUNTIF($F640:I640,"&gt;"&amp;0)+2,1)=J$1,J$1,""),"")</f>
        <v/>
      </c>
      <c r="K640" s="26" t="str">
        <f>IFERROR(IF(--MID($E640,2*COUNTIF($F640:J640,"&gt;"&amp;0)+2,1)=K$1,K$1,""),"")</f>
        <v/>
      </c>
      <c r="L640" s="39" t="str" cm="1">
        <f t="array" ref="L640">IFERROR(IF($A640="","",IF(F640="","",_xlfn.XLOOKUP($C640&amp;"_"&amp;$AG640,符文权重!$A:$A&amp;"_"&amp;符文权重!$C:$C,符文权重!$D:$D)*$X640/SUMIFS($X:$X,F:F,F640,$C:$C,$C640,$AG:$AG,$AG640)/SUMIF(符文权重!$A:$A,$C640,符文权重!$D:$D))),"")</f>
        <v/>
      </c>
      <c r="M640" s="39" cm="1">
        <f t="array" ref="M640">IFERROR(IF($A640="","",IF(G640="","",_xlfn.XLOOKUP($C640&amp;"_"&amp;$AG640,符文权重!$A:$A&amp;"_"&amp;符文权重!$C:$C,符文权重!$D:$D)*$X640/SUMIFS($X:$X,G:G,G640,$C:$C,$C640,$AG:$AG,$AG640)/SUMIF(符文权重!$A:$A,$C640,符文权重!$D:$D))),"")</f>
        <v>0.015625</v>
      </c>
      <c r="N640" s="39" t="str" cm="1">
        <f t="array" ref="N640">IFERROR(IF($A640="","",IF(H640="","",_xlfn.XLOOKUP($C640&amp;"_"&amp;$AG640,符文权重!$A:$A&amp;"_"&amp;符文权重!$C:$C,符文权重!$D:$D)*$X640/SUMIFS($X:$X,H:H,H640,$C:$C,$C640,$AG:$AG,$AG640)/SUMIF(符文权重!$A:$A,$C640,符文权重!$D:$D))),"")</f>
        <v/>
      </c>
      <c r="O640" s="39" t="str" cm="1">
        <f t="array" ref="O640">IFERROR(IF($A640="","",IF(I640="","",_xlfn.XLOOKUP($C640&amp;"_"&amp;$AG640,符文权重!$A:$A&amp;"_"&amp;符文权重!$C:$C,符文权重!$D:$D)*$X640/SUMIFS($X:$X,I:I,I640,$C:$C,$C640,$AG:$AG,$AG640)/SUMIF(符文权重!$A:$A,$C640,符文权重!$D:$D))),"")</f>
        <v/>
      </c>
      <c r="P640" s="39" t="str" cm="1">
        <f t="array" ref="P640">IFERROR(IF($A640="","",IF(J640="","",_xlfn.XLOOKUP($C640&amp;"_"&amp;$AG640,符文权重!$A:$A&amp;"_"&amp;符文权重!$C:$C,符文权重!$D:$D)*$X640/SUMIFS($X:$X,J:J,J640,$C:$C,$C640,$AG:$AG,$AG640)/SUMIF(符文权重!$A:$A,$C640,符文权重!$D:$D))),"")</f>
        <v/>
      </c>
      <c r="Q640" s="39" t="str" cm="1">
        <f t="array" ref="Q640">IFERROR(IF($A640="","",IF(K640="","",_xlfn.XLOOKUP($C640&amp;"_"&amp;$AG640,符文权重!$A:$A&amp;"_"&amp;符文权重!$C:$C,符文权重!$D:$D)*$X640/SUMIFS($X:$X,K:K,K640,$C:$C,$C640,$AG:$AG,$AG640)/SUMIF(符文权重!$A:$A,$C640,符文权重!$D:$D))),"")</f>
        <v/>
      </c>
      <c r="R640" s="25" t="s">
        <v>330</v>
      </c>
      <c r="S640" s="25" t="s">
        <v>677</v>
      </c>
      <c r="T640" s="25" t="s">
        <v>388</v>
      </c>
      <c r="U640" s="25" t="s">
        <v>683</v>
      </c>
      <c r="W640" s="25" t="s">
        <v>684</v>
      </c>
      <c r="X640" s="25">
        <v>100</v>
      </c>
      <c r="Z640" s="25" t="s">
        <v>174</v>
      </c>
      <c r="AA640" s="32" t="str">
        <f t="shared" si="284"/>
        <v>路人血量低于50%时，霸王轰拳护盾效果+40%，持续时间+75%</v>
      </c>
      <c r="AB640" s="32"/>
      <c r="AC640" s="32" t="s">
        <v>166</v>
      </c>
      <c r="AD640" s="32">
        <f t="shared" si="282"/>
        <v>1635</v>
      </c>
      <c r="AE640" s="25">
        <v>53013311</v>
      </c>
      <c r="AF640" s="25" t="s">
        <v>541</v>
      </c>
      <c r="AG640" s="25">
        <v>4</v>
      </c>
      <c r="AJ640" s="25">
        <v>1</v>
      </c>
      <c r="AK640" s="26"/>
      <c r="AL640" s="25" t="s">
        <v>685</v>
      </c>
      <c r="AM640" s="26"/>
      <c r="AN640" s="25">
        <v>4</v>
      </c>
      <c r="AO640" s="25" t="s">
        <v>32</v>
      </c>
      <c r="AP640" s="20">
        <f t="shared" si="283"/>
        <v>635</v>
      </c>
    </row>
    <row r="641" s="20" customFormat="1" customHeight="1" spans="1:42">
      <c r="A641" s="25">
        <v>5510232</v>
      </c>
      <c r="B641" s="25">
        <v>5301335</v>
      </c>
      <c r="C641" s="26">
        <v>2</v>
      </c>
      <c r="D641" s="26"/>
      <c r="E641" s="25" t="s">
        <v>182</v>
      </c>
      <c r="F641" s="26" t="str">
        <f t="shared" si="281"/>
        <v/>
      </c>
      <c r="G641" s="26" t="str">
        <f>IFERROR(IF(--MID($E641,2*COUNTIF($F641:F641,"&gt;"&amp;0)+2,1)=G$1,G$1,""),"")</f>
        <v/>
      </c>
      <c r="H641" s="26">
        <f>IFERROR(IF(--MID($E641,2*COUNTIF($F641:G641,"&gt;"&amp;0)+2,1)=H$1,H$1,""),"")</f>
        <v>3</v>
      </c>
      <c r="I641" s="26" t="str">
        <f>IFERROR(IF(--MID($E641,2*COUNTIF($F641:H641,"&gt;"&amp;0)+2,1)=I$1,I$1,""),"")</f>
        <v/>
      </c>
      <c r="J641" s="26" t="str">
        <f>IFERROR(IF(--MID($E641,2*COUNTIF($F641:I641,"&gt;"&amp;0)+2,1)=J$1,J$1,""),"")</f>
        <v/>
      </c>
      <c r="K641" s="26" t="str">
        <f>IFERROR(IF(--MID($E641,2*COUNTIF($F641:J641,"&gt;"&amp;0)+2,1)=K$1,K$1,""),"")</f>
        <v/>
      </c>
      <c r="L641" s="39" t="str" cm="1">
        <f t="array" ref="L641">IFERROR(IF($A641="","",IF(F641="","",_xlfn.XLOOKUP($C641&amp;"_"&amp;$AG641,符文权重!$A:$A&amp;"_"&amp;符文权重!$C:$C,符文权重!$D:$D)*$X641/SUMIFS($X:$X,F:F,F641,$C:$C,$C641,$AG:$AG,$AG641)/SUMIF(符文权重!$A:$A,$C641,符文权重!$D:$D))),"")</f>
        <v/>
      </c>
      <c r="M641" s="39" t="str" cm="1">
        <f t="array" ref="M641">IFERROR(IF($A641="","",IF(G641="","",_xlfn.XLOOKUP($C641&amp;"_"&amp;$AG641,符文权重!$A:$A&amp;"_"&amp;符文权重!$C:$C,符文权重!$D:$D)*$X641/SUMIFS($X:$X,G:G,G641,$C:$C,$C641,$AG:$AG,$AG641)/SUMIF(符文权重!$A:$A,$C641,符文权重!$D:$D))),"")</f>
        <v/>
      </c>
      <c r="N641" s="39" t="str" cm="1">
        <f t="array" ref="N641">IFERROR(IF($A641="","",IF(H641="","",_xlfn.XLOOKUP($C641&amp;"_"&amp;$AG641,符文权重!$A:$A&amp;"_"&amp;符文权重!$C:$C,符文权重!$D:$D)*$X641/SUMIFS($X:$X,H:H,H641,$C:$C,$C641,$AG:$AG,$AG641)/SUMIF(符文权重!$A:$A,$C641,符文权重!$D:$D))),"")</f>
        <v/>
      </c>
      <c r="O641" s="39" t="str" cm="1">
        <f t="array" ref="O641">IFERROR(IF($A641="","",IF(I641="","",_xlfn.XLOOKUP($C641&amp;"_"&amp;$AG641,符文权重!$A:$A&amp;"_"&amp;符文权重!$C:$C,符文权重!$D:$D)*$X641/SUMIFS($X:$X,I:I,I641,$C:$C,$C641,$AG:$AG,$AG641)/SUMIF(符文权重!$A:$A,$C641,符文权重!$D:$D))),"")</f>
        <v/>
      </c>
      <c r="P641" s="39" t="str" cm="1">
        <f t="array" ref="P641">IFERROR(IF($A641="","",IF(J641="","",_xlfn.XLOOKUP($C641&amp;"_"&amp;$AG641,符文权重!$A:$A&amp;"_"&amp;符文权重!$C:$C,符文权重!$D:$D)*$X641/SUMIFS($X:$X,J:J,J641,$C:$C,$C641,$AG:$AG,$AG641)/SUMIF(符文权重!$A:$A,$C641,符文权重!$D:$D))),"")</f>
        <v/>
      </c>
      <c r="Q641" s="39" t="str" cm="1">
        <f t="array" ref="Q641">IFERROR(IF($A641="","",IF(K641="","",_xlfn.XLOOKUP($C641&amp;"_"&amp;$AG641,符文权重!$A:$A&amp;"_"&amp;符文权重!$C:$C,符文权重!$D:$D)*$X641/SUMIFS($X:$X,K:K,K641,$C:$C,$C641,$AG:$AG,$AG641)/SUMIF(符文权重!$A:$A,$C641,符文权重!$D:$D))),"")</f>
        <v/>
      </c>
      <c r="R641" s="26" t="s">
        <v>330</v>
      </c>
      <c r="S641" s="26" t="s">
        <v>677</v>
      </c>
      <c r="T641" s="26" t="s">
        <v>383</v>
      </c>
      <c r="U641" s="20" t="s">
        <v>686</v>
      </c>
      <c r="V641" s="31"/>
      <c r="W641" s="25" t="s">
        <v>679</v>
      </c>
      <c r="X641" s="25">
        <v>100</v>
      </c>
      <c r="Y641" s="25"/>
      <c r="Z641" s="26" t="s">
        <v>170</v>
      </c>
      <c r="AA641" s="32" t="str">
        <f t="shared" si="284"/>
        <v>路人血量越低技能尺寸越大，至多36%</v>
      </c>
      <c r="AB641" s="32"/>
      <c r="AC641" s="32" t="s">
        <v>166</v>
      </c>
      <c r="AD641" s="32">
        <f t="shared" si="282"/>
        <v>1636</v>
      </c>
      <c r="AE641" s="25">
        <v>5301332</v>
      </c>
      <c r="AF641" s="26" t="s">
        <v>449</v>
      </c>
      <c r="AG641" s="26">
        <v>100</v>
      </c>
      <c r="AH641" s="26"/>
      <c r="AI641" s="26">
        <v>1</v>
      </c>
      <c r="AJ641" s="26">
        <v>0</v>
      </c>
      <c r="AL641" s="26" t="s">
        <v>687</v>
      </c>
      <c r="AN641" s="25">
        <v>4</v>
      </c>
      <c r="AO641" s="25" t="s">
        <v>32</v>
      </c>
      <c r="AP641" s="20">
        <f t="shared" si="283"/>
        <v>636</v>
      </c>
    </row>
    <row r="642" s="20" customFormat="1" customHeight="1" spans="1:42">
      <c r="A642" s="25">
        <v>5510233</v>
      </c>
      <c r="B642" s="25">
        <v>5301335</v>
      </c>
      <c r="C642" s="25">
        <v>3</v>
      </c>
      <c r="D642" s="25"/>
      <c r="E642" s="25" t="s">
        <v>182</v>
      </c>
      <c r="F642" s="26" t="str">
        <f t="shared" si="281"/>
        <v/>
      </c>
      <c r="G642" s="26" t="str">
        <f>IFERROR(IF(--MID($E642,2*COUNTIF($F642:F642,"&gt;"&amp;0)+2,1)=G$1,G$1,""),"")</f>
        <v/>
      </c>
      <c r="H642" s="26">
        <f>IFERROR(IF(--MID($E642,2*COUNTIF($F642:G642,"&gt;"&amp;0)+2,1)=H$1,H$1,""),"")</f>
        <v>3</v>
      </c>
      <c r="I642" s="26" t="str">
        <f>IFERROR(IF(--MID($E642,2*COUNTIF($F642:H642,"&gt;"&amp;0)+2,1)=I$1,I$1,""),"")</f>
        <v/>
      </c>
      <c r="J642" s="26" t="str">
        <f>IFERROR(IF(--MID($E642,2*COUNTIF($F642:I642,"&gt;"&amp;0)+2,1)=J$1,J$1,""),"")</f>
        <v/>
      </c>
      <c r="K642" s="26" t="str">
        <f>IFERROR(IF(--MID($E642,2*COUNTIF($F642:J642,"&gt;"&amp;0)+2,1)=K$1,K$1,""),"")</f>
        <v/>
      </c>
      <c r="L642" s="39" t="str" cm="1">
        <f t="array" ref="L642">IFERROR(IF($A642="","",IF(F642="","",_xlfn.XLOOKUP($C642&amp;"_"&amp;$AG642,符文权重!$A:$A&amp;"_"&amp;符文权重!$C:$C,符文权重!$D:$D)*$X642/SUMIFS($X:$X,F:F,F642,$C:$C,$C642,$AG:$AG,$AG642)/SUMIF(符文权重!$A:$A,$C642,符文权重!$D:$D))),"")</f>
        <v/>
      </c>
      <c r="M642" s="39" t="str" cm="1">
        <f t="array" ref="M642">IFERROR(IF($A642="","",IF(G642="","",_xlfn.XLOOKUP($C642&amp;"_"&amp;$AG642,符文权重!$A:$A&amp;"_"&amp;符文权重!$C:$C,符文权重!$D:$D)*$X642/SUMIFS($X:$X,G:G,G642,$C:$C,$C642,$AG:$AG,$AG642)/SUMIF(符文权重!$A:$A,$C642,符文权重!$D:$D))),"")</f>
        <v/>
      </c>
      <c r="N642" s="39" cm="1">
        <f t="array" ref="N642">IFERROR(IF($A642="","",IF(H642="","",_xlfn.XLOOKUP($C642&amp;"_"&amp;$AG642,符文权重!$A:$A&amp;"_"&amp;符文权重!$C:$C,符文权重!$D:$D)*$X642/SUMIFS($X:$X,H:H,H642,$C:$C,$C642,$AG:$AG,$AG642)/SUMIF(符文权重!$A:$A,$C642,符文权重!$D:$D))),"")</f>
        <v>0.0125</v>
      </c>
      <c r="O642" s="39" t="str" cm="1">
        <f t="array" ref="O642">IFERROR(IF($A642="","",IF(I642="","",_xlfn.XLOOKUP($C642&amp;"_"&amp;$AG642,符文权重!$A:$A&amp;"_"&amp;符文权重!$C:$C,符文权重!$D:$D)*$X642/SUMIFS($X:$X,I:I,I642,$C:$C,$C642,$AG:$AG,$AG642)/SUMIF(符文权重!$A:$A,$C642,符文权重!$D:$D))),"")</f>
        <v/>
      </c>
      <c r="P642" s="39" t="str" cm="1">
        <f t="array" ref="P642">IFERROR(IF($A642="","",IF(J642="","",_xlfn.XLOOKUP($C642&amp;"_"&amp;$AG642,符文权重!$A:$A&amp;"_"&amp;符文权重!$C:$C,符文权重!$D:$D)*$X642/SUMIFS($X:$X,J:J,J642,$C:$C,$C642,$AG:$AG,$AG642)/SUMIF(符文权重!$A:$A,$C642,符文权重!$D:$D))),"")</f>
        <v/>
      </c>
      <c r="Q642" s="39" t="str" cm="1">
        <f t="array" ref="Q642">IFERROR(IF($A642="","",IF(K642="","",_xlfn.XLOOKUP($C642&amp;"_"&amp;$AG642,符文权重!$A:$A&amp;"_"&amp;符文权重!$C:$C,符文权重!$D:$D)*$X642/SUMIFS($X:$X,K:K,K642,$C:$C,$C642,$AG:$AG,$AG642)/SUMIF(符文权重!$A:$A,$C642,符文权重!$D:$D))),"")</f>
        <v/>
      </c>
      <c r="R642" s="25" t="s">
        <v>330</v>
      </c>
      <c r="S642" s="25" t="s">
        <v>677</v>
      </c>
      <c r="T642" s="25" t="s">
        <v>385</v>
      </c>
      <c r="U642" s="25" t="s">
        <v>688</v>
      </c>
      <c r="W642" s="25" t="s">
        <v>682</v>
      </c>
      <c r="X642" s="25">
        <v>100</v>
      </c>
      <c r="Z642" s="25" t="s">
        <v>172</v>
      </c>
      <c r="AA642" s="32" t="str">
        <f t="shared" si="284"/>
        <v>路人血量越低技能尺寸越大，至多36%</v>
      </c>
      <c r="AB642" s="32"/>
      <c r="AC642" s="32" t="s">
        <v>166</v>
      </c>
      <c r="AD642" s="32">
        <f t="shared" si="282"/>
        <v>1637</v>
      </c>
      <c r="AE642" s="25">
        <v>5301332</v>
      </c>
      <c r="AF642" s="25" t="s">
        <v>459</v>
      </c>
      <c r="AG642" s="25">
        <v>4</v>
      </c>
      <c r="AJ642" s="25">
        <v>1</v>
      </c>
      <c r="AK642" s="26"/>
      <c r="AL642" s="25" t="s">
        <v>687</v>
      </c>
      <c r="AM642" s="26"/>
      <c r="AN642" s="25">
        <v>4</v>
      </c>
      <c r="AO642" s="25" t="s">
        <v>32</v>
      </c>
      <c r="AP642" s="20">
        <f t="shared" si="283"/>
        <v>637</v>
      </c>
    </row>
    <row r="643" s="20" customFormat="1" customHeight="1" spans="1:42">
      <c r="A643" s="25">
        <v>5510234</v>
      </c>
      <c r="B643" s="25">
        <v>5301335</v>
      </c>
      <c r="C643" s="25">
        <v>4</v>
      </c>
      <c r="D643" s="25"/>
      <c r="E643" s="25" t="s">
        <v>182</v>
      </c>
      <c r="F643" s="26" t="str">
        <f t="shared" si="281"/>
        <v/>
      </c>
      <c r="G643" s="26" t="str">
        <f>IFERROR(IF(--MID($E643,2*COUNTIF($F643:F643,"&gt;"&amp;0)+2,1)=G$1,G$1,""),"")</f>
        <v/>
      </c>
      <c r="H643" s="26">
        <f>IFERROR(IF(--MID($E643,2*COUNTIF($F643:G643,"&gt;"&amp;0)+2,1)=H$1,H$1,""),"")</f>
        <v>3</v>
      </c>
      <c r="I643" s="26" t="str">
        <f>IFERROR(IF(--MID($E643,2*COUNTIF($F643:H643,"&gt;"&amp;0)+2,1)=I$1,I$1,""),"")</f>
        <v/>
      </c>
      <c r="J643" s="26" t="str">
        <f>IFERROR(IF(--MID($E643,2*COUNTIF($F643:I643,"&gt;"&amp;0)+2,1)=J$1,J$1,""),"")</f>
        <v/>
      </c>
      <c r="K643" s="26" t="str">
        <f>IFERROR(IF(--MID($E643,2*COUNTIF($F643:J643,"&gt;"&amp;0)+2,1)=K$1,K$1,""),"")</f>
        <v/>
      </c>
      <c r="L643" s="39" t="str" cm="1">
        <f t="array" ref="L643">IFERROR(IF($A643="","",IF(F643="","",_xlfn.XLOOKUP($C643&amp;"_"&amp;$AG643,符文权重!$A:$A&amp;"_"&amp;符文权重!$C:$C,符文权重!$D:$D)*$X643/SUMIFS($X:$X,F:F,F643,$C:$C,$C643,$AG:$AG,$AG643)/SUMIF(符文权重!$A:$A,$C643,符文权重!$D:$D))),"")</f>
        <v/>
      </c>
      <c r="M643" s="39" t="str" cm="1">
        <f t="array" ref="M643">IFERROR(IF($A643="","",IF(G643="","",_xlfn.XLOOKUP($C643&amp;"_"&amp;$AG643,符文权重!$A:$A&amp;"_"&amp;符文权重!$C:$C,符文权重!$D:$D)*$X643/SUMIFS($X:$X,G:G,G643,$C:$C,$C643,$AG:$AG,$AG643)/SUMIF(符文权重!$A:$A,$C643,符文权重!$D:$D))),"")</f>
        <v/>
      </c>
      <c r="N643" s="39" cm="1">
        <f t="array" ref="N643">IFERROR(IF($A643="","",IF(H643="","",_xlfn.XLOOKUP($C643&amp;"_"&amp;$AG643,符文权重!$A:$A&amp;"_"&amp;符文权重!$C:$C,符文权重!$D:$D)*$X643/SUMIFS($X:$X,H:H,H643,$C:$C,$C643,$AG:$AG,$AG643)/SUMIF(符文权重!$A:$A,$C643,符文权重!$D:$D))),"")</f>
        <v>0.0119047619047619</v>
      </c>
      <c r="O643" s="39" t="str" cm="1">
        <f t="array" ref="O643">IFERROR(IF($A643="","",IF(I643="","",_xlfn.XLOOKUP($C643&amp;"_"&amp;$AG643,符文权重!$A:$A&amp;"_"&amp;符文权重!$C:$C,符文权重!$D:$D)*$X643/SUMIFS($X:$X,I:I,I643,$C:$C,$C643,$AG:$AG,$AG643)/SUMIF(符文权重!$A:$A,$C643,符文权重!$D:$D))),"")</f>
        <v/>
      </c>
      <c r="P643" s="39" t="str" cm="1">
        <f t="array" ref="P643">IFERROR(IF($A643="","",IF(J643="","",_xlfn.XLOOKUP($C643&amp;"_"&amp;$AG643,符文权重!$A:$A&amp;"_"&amp;符文权重!$C:$C,符文权重!$D:$D)*$X643/SUMIFS($X:$X,J:J,J643,$C:$C,$C643,$AG:$AG,$AG643)/SUMIF(符文权重!$A:$A,$C643,符文权重!$D:$D))),"")</f>
        <v/>
      </c>
      <c r="Q643" s="39" t="str" cm="1">
        <f t="array" ref="Q643">IFERROR(IF($A643="","",IF(K643="","",_xlfn.XLOOKUP($C643&amp;"_"&amp;$AG643,符文权重!$A:$A&amp;"_"&amp;符文权重!$C:$C,符文权重!$D:$D)*$X643/SUMIFS($X:$X,K:K,K643,$C:$C,$C643,$AG:$AG,$AG643)/SUMIF(符文权重!$A:$A,$C643,符文权重!$D:$D))),"")</f>
        <v/>
      </c>
      <c r="R643" s="25" t="s">
        <v>330</v>
      </c>
      <c r="S643" s="25" t="s">
        <v>677</v>
      </c>
      <c r="T643" s="25" t="s">
        <v>388</v>
      </c>
      <c r="U643" s="25" t="s">
        <v>689</v>
      </c>
      <c r="W643" s="25" t="s">
        <v>684</v>
      </c>
      <c r="X643" s="25">
        <v>100</v>
      </c>
      <c r="Z643" s="25" t="s">
        <v>174</v>
      </c>
      <c r="AA643" s="32" t="str">
        <f t="shared" si="284"/>
        <v>路人血量越低技能尺寸越大，至多54%</v>
      </c>
      <c r="AB643" s="32"/>
      <c r="AC643" s="32" t="s">
        <v>166</v>
      </c>
      <c r="AD643" s="32">
        <f t="shared" si="282"/>
        <v>1638</v>
      </c>
      <c r="AE643" s="25">
        <v>53013321</v>
      </c>
      <c r="AF643" s="25" t="s">
        <v>541</v>
      </c>
      <c r="AG643" s="25">
        <v>4</v>
      </c>
      <c r="AJ643" s="25">
        <v>1</v>
      </c>
      <c r="AK643" s="26"/>
      <c r="AL643" s="25" t="s">
        <v>690</v>
      </c>
      <c r="AM643" s="26"/>
      <c r="AN643" s="25">
        <v>4</v>
      </c>
      <c r="AO643" s="25" t="s">
        <v>32</v>
      </c>
      <c r="AP643" s="20">
        <f t="shared" si="283"/>
        <v>638</v>
      </c>
    </row>
    <row r="644" s="20" customFormat="1" customHeight="1" spans="1:42">
      <c r="A644" s="25">
        <v>5510242</v>
      </c>
      <c r="B644" s="25">
        <v>5301336</v>
      </c>
      <c r="C644" s="26">
        <v>2</v>
      </c>
      <c r="D644" s="26"/>
      <c r="E644" s="25" t="s">
        <v>375</v>
      </c>
      <c r="F644" s="26" t="str">
        <f t="shared" si="281"/>
        <v/>
      </c>
      <c r="G644" s="26" t="str">
        <f>IFERROR(IF(--MID($E644,2*COUNTIF($F644:F644,"&gt;"&amp;0)+2,1)=G$1,G$1,""),"")</f>
        <v/>
      </c>
      <c r="H644" s="26" t="str">
        <f>IFERROR(IF(--MID($E644,2*COUNTIF($F644:G644,"&gt;"&amp;0)+2,1)=H$1,H$1,""),"")</f>
        <v/>
      </c>
      <c r="I644" s="26">
        <f>IFERROR(IF(--MID($E644,2*COUNTIF($F644:H644,"&gt;"&amp;0)+2,1)=I$1,I$1,""),"")</f>
        <v>4</v>
      </c>
      <c r="J644" s="26" t="str">
        <f>IFERROR(IF(--MID($E644,2*COUNTIF($F644:I644,"&gt;"&amp;0)+2,1)=J$1,J$1,""),"")</f>
        <v/>
      </c>
      <c r="K644" s="26" t="str">
        <f>IFERROR(IF(--MID($E644,2*COUNTIF($F644:J644,"&gt;"&amp;0)+2,1)=K$1,K$1,""),"")</f>
        <v/>
      </c>
      <c r="L644" s="39" t="str" cm="1">
        <f t="array" ref="L644">IFERROR(IF($A644="","",IF(F644="","",_xlfn.XLOOKUP($C644&amp;"_"&amp;$AG644,符文权重!$A:$A&amp;"_"&amp;符文权重!$C:$C,符文权重!$D:$D)*$X644/SUMIFS($X:$X,F:F,F644,$C:$C,$C644,$AG:$AG,$AG644)/SUMIF(符文权重!$A:$A,$C644,符文权重!$D:$D))),"")</f>
        <v/>
      </c>
      <c r="M644" s="39" t="str" cm="1">
        <f t="array" ref="M644">IFERROR(IF($A644="","",IF(G644="","",_xlfn.XLOOKUP($C644&amp;"_"&amp;$AG644,符文权重!$A:$A&amp;"_"&amp;符文权重!$C:$C,符文权重!$D:$D)*$X644/SUMIFS($X:$X,G:G,G644,$C:$C,$C644,$AG:$AG,$AG644)/SUMIF(符文权重!$A:$A,$C644,符文权重!$D:$D))),"")</f>
        <v/>
      </c>
      <c r="N644" s="39" t="str" cm="1">
        <f t="array" ref="N644">IFERROR(IF($A644="","",IF(H644="","",_xlfn.XLOOKUP($C644&amp;"_"&amp;$AG644,符文权重!$A:$A&amp;"_"&amp;符文权重!$C:$C,符文权重!$D:$D)*$X644/SUMIFS($X:$X,H:H,H644,$C:$C,$C644,$AG:$AG,$AG644)/SUMIF(符文权重!$A:$A,$C644,符文权重!$D:$D))),"")</f>
        <v/>
      </c>
      <c r="O644" s="39" t="str" cm="1">
        <f t="array" ref="O644">IFERROR(IF($A644="","",IF(I644="","",_xlfn.XLOOKUP($C644&amp;"_"&amp;$AG644,符文权重!$A:$A&amp;"_"&amp;符文权重!$C:$C,符文权重!$D:$D)*$X644/SUMIFS($X:$X,I:I,I644,$C:$C,$C644,$AG:$AG,$AG644)/SUMIF(符文权重!$A:$A,$C644,符文权重!$D:$D))),"")</f>
        <v/>
      </c>
      <c r="P644" s="39" t="str" cm="1">
        <f t="array" ref="P644">IFERROR(IF($A644="","",IF(J644="","",_xlfn.XLOOKUP($C644&amp;"_"&amp;$AG644,符文权重!$A:$A&amp;"_"&amp;符文权重!$C:$C,符文权重!$D:$D)*$X644/SUMIFS($X:$X,J:J,J644,$C:$C,$C644,$AG:$AG,$AG644)/SUMIF(符文权重!$A:$A,$C644,符文权重!$D:$D))),"")</f>
        <v/>
      </c>
      <c r="Q644" s="39" t="str" cm="1">
        <f t="array" ref="Q644">IFERROR(IF($A644="","",IF(K644="","",_xlfn.XLOOKUP($C644&amp;"_"&amp;$AG644,符文权重!$A:$A&amp;"_"&amp;符文权重!$C:$C,符文权重!$D:$D)*$X644/SUMIFS($X:$X,K:K,K644,$C:$C,$C644,$AG:$AG,$AG644)/SUMIF(符文权重!$A:$A,$C644,符文权重!$D:$D))),"")</f>
        <v/>
      </c>
      <c r="R644" s="26" t="s">
        <v>330</v>
      </c>
      <c r="S644" s="26" t="s">
        <v>677</v>
      </c>
      <c r="T644" s="26" t="s">
        <v>383</v>
      </c>
      <c r="U644" s="20" t="s">
        <v>691</v>
      </c>
      <c r="V644" s="31"/>
      <c r="W644" s="25" t="s">
        <v>679</v>
      </c>
      <c r="X644" s="25">
        <v>100</v>
      </c>
      <c r="Y644" s="25"/>
      <c r="Z644" s="26" t="s">
        <v>170</v>
      </c>
      <c r="AA644" s="32" t="str">
        <f t="shared" si="284"/>
        <v>路人每次释放弹簧机关枪有10%概率额外释放1次</v>
      </c>
      <c r="AB644" s="32"/>
      <c r="AC644" s="32" t="s">
        <v>166</v>
      </c>
      <c r="AD644" s="32">
        <f t="shared" si="282"/>
        <v>1639</v>
      </c>
      <c r="AE644" s="25">
        <v>5301333</v>
      </c>
      <c r="AF644" s="26" t="s">
        <v>449</v>
      </c>
      <c r="AG644" s="26">
        <v>100</v>
      </c>
      <c r="AH644" s="26"/>
      <c r="AI644" s="26">
        <v>1</v>
      </c>
      <c r="AJ644" s="26">
        <v>0</v>
      </c>
      <c r="AL644" s="26" t="s">
        <v>692</v>
      </c>
      <c r="AN644" s="25">
        <v>4</v>
      </c>
      <c r="AO644" s="25" t="s">
        <v>32</v>
      </c>
      <c r="AP644" s="20">
        <f t="shared" si="283"/>
        <v>639</v>
      </c>
    </row>
    <row r="645" s="20" customFormat="1" customHeight="1" spans="1:42">
      <c r="A645" s="25">
        <v>5510243</v>
      </c>
      <c r="B645" s="25">
        <v>5301336</v>
      </c>
      <c r="C645" s="25">
        <v>3</v>
      </c>
      <c r="D645" s="25"/>
      <c r="E645" s="25" t="s">
        <v>375</v>
      </c>
      <c r="F645" s="26" t="str">
        <f t="shared" si="281"/>
        <v/>
      </c>
      <c r="G645" s="26" t="str">
        <f>IFERROR(IF(--MID($E645,2*COUNTIF($F645:F645,"&gt;"&amp;0)+2,1)=G$1,G$1,""),"")</f>
        <v/>
      </c>
      <c r="H645" s="26" t="str">
        <f>IFERROR(IF(--MID($E645,2*COUNTIF($F645:G645,"&gt;"&amp;0)+2,1)=H$1,H$1,""),"")</f>
        <v/>
      </c>
      <c r="I645" s="26">
        <f>IFERROR(IF(--MID($E645,2*COUNTIF($F645:H645,"&gt;"&amp;0)+2,1)=I$1,I$1,""),"")</f>
        <v>4</v>
      </c>
      <c r="J645" s="26" t="str">
        <f>IFERROR(IF(--MID($E645,2*COUNTIF($F645:I645,"&gt;"&amp;0)+2,1)=J$1,J$1,""),"")</f>
        <v/>
      </c>
      <c r="K645" s="26" t="str">
        <f>IFERROR(IF(--MID($E645,2*COUNTIF($F645:J645,"&gt;"&amp;0)+2,1)=K$1,K$1,""),"")</f>
        <v/>
      </c>
      <c r="L645" s="39" t="str" cm="1">
        <f t="array" ref="L645">IFERROR(IF($A645="","",IF(F645="","",_xlfn.XLOOKUP($C645&amp;"_"&amp;$AG645,符文权重!$A:$A&amp;"_"&amp;符文权重!$C:$C,符文权重!$D:$D)*$X645/SUMIFS($X:$X,F:F,F645,$C:$C,$C645,$AG:$AG,$AG645)/SUMIF(符文权重!$A:$A,$C645,符文权重!$D:$D))),"")</f>
        <v/>
      </c>
      <c r="M645" s="39" t="str" cm="1">
        <f t="array" ref="M645">IFERROR(IF($A645="","",IF(G645="","",_xlfn.XLOOKUP($C645&amp;"_"&amp;$AG645,符文权重!$A:$A&amp;"_"&amp;符文权重!$C:$C,符文权重!$D:$D)*$X645/SUMIFS($X:$X,G:G,G645,$C:$C,$C645,$AG:$AG,$AG645)/SUMIF(符文权重!$A:$A,$C645,符文权重!$D:$D))),"")</f>
        <v/>
      </c>
      <c r="N645" s="39" t="str" cm="1">
        <f t="array" ref="N645">IFERROR(IF($A645="","",IF(H645="","",_xlfn.XLOOKUP($C645&amp;"_"&amp;$AG645,符文权重!$A:$A&amp;"_"&amp;符文权重!$C:$C,符文权重!$D:$D)*$X645/SUMIFS($X:$X,H:H,H645,$C:$C,$C645,$AG:$AG,$AG645)/SUMIF(符文权重!$A:$A,$C645,符文权重!$D:$D))),"")</f>
        <v/>
      </c>
      <c r="O645" s="39" cm="1">
        <f t="array" ref="O645">IFERROR(IF($A645="","",IF(I645="","",_xlfn.XLOOKUP($C645&amp;"_"&amp;$AG645,符文权重!$A:$A&amp;"_"&amp;符文权重!$C:$C,符文权重!$D:$D)*$X645/SUMIFS($X:$X,I:I,I645,$C:$C,$C645,$AG:$AG,$AG645)/SUMIF(符文权重!$A:$A,$C645,符文权重!$D:$D))),"")</f>
        <v>0.0125</v>
      </c>
      <c r="P645" s="39" t="str" cm="1">
        <f t="array" ref="P645">IFERROR(IF($A645="","",IF(J645="","",_xlfn.XLOOKUP($C645&amp;"_"&amp;$AG645,符文权重!$A:$A&amp;"_"&amp;符文权重!$C:$C,符文权重!$D:$D)*$X645/SUMIFS($X:$X,J:J,J645,$C:$C,$C645,$AG:$AG,$AG645)/SUMIF(符文权重!$A:$A,$C645,符文权重!$D:$D))),"")</f>
        <v/>
      </c>
      <c r="Q645" s="39" t="str" cm="1">
        <f t="array" ref="Q645">IFERROR(IF($A645="","",IF(K645="","",_xlfn.XLOOKUP($C645&amp;"_"&amp;$AG645,符文权重!$A:$A&amp;"_"&amp;符文权重!$C:$C,符文权重!$D:$D)*$X645/SUMIFS($X:$X,K:K,K645,$C:$C,$C645,$AG:$AG,$AG645)/SUMIF(符文权重!$A:$A,$C645,符文权重!$D:$D))),"")</f>
        <v/>
      </c>
      <c r="R645" s="25" t="s">
        <v>330</v>
      </c>
      <c r="S645" s="25" t="s">
        <v>677</v>
      </c>
      <c r="T645" s="25" t="s">
        <v>385</v>
      </c>
      <c r="U645" s="25" t="s">
        <v>693</v>
      </c>
      <c r="W645" s="25" t="s">
        <v>682</v>
      </c>
      <c r="X645" s="25">
        <v>100</v>
      </c>
      <c r="Z645" s="25" t="s">
        <v>172</v>
      </c>
      <c r="AA645" s="32" t="str">
        <f t="shared" si="284"/>
        <v>路人每次释放弹簧机关枪有10%概率额外释放1次</v>
      </c>
      <c r="AB645" s="32"/>
      <c r="AC645" s="32" t="s">
        <v>166</v>
      </c>
      <c r="AD645" s="32">
        <f t="shared" si="282"/>
        <v>1640</v>
      </c>
      <c r="AE645" s="25">
        <v>5301333</v>
      </c>
      <c r="AF645" s="25" t="s">
        <v>459</v>
      </c>
      <c r="AG645" s="25">
        <v>4</v>
      </c>
      <c r="AJ645" s="25">
        <v>1</v>
      </c>
      <c r="AK645" s="26"/>
      <c r="AL645" s="25" t="s">
        <v>692</v>
      </c>
      <c r="AM645" s="26"/>
      <c r="AN645" s="25">
        <v>4</v>
      </c>
      <c r="AO645" s="25" t="s">
        <v>32</v>
      </c>
      <c r="AP645" s="20">
        <f t="shared" si="283"/>
        <v>640</v>
      </c>
    </row>
    <row r="646" s="20" customFormat="1" customHeight="1" spans="1:42">
      <c r="A646" s="25">
        <v>5510244</v>
      </c>
      <c r="B646" s="25">
        <v>5301336</v>
      </c>
      <c r="C646" s="25">
        <v>4</v>
      </c>
      <c r="D646" s="25"/>
      <c r="E646" s="25" t="s">
        <v>375</v>
      </c>
      <c r="F646" s="26" t="str">
        <f t="shared" si="281"/>
        <v/>
      </c>
      <c r="G646" s="26" t="str">
        <f>IFERROR(IF(--MID($E646,2*COUNTIF($F646:F646,"&gt;"&amp;0)+2,1)=G$1,G$1,""),"")</f>
        <v/>
      </c>
      <c r="H646" s="26" t="str">
        <f>IFERROR(IF(--MID($E646,2*COUNTIF($F646:G646,"&gt;"&amp;0)+2,1)=H$1,H$1,""),"")</f>
        <v/>
      </c>
      <c r="I646" s="26">
        <f>IFERROR(IF(--MID($E646,2*COUNTIF($F646:H646,"&gt;"&amp;0)+2,1)=I$1,I$1,""),"")</f>
        <v>4</v>
      </c>
      <c r="J646" s="26" t="str">
        <f>IFERROR(IF(--MID($E646,2*COUNTIF($F646:I646,"&gt;"&amp;0)+2,1)=J$1,J$1,""),"")</f>
        <v/>
      </c>
      <c r="K646" s="26" t="str">
        <f>IFERROR(IF(--MID($E646,2*COUNTIF($F646:J646,"&gt;"&amp;0)+2,1)=K$1,K$1,""),"")</f>
        <v/>
      </c>
      <c r="L646" s="39" t="str" cm="1">
        <f t="array" ref="L646">IFERROR(IF($A646="","",IF(F646="","",_xlfn.XLOOKUP($C646&amp;"_"&amp;$AG646,符文权重!$A:$A&amp;"_"&amp;符文权重!$C:$C,符文权重!$D:$D)*$X646/SUMIFS($X:$X,F:F,F646,$C:$C,$C646,$AG:$AG,$AG646)/SUMIF(符文权重!$A:$A,$C646,符文权重!$D:$D))),"")</f>
        <v/>
      </c>
      <c r="M646" s="39" t="str" cm="1">
        <f t="array" ref="M646">IFERROR(IF($A646="","",IF(G646="","",_xlfn.XLOOKUP($C646&amp;"_"&amp;$AG646,符文权重!$A:$A&amp;"_"&amp;符文权重!$C:$C,符文权重!$D:$D)*$X646/SUMIFS($X:$X,G:G,G646,$C:$C,$C646,$AG:$AG,$AG646)/SUMIF(符文权重!$A:$A,$C646,符文权重!$D:$D))),"")</f>
        <v/>
      </c>
      <c r="N646" s="39" t="str" cm="1">
        <f t="array" ref="N646">IFERROR(IF($A646="","",IF(H646="","",_xlfn.XLOOKUP($C646&amp;"_"&amp;$AG646,符文权重!$A:$A&amp;"_"&amp;符文权重!$C:$C,符文权重!$D:$D)*$X646/SUMIFS($X:$X,H:H,H646,$C:$C,$C646,$AG:$AG,$AG646)/SUMIF(符文权重!$A:$A,$C646,符文权重!$D:$D))),"")</f>
        <v/>
      </c>
      <c r="O646" s="39" cm="1">
        <f t="array" ref="O646">IFERROR(IF($A646="","",IF(I646="","",_xlfn.XLOOKUP($C646&amp;"_"&amp;$AG646,符文权重!$A:$A&amp;"_"&amp;符文权重!$C:$C,符文权重!$D:$D)*$X646/SUMIFS($X:$X,I:I,I646,$C:$C,$C646,$AG:$AG,$AG646)/SUMIF(符文权重!$A:$A,$C646,符文权重!$D:$D))),"")</f>
        <v>0.0119047619047619</v>
      </c>
      <c r="P646" s="39" t="str" cm="1">
        <f t="array" ref="P646">IFERROR(IF($A646="","",IF(J646="","",_xlfn.XLOOKUP($C646&amp;"_"&amp;$AG646,符文权重!$A:$A&amp;"_"&amp;符文权重!$C:$C,符文权重!$D:$D)*$X646/SUMIFS($X:$X,J:J,J646,$C:$C,$C646,$AG:$AG,$AG646)/SUMIF(符文权重!$A:$A,$C646,符文权重!$D:$D))),"")</f>
        <v/>
      </c>
      <c r="Q646" s="39" t="str" cm="1">
        <f t="array" ref="Q646">IFERROR(IF($A646="","",IF(K646="","",_xlfn.XLOOKUP($C646&amp;"_"&amp;$AG646,符文权重!$A:$A&amp;"_"&amp;符文权重!$C:$C,符文权重!$D:$D)*$X646/SUMIFS($X:$X,K:K,K646,$C:$C,$C646,$AG:$AG,$AG646)/SUMIF(符文权重!$A:$A,$C646,符文权重!$D:$D))),"")</f>
        <v/>
      </c>
      <c r="R646" s="25" t="s">
        <v>330</v>
      </c>
      <c r="S646" s="25" t="s">
        <v>677</v>
      </c>
      <c r="T646" s="25" t="s">
        <v>388</v>
      </c>
      <c r="U646" s="25" t="s">
        <v>694</v>
      </c>
      <c r="W646" s="25" t="s">
        <v>684</v>
      </c>
      <c r="X646" s="25">
        <v>100</v>
      </c>
      <c r="Z646" s="25" t="s">
        <v>174</v>
      </c>
      <c r="AA646" s="32" t="str">
        <f t="shared" si="284"/>
        <v>路人每次释放弹簧机关枪有15%概率额外释放1次</v>
      </c>
      <c r="AB646" s="32"/>
      <c r="AC646" s="32" t="s">
        <v>166</v>
      </c>
      <c r="AD646" s="32">
        <f t="shared" si="282"/>
        <v>1641</v>
      </c>
      <c r="AE646" s="25">
        <v>53013331</v>
      </c>
      <c r="AF646" s="25" t="s">
        <v>541</v>
      </c>
      <c r="AG646" s="25">
        <v>4</v>
      </c>
      <c r="AJ646" s="25">
        <v>1</v>
      </c>
      <c r="AK646" s="26"/>
      <c r="AL646" s="25" t="s">
        <v>695</v>
      </c>
      <c r="AM646" s="26"/>
      <c r="AN646" s="25">
        <v>4</v>
      </c>
      <c r="AO646" s="25" t="s">
        <v>32</v>
      </c>
      <c r="AP646" s="20">
        <f t="shared" si="283"/>
        <v>641</v>
      </c>
    </row>
    <row r="647" s="20" customFormat="1" customHeight="1" spans="1:42">
      <c r="E647" s="25"/>
      <c r="F647" s="26" t="str">
        <f t="shared" ref="F647:F710" si="285">IF(LEFT(E647,2)="[1",1,"")</f>
        <v/>
      </c>
      <c r="G647" s="26" t="str">
        <f>IFERROR(IF(--MID($E647,2*COUNTIF($F647:F647,"&gt;"&amp;0)+2,1)=G$1,G$1,""),"")</f>
        <v/>
      </c>
      <c r="H647" s="26" t="str">
        <f>IFERROR(IF(--MID($E647,2*COUNTIF($F647:G647,"&gt;"&amp;0)+2,1)=H$1,H$1,""),"")</f>
        <v/>
      </c>
      <c r="I647" s="26" t="str">
        <f>IFERROR(IF(--MID($E647,2*COUNTIF($F647:H647,"&gt;"&amp;0)+2,1)=I$1,I$1,""),"")</f>
        <v/>
      </c>
      <c r="J647" s="26" t="str">
        <f>IFERROR(IF(--MID($E647,2*COUNTIF($F647:I647,"&gt;"&amp;0)+2,1)=J$1,J$1,""),"")</f>
        <v/>
      </c>
      <c r="K647" s="26" t="str">
        <f>IFERROR(IF(--MID($E647,2*COUNTIF($F647:J647,"&gt;"&amp;0)+2,1)=K$1,K$1,""),"")</f>
        <v/>
      </c>
      <c r="L647" s="39" t="str" cm="1">
        <f t="array" ref="L647">IFERROR(IF($A647="","",IF(F647="","",_xlfn.XLOOKUP($C647&amp;"_"&amp;$AG647,符文权重!$A:$A&amp;"_"&amp;符文权重!$C:$C,符文权重!$D:$D)*$X647/SUMIFS($X:$X,F:F,F647,$C:$C,$C647,$AG:$AG,$AG647)/SUMIF(符文权重!$A:$A,$C647,符文权重!$D:$D))),"")</f>
        <v/>
      </c>
      <c r="M647" s="39" t="str" cm="1">
        <f t="array" ref="M647">IFERROR(IF($A647="","",IF(G647="","",_xlfn.XLOOKUP($C647&amp;"_"&amp;$AG647,符文权重!$A:$A&amp;"_"&amp;符文权重!$C:$C,符文权重!$D:$D)*$X647/SUMIFS($X:$X,G:G,G647,$C:$C,$C647,$AG:$AG,$AG647)/SUMIF(符文权重!$A:$A,$C647,符文权重!$D:$D))),"")</f>
        <v/>
      </c>
      <c r="N647" s="39" t="str" cm="1">
        <f t="array" ref="N647">IFERROR(IF($A647="","",IF(H647="","",_xlfn.XLOOKUP($C647&amp;"_"&amp;$AG647,符文权重!$A:$A&amp;"_"&amp;符文权重!$C:$C,符文权重!$D:$D)*$X647/SUMIFS($X:$X,H:H,H647,$C:$C,$C647,$AG:$AG,$AG647)/SUMIF(符文权重!$A:$A,$C647,符文权重!$D:$D))),"")</f>
        <v/>
      </c>
      <c r="O647" s="39" t="str" cm="1">
        <f t="array" ref="O647">IFERROR(IF($A647="","",IF(I647="","",_xlfn.XLOOKUP($C647&amp;"_"&amp;$AG647,符文权重!$A:$A&amp;"_"&amp;符文权重!$C:$C,符文权重!$D:$D)*$X647/SUMIFS($X:$X,I:I,I647,$C:$C,$C647,$AG:$AG,$AG647)/SUMIF(符文权重!$A:$A,$C647,符文权重!$D:$D))),"")</f>
        <v/>
      </c>
      <c r="P647" s="39" t="str" cm="1">
        <f t="array" ref="P647">IFERROR(IF($A647="","",IF(J647="","",_xlfn.XLOOKUP($C647&amp;"_"&amp;$AG647,符文权重!$A:$A&amp;"_"&amp;符文权重!$C:$C,符文权重!$D:$D)*$X647/SUMIFS($X:$X,J:J,J647,$C:$C,$C647,$AG:$AG,$AG647)/SUMIF(符文权重!$A:$A,$C647,符文权重!$D:$D))),"")</f>
        <v/>
      </c>
      <c r="Q647" s="39" t="str" cm="1">
        <f t="array" ref="Q647">IFERROR(IF($A647="","",IF(K647="","",_xlfn.XLOOKUP($C647&amp;"_"&amp;$AG647,符文权重!$A:$A&amp;"_"&amp;符文权重!$C:$C,符文权重!$D:$D)*$X647/SUMIFS($X:$X,K:K,K647,$C:$C,$C647,$AG:$AG,$AG647)/SUMIF(符文权重!$A:$A,$C647,符文权重!$D:$D))),"")</f>
        <v/>
      </c>
      <c r="R647" s="25" t="s">
        <v>167</v>
      </c>
      <c r="S647" s="25" t="s">
        <v>167</v>
      </c>
      <c r="T647" s="25" t="s">
        <v>167</v>
      </c>
      <c r="W647" s="25" t="s">
        <v>167</v>
      </c>
      <c r="X647" s="25"/>
      <c r="Z647" s="25" t="s">
        <v>167</v>
      </c>
      <c r="AA647" s="32" t="str">
        <f t="shared" si="284"/>
        <v/>
      </c>
      <c r="AB647" s="32"/>
      <c r="AC647" s="32" t="s">
        <v>166</v>
      </c>
      <c r="AD647" s="32">
        <f t="shared" si="282"/>
        <v>1642</v>
      </c>
      <c r="AG647" s="25" t="s">
        <v>167</v>
      </c>
      <c r="AJ647" s="25" t="s">
        <v>167</v>
      </c>
      <c r="AK647" s="26"/>
      <c r="AM647" s="26"/>
      <c r="AN647" s="25">
        <v>4</v>
      </c>
      <c r="AO647" s="25" t="s">
        <v>32</v>
      </c>
      <c r="AP647" s="20">
        <f t="shared" si="283"/>
        <v>642</v>
      </c>
    </row>
    <row r="648" s="20" customFormat="1" customHeight="1" spans="1:42">
      <c r="A648" s="25">
        <v>5510254</v>
      </c>
      <c r="B648" s="25">
        <v>5301249</v>
      </c>
      <c r="C648" s="26">
        <v>4</v>
      </c>
      <c r="D648" s="26"/>
      <c r="E648" s="25" t="s">
        <v>182</v>
      </c>
      <c r="F648" s="26" t="str">
        <f t="shared" si="285"/>
        <v/>
      </c>
      <c r="G648" s="26" t="str">
        <f>IFERROR(IF(--MID($E648,2*COUNTIF($F648:F648,"&gt;"&amp;0)+2,1)=G$1,G$1,""),"")</f>
        <v/>
      </c>
      <c r="H648" s="26">
        <f>IFERROR(IF(--MID($E648,2*COUNTIF($F648:G648,"&gt;"&amp;0)+2,1)=H$1,H$1,""),"")</f>
        <v>3</v>
      </c>
      <c r="I648" s="26" t="str">
        <f>IFERROR(IF(--MID($E648,2*COUNTIF($F648:H648,"&gt;"&amp;0)+2,1)=I$1,I$1,""),"")</f>
        <v/>
      </c>
      <c r="J648" s="26" t="str">
        <f>IFERROR(IF(--MID($E648,2*COUNTIF($F648:I648,"&gt;"&amp;0)+2,1)=J$1,J$1,""),"")</f>
        <v/>
      </c>
      <c r="K648" s="26" t="str">
        <f>IFERROR(IF(--MID($E648,2*COUNTIF($F648:J648,"&gt;"&amp;0)+2,1)=K$1,K$1,""),"")</f>
        <v/>
      </c>
      <c r="L648" s="39" t="str" cm="1">
        <f t="array" ref="L648">IFERROR(IF($A648="","",IF(F648="","",_xlfn.XLOOKUP($C648&amp;"_"&amp;$AG648,符文权重!$A:$A&amp;"_"&amp;符文权重!$C:$C,符文权重!$D:$D)*$X648/SUMIFS($X:$X,F:F,F648,$C:$C,$C648,$AG:$AG,$AG648)/SUMIF(符文权重!$A:$A,$C648,符文权重!$D:$D))),"")</f>
        <v/>
      </c>
      <c r="M648" s="39" t="str" cm="1">
        <f t="array" ref="M648">IFERROR(IF($A648="","",IF(G648="","",_xlfn.XLOOKUP($C648&amp;"_"&amp;$AG648,符文权重!$A:$A&amp;"_"&amp;符文权重!$C:$C,符文权重!$D:$D)*$X648/SUMIFS($X:$X,G:G,G648,$C:$C,$C648,$AG:$AG,$AG648)/SUMIF(符文权重!$A:$A,$C648,符文权重!$D:$D))),"")</f>
        <v/>
      </c>
      <c r="N648" s="39" cm="1">
        <f t="array" ref="N648">IFERROR(IF($A648="","",IF(H648="","",_xlfn.XLOOKUP($C648&amp;"_"&amp;$AG648,符文权重!$A:$A&amp;"_"&amp;符文权重!$C:$C,符文权重!$D:$D)*$X648/SUMIFS($X:$X,H:H,H648,$C:$C,$C648,$AG:$AG,$AG648)/SUMIF(符文权重!$A:$A,$C648,符文权重!$D:$D))),"")</f>
        <v>0.00333333333333333</v>
      </c>
      <c r="O648" s="39" t="str" cm="1">
        <f t="array" ref="O648">IFERROR(IF($A648="","",IF(I648="","",_xlfn.XLOOKUP($C648&amp;"_"&amp;$AG648,符文权重!$A:$A&amp;"_"&amp;符文权重!$C:$C,符文权重!$D:$D)*$X648/SUMIFS($X:$X,I:I,I648,$C:$C,$C648,$AG:$AG,$AG648)/SUMIF(符文权重!$A:$A,$C648,符文权重!$D:$D))),"")</f>
        <v/>
      </c>
      <c r="P648" s="39" t="str" cm="1">
        <f t="array" ref="P648">IFERROR(IF($A648="","",IF(J648="","",_xlfn.XLOOKUP($C648&amp;"_"&amp;$AG648,符文权重!$A:$A&amp;"_"&amp;符文权重!$C:$C,符文权重!$D:$D)*$X648/SUMIFS($X:$X,J:J,J648,$C:$C,$C648,$AG:$AG,$AG648)/SUMIF(符文权重!$A:$A,$C648,符文权重!$D:$D))),"")</f>
        <v/>
      </c>
      <c r="Q648" s="39" t="str" cm="1">
        <f t="array" ref="Q648">IFERROR(IF($A648="","",IF(K648="","",_xlfn.XLOOKUP($C648&amp;"_"&amp;$AG648,符文权重!$A:$A&amp;"_"&amp;符文权重!$C:$C,符文权重!$D:$D)*$X648/SUMIFS($X:$X,K:K,K648,$C:$C,$C648,$AG:$AG,$AG648)/SUMIF(符文权重!$A:$A,$C648,符文权重!$D:$D))),"")</f>
        <v/>
      </c>
      <c r="R648" s="26" t="s">
        <v>330</v>
      </c>
      <c r="S648" s="26" t="s">
        <v>696</v>
      </c>
      <c r="T648" s="26" t="s">
        <v>388</v>
      </c>
      <c r="U648" s="20" t="s">
        <v>697</v>
      </c>
      <c r="V648" s="26"/>
      <c r="W648" s="25" t="s">
        <v>602</v>
      </c>
      <c r="X648" s="25">
        <v>100</v>
      </c>
      <c r="Y648" s="25"/>
      <c r="Z648" s="26" t="s">
        <v>174</v>
      </c>
      <c r="AA648" s="32" t="str">
        <f t="shared" si="284"/>
        <v>关羽对血量高于75%的敌人，暴击率+20%</v>
      </c>
      <c r="AB648" s="32"/>
      <c r="AC648" s="32" t="s">
        <v>166</v>
      </c>
      <c r="AD648" s="32">
        <f t="shared" ref="AD648:AD711" si="286">AD647+1</f>
        <v>1643</v>
      </c>
      <c r="AE648" s="25">
        <v>5301249</v>
      </c>
      <c r="AF648" s="26" t="s">
        <v>396</v>
      </c>
      <c r="AG648" s="26">
        <v>8</v>
      </c>
      <c r="AH648" s="26"/>
      <c r="AI648" s="26"/>
      <c r="AJ648" s="26">
        <v>1</v>
      </c>
      <c r="AK648" s="24"/>
      <c r="AL648" s="32" t="s">
        <v>698</v>
      </c>
      <c r="AM648" s="25"/>
      <c r="AN648" s="25">
        <v>4</v>
      </c>
      <c r="AO648" s="25" t="s">
        <v>32</v>
      </c>
      <c r="AP648" s="20">
        <f t="shared" ref="AP648:AP711" si="287">AP647+1</f>
        <v>643</v>
      </c>
    </row>
    <row r="649" s="20" customFormat="1" customHeight="1" spans="1:42">
      <c r="A649" s="25">
        <v>5510255</v>
      </c>
      <c r="B649" s="25">
        <v>5301249</v>
      </c>
      <c r="C649" s="25">
        <v>5</v>
      </c>
      <c r="D649" s="25"/>
      <c r="E649" s="25" t="s">
        <v>182</v>
      </c>
      <c r="F649" s="26" t="str">
        <f t="shared" si="285"/>
        <v/>
      </c>
      <c r="G649" s="26" t="str">
        <f>IFERROR(IF(--MID($E649,2*COUNTIF($F649:F649,"&gt;"&amp;0)+2,1)=G$1,G$1,""),"")</f>
        <v/>
      </c>
      <c r="H649" s="26">
        <f>IFERROR(IF(--MID($E649,2*COUNTIF($F649:G649,"&gt;"&amp;0)+2,1)=H$1,H$1,""),"")</f>
        <v>3</v>
      </c>
      <c r="I649" s="26" t="str">
        <f>IFERROR(IF(--MID($E649,2*COUNTIF($F649:H649,"&gt;"&amp;0)+2,1)=I$1,I$1,""),"")</f>
        <v/>
      </c>
      <c r="J649" s="26" t="str">
        <f>IFERROR(IF(--MID($E649,2*COUNTIF($F649:I649,"&gt;"&amp;0)+2,1)=J$1,J$1,""),"")</f>
        <v/>
      </c>
      <c r="K649" s="26" t="str">
        <f>IFERROR(IF(--MID($E649,2*COUNTIF($F649:J649,"&gt;"&amp;0)+2,1)=K$1,K$1,""),"")</f>
        <v/>
      </c>
      <c r="L649" s="39" t="str" cm="1">
        <f t="array" ref="L649">IFERROR(IF($A649="","",IF(F649="","",_xlfn.XLOOKUP($C649&amp;"_"&amp;$AG649,符文权重!$A:$A&amp;"_"&amp;符文权重!$C:$C,符文权重!$D:$D)*$X649/SUMIFS($X:$X,F:F,F649,$C:$C,$C649,$AG:$AG,$AG649)/SUMIF(符文权重!$A:$A,$C649,符文权重!$D:$D))),"")</f>
        <v/>
      </c>
      <c r="M649" s="39" t="str" cm="1">
        <f t="array" ref="M649">IFERROR(IF($A649="","",IF(G649="","",_xlfn.XLOOKUP($C649&amp;"_"&amp;$AG649,符文权重!$A:$A&amp;"_"&amp;符文权重!$C:$C,符文权重!$D:$D)*$X649/SUMIFS($X:$X,G:G,G649,$C:$C,$C649,$AG:$AG,$AG649)/SUMIF(符文权重!$A:$A,$C649,符文权重!$D:$D))),"")</f>
        <v/>
      </c>
      <c r="N649" s="39" cm="1">
        <f t="array" ref="N649">IFERROR(IF($A649="","",IF(H649="","",_xlfn.XLOOKUP($C649&amp;"_"&amp;$AG649,符文权重!$A:$A&amp;"_"&amp;符文权重!$C:$C,符文权重!$D:$D)*$X649/SUMIFS($X:$X,H:H,H649,$C:$C,$C649,$AG:$AG,$AG649)/SUMIF(符文权重!$A:$A,$C649,符文权重!$D:$D))),"")</f>
        <v>0.0115384615384615</v>
      </c>
      <c r="O649" s="39" t="str" cm="1">
        <f t="array" ref="O649">IFERROR(IF($A649="","",IF(I649="","",_xlfn.XLOOKUP($C649&amp;"_"&amp;$AG649,符文权重!$A:$A&amp;"_"&amp;符文权重!$C:$C,符文权重!$D:$D)*$X649/SUMIFS($X:$X,I:I,I649,$C:$C,$C649,$AG:$AG,$AG649)/SUMIF(符文权重!$A:$A,$C649,符文权重!$D:$D))),"")</f>
        <v/>
      </c>
      <c r="P649" s="39" t="str" cm="1">
        <f t="array" ref="P649">IFERROR(IF($A649="","",IF(J649="","",_xlfn.XLOOKUP($C649&amp;"_"&amp;$AG649,符文权重!$A:$A&amp;"_"&amp;符文权重!$C:$C,符文权重!$D:$D)*$X649/SUMIFS($X:$X,J:J,J649,$C:$C,$C649,$AG:$AG,$AG649)/SUMIF(符文权重!$A:$A,$C649,符文权重!$D:$D))),"")</f>
        <v/>
      </c>
      <c r="Q649" s="39" t="str" cm="1">
        <f t="array" ref="Q649">IFERROR(IF($A649="","",IF(K649="","",_xlfn.XLOOKUP($C649&amp;"_"&amp;$AG649,符文权重!$A:$A&amp;"_"&amp;符文权重!$C:$C,符文权重!$D:$D)*$X649/SUMIFS($X:$X,K:K,K649,$C:$C,$C649,$AG:$AG,$AG649)/SUMIF(符文权重!$A:$A,$C649,符文权重!$D:$D))),"")</f>
        <v/>
      </c>
      <c r="R649" s="25" t="s">
        <v>330</v>
      </c>
      <c r="S649" s="25" t="s">
        <v>696</v>
      </c>
      <c r="T649" s="25" t="s">
        <v>391</v>
      </c>
      <c r="U649" s="25" t="s">
        <v>699</v>
      </c>
      <c r="W649" s="25" t="s">
        <v>602</v>
      </c>
      <c r="X649" s="25">
        <v>100</v>
      </c>
      <c r="Z649" s="25" t="s">
        <v>176</v>
      </c>
      <c r="AA649" s="32" t="str">
        <f t="shared" si="284"/>
        <v>关羽对血量高于75%的敌人，暴击率+25%</v>
      </c>
      <c r="AB649" s="32"/>
      <c r="AC649" s="32" t="s">
        <v>166</v>
      </c>
      <c r="AD649" s="32">
        <f t="shared" si="286"/>
        <v>1644</v>
      </c>
      <c r="AE649" s="25">
        <v>5301249</v>
      </c>
      <c r="AF649" s="25" t="s">
        <v>399</v>
      </c>
      <c r="AG649" s="25">
        <v>4</v>
      </c>
      <c r="AJ649" s="25">
        <v>1</v>
      </c>
      <c r="AK649" s="26"/>
      <c r="AL649" s="25" t="s">
        <v>700</v>
      </c>
      <c r="AM649" s="26"/>
      <c r="AN649" s="25">
        <v>4</v>
      </c>
      <c r="AO649" s="25" t="s">
        <v>32</v>
      </c>
      <c r="AP649" s="20">
        <f t="shared" si="287"/>
        <v>644</v>
      </c>
    </row>
    <row r="650" s="20" customFormat="1" customHeight="1" spans="1:42">
      <c r="A650" s="25">
        <v>5510256</v>
      </c>
      <c r="B650" s="25">
        <v>5301249</v>
      </c>
      <c r="C650" s="25">
        <v>6</v>
      </c>
      <c r="D650" s="25"/>
      <c r="E650" s="25" t="s">
        <v>182</v>
      </c>
      <c r="F650" s="26" t="str">
        <f t="shared" si="285"/>
        <v/>
      </c>
      <c r="G650" s="26" t="str">
        <f>IFERROR(IF(--MID($E650,2*COUNTIF($F650:F650,"&gt;"&amp;0)+2,1)=G$1,G$1,""),"")</f>
        <v/>
      </c>
      <c r="H650" s="26">
        <f>IFERROR(IF(--MID($E650,2*COUNTIF($F650:G650,"&gt;"&amp;0)+2,1)=H$1,H$1,""),"")</f>
        <v>3</v>
      </c>
      <c r="I650" s="26" t="str">
        <f>IFERROR(IF(--MID($E650,2*COUNTIF($F650:H650,"&gt;"&amp;0)+2,1)=I$1,I$1,""),"")</f>
        <v/>
      </c>
      <c r="J650" s="26" t="str">
        <f>IFERROR(IF(--MID($E650,2*COUNTIF($F650:I650,"&gt;"&amp;0)+2,1)=J$1,J$1,""),"")</f>
        <v/>
      </c>
      <c r="K650" s="26" t="str">
        <f>IFERROR(IF(--MID($E650,2*COUNTIF($F650:J650,"&gt;"&amp;0)+2,1)=K$1,K$1,""),"")</f>
        <v/>
      </c>
      <c r="L650" s="39" t="str" cm="1">
        <f t="array" ref="L650">IFERROR(IF($A650="","",IF(F650="","",_xlfn.XLOOKUP($C650&amp;"_"&amp;$AG650,符文权重!$A:$A&amp;"_"&amp;符文权重!$C:$C,符文权重!$D:$D)*$X650/SUMIFS($X:$X,F:F,F650,$C:$C,$C650,$AG:$AG,$AG650)/SUMIF(符文权重!$A:$A,$C650,符文权重!$D:$D))),"")</f>
        <v/>
      </c>
      <c r="M650" s="39" t="str" cm="1">
        <f t="array" ref="M650">IFERROR(IF($A650="","",IF(G650="","",_xlfn.XLOOKUP($C650&amp;"_"&amp;$AG650,符文权重!$A:$A&amp;"_"&amp;符文权重!$C:$C,符文权重!$D:$D)*$X650/SUMIFS($X:$X,G:G,G650,$C:$C,$C650,$AG:$AG,$AG650)/SUMIF(符文权重!$A:$A,$C650,符文权重!$D:$D))),"")</f>
        <v/>
      </c>
      <c r="N650" s="39" cm="1">
        <f t="array" ref="N650">IFERROR(IF($A650="","",IF(H650="","",_xlfn.XLOOKUP($C650&amp;"_"&amp;$AG650,符文权重!$A:$A&amp;"_"&amp;符文权重!$C:$C,符文权重!$D:$D)*$X650/SUMIFS($X:$X,H:H,H650,$C:$C,$C650,$AG:$AG,$AG650)/SUMIF(符文权重!$A:$A,$C650,符文权重!$D:$D))),"")</f>
        <v>0.0115384615384615</v>
      </c>
      <c r="O650" s="39" t="str" cm="1">
        <f t="array" ref="O650">IFERROR(IF($A650="","",IF(I650="","",_xlfn.XLOOKUP($C650&amp;"_"&amp;$AG650,符文权重!$A:$A&amp;"_"&amp;符文权重!$C:$C,符文权重!$D:$D)*$X650/SUMIFS($X:$X,I:I,I650,$C:$C,$C650,$AG:$AG,$AG650)/SUMIF(符文权重!$A:$A,$C650,符文权重!$D:$D))),"")</f>
        <v/>
      </c>
      <c r="P650" s="39" t="str" cm="1">
        <f t="array" ref="P650">IFERROR(IF($A650="","",IF(J650="","",_xlfn.XLOOKUP($C650&amp;"_"&amp;$AG650,符文权重!$A:$A&amp;"_"&amp;符文权重!$C:$C,符文权重!$D:$D)*$X650/SUMIFS($X:$X,J:J,J650,$C:$C,$C650,$AG:$AG,$AG650)/SUMIF(符文权重!$A:$A,$C650,符文权重!$D:$D))),"")</f>
        <v/>
      </c>
      <c r="Q650" s="39" t="str" cm="1">
        <f t="array" ref="Q650">IFERROR(IF($A650="","",IF(K650="","",_xlfn.XLOOKUP($C650&amp;"_"&amp;$AG650,符文权重!$A:$A&amp;"_"&amp;符文权重!$C:$C,符文权重!$D:$D)*$X650/SUMIFS($X:$X,K:K,K650,$C:$C,$C650,$AG:$AG,$AG650)/SUMIF(符文权重!$A:$A,$C650,符文权重!$D:$D))),"")</f>
        <v/>
      </c>
      <c r="R650" s="25" t="s">
        <v>330</v>
      </c>
      <c r="S650" s="25" t="s">
        <v>696</v>
      </c>
      <c r="T650" s="25" t="s">
        <v>394</v>
      </c>
      <c r="U650" s="25" t="s">
        <v>701</v>
      </c>
      <c r="W650" s="25" t="s">
        <v>602</v>
      </c>
      <c r="X650" s="25">
        <v>100</v>
      </c>
      <c r="Z650" s="25" t="s">
        <v>178</v>
      </c>
      <c r="AA650" s="32" t="str">
        <f t="shared" si="284"/>
        <v>关羽对血量高于75%的敌人，暴击率+32%</v>
      </c>
      <c r="AB650" s="32"/>
      <c r="AC650" s="32" t="s">
        <v>166</v>
      </c>
      <c r="AD650" s="32">
        <f t="shared" si="286"/>
        <v>1645</v>
      </c>
      <c r="AE650" s="25">
        <v>5301249</v>
      </c>
      <c r="AF650" s="25" t="s">
        <v>435</v>
      </c>
      <c r="AG650" s="25">
        <v>4</v>
      </c>
      <c r="AJ650" s="25">
        <v>1</v>
      </c>
      <c r="AK650" s="26"/>
      <c r="AL650" s="25" t="s">
        <v>702</v>
      </c>
      <c r="AM650" s="26"/>
      <c r="AN650" s="25">
        <v>4</v>
      </c>
      <c r="AO650" s="25" t="s">
        <v>32</v>
      </c>
      <c r="AP650" s="20">
        <f t="shared" si="287"/>
        <v>645</v>
      </c>
    </row>
    <row r="651" s="20" customFormat="1" customHeight="1" spans="1:42">
      <c r="A651" s="25">
        <v>5510257</v>
      </c>
      <c r="B651" s="25">
        <v>5301249</v>
      </c>
      <c r="C651" s="25">
        <v>7</v>
      </c>
      <c r="D651" s="25"/>
      <c r="E651" s="25" t="s">
        <v>182</v>
      </c>
      <c r="F651" s="26" t="str">
        <f t="shared" si="285"/>
        <v/>
      </c>
      <c r="G651" s="26" t="str">
        <f>IFERROR(IF(--MID($E651,2*COUNTIF($F651:F651,"&gt;"&amp;0)+2,1)=G$1,G$1,""),"")</f>
        <v/>
      </c>
      <c r="H651" s="26">
        <f>IFERROR(IF(--MID($E651,2*COUNTIF($F651:G651,"&gt;"&amp;0)+2,1)=H$1,H$1,""),"")</f>
        <v>3</v>
      </c>
      <c r="I651" s="26" t="str">
        <f>IFERROR(IF(--MID($E651,2*COUNTIF($F651:H651,"&gt;"&amp;0)+2,1)=I$1,I$1,""),"")</f>
        <v/>
      </c>
      <c r="J651" s="26" t="str">
        <f>IFERROR(IF(--MID($E651,2*COUNTIF($F651:I651,"&gt;"&amp;0)+2,1)=J$1,J$1,""),"")</f>
        <v/>
      </c>
      <c r="K651" s="26" t="str">
        <f>IFERROR(IF(--MID($E651,2*COUNTIF($F651:J651,"&gt;"&amp;0)+2,1)=K$1,K$1,""),"")</f>
        <v/>
      </c>
      <c r="L651" s="39" t="str" cm="1">
        <f t="array" ref="L651">IFERROR(IF($A651="","",IF(F651="","",_xlfn.XLOOKUP($C651&amp;"_"&amp;$AG651,符文权重!$A:$A&amp;"_"&amp;符文权重!$C:$C,符文权重!$D:$D)*$X651/SUMIFS($X:$X,F:F,F651,$C:$C,$C651,$AG:$AG,$AG651)/SUMIF(符文权重!$A:$A,$C651,符文权重!$D:$D))),"")</f>
        <v/>
      </c>
      <c r="M651" s="39" t="str" cm="1">
        <f t="array" ref="M651">IFERROR(IF($A651="","",IF(G651="","",_xlfn.XLOOKUP($C651&amp;"_"&amp;$AG651,符文权重!$A:$A&amp;"_"&amp;符文权重!$C:$C,符文权重!$D:$D)*$X651/SUMIFS($X:$X,G:G,G651,$C:$C,$C651,$AG:$AG,$AG651)/SUMIF(符文权重!$A:$A,$C651,符文权重!$D:$D))),"")</f>
        <v/>
      </c>
      <c r="N651" s="39" cm="1">
        <f t="array" ref="N651">IFERROR(IF($A651="","",IF(H651="","",_xlfn.XLOOKUP($C651&amp;"_"&amp;$AG651,符文权重!$A:$A&amp;"_"&amp;符文权重!$C:$C,符文权重!$D:$D)*$X651/SUMIFS($X:$X,H:H,H651,$C:$C,$C651,$AG:$AG,$AG651)/SUMIF(符文权重!$A:$A,$C651,符文权重!$D:$D))),"")</f>
        <v>0.0115384615384615</v>
      </c>
      <c r="O651" s="39" t="str" cm="1">
        <f t="array" ref="O651">IFERROR(IF($A651="","",IF(I651="","",_xlfn.XLOOKUP($C651&amp;"_"&amp;$AG651,符文权重!$A:$A&amp;"_"&amp;符文权重!$C:$C,符文权重!$D:$D)*$X651/SUMIFS($X:$X,I:I,I651,$C:$C,$C651,$AG:$AG,$AG651)/SUMIF(符文权重!$A:$A,$C651,符文权重!$D:$D))),"")</f>
        <v/>
      </c>
      <c r="P651" s="39" t="str" cm="1">
        <f t="array" ref="P651">IFERROR(IF($A651="","",IF(J651="","",_xlfn.XLOOKUP($C651&amp;"_"&amp;$AG651,符文权重!$A:$A&amp;"_"&amp;符文权重!$C:$C,符文权重!$D:$D)*$X651/SUMIFS($X:$X,J:J,J651,$C:$C,$C651,$AG:$AG,$AG651)/SUMIF(符文权重!$A:$A,$C651,符文权重!$D:$D))),"")</f>
        <v/>
      </c>
      <c r="Q651" s="39" t="str" cm="1">
        <f t="array" ref="Q651">IFERROR(IF($A651="","",IF(K651="","",_xlfn.XLOOKUP($C651&amp;"_"&amp;$AG651,符文权重!$A:$A&amp;"_"&amp;符文权重!$C:$C,符文权重!$D:$D)*$X651/SUMIFS($X:$X,K:K,K651,$C:$C,$C651,$AG:$AG,$AG651)/SUMIF(符文权重!$A:$A,$C651,符文权重!$D:$D))),"")</f>
        <v/>
      </c>
      <c r="R651" s="25" t="s">
        <v>330</v>
      </c>
      <c r="S651" s="25" t="s">
        <v>696</v>
      </c>
      <c r="T651" s="25" t="s">
        <v>397</v>
      </c>
      <c r="U651" s="25" t="s">
        <v>703</v>
      </c>
      <c r="V651" s="25"/>
      <c r="W651" s="25" t="s">
        <v>602</v>
      </c>
      <c r="X651" s="25">
        <v>100</v>
      </c>
      <c r="Y651" s="25"/>
      <c r="Z651" s="25" t="s">
        <v>180</v>
      </c>
      <c r="AA651" s="32" t="str">
        <f t="shared" si="284"/>
        <v>关羽对血量高于75%的敌人，暴击率+40%</v>
      </c>
      <c r="AB651" s="32"/>
      <c r="AC651" s="32" t="s">
        <v>166</v>
      </c>
      <c r="AD651" s="32">
        <f t="shared" si="286"/>
        <v>1646</v>
      </c>
      <c r="AE651" s="25">
        <v>5301249</v>
      </c>
      <c r="AF651" s="25" t="s">
        <v>459</v>
      </c>
      <c r="AG651" s="25">
        <v>4</v>
      </c>
      <c r="AH651" s="25"/>
      <c r="AI651" s="25"/>
      <c r="AJ651" s="25">
        <v>1</v>
      </c>
      <c r="AK651" s="26"/>
      <c r="AL651" s="25" t="s">
        <v>704</v>
      </c>
      <c r="AM651" s="26"/>
      <c r="AN651" s="25">
        <v>4</v>
      </c>
      <c r="AO651" s="25" t="s">
        <v>32</v>
      </c>
      <c r="AP651" s="20">
        <f t="shared" si="287"/>
        <v>646</v>
      </c>
    </row>
    <row r="652" s="20" customFormat="1" customHeight="1" spans="1:42">
      <c r="A652" s="25">
        <v>5510264</v>
      </c>
      <c r="B652" s="25">
        <v>5301250</v>
      </c>
      <c r="C652" s="26">
        <v>4</v>
      </c>
      <c r="D652" s="26"/>
      <c r="E652" s="25" t="s">
        <v>375</v>
      </c>
      <c r="F652" s="26" t="str">
        <f t="shared" si="285"/>
        <v/>
      </c>
      <c r="G652" s="26" t="str">
        <f>IFERROR(IF(--MID($E652,2*COUNTIF($F652:F652,"&gt;"&amp;0)+2,1)=G$1,G$1,""),"")</f>
        <v/>
      </c>
      <c r="H652" s="26" t="str">
        <f>IFERROR(IF(--MID($E652,2*COUNTIF($F652:G652,"&gt;"&amp;0)+2,1)=H$1,H$1,""),"")</f>
        <v/>
      </c>
      <c r="I652" s="26">
        <f>IFERROR(IF(--MID($E652,2*COUNTIF($F652:H652,"&gt;"&amp;0)+2,1)=I$1,I$1,""),"")</f>
        <v>4</v>
      </c>
      <c r="J652" s="26" t="str">
        <f>IFERROR(IF(--MID($E652,2*COUNTIF($F652:I652,"&gt;"&amp;0)+2,1)=J$1,J$1,""),"")</f>
        <v/>
      </c>
      <c r="K652" s="26" t="str">
        <f>IFERROR(IF(--MID($E652,2*COUNTIF($F652:J652,"&gt;"&amp;0)+2,1)=K$1,K$1,""),"")</f>
        <v/>
      </c>
      <c r="L652" s="39" t="str" cm="1">
        <f t="array" ref="L652">IFERROR(IF($A652="","",IF(F652="","",_xlfn.XLOOKUP($C652&amp;"_"&amp;$AG652,符文权重!$A:$A&amp;"_"&amp;符文权重!$C:$C,符文权重!$D:$D)*$X652/SUMIFS($X:$X,F:F,F652,$C:$C,$C652,$AG:$AG,$AG652)/SUMIF(符文权重!$A:$A,$C652,符文权重!$D:$D))),"")</f>
        <v/>
      </c>
      <c r="M652" s="39" t="str" cm="1">
        <f t="array" ref="M652">IFERROR(IF($A652="","",IF(G652="","",_xlfn.XLOOKUP($C652&amp;"_"&amp;$AG652,符文权重!$A:$A&amp;"_"&amp;符文权重!$C:$C,符文权重!$D:$D)*$X652/SUMIFS($X:$X,G:G,G652,$C:$C,$C652,$AG:$AG,$AG652)/SUMIF(符文权重!$A:$A,$C652,符文权重!$D:$D))),"")</f>
        <v/>
      </c>
      <c r="N652" s="39" t="str" cm="1">
        <f t="array" ref="N652">IFERROR(IF($A652="","",IF(H652="","",_xlfn.XLOOKUP($C652&amp;"_"&amp;$AG652,符文权重!$A:$A&amp;"_"&amp;符文权重!$C:$C,符文权重!$D:$D)*$X652/SUMIFS($X:$X,H:H,H652,$C:$C,$C652,$AG:$AG,$AG652)/SUMIF(符文权重!$A:$A,$C652,符文权重!$D:$D))),"")</f>
        <v/>
      </c>
      <c r="O652" s="39" cm="1">
        <f t="array" ref="O652">IFERROR(IF($A652="","",IF(I652="","",_xlfn.XLOOKUP($C652&amp;"_"&amp;$AG652,符文权重!$A:$A&amp;"_"&amp;符文权重!$C:$C,符文权重!$D:$D)*$X652/SUMIFS($X:$X,I:I,I652,$C:$C,$C652,$AG:$AG,$AG652)/SUMIF(符文权重!$A:$A,$C652,符文权重!$D:$D))),"")</f>
        <v>0.0025</v>
      </c>
      <c r="P652" s="39" t="str" cm="1">
        <f t="array" ref="P652">IFERROR(IF($A652="","",IF(J652="","",_xlfn.XLOOKUP($C652&amp;"_"&amp;$AG652,符文权重!$A:$A&amp;"_"&amp;符文权重!$C:$C,符文权重!$D:$D)*$X652/SUMIFS($X:$X,J:J,J652,$C:$C,$C652,$AG:$AG,$AG652)/SUMIF(符文权重!$A:$A,$C652,符文权重!$D:$D))),"")</f>
        <v/>
      </c>
      <c r="Q652" s="39" t="str" cm="1">
        <f t="array" ref="Q652">IFERROR(IF($A652="","",IF(K652="","",_xlfn.XLOOKUP($C652&amp;"_"&amp;$AG652,符文权重!$A:$A&amp;"_"&amp;符文权重!$C:$C,符文权重!$D:$D)*$X652/SUMIFS($X:$X,K:K,K652,$C:$C,$C652,$AG:$AG,$AG652)/SUMIF(符文权重!$A:$A,$C652,符文权重!$D:$D))),"")</f>
        <v/>
      </c>
      <c r="R652" s="26" t="s">
        <v>330</v>
      </c>
      <c r="S652" s="26" t="s">
        <v>696</v>
      </c>
      <c r="T652" s="26" t="s">
        <v>388</v>
      </c>
      <c r="U652" s="20" t="s">
        <v>705</v>
      </c>
      <c r="V652" s="26"/>
      <c r="W652" s="25" t="s">
        <v>602</v>
      </c>
      <c r="X652" s="25">
        <v>100</v>
      </c>
      <c r="Y652" s="25"/>
      <c r="Z652" s="26" t="s">
        <v>174</v>
      </c>
      <c r="AA652" s="32" t="str">
        <f t="shared" si="284"/>
        <v>关羽充能时18%几率能量上限+50%，持续到下次充能，最多叠3次</v>
      </c>
      <c r="AB652" s="32"/>
      <c r="AC652" s="32" t="s">
        <v>166</v>
      </c>
      <c r="AD652" s="32">
        <f t="shared" si="286"/>
        <v>1647</v>
      </c>
      <c r="AE652" s="25">
        <v>5301250</v>
      </c>
      <c r="AF652" s="26" t="s">
        <v>456</v>
      </c>
      <c r="AG652" s="26">
        <v>8</v>
      </c>
      <c r="AH652" s="26"/>
      <c r="AI652" s="26"/>
      <c r="AJ652" s="26">
        <v>1</v>
      </c>
      <c r="AK652" s="26"/>
      <c r="AL652" s="32" t="s">
        <v>706</v>
      </c>
      <c r="AM652" s="26"/>
      <c r="AN652" s="25">
        <v>4</v>
      </c>
      <c r="AO652" s="25" t="s">
        <v>32</v>
      </c>
      <c r="AP652" s="20">
        <f t="shared" si="287"/>
        <v>647</v>
      </c>
    </row>
    <row r="653" s="20" customFormat="1" customHeight="1" spans="1:42">
      <c r="A653" s="25">
        <v>5510265</v>
      </c>
      <c r="B653" s="25">
        <v>5301250</v>
      </c>
      <c r="C653" s="25">
        <v>5</v>
      </c>
      <c r="D653" s="25"/>
      <c r="E653" s="25" t="s">
        <v>375</v>
      </c>
      <c r="F653" s="26" t="str">
        <f t="shared" si="285"/>
        <v/>
      </c>
      <c r="G653" s="26" t="str">
        <f>IFERROR(IF(--MID($E653,2*COUNTIF($F653:F653,"&gt;"&amp;0)+2,1)=G$1,G$1,""),"")</f>
        <v/>
      </c>
      <c r="H653" s="26" t="str">
        <f>IFERROR(IF(--MID($E653,2*COUNTIF($F653:G653,"&gt;"&amp;0)+2,1)=H$1,H$1,""),"")</f>
        <v/>
      </c>
      <c r="I653" s="26">
        <f>IFERROR(IF(--MID($E653,2*COUNTIF($F653:H653,"&gt;"&amp;0)+2,1)=I$1,I$1,""),"")</f>
        <v>4</v>
      </c>
      <c r="J653" s="26" t="str">
        <f>IFERROR(IF(--MID($E653,2*COUNTIF($F653:I653,"&gt;"&amp;0)+2,1)=J$1,J$1,""),"")</f>
        <v/>
      </c>
      <c r="K653" s="26" t="str">
        <f>IFERROR(IF(--MID($E653,2*COUNTIF($F653:J653,"&gt;"&amp;0)+2,1)=K$1,K$1,""),"")</f>
        <v/>
      </c>
      <c r="L653" s="39" t="str" cm="1">
        <f t="array" ref="L653">IFERROR(IF($A653="","",IF(F653="","",_xlfn.XLOOKUP($C653&amp;"_"&amp;$AG653,符文权重!$A:$A&amp;"_"&amp;符文权重!$C:$C,符文权重!$D:$D)*$X653/SUMIFS($X:$X,F:F,F653,$C:$C,$C653,$AG:$AG,$AG653)/SUMIF(符文权重!$A:$A,$C653,符文权重!$D:$D))),"")</f>
        <v/>
      </c>
      <c r="M653" s="39" t="str" cm="1">
        <f t="array" ref="M653">IFERROR(IF($A653="","",IF(G653="","",_xlfn.XLOOKUP($C653&amp;"_"&amp;$AG653,符文权重!$A:$A&amp;"_"&amp;符文权重!$C:$C,符文权重!$D:$D)*$X653/SUMIFS($X:$X,G:G,G653,$C:$C,$C653,$AG:$AG,$AG653)/SUMIF(符文权重!$A:$A,$C653,符文权重!$D:$D))),"")</f>
        <v/>
      </c>
      <c r="N653" s="39" t="str" cm="1">
        <f t="array" ref="N653">IFERROR(IF($A653="","",IF(H653="","",_xlfn.XLOOKUP($C653&amp;"_"&amp;$AG653,符文权重!$A:$A&amp;"_"&amp;符文权重!$C:$C,符文权重!$D:$D)*$X653/SUMIFS($X:$X,H:H,H653,$C:$C,$C653,$AG:$AG,$AG653)/SUMIF(符文权重!$A:$A,$C653,符文权重!$D:$D))),"")</f>
        <v/>
      </c>
      <c r="O653" s="39" cm="1">
        <f t="array" ref="O653">IFERROR(IF($A653="","",IF(I653="","",_xlfn.XLOOKUP($C653&amp;"_"&amp;$AG653,符文权重!$A:$A&amp;"_"&amp;符文权重!$C:$C,符文权重!$D:$D)*$X653/SUMIFS($X:$X,I:I,I653,$C:$C,$C653,$AG:$AG,$AG653)/SUMIF(符文权重!$A:$A,$C653,符文权重!$D:$D))),"")</f>
        <v>0.009375</v>
      </c>
      <c r="P653" s="39" t="str" cm="1">
        <f t="array" ref="P653">IFERROR(IF($A653="","",IF(J653="","",_xlfn.XLOOKUP($C653&amp;"_"&amp;$AG653,符文权重!$A:$A&amp;"_"&amp;符文权重!$C:$C,符文权重!$D:$D)*$X653/SUMIFS($X:$X,J:J,J653,$C:$C,$C653,$AG:$AG,$AG653)/SUMIF(符文权重!$A:$A,$C653,符文权重!$D:$D))),"")</f>
        <v/>
      </c>
      <c r="Q653" s="39" t="str" cm="1">
        <f t="array" ref="Q653">IFERROR(IF($A653="","",IF(K653="","",_xlfn.XLOOKUP($C653&amp;"_"&amp;$AG653,符文权重!$A:$A&amp;"_"&amp;符文权重!$C:$C,符文权重!$D:$D)*$X653/SUMIFS($X:$X,K:K,K653,$C:$C,$C653,$AG:$AG,$AG653)/SUMIF(符文权重!$A:$A,$C653,符文权重!$D:$D))),"")</f>
        <v/>
      </c>
      <c r="R653" s="25" t="s">
        <v>330</v>
      </c>
      <c r="S653" s="25" t="s">
        <v>696</v>
      </c>
      <c r="T653" s="25" t="s">
        <v>391</v>
      </c>
      <c r="U653" s="25" t="s">
        <v>707</v>
      </c>
      <c r="W653" s="25" t="s">
        <v>580</v>
      </c>
      <c r="X653" s="25">
        <v>100</v>
      </c>
      <c r="Z653" s="25" t="s">
        <v>176</v>
      </c>
      <c r="AA653" s="32" t="str">
        <f t="shared" si="284"/>
        <v>关羽充能时25%几率能量上限+50%，持续到下次充能，最多叠3次</v>
      </c>
      <c r="AB653" s="32"/>
      <c r="AC653" s="32" t="s">
        <v>166</v>
      </c>
      <c r="AD653" s="32">
        <f t="shared" si="286"/>
        <v>1648</v>
      </c>
      <c r="AE653" s="25">
        <v>5301250</v>
      </c>
      <c r="AF653" s="25" t="s">
        <v>399</v>
      </c>
      <c r="AG653" s="25">
        <v>4</v>
      </c>
      <c r="AJ653" s="25">
        <v>1</v>
      </c>
      <c r="AK653" s="26"/>
      <c r="AL653" s="25" t="s">
        <v>708</v>
      </c>
      <c r="AM653" s="26"/>
      <c r="AN653" s="25">
        <v>4</v>
      </c>
      <c r="AO653" s="25" t="s">
        <v>32</v>
      </c>
      <c r="AP653" s="20">
        <f t="shared" si="287"/>
        <v>648</v>
      </c>
    </row>
    <row r="654" s="20" customFormat="1" customHeight="1" spans="1:42">
      <c r="A654" s="25">
        <v>5510266</v>
      </c>
      <c r="B654" s="25">
        <v>5301250</v>
      </c>
      <c r="C654" s="25">
        <v>6</v>
      </c>
      <c r="D654" s="25"/>
      <c r="E654" s="25" t="s">
        <v>375</v>
      </c>
      <c r="F654" s="26" t="str">
        <f t="shared" si="285"/>
        <v/>
      </c>
      <c r="G654" s="26" t="str">
        <f>IFERROR(IF(--MID($E654,2*COUNTIF($F654:F654,"&gt;"&amp;0)+2,1)=G$1,G$1,""),"")</f>
        <v/>
      </c>
      <c r="H654" s="26" t="str">
        <f>IFERROR(IF(--MID($E654,2*COUNTIF($F654:G654,"&gt;"&amp;0)+2,1)=H$1,H$1,""),"")</f>
        <v/>
      </c>
      <c r="I654" s="26">
        <f>IFERROR(IF(--MID($E654,2*COUNTIF($F654:H654,"&gt;"&amp;0)+2,1)=I$1,I$1,""),"")</f>
        <v>4</v>
      </c>
      <c r="J654" s="26" t="str">
        <f>IFERROR(IF(--MID($E654,2*COUNTIF($F654:I654,"&gt;"&amp;0)+2,1)=J$1,J$1,""),"")</f>
        <v/>
      </c>
      <c r="K654" s="26" t="str">
        <f>IFERROR(IF(--MID($E654,2*COUNTIF($F654:J654,"&gt;"&amp;0)+2,1)=K$1,K$1,""),"")</f>
        <v/>
      </c>
      <c r="L654" s="39" t="str" cm="1">
        <f t="array" ref="L654">IFERROR(IF($A654="","",IF(F654="","",_xlfn.XLOOKUP($C654&amp;"_"&amp;$AG654,符文权重!$A:$A&amp;"_"&amp;符文权重!$C:$C,符文权重!$D:$D)*$X654/SUMIFS($X:$X,F:F,F654,$C:$C,$C654,$AG:$AG,$AG654)/SUMIF(符文权重!$A:$A,$C654,符文权重!$D:$D))),"")</f>
        <v/>
      </c>
      <c r="M654" s="39" t="str" cm="1">
        <f t="array" ref="M654">IFERROR(IF($A654="","",IF(G654="","",_xlfn.XLOOKUP($C654&amp;"_"&amp;$AG654,符文权重!$A:$A&amp;"_"&amp;符文权重!$C:$C,符文权重!$D:$D)*$X654/SUMIFS($X:$X,G:G,G654,$C:$C,$C654,$AG:$AG,$AG654)/SUMIF(符文权重!$A:$A,$C654,符文权重!$D:$D))),"")</f>
        <v/>
      </c>
      <c r="N654" s="39" t="str" cm="1">
        <f t="array" ref="N654">IFERROR(IF($A654="","",IF(H654="","",_xlfn.XLOOKUP($C654&amp;"_"&amp;$AG654,符文权重!$A:$A&amp;"_"&amp;符文权重!$C:$C,符文权重!$D:$D)*$X654/SUMIFS($X:$X,H:H,H654,$C:$C,$C654,$AG:$AG,$AG654)/SUMIF(符文权重!$A:$A,$C654,符文权重!$D:$D))),"")</f>
        <v/>
      </c>
      <c r="O654" s="39" cm="1">
        <f t="array" ref="O654">IFERROR(IF($A654="","",IF(I654="","",_xlfn.XLOOKUP($C654&amp;"_"&amp;$AG654,符文权重!$A:$A&amp;"_"&amp;符文权重!$C:$C,符文权重!$D:$D)*$X654/SUMIFS($X:$X,I:I,I654,$C:$C,$C654,$AG:$AG,$AG654)/SUMIF(符文权重!$A:$A,$C654,符文权重!$D:$D))),"")</f>
        <v>0.009375</v>
      </c>
      <c r="P654" s="39" t="str" cm="1">
        <f t="array" ref="P654">IFERROR(IF($A654="","",IF(J654="","",_xlfn.XLOOKUP($C654&amp;"_"&amp;$AG654,符文权重!$A:$A&amp;"_"&amp;符文权重!$C:$C,符文权重!$D:$D)*$X654/SUMIFS($X:$X,J:J,J654,$C:$C,$C654,$AG:$AG,$AG654)/SUMIF(符文权重!$A:$A,$C654,符文权重!$D:$D))),"")</f>
        <v/>
      </c>
      <c r="Q654" s="39" t="str" cm="1">
        <f t="array" ref="Q654">IFERROR(IF($A654="","",IF(K654="","",_xlfn.XLOOKUP($C654&amp;"_"&amp;$AG654,符文权重!$A:$A&amp;"_"&amp;符文权重!$C:$C,符文权重!$D:$D)*$X654/SUMIFS($X:$X,K:K,K654,$C:$C,$C654,$AG:$AG,$AG654)/SUMIF(符文权重!$A:$A,$C654,符文权重!$D:$D))),"")</f>
        <v/>
      </c>
      <c r="R654" s="25" t="s">
        <v>330</v>
      </c>
      <c r="S654" s="25" t="s">
        <v>696</v>
      </c>
      <c r="T654" s="25" t="s">
        <v>394</v>
      </c>
      <c r="U654" s="25" t="s">
        <v>709</v>
      </c>
      <c r="V654" s="25"/>
      <c r="W654" s="25" t="s">
        <v>599</v>
      </c>
      <c r="X654" s="25">
        <v>100</v>
      </c>
      <c r="Y654" s="25"/>
      <c r="Z654" s="25" t="s">
        <v>178</v>
      </c>
      <c r="AA654" s="32" t="str">
        <f t="shared" si="284"/>
        <v>关羽充能时35%几率能量上限+50%，持续到下次充能，最多叠3次</v>
      </c>
      <c r="AB654" s="32"/>
      <c r="AC654" s="32" t="s">
        <v>166</v>
      </c>
      <c r="AD654" s="32">
        <f t="shared" si="286"/>
        <v>1649</v>
      </c>
      <c r="AE654" s="25">
        <v>5301250</v>
      </c>
      <c r="AF654" s="25" t="s">
        <v>411</v>
      </c>
      <c r="AG654" s="25">
        <v>4</v>
      </c>
      <c r="AH654" s="25"/>
      <c r="AI654" s="25"/>
      <c r="AJ654" s="25">
        <v>1</v>
      </c>
      <c r="AK654" s="26"/>
      <c r="AL654" s="25" t="s">
        <v>710</v>
      </c>
      <c r="AM654" s="26"/>
      <c r="AN654" s="25">
        <v>4</v>
      </c>
      <c r="AO654" s="25" t="s">
        <v>32</v>
      </c>
      <c r="AP654" s="20">
        <f t="shared" si="287"/>
        <v>649</v>
      </c>
    </row>
    <row r="655" s="20" customFormat="1" customHeight="1" spans="1:42">
      <c r="A655" s="25">
        <v>5510267</v>
      </c>
      <c r="B655" s="25">
        <v>5301250</v>
      </c>
      <c r="C655" s="25">
        <v>7</v>
      </c>
      <c r="D655" s="25"/>
      <c r="E655" s="25" t="s">
        <v>375</v>
      </c>
      <c r="F655" s="26" t="str">
        <f t="shared" si="285"/>
        <v/>
      </c>
      <c r="G655" s="26" t="str">
        <f>IFERROR(IF(--MID($E655,2*COUNTIF($F655:F655,"&gt;"&amp;0)+2,1)=G$1,G$1,""),"")</f>
        <v/>
      </c>
      <c r="H655" s="26" t="str">
        <f>IFERROR(IF(--MID($E655,2*COUNTIF($F655:G655,"&gt;"&amp;0)+2,1)=H$1,H$1,""),"")</f>
        <v/>
      </c>
      <c r="I655" s="26">
        <f>IFERROR(IF(--MID($E655,2*COUNTIF($F655:H655,"&gt;"&amp;0)+2,1)=I$1,I$1,""),"")</f>
        <v>4</v>
      </c>
      <c r="J655" s="26" t="str">
        <f>IFERROR(IF(--MID($E655,2*COUNTIF($F655:I655,"&gt;"&amp;0)+2,1)=J$1,J$1,""),"")</f>
        <v/>
      </c>
      <c r="K655" s="26" t="str">
        <f>IFERROR(IF(--MID($E655,2*COUNTIF($F655:J655,"&gt;"&amp;0)+2,1)=K$1,K$1,""),"")</f>
        <v/>
      </c>
      <c r="L655" s="39" t="str" cm="1">
        <f t="array" ref="L655">IFERROR(IF($A655="","",IF(F655="","",_xlfn.XLOOKUP($C655&amp;"_"&amp;$AG655,符文权重!$A:$A&amp;"_"&amp;符文权重!$C:$C,符文权重!$D:$D)*$X655/SUMIFS($X:$X,F:F,F655,$C:$C,$C655,$AG:$AG,$AG655)/SUMIF(符文权重!$A:$A,$C655,符文权重!$D:$D))),"")</f>
        <v/>
      </c>
      <c r="M655" s="39" t="str" cm="1">
        <f t="array" ref="M655">IFERROR(IF($A655="","",IF(G655="","",_xlfn.XLOOKUP($C655&amp;"_"&amp;$AG655,符文权重!$A:$A&amp;"_"&amp;符文权重!$C:$C,符文权重!$D:$D)*$X655/SUMIFS($X:$X,G:G,G655,$C:$C,$C655,$AG:$AG,$AG655)/SUMIF(符文权重!$A:$A,$C655,符文权重!$D:$D))),"")</f>
        <v/>
      </c>
      <c r="N655" s="39" t="str" cm="1">
        <f t="array" ref="N655">IFERROR(IF($A655="","",IF(H655="","",_xlfn.XLOOKUP($C655&amp;"_"&amp;$AG655,符文权重!$A:$A&amp;"_"&amp;符文权重!$C:$C,符文权重!$D:$D)*$X655/SUMIFS($X:$X,H:H,H655,$C:$C,$C655,$AG:$AG,$AG655)/SUMIF(符文权重!$A:$A,$C655,符文权重!$D:$D))),"")</f>
        <v/>
      </c>
      <c r="O655" s="39" cm="1">
        <f t="array" ref="O655">IFERROR(IF($A655="","",IF(I655="","",_xlfn.XLOOKUP($C655&amp;"_"&amp;$AG655,符文权重!$A:$A&amp;"_"&amp;符文权重!$C:$C,符文权重!$D:$D)*$X655/SUMIFS($X:$X,I:I,I655,$C:$C,$C655,$AG:$AG,$AG655)/SUMIF(符文权重!$A:$A,$C655,符文权重!$D:$D))),"")</f>
        <v>0.009375</v>
      </c>
      <c r="P655" s="39" t="str" cm="1">
        <f t="array" ref="P655">IFERROR(IF($A655="","",IF(J655="","",_xlfn.XLOOKUP($C655&amp;"_"&amp;$AG655,符文权重!$A:$A&amp;"_"&amp;符文权重!$C:$C,符文权重!$D:$D)*$X655/SUMIFS($X:$X,J:J,J655,$C:$C,$C655,$AG:$AG,$AG655)/SUMIF(符文权重!$A:$A,$C655,符文权重!$D:$D))),"")</f>
        <v/>
      </c>
      <c r="Q655" s="39" t="str" cm="1">
        <f t="array" ref="Q655">IFERROR(IF($A655="","",IF(K655="","",_xlfn.XLOOKUP($C655&amp;"_"&amp;$AG655,符文权重!$A:$A&amp;"_"&amp;符文权重!$C:$C,符文权重!$D:$D)*$X655/SUMIFS($X:$X,K:K,K655,$C:$C,$C655,$AG:$AG,$AG655)/SUMIF(符文权重!$A:$A,$C655,符文权重!$D:$D))),"")</f>
        <v/>
      </c>
      <c r="R655" s="25" t="s">
        <v>330</v>
      </c>
      <c r="S655" s="25" t="s">
        <v>696</v>
      </c>
      <c r="T655" s="25" t="s">
        <v>397</v>
      </c>
      <c r="U655" s="25" t="s">
        <v>711</v>
      </c>
      <c r="W655" s="25" t="s">
        <v>602</v>
      </c>
      <c r="X655" s="25">
        <v>100</v>
      </c>
      <c r="Z655" s="25" t="s">
        <v>180</v>
      </c>
      <c r="AA655" s="32" t="str">
        <f t="shared" si="284"/>
        <v>关羽充能时45%几率能量上限+50%，持续到下次充能，最多叠3次</v>
      </c>
      <c r="AB655" s="32"/>
      <c r="AC655" s="32" t="s">
        <v>166</v>
      </c>
      <c r="AD655" s="32">
        <f t="shared" si="286"/>
        <v>1650</v>
      </c>
      <c r="AE655" s="25">
        <v>5301250</v>
      </c>
      <c r="AF655" s="25" t="s">
        <v>437</v>
      </c>
      <c r="AG655" s="25">
        <v>4</v>
      </c>
      <c r="AJ655" s="25">
        <v>1</v>
      </c>
      <c r="AK655" s="26"/>
      <c r="AL655" s="25" t="s">
        <v>712</v>
      </c>
      <c r="AM655" s="26"/>
      <c r="AN655" s="25">
        <v>4</v>
      </c>
      <c r="AO655" s="25" t="s">
        <v>32</v>
      </c>
      <c r="AP655" s="20">
        <f t="shared" si="287"/>
        <v>650</v>
      </c>
    </row>
    <row r="656" s="20" customFormat="1" customHeight="1" spans="1:42">
      <c r="A656" s="25">
        <v>5510274</v>
      </c>
      <c r="B656" s="25">
        <v>5301251</v>
      </c>
      <c r="C656" s="26">
        <v>4</v>
      </c>
      <c r="D656" s="26"/>
      <c r="E656" s="25" t="s">
        <v>218</v>
      </c>
      <c r="F656" s="26" t="str">
        <f t="shared" si="285"/>
        <v/>
      </c>
      <c r="G656" s="26" t="str">
        <f>IFERROR(IF(--MID($E656,2*COUNTIF($F656:F656,"&gt;"&amp;0)+2,1)=G$1,G$1,""),"")</f>
        <v/>
      </c>
      <c r="H656" s="26" t="str">
        <f>IFERROR(IF(--MID($E656,2*COUNTIF($F656:G656,"&gt;"&amp;0)+2,1)=H$1,H$1,""),"")</f>
        <v/>
      </c>
      <c r="I656" s="26" t="str">
        <f>IFERROR(IF(--MID($E656,2*COUNTIF($F656:H656,"&gt;"&amp;0)+2,1)=I$1,I$1,""),"")</f>
        <v/>
      </c>
      <c r="J656" s="26">
        <f>IFERROR(IF(--MID($E656,2*COUNTIF($F656:I656,"&gt;"&amp;0)+2,1)=J$1,J$1,""),"")</f>
        <v>5</v>
      </c>
      <c r="K656" s="26" t="str">
        <f>IFERROR(IF(--MID($E656,2*COUNTIF($F656:J656,"&gt;"&amp;0)+2,1)=K$1,K$1,""),"")</f>
        <v/>
      </c>
      <c r="L656" s="39" t="str" cm="1">
        <f t="array" ref="L656">IFERROR(IF($A656="","",IF(F656="","",_xlfn.XLOOKUP($C656&amp;"_"&amp;$AG656,符文权重!$A:$A&amp;"_"&amp;符文权重!$C:$C,符文权重!$D:$D)*$X656/SUMIFS($X:$X,F:F,F656,$C:$C,$C656,$AG:$AG,$AG656)/SUMIF(符文权重!$A:$A,$C656,符文权重!$D:$D))),"")</f>
        <v/>
      </c>
      <c r="M656" s="39" t="str" cm="1">
        <f t="array" ref="M656">IFERROR(IF($A656="","",IF(G656="","",_xlfn.XLOOKUP($C656&amp;"_"&amp;$AG656,符文权重!$A:$A&amp;"_"&amp;符文权重!$C:$C,符文权重!$D:$D)*$X656/SUMIFS($X:$X,G:G,G656,$C:$C,$C656,$AG:$AG,$AG656)/SUMIF(符文权重!$A:$A,$C656,符文权重!$D:$D))),"")</f>
        <v/>
      </c>
      <c r="N656" s="39" t="str" cm="1">
        <f t="array" ref="N656">IFERROR(IF($A656="","",IF(H656="","",_xlfn.XLOOKUP($C656&amp;"_"&amp;$AG656,符文权重!$A:$A&amp;"_"&amp;符文权重!$C:$C,符文权重!$D:$D)*$X656/SUMIFS($X:$X,H:H,H656,$C:$C,$C656,$AG:$AG,$AG656)/SUMIF(符文权重!$A:$A,$C656,符文权重!$D:$D))),"")</f>
        <v/>
      </c>
      <c r="O656" s="39" t="str" cm="1">
        <f t="array" ref="O656">IFERROR(IF($A656="","",IF(I656="","",_xlfn.XLOOKUP($C656&amp;"_"&amp;$AG656,符文权重!$A:$A&amp;"_"&amp;符文权重!$C:$C,符文权重!$D:$D)*$X656/SUMIFS($X:$X,I:I,I656,$C:$C,$C656,$AG:$AG,$AG656)/SUMIF(符文权重!$A:$A,$C656,符文权重!$D:$D))),"")</f>
        <v/>
      </c>
      <c r="P656" s="39" cm="1">
        <f t="array" ref="P656">IFERROR(IF($A656="","",IF(J656="","",_xlfn.XLOOKUP($C656&amp;"_"&amp;$AG656,符文权重!$A:$A&amp;"_"&amp;符文权重!$C:$C,符文权重!$D:$D)*$X656/SUMIFS($X:$X,J:J,J656,$C:$C,$C656,$AG:$AG,$AG656)/SUMIF(符文权重!$A:$A,$C656,符文权重!$D:$D))),"")</f>
        <v>0.0025</v>
      </c>
      <c r="Q656" s="39" t="str" cm="1">
        <f t="array" ref="Q656">IFERROR(IF($A656="","",IF(K656="","",_xlfn.XLOOKUP($C656&amp;"_"&amp;$AG656,符文权重!$A:$A&amp;"_"&amp;符文权重!$C:$C,符文权重!$D:$D)*$X656/SUMIFS($X:$X,K:K,K656,$C:$C,$C656,$AG:$AG,$AG656)/SUMIF(符文权重!$A:$A,$C656,符文权重!$D:$D))),"")</f>
        <v/>
      </c>
      <c r="R656" s="26" t="s">
        <v>330</v>
      </c>
      <c r="S656" s="26" t="s">
        <v>696</v>
      </c>
      <c r="T656" s="26" t="s">
        <v>388</v>
      </c>
      <c r="U656" s="20" t="s">
        <v>713</v>
      </c>
      <c r="V656" s="26" t="s">
        <v>714</v>
      </c>
      <c r="W656" s="25" t="s">
        <v>602</v>
      </c>
      <c r="X656" s="25">
        <v>100</v>
      </c>
      <c r="Y656" s="25"/>
      <c r="Z656" s="26" t="s">
        <v>174</v>
      </c>
      <c r="AA656" s="32" t="str">
        <f t="shared" si="284"/>
        <v>关羽的攻击距离+20%，伤害+8%</v>
      </c>
      <c r="AB656" s="32"/>
      <c r="AC656" s="32" t="s">
        <v>166</v>
      </c>
      <c r="AD656" s="32">
        <f t="shared" si="286"/>
        <v>1651</v>
      </c>
      <c r="AE656" s="25">
        <v>5301251</v>
      </c>
      <c r="AF656" s="26" t="s">
        <v>387</v>
      </c>
      <c r="AG656" s="26">
        <v>8</v>
      </c>
      <c r="AH656" s="26"/>
      <c r="AI656" s="26"/>
      <c r="AJ656" s="26">
        <v>1</v>
      </c>
      <c r="AK656" s="26"/>
      <c r="AL656" s="32" t="s">
        <v>715</v>
      </c>
      <c r="AM656" s="26"/>
      <c r="AN656" s="25">
        <v>4</v>
      </c>
      <c r="AO656" s="25" t="s">
        <v>32</v>
      </c>
      <c r="AP656" s="20">
        <f t="shared" si="287"/>
        <v>651</v>
      </c>
    </row>
    <row r="657" s="20" customFormat="1" customHeight="1" spans="1:42">
      <c r="A657" s="25">
        <v>5510275</v>
      </c>
      <c r="B657" s="25">
        <v>5301251</v>
      </c>
      <c r="C657" s="25">
        <v>5</v>
      </c>
      <c r="D657" s="25"/>
      <c r="E657" s="25" t="s">
        <v>218</v>
      </c>
      <c r="F657" s="26" t="str">
        <f t="shared" si="285"/>
        <v/>
      </c>
      <c r="G657" s="26" t="str">
        <f>IFERROR(IF(--MID($E657,2*COUNTIF($F657:F657,"&gt;"&amp;0)+2,1)=G$1,G$1,""),"")</f>
        <v/>
      </c>
      <c r="H657" s="26" t="str">
        <f>IFERROR(IF(--MID($E657,2*COUNTIF($F657:G657,"&gt;"&amp;0)+2,1)=H$1,H$1,""),"")</f>
        <v/>
      </c>
      <c r="I657" s="26" t="str">
        <f>IFERROR(IF(--MID($E657,2*COUNTIF($F657:H657,"&gt;"&amp;0)+2,1)=I$1,I$1,""),"")</f>
        <v/>
      </c>
      <c r="J657" s="26">
        <f>IFERROR(IF(--MID($E657,2*COUNTIF($F657:I657,"&gt;"&amp;0)+2,1)=J$1,J$1,""),"")</f>
        <v>5</v>
      </c>
      <c r="K657" s="26" t="str">
        <f>IFERROR(IF(--MID($E657,2*COUNTIF($F657:J657,"&gt;"&amp;0)+2,1)=K$1,K$1,""),"")</f>
        <v/>
      </c>
      <c r="L657" s="39" t="str" cm="1">
        <f t="array" ref="L657">IFERROR(IF($A657="","",IF(F657="","",_xlfn.XLOOKUP($C657&amp;"_"&amp;$AG657,符文权重!$A:$A&amp;"_"&amp;符文权重!$C:$C,符文权重!$D:$D)*$X657/SUMIFS($X:$X,F:F,F657,$C:$C,$C657,$AG:$AG,$AG657)/SUMIF(符文权重!$A:$A,$C657,符文权重!$D:$D))),"")</f>
        <v/>
      </c>
      <c r="M657" s="39" t="str" cm="1">
        <f t="array" ref="M657">IFERROR(IF($A657="","",IF(G657="","",_xlfn.XLOOKUP($C657&amp;"_"&amp;$AG657,符文权重!$A:$A&amp;"_"&amp;符文权重!$C:$C,符文权重!$D:$D)*$X657/SUMIFS($X:$X,G:G,G657,$C:$C,$C657,$AG:$AG,$AG657)/SUMIF(符文权重!$A:$A,$C657,符文权重!$D:$D))),"")</f>
        <v/>
      </c>
      <c r="N657" s="39" t="str" cm="1">
        <f t="array" ref="N657">IFERROR(IF($A657="","",IF(H657="","",_xlfn.XLOOKUP($C657&amp;"_"&amp;$AG657,符文权重!$A:$A&amp;"_"&amp;符文权重!$C:$C,符文权重!$D:$D)*$X657/SUMIFS($X:$X,H:H,H657,$C:$C,$C657,$AG:$AG,$AG657)/SUMIF(符文权重!$A:$A,$C657,符文权重!$D:$D))),"")</f>
        <v/>
      </c>
      <c r="O657" s="39" t="str" cm="1">
        <f t="array" ref="O657">IFERROR(IF($A657="","",IF(I657="","",_xlfn.XLOOKUP($C657&amp;"_"&amp;$AG657,符文权重!$A:$A&amp;"_"&amp;符文权重!$C:$C,符文权重!$D:$D)*$X657/SUMIFS($X:$X,I:I,I657,$C:$C,$C657,$AG:$AG,$AG657)/SUMIF(符文权重!$A:$A,$C657,符文权重!$D:$D))),"")</f>
        <v/>
      </c>
      <c r="P657" s="39" cm="1">
        <f t="array" ref="P657">IFERROR(IF($A657="","",IF(J657="","",_xlfn.XLOOKUP($C657&amp;"_"&amp;$AG657,符文权重!$A:$A&amp;"_"&amp;符文权重!$C:$C,符文权重!$D:$D)*$X657/SUMIFS($X:$X,J:J,J657,$C:$C,$C657,$AG:$AG,$AG657)/SUMIF(符文权重!$A:$A,$C657,符文权重!$D:$D))),"")</f>
        <v>0.0107142857142857</v>
      </c>
      <c r="Q657" s="39" t="str" cm="1">
        <f t="array" ref="Q657">IFERROR(IF($A657="","",IF(K657="","",_xlfn.XLOOKUP($C657&amp;"_"&amp;$AG657,符文权重!$A:$A&amp;"_"&amp;符文权重!$C:$C,符文权重!$D:$D)*$X657/SUMIFS($X:$X,K:K,K657,$C:$C,$C657,$AG:$AG,$AG657)/SUMIF(符文权重!$A:$A,$C657,符文权重!$D:$D))),"")</f>
        <v/>
      </c>
      <c r="R657" s="25" t="s">
        <v>330</v>
      </c>
      <c r="S657" s="25" t="s">
        <v>696</v>
      </c>
      <c r="T657" s="25" t="s">
        <v>391</v>
      </c>
      <c r="U657" s="25" t="s">
        <v>716</v>
      </c>
      <c r="V657" s="25" t="s">
        <v>408</v>
      </c>
      <c r="W657" s="25" t="s">
        <v>580</v>
      </c>
      <c r="X657" s="25">
        <v>100</v>
      </c>
      <c r="Y657" s="25"/>
      <c r="Z657" s="25" t="s">
        <v>176</v>
      </c>
      <c r="AA657" s="32" t="str">
        <f t="shared" si="284"/>
        <v>关羽的攻击距离+20%，伤害+15%</v>
      </c>
      <c r="AB657" s="32"/>
      <c r="AC657" s="32" t="s">
        <v>166</v>
      </c>
      <c r="AD657" s="32">
        <f t="shared" si="286"/>
        <v>1652</v>
      </c>
      <c r="AE657" s="25">
        <v>5301251</v>
      </c>
      <c r="AF657" s="25" t="s">
        <v>393</v>
      </c>
      <c r="AG657" s="25">
        <v>4</v>
      </c>
      <c r="AH657" s="25"/>
      <c r="AI657" s="25"/>
      <c r="AJ657" s="25">
        <v>1</v>
      </c>
      <c r="AK657" s="26"/>
      <c r="AL657" s="25" t="s">
        <v>717</v>
      </c>
      <c r="AM657" s="26"/>
      <c r="AN657" s="25">
        <v>4</v>
      </c>
      <c r="AO657" s="25" t="s">
        <v>32</v>
      </c>
      <c r="AP657" s="20">
        <f t="shared" si="287"/>
        <v>652</v>
      </c>
    </row>
    <row r="658" s="20" customFormat="1" customHeight="1" spans="1:42">
      <c r="A658" s="25">
        <v>5510276</v>
      </c>
      <c r="B658" s="25">
        <v>5301251</v>
      </c>
      <c r="C658" s="25">
        <v>6</v>
      </c>
      <c r="D658" s="25"/>
      <c r="E658" s="25" t="s">
        <v>218</v>
      </c>
      <c r="F658" s="26" t="str">
        <f t="shared" si="285"/>
        <v/>
      </c>
      <c r="G658" s="26" t="str">
        <f>IFERROR(IF(--MID($E658,2*COUNTIF($F658:F658,"&gt;"&amp;0)+2,1)=G$1,G$1,""),"")</f>
        <v/>
      </c>
      <c r="H658" s="26" t="str">
        <f>IFERROR(IF(--MID($E658,2*COUNTIF($F658:G658,"&gt;"&amp;0)+2,1)=H$1,H$1,""),"")</f>
        <v/>
      </c>
      <c r="I658" s="26" t="str">
        <f>IFERROR(IF(--MID($E658,2*COUNTIF($F658:H658,"&gt;"&amp;0)+2,1)=I$1,I$1,""),"")</f>
        <v/>
      </c>
      <c r="J658" s="26">
        <f>IFERROR(IF(--MID($E658,2*COUNTIF($F658:I658,"&gt;"&amp;0)+2,1)=J$1,J$1,""),"")</f>
        <v>5</v>
      </c>
      <c r="K658" s="26" t="str">
        <f>IFERROR(IF(--MID($E658,2*COUNTIF($F658:J658,"&gt;"&amp;0)+2,1)=K$1,K$1,""),"")</f>
        <v/>
      </c>
      <c r="L658" s="39" t="str" cm="1">
        <f t="array" ref="L658">IFERROR(IF($A658="","",IF(F658="","",_xlfn.XLOOKUP($C658&amp;"_"&amp;$AG658,符文权重!$A:$A&amp;"_"&amp;符文权重!$C:$C,符文权重!$D:$D)*$X658/SUMIFS($X:$X,F:F,F658,$C:$C,$C658,$AG:$AG,$AG658)/SUMIF(符文权重!$A:$A,$C658,符文权重!$D:$D))),"")</f>
        <v/>
      </c>
      <c r="M658" s="39" t="str" cm="1">
        <f t="array" ref="M658">IFERROR(IF($A658="","",IF(G658="","",_xlfn.XLOOKUP($C658&amp;"_"&amp;$AG658,符文权重!$A:$A&amp;"_"&amp;符文权重!$C:$C,符文权重!$D:$D)*$X658/SUMIFS($X:$X,G:G,G658,$C:$C,$C658,$AG:$AG,$AG658)/SUMIF(符文权重!$A:$A,$C658,符文权重!$D:$D))),"")</f>
        <v/>
      </c>
      <c r="N658" s="39" t="str" cm="1">
        <f t="array" ref="N658">IFERROR(IF($A658="","",IF(H658="","",_xlfn.XLOOKUP($C658&amp;"_"&amp;$AG658,符文权重!$A:$A&amp;"_"&amp;符文权重!$C:$C,符文权重!$D:$D)*$X658/SUMIFS($X:$X,H:H,H658,$C:$C,$C658,$AG:$AG,$AG658)/SUMIF(符文权重!$A:$A,$C658,符文权重!$D:$D))),"")</f>
        <v/>
      </c>
      <c r="O658" s="39" t="str" cm="1">
        <f t="array" ref="O658">IFERROR(IF($A658="","",IF(I658="","",_xlfn.XLOOKUP($C658&amp;"_"&amp;$AG658,符文权重!$A:$A&amp;"_"&amp;符文权重!$C:$C,符文权重!$D:$D)*$X658/SUMIFS($X:$X,I:I,I658,$C:$C,$C658,$AG:$AG,$AG658)/SUMIF(符文权重!$A:$A,$C658,符文权重!$D:$D))),"")</f>
        <v/>
      </c>
      <c r="P658" s="39" cm="1">
        <f t="array" ref="P658">IFERROR(IF($A658="","",IF(J658="","",_xlfn.XLOOKUP($C658&amp;"_"&amp;$AG658,符文权重!$A:$A&amp;"_"&amp;符文权重!$C:$C,符文权重!$D:$D)*$X658/SUMIFS($X:$X,J:J,J658,$C:$C,$C658,$AG:$AG,$AG658)/SUMIF(符文权重!$A:$A,$C658,符文权重!$D:$D))),"")</f>
        <v>0.0107142857142857</v>
      </c>
      <c r="Q658" s="39" t="str" cm="1">
        <f t="array" ref="Q658">IFERROR(IF($A658="","",IF(K658="","",_xlfn.XLOOKUP($C658&amp;"_"&amp;$AG658,符文权重!$A:$A&amp;"_"&amp;符文权重!$C:$C,符文权重!$D:$D)*$X658/SUMIFS($X:$X,K:K,K658,$C:$C,$C658,$AG:$AG,$AG658)/SUMIF(符文权重!$A:$A,$C658,符文权重!$D:$D))),"")</f>
        <v/>
      </c>
      <c r="R658" s="25" t="s">
        <v>330</v>
      </c>
      <c r="S658" s="25" t="s">
        <v>696</v>
      </c>
      <c r="T658" s="25" t="s">
        <v>394</v>
      </c>
      <c r="U658" s="25" t="s">
        <v>718</v>
      </c>
      <c r="V658" s="25" t="s">
        <v>719</v>
      </c>
      <c r="W658" s="25" t="s">
        <v>599</v>
      </c>
      <c r="X658" s="25">
        <v>100</v>
      </c>
      <c r="Y658" s="25"/>
      <c r="Z658" s="25" t="s">
        <v>178</v>
      </c>
      <c r="AA658" s="32" t="str">
        <f t="shared" ref="AA658:AA721" si="288">SUBSTITUTE(SUBSTITUTE(SUBSTITUTE(SUBSTITUTE(AL658,"%s",AM658),"&lt;color=#54b76b&gt;",""),"&lt;/color&gt; ",""),"&lt;/color&gt;","")</f>
        <v>关羽的攻击距离+20%，伤害+30%</v>
      </c>
      <c r="AB658" s="32"/>
      <c r="AC658" s="32" t="s">
        <v>166</v>
      </c>
      <c r="AD658" s="32">
        <f t="shared" si="286"/>
        <v>1653</v>
      </c>
      <c r="AE658" s="25">
        <v>5301251</v>
      </c>
      <c r="AF658" s="25" t="s">
        <v>449</v>
      </c>
      <c r="AG658" s="25">
        <v>4</v>
      </c>
      <c r="AH658" s="25"/>
      <c r="AI658" s="25"/>
      <c r="AJ658" s="25">
        <v>1</v>
      </c>
      <c r="AK658" s="26"/>
      <c r="AL658" s="25" t="s">
        <v>720</v>
      </c>
      <c r="AM658" s="26"/>
      <c r="AN658" s="25">
        <v>4</v>
      </c>
      <c r="AO658" s="25" t="s">
        <v>32</v>
      </c>
      <c r="AP658" s="20">
        <f t="shared" si="287"/>
        <v>653</v>
      </c>
    </row>
    <row r="659" s="20" customFormat="1" customHeight="1" spans="1:42">
      <c r="A659" s="25">
        <v>5510277</v>
      </c>
      <c r="B659" s="25">
        <v>5301251</v>
      </c>
      <c r="C659" s="25">
        <v>7</v>
      </c>
      <c r="D659" s="25"/>
      <c r="E659" s="25" t="s">
        <v>218</v>
      </c>
      <c r="F659" s="26" t="str">
        <f t="shared" si="285"/>
        <v/>
      </c>
      <c r="G659" s="26" t="str">
        <f>IFERROR(IF(--MID($E659,2*COUNTIF($F659:F659,"&gt;"&amp;0)+2,1)=G$1,G$1,""),"")</f>
        <v/>
      </c>
      <c r="H659" s="26" t="str">
        <f>IFERROR(IF(--MID($E659,2*COUNTIF($F659:G659,"&gt;"&amp;0)+2,1)=H$1,H$1,""),"")</f>
        <v/>
      </c>
      <c r="I659" s="26" t="str">
        <f>IFERROR(IF(--MID($E659,2*COUNTIF($F659:H659,"&gt;"&amp;0)+2,1)=I$1,I$1,""),"")</f>
        <v/>
      </c>
      <c r="J659" s="26">
        <f>IFERROR(IF(--MID($E659,2*COUNTIF($F659:I659,"&gt;"&amp;0)+2,1)=J$1,J$1,""),"")</f>
        <v>5</v>
      </c>
      <c r="K659" s="26" t="str">
        <f>IFERROR(IF(--MID($E659,2*COUNTIF($F659:J659,"&gt;"&amp;0)+2,1)=K$1,K$1,""),"")</f>
        <v/>
      </c>
      <c r="L659" s="39" t="str" cm="1">
        <f t="array" ref="L659">IFERROR(IF($A659="","",IF(F659="","",_xlfn.XLOOKUP($C659&amp;"_"&amp;$AG659,符文权重!$A:$A&amp;"_"&amp;符文权重!$C:$C,符文权重!$D:$D)*$X659/SUMIFS($X:$X,F:F,F659,$C:$C,$C659,$AG:$AG,$AG659)/SUMIF(符文权重!$A:$A,$C659,符文权重!$D:$D))),"")</f>
        <v/>
      </c>
      <c r="M659" s="39" t="str" cm="1">
        <f t="array" ref="M659">IFERROR(IF($A659="","",IF(G659="","",_xlfn.XLOOKUP($C659&amp;"_"&amp;$AG659,符文权重!$A:$A&amp;"_"&amp;符文权重!$C:$C,符文权重!$D:$D)*$X659/SUMIFS($X:$X,G:G,G659,$C:$C,$C659,$AG:$AG,$AG659)/SUMIF(符文权重!$A:$A,$C659,符文权重!$D:$D))),"")</f>
        <v/>
      </c>
      <c r="N659" s="39" t="str" cm="1">
        <f t="array" ref="N659">IFERROR(IF($A659="","",IF(H659="","",_xlfn.XLOOKUP($C659&amp;"_"&amp;$AG659,符文权重!$A:$A&amp;"_"&amp;符文权重!$C:$C,符文权重!$D:$D)*$X659/SUMIFS($X:$X,H:H,H659,$C:$C,$C659,$AG:$AG,$AG659)/SUMIF(符文权重!$A:$A,$C659,符文权重!$D:$D))),"")</f>
        <v/>
      </c>
      <c r="O659" s="39" t="str" cm="1">
        <f t="array" ref="O659">IFERROR(IF($A659="","",IF(I659="","",_xlfn.XLOOKUP($C659&amp;"_"&amp;$AG659,符文权重!$A:$A&amp;"_"&amp;符文权重!$C:$C,符文权重!$D:$D)*$X659/SUMIFS($X:$X,I:I,I659,$C:$C,$C659,$AG:$AG,$AG659)/SUMIF(符文权重!$A:$A,$C659,符文权重!$D:$D))),"")</f>
        <v/>
      </c>
      <c r="P659" s="39" cm="1">
        <f t="array" ref="P659">IFERROR(IF($A659="","",IF(J659="","",_xlfn.XLOOKUP($C659&amp;"_"&amp;$AG659,符文权重!$A:$A&amp;"_"&amp;符文权重!$C:$C,符文权重!$D:$D)*$X659/SUMIFS($X:$X,J:J,J659,$C:$C,$C659,$AG:$AG,$AG659)/SUMIF(符文权重!$A:$A,$C659,符文权重!$D:$D))),"")</f>
        <v>0.0107142857142857</v>
      </c>
      <c r="Q659" s="39" t="str" cm="1">
        <f t="array" ref="Q659">IFERROR(IF($A659="","",IF(K659="","",_xlfn.XLOOKUP($C659&amp;"_"&amp;$AG659,符文权重!$A:$A&amp;"_"&amp;符文权重!$C:$C,符文权重!$D:$D)*$X659/SUMIFS($X:$X,K:K,K659,$C:$C,$C659,$AG:$AG,$AG659)/SUMIF(符文权重!$A:$A,$C659,符文权重!$D:$D))),"")</f>
        <v/>
      </c>
      <c r="R659" s="25" t="s">
        <v>330</v>
      </c>
      <c r="S659" s="25" t="s">
        <v>696</v>
      </c>
      <c r="T659" s="25" t="s">
        <v>397</v>
      </c>
      <c r="U659" s="25" t="s">
        <v>721</v>
      </c>
      <c r="V659" s="25" t="s">
        <v>722</v>
      </c>
      <c r="W659" s="25" t="s">
        <v>602</v>
      </c>
      <c r="X659" s="25">
        <v>100</v>
      </c>
      <c r="Y659" s="25"/>
      <c r="Z659" s="25" t="s">
        <v>180</v>
      </c>
      <c r="AA659" s="32" t="str">
        <f t="shared" si="288"/>
        <v>关羽的攻击距离+20%，伤害+45%</v>
      </c>
      <c r="AB659" s="32"/>
      <c r="AC659" s="32" t="s">
        <v>166</v>
      </c>
      <c r="AD659" s="32">
        <f t="shared" si="286"/>
        <v>1654</v>
      </c>
      <c r="AE659" s="25">
        <v>5301251</v>
      </c>
      <c r="AF659" s="25" t="s">
        <v>437</v>
      </c>
      <c r="AG659" s="25">
        <v>4</v>
      </c>
      <c r="AH659" s="25"/>
      <c r="AI659" s="25"/>
      <c r="AJ659" s="25">
        <v>1</v>
      </c>
      <c r="AK659" s="26"/>
      <c r="AL659" s="25" t="s">
        <v>723</v>
      </c>
      <c r="AM659" s="26"/>
      <c r="AN659" s="25">
        <v>4</v>
      </c>
      <c r="AO659" s="25" t="s">
        <v>32</v>
      </c>
      <c r="AP659" s="20">
        <f t="shared" si="287"/>
        <v>654</v>
      </c>
    </row>
    <row r="660" s="20" customFormat="1" customHeight="1" spans="1:42">
      <c r="A660" s="25">
        <v>5510284</v>
      </c>
      <c r="B660" s="25">
        <v>5301253</v>
      </c>
      <c r="C660" s="26">
        <v>4</v>
      </c>
      <c r="D660" s="26"/>
      <c r="E660" s="25" t="s">
        <v>191</v>
      </c>
      <c r="F660" s="26">
        <f t="shared" si="285"/>
        <v>1</v>
      </c>
      <c r="G660" s="26" t="str">
        <f>IFERROR(IF(--MID($E660,2*COUNTIF($F660:F660,"&gt;"&amp;0)+2,1)=G$1,G$1,""),"")</f>
        <v/>
      </c>
      <c r="H660" s="26" t="str">
        <f>IFERROR(IF(--MID($E660,2*COUNTIF($F660:G660,"&gt;"&amp;0)+2,1)=H$1,H$1,""),"")</f>
        <v/>
      </c>
      <c r="I660" s="26" t="str">
        <f>IFERROR(IF(--MID($E660,2*COUNTIF($F660:H660,"&gt;"&amp;0)+2,1)=I$1,I$1,""),"")</f>
        <v/>
      </c>
      <c r="J660" s="26" t="str">
        <f>IFERROR(IF(--MID($E660,2*COUNTIF($F660:I660,"&gt;"&amp;0)+2,1)=J$1,J$1,""),"")</f>
        <v/>
      </c>
      <c r="K660" s="26" t="str">
        <f>IFERROR(IF(--MID($E660,2*COUNTIF($F660:J660,"&gt;"&amp;0)+2,1)=K$1,K$1,""),"")</f>
        <v/>
      </c>
      <c r="L660" s="39" cm="1">
        <f t="array" ref="L660">IFERROR(IF($A660="","",IF(F660="","",_xlfn.XLOOKUP($C660&amp;"_"&amp;$AG660,符文权重!$A:$A&amp;"_"&amp;符文权重!$C:$C,符文权重!$D:$D)*$X660/SUMIFS($X:$X,F:F,F660,$C:$C,$C660,$AG:$AG,$AG660)/SUMIF(符文权重!$A:$A,$C660,符文权重!$D:$D))),"")</f>
        <v>0.00333333333333333</v>
      </c>
      <c r="M660" s="39" t="str" cm="1">
        <f t="array" ref="M660">IFERROR(IF($A660="","",IF(G660="","",_xlfn.XLOOKUP($C660&amp;"_"&amp;$AG660,符文权重!$A:$A&amp;"_"&amp;符文权重!$C:$C,符文权重!$D:$D)*$X660/SUMIFS($X:$X,G:G,G660,$C:$C,$C660,$AG:$AG,$AG660)/SUMIF(符文权重!$A:$A,$C660,符文权重!$D:$D))),"")</f>
        <v/>
      </c>
      <c r="N660" s="39" t="str" cm="1">
        <f t="array" ref="N660">IFERROR(IF($A660="","",IF(H660="","",_xlfn.XLOOKUP($C660&amp;"_"&amp;$AG660,符文权重!$A:$A&amp;"_"&amp;符文权重!$C:$C,符文权重!$D:$D)*$X660/SUMIFS($X:$X,H:H,H660,$C:$C,$C660,$AG:$AG,$AG660)/SUMIF(符文权重!$A:$A,$C660,符文权重!$D:$D))),"")</f>
        <v/>
      </c>
      <c r="O660" s="39" t="str" cm="1">
        <f t="array" ref="O660">IFERROR(IF($A660="","",IF(I660="","",_xlfn.XLOOKUP($C660&amp;"_"&amp;$AG660,符文权重!$A:$A&amp;"_"&amp;符文权重!$C:$C,符文权重!$D:$D)*$X660/SUMIFS($X:$X,I:I,I660,$C:$C,$C660,$AG:$AG,$AG660)/SUMIF(符文权重!$A:$A,$C660,符文权重!$D:$D))),"")</f>
        <v/>
      </c>
      <c r="P660" s="39" t="str" cm="1">
        <f t="array" ref="P660">IFERROR(IF($A660="","",IF(J660="","",_xlfn.XLOOKUP($C660&amp;"_"&amp;$AG660,符文权重!$A:$A&amp;"_"&amp;符文权重!$C:$C,符文权重!$D:$D)*$X660/SUMIFS($X:$X,J:J,J660,$C:$C,$C660,$AG:$AG,$AG660)/SUMIF(符文权重!$A:$A,$C660,符文权重!$D:$D))),"")</f>
        <v/>
      </c>
      <c r="Q660" s="39" t="str" cm="1">
        <f t="array" ref="Q660">IFERROR(IF($A660="","",IF(K660="","",_xlfn.XLOOKUP($C660&amp;"_"&amp;$AG660,符文权重!$A:$A&amp;"_"&amp;符文权重!$C:$C,符文权重!$D:$D)*$X660/SUMIFS($X:$X,K:K,K660,$C:$C,$C660,$AG:$AG,$AG660)/SUMIF(符文权重!$A:$A,$C660,符文权重!$D:$D))),"")</f>
        <v/>
      </c>
      <c r="R660" s="26" t="s">
        <v>330</v>
      </c>
      <c r="S660" s="26" t="s">
        <v>724</v>
      </c>
      <c r="T660" s="26" t="s">
        <v>388</v>
      </c>
      <c r="U660" s="20" t="s">
        <v>725</v>
      </c>
      <c r="V660" s="26"/>
      <c r="W660" s="25" t="s">
        <v>540</v>
      </c>
      <c r="X660" s="25">
        <v>100</v>
      </c>
      <c r="Y660" s="25"/>
      <c r="Z660" s="26" t="s">
        <v>174</v>
      </c>
      <c r="AA660" s="32" t="str">
        <f t="shared" si="288"/>
        <v>亚瑟死亡时，立即召唤自身30%最大生命值的警盾，持续12秒，并嘲讽范围内全部敌人</v>
      </c>
      <c r="AB660" s="32"/>
      <c r="AC660" s="32" t="s">
        <v>166</v>
      </c>
      <c r="AD660" s="32">
        <f t="shared" si="286"/>
        <v>1655</v>
      </c>
      <c r="AE660" s="25">
        <v>5301253</v>
      </c>
      <c r="AF660" s="26" t="s">
        <v>449</v>
      </c>
      <c r="AG660" s="26">
        <v>8</v>
      </c>
      <c r="AH660" s="26"/>
      <c r="AI660" s="26"/>
      <c r="AJ660" s="26">
        <v>1</v>
      </c>
      <c r="AK660" s="26"/>
      <c r="AL660" s="26" t="s">
        <v>726</v>
      </c>
      <c r="AM660" s="26"/>
      <c r="AN660" s="25">
        <v>4</v>
      </c>
      <c r="AO660" s="25" t="s">
        <v>28</v>
      </c>
      <c r="AP660" s="20">
        <f t="shared" si="287"/>
        <v>655</v>
      </c>
    </row>
    <row r="661" s="20" customFormat="1" customHeight="1" spans="1:42">
      <c r="A661" s="25">
        <v>5510285</v>
      </c>
      <c r="B661" s="25">
        <v>5301253</v>
      </c>
      <c r="C661" s="25">
        <v>5</v>
      </c>
      <c r="D661" s="25"/>
      <c r="E661" s="25" t="s">
        <v>191</v>
      </c>
      <c r="F661" s="26">
        <f t="shared" si="285"/>
        <v>1</v>
      </c>
      <c r="G661" s="26" t="str">
        <f>IFERROR(IF(--MID($E661,2*COUNTIF($F661:F661,"&gt;"&amp;0)+2,1)=G$1,G$1,""),"")</f>
        <v/>
      </c>
      <c r="H661" s="26" t="str">
        <f>IFERROR(IF(--MID($E661,2*COUNTIF($F661:G661,"&gt;"&amp;0)+2,1)=H$1,H$1,""),"")</f>
        <v/>
      </c>
      <c r="I661" s="26" t="str">
        <f>IFERROR(IF(--MID($E661,2*COUNTIF($F661:H661,"&gt;"&amp;0)+2,1)=I$1,I$1,""),"")</f>
        <v/>
      </c>
      <c r="J661" s="26" t="str">
        <f>IFERROR(IF(--MID($E661,2*COUNTIF($F661:I661,"&gt;"&amp;0)+2,1)=J$1,J$1,""),"")</f>
        <v/>
      </c>
      <c r="K661" s="26" t="str">
        <f>IFERROR(IF(--MID($E661,2*COUNTIF($F661:J661,"&gt;"&amp;0)+2,1)=K$1,K$1,""),"")</f>
        <v/>
      </c>
      <c r="L661" s="39" cm="1">
        <f t="array" ref="L661">IFERROR(IF($A661="","",IF(F661="","",_xlfn.XLOOKUP($C661&amp;"_"&amp;$AG661,符文权重!$A:$A&amp;"_"&amp;符文权重!$C:$C,符文权重!$D:$D)*$X661/SUMIFS($X:$X,F:F,F661,$C:$C,$C661,$AG:$AG,$AG661)/SUMIF(符文权重!$A:$A,$C661,符文权重!$D:$D))),"")</f>
        <v>0.0115384615384615</v>
      </c>
      <c r="M661" s="39" t="str" cm="1">
        <f t="array" ref="M661">IFERROR(IF($A661="","",IF(G661="","",_xlfn.XLOOKUP($C661&amp;"_"&amp;$AG661,符文权重!$A:$A&amp;"_"&amp;符文权重!$C:$C,符文权重!$D:$D)*$X661/SUMIFS($X:$X,G:G,G661,$C:$C,$C661,$AG:$AG,$AG661)/SUMIF(符文权重!$A:$A,$C661,符文权重!$D:$D))),"")</f>
        <v/>
      </c>
      <c r="N661" s="39" t="str" cm="1">
        <f t="array" ref="N661">IFERROR(IF($A661="","",IF(H661="","",_xlfn.XLOOKUP($C661&amp;"_"&amp;$AG661,符文权重!$A:$A&amp;"_"&amp;符文权重!$C:$C,符文权重!$D:$D)*$X661/SUMIFS($X:$X,H:H,H661,$C:$C,$C661,$AG:$AG,$AG661)/SUMIF(符文权重!$A:$A,$C661,符文权重!$D:$D))),"")</f>
        <v/>
      </c>
      <c r="O661" s="39" t="str" cm="1">
        <f t="array" ref="O661">IFERROR(IF($A661="","",IF(I661="","",_xlfn.XLOOKUP($C661&amp;"_"&amp;$AG661,符文权重!$A:$A&amp;"_"&amp;符文权重!$C:$C,符文权重!$D:$D)*$X661/SUMIFS($X:$X,I:I,I661,$C:$C,$C661,$AG:$AG,$AG661)/SUMIF(符文权重!$A:$A,$C661,符文权重!$D:$D))),"")</f>
        <v/>
      </c>
      <c r="P661" s="39" t="str" cm="1">
        <f t="array" ref="P661">IFERROR(IF($A661="","",IF(J661="","",_xlfn.XLOOKUP($C661&amp;"_"&amp;$AG661,符文权重!$A:$A&amp;"_"&amp;符文权重!$C:$C,符文权重!$D:$D)*$X661/SUMIFS($X:$X,J:J,J661,$C:$C,$C661,$AG:$AG,$AG661)/SUMIF(符文权重!$A:$A,$C661,符文权重!$D:$D))),"")</f>
        <v/>
      </c>
      <c r="Q661" s="39" t="str" cm="1">
        <f t="array" ref="Q661">IFERROR(IF($A661="","",IF(K661="","",_xlfn.XLOOKUP($C661&amp;"_"&amp;$AG661,符文权重!$A:$A&amp;"_"&amp;符文权重!$C:$C,符文权重!$D:$D)*$X661/SUMIFS($X:$X,K:K,K661,$C:$C,$C661,$AG:$AG,$AG661)/SUMIF(符文权重!$A:$A,$C661,符文权重!$D:$D))),"")</f>
        <v/>
      </c>
      <c r="R661" s="25" t="s">
        <v>330</v>
      </c>
      <c r="S661" s="25" t="s">
        <v>724</v>
      </c>
      <c r="T661" s="25" t="s">
        <v>391</v>
      </c>
      <c r="U661" s="25" t="s">
        <v>727</v>
      </c>
      <c r="W661" s="25" t="s">
        <v>728</v>
      </c>
      <c r="X661" s="25">
        <v>100</v>
      </c>
      <c r="Z661" s="25" t="s">
        <v>176</v>
      </c>
      <c r="AA661" s="32" t="str">
        <f t="shared" si="288"/>
        <v>亚瑟死亡时，立即召唤自身40%最大生命值的警盾，持续12秒，并嘲讽范围内全部敌人</v>
      </c>
      <c r="AB661" s="32"/>
      <c r="AC661" s="32" t="s">
        <v>166</v>
      </c>
      <c r="AD661" s="32">
        <f t="shared" si="286"/>
        <v>1656</v>
      </c>
      <c r="AE661" s="25">
        <v>5301253</v>
      </c>
      <c r="AF661" s="25" t="s">
        <v>459</v>
      </c>
      <c r="AG661" s="25">
        <v>4</v>
      </c>
      <c r="AJ661" s="25">
        <v>1</v>
      </c>
      <c r="AK661" s="26"/>
      <c r="AL661" s="25" t="s">
        <v>729</v>
      </c>
      <c r="AM661" s="26"/>
      <c r="AN661" s="25">
        <v>4</v>
      </c>
      <c r="AO661" s="25" t="s">
        <v>28</v>
      </c>
      <c r="AP661" s="20">
        <f t="shared" si="287"/>
        <v>656</v>
      </c>
    </row>
    <row r="662" s="20" customFormat="1" customHeight="1" spans="1:42">
      <c r="A662" s="25">
        <v>5510286</v>
      </c>
      <c r="B662" s="25">
        <v>5301253</v>
      </c>
      <c r="C662" s="25">
        <v>6</v>
      </c>
      <c r="D662" s="25"/>
      <c r="E662" s="25" t="s">
        <v>191</v>
      </c>
      <c r="F662" s="26">
        <f t="shared" si="285"/>
        <v>1</v>
      </c>
      <c r="G662" s="26" t="str">
        <f>IFERROR(IF(--MID($E662,2*COUNTIF($F662:F662,"&gt;"&amp;0)+2,1)=G$1,G$1,""),"")</f>
        <v/>
      </c>
      <c r="H662" s="26" t="str">
        <f>IFERROR(IF(--MID($E662,2*COUNTIF($F662:G662,"&gt;"&amp;0)+2,1)=H$1,H$1,""),"")</f>
        <v/>
      </c>
      <c r="I662" s="26" t="str">
        <f>IFERROR(IF(--MID($E662,2*COUNTIF($F662:H662,"&gt;"&amp;0)+2,1)=I$1,I$1,""),"")</f>
        <v/>
      </c>
      <c r="J662" s="26" t="str">
        <f>IFERROR(IF(--MID($E662,2*COUNTIF($F662:I662,"&gt;"&amp;0)+2,1)=J$1,J$1,""),"")</f>
        <v/>
      </c>
      <c r="K662" s="26" t="str">
        <f>IFERROR(IF(--MID($E662,2*COUNTIF($F662:J662,"&gt;"&amp;0)+2,1)=K$1,K$1,""),"")</f>
        <v/>
      </c>
      <c r="L662" s="39" cm="1">
        <f t="array" ref="L662">IFERROR(IF($A662="","",IF(F662="","",_xlfn.XLOOKUP($C662&amp;"_"&amp;$AG662,符文权重!$A:$A&amp;"_"&amp;符文权重!$C:$C,符文权重!$D:$D)*$X662/SUMIFS($X:$X,F:F,F662,$C:$C,$C662,$AG:$AG,$AG662)/SUMIF(符文权重!$A:$A,$C662,符文权重!$D:$D))),"")</f>
        <v>0.0115384615384615</v>
      </c>
      <c r="M662" s="39" t="str" cm="1">
        <f t="array" ref="M662">IFERROR(IF($A662="","",IF(G662="","",_xlfn.XLOOKUP($C662&amp;"_"&amp;$AG662,符文权重!$A:$A&amp;"_"&amp;符文权重!$C:$C,符文权重!$D:$D)*$X662/SUMIFS($X:$X,G:G,G662,$C:$C,$C662,$AG:$AG,$AG662)/SUMIF(符文权重!$A:$A,$C662,符文权重!$D:$D))),"")</f>
        <v/>
      </c>
      <c r="N662" s="39" t="str" cm="1">
        <f t="array" ref="N662">IFERROR(IF($A662="","",IF(H662="","",_xlfn.XLOOKUP($C662&amp;"_"&amp;$AG662,符文权重!$A:$A&amp;"_"&amp;符文权重!$C:$C,符文权重!$D:$D)*$X662/SUMIFS($X:$X,H:H,H662,$C:$C,$C662,$AG:$AG,$AG662)/SUMIF(符文权重!$A:$A,$C662,符文权重!$D:$D))),"")</f>
        <v/>
      </c>
      <c r="O662" s="39" t="str" cm="1">
        <f t="array" ref="O662">IFERROR(IF($A662="","",IF(I662="","",_xlfn.XLOOKUP($C662&amp;"_"&amp;$AG662,符文权重!$A:$A&amp;"_"&amp;符文权重!$C:$C,符文权重!$D:$D)*$X662/SUMIFS($X:$X,I:I,I662,$C:$C,$C662,$AG:$AG,$AG662)/SUMIF(符文权重!$A:$A,$C662,符文权重!$D:$D))),"")</f>
        <v/>
      </c>
      <c r="P662" s="39" t="str" cm="1">
        <f t="array" ref="P662">IFERROR(IF($A662="","",IF(J662="","",_xlfn.XLOOKUP($C662&amp;"_"&amp;$AG662,符文权重!$A:$A&amp;"_"&amp;符文权重!$C:$C,符文权重!$D:$D)*$X662/SUMIFS($X:$X,J:J,J662,$C:$C,$C662,$AG:$AG,$AG662)/SUMIF(符文权重!$A:$A,$C662,符文权重!$D:$D))),"")</f>
        <v/>
      </c>
      <c r="Q662" s="39" t="str" cm="1">
        <f t="array" ref="Q662">IFERROR(IF($A662="","",IF(K662="","",_xlfn.XLOOKUP($C662&amp;"_"&amp;$AG662,符文权重!$A:$A&amp;"_"&amp;符文权重!$C:$C,符文权重!$D:$D)*$X662/SUMIFS($X:$X,K:K,K662,$C:$C,$C662,$AG:$AG,$AG662)/SUMIF(符文权重!$A:$A,$C662,符文权重!$D:$D))),"")</f>
        <v/>
      </c>
      <c r="R662" s="25" t="s">
        <v>330</v>
      </c>
      <c r="S662" s="25" t="s">
        <v>724</v>
      </c>
      <c r="T662" s="25" t="s">
        <v>394</v>
      </c>
      <c r="U662" s="25" t="s">
        <v>730</v>
      </c>
      <c r="W662" s="25" t="s">
        <v>599</v>
      </c>
      <c r="X662" s="25">
        <v>100</v>
      </c>
      <c r="Z662" s="25" t="s">
        <v>178</v>
      </c>
      <c r="AA662" s="32" t="str">
        <f t="shared" si="288"/>
        <v>亚瑟死亡时，立即召唤自身50%最大生命值的警盾，持续12秒，并嘲讽范围内全部敌人</v>
      </c>
      <c r="AB662" s="32"/>
      <c r="AC662" s="32" t="s">
        <v>166</v>
      </c>
      <c r="AD662" s="32">
        <f t="shared" si="286"/>
        <v>1657</v>
      </c>
      <c r="AE662" s="25">
        <v>5301253</v>
      </c>
      <c r="AF662" s="25" t="s">
        <v>541</v>
      </c>
      <c r="AG662" s="25">
        <v>4</v>
      </c>
      <c r="AJ662" s="25">
        <v>1</v>
      </c>
      <c r="AK662" s="26"/>
      <c r="AL662" s="25" t="s">
        <v>731</v>
      </c>
      <c r="AM662" s="26"/>
      <c r="AN662" s="25">
        <v>4</v>
      </c>
      <c r="AO662" s="25" t="s">
        <v>28</v>
      </c>
      <c r="AP662" s="20">
        <f t="shared" si="287"/>
        <v>657</v>
      </c>
    </row>
    <row r="663" s="20" customFormat="1" customHeight="1" spans="1:42">
      <c r="A663" s="25">
        <v>5510287</v>
      </c>
      <c r="B663" s="25">
        <v>5301253</v>
      </c>
      <c r="C663" s="25">
        <v>7</v>
      </c>
      <c r="D663" s="25"/>
      <c r="E663" s="25" t="s">
        <v>191</v>
      </c>
      <c r="F663" s="26">
        <f t="shared" si="285"/>
        <v>1</v>
      </c>
      <c r="G663" s="26" t="str">
        <f>IFERROR(IF(--MID($E663,2*COUNTIF($F663:F663,"&gt;"&amp;0)+2,1)=G$1,G$1,""),"")</f>
        <v/>
      </c>
      <c r="H663" s="26" t="str">
        <f>IFERROR(IF(--MID($E663,2*COUNTIF($F663:G663,"&gt;"&amp;0)+2,1)=H$1,H$1,""),"")</f>
        <v/>
      </c>
      <c r="I663" s="26" t="str">
        <f>IFERROR(IF(--MID($E663,2*COUNTIF($F663:H663,"&gt;"&amp;0)+2,1)=I$1,I$1,""),"")</f>
        <v/>
      </c>
      <c r="J663" s="26" t="str">
        <f>IFERROR(IF(--MID($E663,2*COUNTIF($F663:I663,"&gt;"&amp;0)+2,1)=J$1,J$1,""),"")</f>
        <v/>
      </c>
      <c r="K663" s="26" t="str">
        <f>IFERROR(IF(--MID($E663,2*COUNTIF($F663:J663,"&gt;"&amp;0)+2,1)=K$1,K$1,""),"")</f>
        <v/>
      </c>
      <c r="L663" s="39" cm="1">
        <f t="array" ref="L663">IFERROR(IF($A663="","",IF(F663="","",_xlfn.XLOOKUP($C663&amp;"_"&amp;$AG663,符文权重!$A:$A&amp;"_"&amp;符文权重!$C:$C,符文权重!$D:$D)*$X663/SUMIFS($X:$X,F:F,F663,$C:$C,$C663,$AG:$AG,$AG663)/SUMIF(符文权重!$A:$A,$C663,符文权重!$D:$D))),"")</f>
        <v>0.0115384615384615</v>
      </c>
      <c r="M663" s="39" t="str" cm="1">
        <f t="array" ref="M663">IFERROR(IF($A663="","",IF(G663="","",_xlfn.XLOOKUP($C663&amp;"_"&amp;$AG663,符文权重!$A:$A&amp;"_"&amp;符文权重!$C:$C,符文权重!$D:$D)*$X663/SUMIFS($X:$X,G:G,G663,$C:$C,$C663,$AG:$AG,$AG663)/SUMIF(符文权重!$A:$A,$C663,符文权重!$D:$D))),"")</f>
        <v/>
      </c>
      <c r="N663" s="39" t="str" cm="1">
        <f t="array" ref="N663">IFERROR(IF($A663="","",IF(H663="","",_xlfn.XLOOKUP($C663&amp;"_"&amp;$AG663,符文权重!$A:$A&amp;"_"&amp;符文权重!$C:$C,符文权重!$D:$D)*$X663/SUMIFS($X:$X,H:H,H663,$C:$C,$C663,$AG:$AG,$AG663)/SUMIF(符文权重!$A:$A,$C663,符文权重!$D:$D))),"")</f>
        <v/>
      </c>
      <c r="O663" s="39" t="str" cm="1">
        <f t="array" ref="O663">IFERROR(IF($A663="","",IF(I663="","",_xlfn.XLOOKUP($C663&amp;"_"&amp;$AG663,符文权重!$A:$A&amp;"_"&amp;符文权重!$C:$C,符文权重!$D:$D)*$X663/SUMIFS($X:$X,I:I,I663,$C:$C,$C663,$AG:$AG,$AG663)/SUMIF(符文权重!$A:$A,$C663,符文权重!$D:$D))),"")</f>
        <v/>
      </c>
      <c r="P663" s="39" t="str" cm="1">
        <f t="array" ref="P663">IFERROR(IF($A663="","",IF(J663="","",_xlfn.XLOOKUP($C663&amp;"_"&amp;$AG663,符文权重!$A:$A&amp;"_"&amp;符文权重!$C:$C,符文权重!$D:$D)*$X663/SUMIFS($X:$X,J:J,J663,$C:$C,$C663,$AG:$AG,$AG663)/SUMIF(符文权重!$A:$A,$C663,符文权重!$D:$D))),"")</f>
        <v/>
      </c>
      <c r="Q663" s="39" t="str" cm="1">
        <f t="array" ref="Q663">IFERROR(IF($A663="","",IF(K663="","",_xlfn.XLOOKUP($C663&amp;"_"&amp;$AG663,符文权重!$A:$A&amp;"_"&amp;符文权重!$C:$C,符文权重!$D:$D)*$X663/SUMIFS($X:$X,K:K,K663,$C:$C,$C663,$AG:$AG,$AG663)/SUMIF(符文权重!$A:$A,$C663,符文权重!$D:$D))),"")</f>
        <v/>
      </c>
      <c r="R663" s="25" t="s">
        <v>330</v>
      </c>
      <c r="S663" s="25" t="s">
        <v>724</v>
      </c>
      <c r="T663" s="25" t="s">
        <v>397</v>
      </c>
      <c r="U663" s="25" t="s">
        <v>732</v>
      </c>
      <c r="W663" s="25" t="s">
        <v>733</v>
      </c>
      <c r="X663" s="25">
        <v>100</v>
      </c>
      <c r="Z663" s="25" t="s">
        <v>180</v>
      </c>
      <c r="AA663" s="32" t="str">
        <f t="shared" si="288"/>
        <v>亚瑟死亡时，立即召唤自身60%最大生命值的警盾，持续12秒，并嘲讽范围内全部敌人</v>
      </c>
      <c r="AB663" s="32"/>
      <c r="AC663" s="32" t="s">
        <v>166</v>
      </c>
      <c r="AD663" s="32">
        <f t="shared" si="286"/>
        <v>1658</v>
      </c>
      <c r="AE663" s="25">
        <v>5301253</v>
      </c>
      <c r="AF663" s="25" t="s">
        <v>439</v>
      </c>
      <c r="AG663" s="25">
        <v>4</v>
      </c>
      <c r="AJ663" s="25">
        <v>1</v>
      </c>
      <c r="AK663" s="26"/>
      <c r="AL663" s="25" t="s">
        <v>734</v>
      </c>
      <c r="AM663" s="26"/>
      <c r="AN663" s="25">
        <v>4</v>
      </c>
      <c r="AO663" s="25" t="s">
        <v>28</v>
      </c>
      <c r="AP663" s="20">
        <f t="shared" si="287"/>
        <v>658</v>
      </c>
    </row>
    <row r="664" s="20" customFormat="1" customHeight="1" spans="1:42">
      <c r="A664" s="25">
        <v>5510294</v>
      </c>
      <c r="B664" s="25">
        <v>5301254</v>
      </c>
      <c r="C664" s="26">
        <v>4</v>
      </c>
      <c r="D664" s="26"/>
      <c r="E664" s="25" t="s">
        <v>200</v>
      </c>
      <c r="F664" s="26" t="str">
        <f t="shared" si="285"/>
        <v/>
      </c>
      <c r="G664" s="26">
        <f>IFERROR(IF(--MID($E664,2*COUNTIF($F664:F664,"&gt;"&amp;0)+2,1)=G$1,G$1,""),"")</f>
        <v>2</v>
      </c>
      <c r="H664" s="26" t="str">
        <f>IFERROR(IF(--MID($E664,2*COUNTIF($F664:G664,"&gt;"&amp;0)+2,1)=H$1,H$1,""),"")</f>
        <v/>
      </c>
      <c r="I664" s="26" t="str">
        <f>IFERROR(IF(--MID($E664,2*COUNTIF($F664:H664,"&gt;"&amp;0)+2,1)=I$1,I$1,""),"")</f>
        <v/>
      </c>
      <c r="J664" s="26" t="str">
        <f>IFERROR(IF(--MID($E664,2*COUNTIF($F664:I664,"&gt;"&amp;0)+2,1)=J$1,J$1,""),"")</f>
        <v/>
      </c>
      <c r="K664" s="26" t="str">
        <f>IFERROR(IF(--MID($E664,2*COUNTIF($F664:J664,"&gt;"&amp;0)+2,1)=K$1,K$1,""),"")</f>
        <v/>
      </c>
      <c r="L664" s="39" t="str" cm="1">
        <f t="array" ref="L664">IFERROR(IF($A664="","",IF(F664="","",_xlfn.XLOOKUP($C664&amp;"_"&amp;$AG664,符文权重!$A:$A&amp;"_"&amp;符文权重!$C:$C,符文权重!$D:$D)*$X664/SUMIFS($X:$X,F:F,F664,$C:$C,$C664,$AG:$AG,$AG664)/SUMIF(符文权重!$A:$A,$C664,符文权重!$D:$D))),"")</f>
        <v/>
      </c>
      <c r="M664" s="39" cm="1">
        <f t="array" ref="M664">IFERROR(IF($A664="","",IF(G664="","",_xlfn.XLOOKUP($C664&amp;"_"&amp;$AG664,符文权重!$A:$A&amp;"_"&amp;符文权重!$C:$C,符文权重!$D:$D)*$X664/SUMIFS($X:$X,G:G,G664,$C:$C,$C664,$AG:$AG,$AG664)/SUMIF(符文权重!$A:$A,$C664,符文权重!$D:$D))),"")</f>
        <v>0.00333333333333333</v>
      </c>
      <c r="N664" s="39" t="str" cm="1">
        <f t="array" ref="N664">IFERROR(IF($A664="","",IF(H664="","",_xlfn.XLOOKUP($C664&amp;"_"&amp;$AG664,符文权重!$A:$A&amp;"_"&amp;符文权重!$C:$C,符文权重!$D:$D)*$X664/SUMIFS($X:$X,H:H,H664,$C:$C,$C664,$AG:$AG,$AG664)/SUMIF(符文权重!$A:$A,$C664,符文权重!$D:$D))),"")</f>
        <v/>
      </c>
      <c r="O664" s="39" t="str" cm="1">
        <f t="array" ref="O664">IFERROR(IF($A664="","",IF(I664="","",_xlfn.XLOOKUP($C664&amp;"_"&amp;$AG664,符文权重!$A:$A&amp;"_"&amp;符文权重!$C:$C,符文权重!$D:$D)*$X664/SUMIFS($X:$X,I:I,I664,$C:$C,$C664,$AG:$AG,$AG664)/SUMIF(符文权重!$A:$A,$C664,符文权重!$D:$D))),"")</f>
        <v/>
      </c>
      <c r="P664" s="39" t="str" cm="1">
        <f t="array" ref="P664">IFERROR(IF($A664="","",IF(J664="","",_xlfn.XLOOKUP($C664&amp;"_"&amp;$AG664,符文权重!$A:$A&amp;"_"&amp;符文权重!$C:$C,符文权重!$D:$D)*$X664/SUMIFS($X:$X,J:J,J664,$C:$C,$C664,$AG:$AG,$AG664)/SUMIF(符文权重!$A:$A,$C664,符文权重!$D:$D))),"")</f>
        <v/>
      </c>
      <c r="Q664" s="39" t="str" cm="1">
        <f t="array" ref="Q664">IFERROR(IF($A664="","",IF(K664="","",_xlfn.XLOOKUP($C664&amp;"_"&amp;$AG664,符文权重!$A:$A&amp;"_"&amp;符文权重!$C:$C,符文权重!$D:$D)*$X664/SUMIFS($X:$X,K:K,K664,$C:$C,$C664,$AG:$AG,$AG664)/SUMIF(符文权重!$A:$A,$C664,符文权重!$D:$D))),"")</f>
        <v/>
      </c>
      <c r="R664" s="26" t="s">
        <v>330</v>
      </c>
      <c r="S664" s="26" t="s">
        <v>724</v>
      </c>
      <c r="T664" s="26" t="s">
        <v>388</v>
      </c>
      <c r="U664" s="20" t="s">
        <v>735</v>
      </c>
      <c r="V664" s="26"/>
      <c r="W664" s="25" t="s">
        <v>540</v>
      </c>
      <c r="X664" s="25">
        <v>100</v>
      </c>
      <c r="Y664" s="25"/>
      <c r="Z664" s="26" t="s">
        <v>174</v>
      </c>
      <c r="AA664" s="32" t="str">
        <f t="shared" si="288"/>
        <v>亚瑟的[正当防卫]有2%概率秒杀普通怪物（不超过亚瑟攻击力2500%）</v>
      </c>
      <c r="AB664" s="32"/>
      <c r="AC664" s="32" t="s">
        <v>166</v>
      </c>
      <c r="AD664" s="32">
        <f t="shared" si="286"/>
        <v>1659</v>
      </c>
      <c r="AE664" s="25">
        <v>53012541</v>
      </c>
      <c r="AF664" s="26" t="s">
        <v>200</v>
      </c>
      <c r="AG664" s="26">
        <v>8</v>
      </c>
      <c r="AH664" s="26"/>
      <c r="AI664" s="26"/>
      <c r="AJ664" s="26">
        <v>1</v>
      </c>
      <c r="AK664" s="26"/>
      <c r="AL664" s="32" t="s">
        <v>736</v>
      </c>
      <c r="AM664" s="26"/>
      <c r="AN664" s="25">
        <v>4</v>
      </c>
      <c r="AO664" s="25" t="s">
        <v>25</v>
      </c>
      <c r="AP664" s="20">
        <f t="shared" si="287"/>
        <v>659</v>
      </c>
    </row>
    <row r="665" s="20" customFormat="1" customHeight="1" spans="1:42">
      <c r="A665" s="25">
        <v>5510295</v>
      </c>
      <c r="B665" s="25">
        <v>5301254</v>
      </c>
      <c r="C665" s="25">
        <v>5</v>
      </c>
      <c r="D665" s="25"/>
      <c r="E665" s="25" t="s">
        <v>200</v>
      </c>
      <c r="F665" s="26" t="str">
        <f t="shared" si="285"/>
        <v/>
      </c>
      <c r="G665" s="26">
        <f>IFERROR(IF(--MID($E665,2*COUNTIF($F665:F665,"&gt;"&amp;0)+2,1)=G$1,G$1,""),"")</f>
        <v>2</v>
      </c>
      <c r="H665" s="26" t="str">
        <f>IFERROR(IF(--MID($E665,2*COUNTIF($F665:G665,"&gt;"&amp;0)+2,1)=H$1,H$1,""),"")</f>
        <v/>
      </c>
      <c r="I665" s="26" t="str">
        <f>IFERROR(IF(--MID($E665,2*COUNTIF($F665:H665,"&gt;"&amp;0)+2,1)=I$1,I$1,""),"")</f>
        <v/>
      </c>
      <c r="J665" s="26" t="str">
        <f>IFERROR(IF(--MID($E665,2*COUNTIF($F665:I665,"&gt;"&amp;0)+2,1)=J$1,J$1,""),"")</f>
        <v/>
      </c>
      <c r="K665" s="26" t="str">
        <f>IFERROR(IF(--MID($E665,2*COUNTIF($F665:J665,"&gt;"&amp;0)+2,1)=K$1,K$1,""),"")</f>
        <v/>
      </c>
      <c r="L665" s="39" t="str" cm="1">
        <f t="array" ref="L665">IFERROR(IF($A665="","",IF(F665="","",_xlfn.XLOOKUP($C665&amp;"_"&amp;$AG665,符文权重!$A:$A&amp;"_"&amp;符文权重!$C:$C,符文权重!$D:$D)*$X665/SUMIFS($X:$X,F:F,F665,$C:$C,$C665,$AG:$AG,$AG665)/SUMIF(符文权重!$A:$A,$C665,符文权重!$D:$D))),"")</f>
        <v/>
      </c>
      <c r="M665" s="39" cm="1">
        <f t="array" ref="M665">IFERROR(IF($A665="","",IF(G665="","",_xlfn.XLOOKUP($C665&amp;"_"&amp;$AG665,符文权重!$A:$A&amp;"_"&amp;符文权重!$C:$C,符文权重!$D:$D)*$X665/SUMIFS($X:$X,G:G,G665,$C:$C,$C665,$AG:$AG,$AG665)/SUMIF(符文权重!$A:$A,$C665,符文权重!$D:$D))),"")</f>
        <v>0.0125</v>
      </c>
      <c r="N665" s="39" t="str" cm="1">
        <f t="array" ref="N665">IFERROR(IF($A665="","",IF(H665="","",_xlfn.XLOOKUP($C665&amp;"_"&amp;$AG665,符文权重!$A:$A&amp;"_"&amp;符文权重!$C:$C,符文权重!$D:$D)*$X665/SUMIFS($X:$X,H:H,H665,$C:$C,$C665,$AG:$AG,$AG665)/SUMIF(符文权重!$A:$A,$C665,符文权重!$D:$D))),"")</f>
        <v/>
      </c>
      <c r="O665" s="39" t="str" cm="1">
        <f t="array" ref="O665">IFERROR(IF($A665="","",IF(I665="","",_xlfn.XLOOKUP($C665&amp;"_"&amp;$AG665,符文权重!$A:$A&amp;"_"&amp;符文权重!$C:$C,符文权重!$D:$D)*$X665/SUMIFS($X:$X,I:I,I665,$C:$C,$C665,$AG:$AG,$AG665)/SUMIF(符文权重!$A:$A,$C665,符文权重!$D:$D))),"")</f>
        <v/>
      </c>
      <c r="P665" s="39" t="str" cm="1">
        <f t="array" ref="P665">IFERROR(IF($A665="","",IF(J665="","",_xlfn.XLOOKUP($C665&amp;"_"&amp;$AG665,符文权重!$A:$A&amp;"_"&amp;符文权重!$C:$C,符文权重!$D:$D)*$X665/SUMIFS($X:$X,J:J,J665,$C:$C,$C665,$AG:$AG,$AG665)/SUMIF(符文权重!$A:$A,$C665,符文权重!$D:$D))),"")</f>
        <v/>
      </c>
      <c r="Q665" s="39" t="str" cm="1">
        <f t="array" ref="Q665">IFERROR(IF($A665="","",IF(K665="","",_xlfn.XLOOKUP($C665&amp;"_"&amp;$AG665,符文权重!$A:$A&amp;"_"&amp;符文权重!$C:$C,符文权重!$D:$D)*$X665/SUMIFS($X:$X,K:K,K665,$C:$C,$C665,$AG:$AG,$AG665)/SUMIF(符文权重!$A:$A,$C665,符文权重!$D:$D))),"")</f>
        <v/>
      </c>
      <c r="R665" s="25" t="s">
        <v>330</v>
      </c>
      <c r="S665" s="25" t="s">
        <v>724</v>
      </c>
      <c r="T665" s="25" t="s">
        <v>391</v>
      </c>
      <c r="U665" s="25" t="s">
        <v>737</v>
      </c>
      <c r="W665" s="25" t="s">
        <v>728</v>
      </c>
      <c r="X665" s="25">
        <v>100</v>
      </c>
      <c r="Z665" s="25" t="s">
        <v>176</v>
      </c>
      <c r="AA665" s="32" t="str">
        <f t="shared" si="288"/>
        <v>亚瑟的[正当防卫]有3%概率秒杀普通怪物（不超过亚瑟攻击力3000%）</v>
      </c>
      <c r="AB665" s="32"/>
      <c r="AC665" s="32" t="s">
        <v>166</v>
      </c>
      <c r="AD665" s="32">
        <f t="shared" si="286"/>
        <v>1660</v>
      </c>
      <c r="AE665" s="25">
        <v>53012542</v>
      </c>
      <c r="AF665" s="25" t="s">
        <v>182</v>
      </c>
      <c r="AG665" s="25">
        <v>4</v>
      </c>
      <c r="AJ665" s="25">
        <v>1</v>
      </c>
      <c r="AK665" s="26"/>
      <c r="AL665" s="25" t="s">
        <v>738</v>
      </c>
      <c r="AM665" s="26"/>
      <c r="AN665" s="25">
        <v>4</v>
      </c>
      <c r="AO665" s="25" t="s">
        <v>25</v>
      </c>
      <c r="AP665" s="20">
        <f t="shared" si="287"/>
        <v>660</v>
      </c>
    </row>
    <row r="666" s="20" customFormat="1" customHeight="1" spans="1:42">
      <c r="A666" s="25">
        <v>5510296</v>
      </c>
      <c r="B666" s="25">
        <v>5301254</v>
      </c>
      <c r="C666" s="25">
        <v>6</v>
      </c>
      <c r="D666" s="25"/>
      <c r="E666" s="25" t="s">
        <v>200</v>
      </c>
      <c r="F666" s="26" t="str">
        <f t="shared" si="285"/>
        <v/>
      </c>
      <c r="G666" s="26">
        <f>IFERROR(IF(--MID($E666,2*COUNTIF($F666:F666,"&gt;"&amp;0)+2,1)=G$1,G$1,""),"")</f>
        <v>2</v>
      </c>
      <c r="H666" s="26" t="str">
        <f>IFERROR(IF(--MID($E666,2*COUNTIF($F666:G666,"&gt;"&amp;0)+2,1)=H$1,H$1,""),"")</f>
        <v/>
      </c>
      <c r="I666" s="26" t="str">
        <f>IFERROR(IF(--MID($E666,2*COUNTIF($F666:H666,"&gt;"&amp;0)+2,1)=I$1,I$1,""),"")</f>
        <v/>
      </c>
      <c r="J666" s="26" t="str">
        <f>IFERROR(IF(--MID($E666,2*COUNTIF($F666:I666,"&gt;"&amp;0)+2,1)=J$1,J$1,""),"")</f>
        <v/>
      </c>
      <c r="K666" s="26" t="str">
        <f>IFERROR(IF(--MID($E666,2*COUNTIF($F666:J666,"&gt;"&amp;0)+2,1)=K$1,K$1,""),"")</f>
        <v/>
      </c>
      <c r="L666" s="39" t="str" cm="1">
        <f t="array" ref="L666">IFERROR(IF($A666="","",IF(F666="","",_xlfn.XLOOKUP($C666&amp;"_"&amp;$AG666,符文权重!$A:$A&amp;"_"&amp;符文权重!$C:$C,符文权重!$D:$D)*$X666/SUMIFS($X:$X,F:F,F666,$C:$C,$C666,$AG:$AG,$AG666)/SUMIF(符文权重!$A:$A,$C666,符文权重!$D:$D))),"")</f>
        <v/>
      </c>
      <c r="M666" s="39" cm="1">
        <f t="array" ref="M666">IFERROR(IF($A666="","",IF(G666="","",_xlfn.XLOOKUP($C666&amp;"_"&amp;$AG666,符文权重!$A:$A&amp;"_"&amp;符文权重!$C:$C,符文权重!$D:$D)*$X666/SUMIFS($X:$X,G:G,G666,$C:$C,$C666,$AG:$AG,$AG666)/SUMIF(符文权重!$A:$A,$C666,符文权重!$D:$D))),"")</f>
        <v>0.0125</v>
      </c>
      <c r="N666" s="39" t="str" cm="1">
        <f t="array" ref="N666">IFERROR(IF($A666="","",IF(H666="","",_xlfn.XLOOKUP($C666&amp;"_"&amp;$AG666,符文权重!$A:$A&amp;"_"&amp;符文权重!$C:$C,符文权重!$D:$D)*$X666/SUMIFS($X:$X,H:H,H666,$C:$C,$C666,$AG:$AG,$AG666)/SUMIF(符文权重!$A:$A,$C666,符文权重!$D:$D))),"")</f>
        <v/>
      </c>
      <c r="O666" s="39" t="str" cm="1">
        <f t="array" ref="O666">IFERROR(IF($A666="","",IF(I666="","",_xlfn.XLOOKUP($C666&amp;"_"&amp;$AG666,符文权重!$A:$A&amp;"_"&amp;符文权重!$C:$C,符文权重!$D:$D)*$X666/SUMIFS($X:$X,I:I,I666,$C:$C,$C666,$AG:$AG,$AG666)/SUMIF(符文权重!$A:$A,$C666,符文权重!$D:$D))),"")</f>
        <v/>
      </c>
      <c r="P666" s="39" t="str" cm="1">
        <f t="array" ref="P666">IFERROR(IF($A666="","",IF(J666="","",_xlfn.XLOOKUP($C666&amp;"_"&amp;$AG666,符文权重!$A:$A&amp;"_"&amp;符文权重!$C:$C,符文权重!$D:$D)*$X666/SUMIFS($X:$X,J:J,J666,$C:$C,$C666,$AG:$AG,$AG666)/SUMIF(符文权重!$A:$A,$C666,符文权重!$D:$D))),"")</f>
        <v/>
      </c>
      <c r="Q666" s="39" t="str" cm="1">
        <f t="array" ref="Q666">IFERROR(IF($A666="","",IF(K666="","",_xlfn.XLOOKUP($C666&amp;"_"&amp;$AG666,符文权重!$A:$A&amp;"_"&amp;符文权重!$C:$C,符文权重!$D:$D)*$X666/SUMIFS($X:$X,K:K,K666,$C:$C,$C666,$AG:$AG,$AG666)/SUMIF(符文权重!$A:$A,$C666,符文权重!$D:$D))),"")</f>
        <v/>
      </c>
      <c r="R666" s="25" t="s">
        <v>330</v>
      </c>
      <c r="S666" s="25" t="s">
        <v>724</v>
      </c>
      <c r="T666" s="25" t="s">
        <v>394</v>
      </c>
      <c r="U666" s="25" t="s">
        <v>739</v>
      </c>
      <c r="W666" s="25" t="s">
        <v>599</v>
      </c>
      <c r="X666" s="25">
        <v>100</v>
      </c>
      <c r="Z666" s="25" t="s">
        <v>178</v>
      </c>
      <c r="AA666" s="32" t="str">
        <f t="shared" si="288"/>
        <v>亚瑟的[正当防卫]有4%概率秒杀普通怪物（不超过亚瑟攻击力3500%）</v>
      </c>
      <c r="AB666" s="32"/>
      <c r="AC666" s="32" t="s">
        <v>166</v>
      </c>
      <c r="AD666" s="32">
        <f t="shared" si="286"/>
        <v>1661</v>
      </c>
      <c r="AE666" s="25">
        <v>53012543</v>
      </c>
      <c r="AF666" s="25" t="s">
        <v>375</v>
      </c>
      <c r="AG666" s="25">
        <v>4</v>
      </c>
      <c r="AJ666" s="25">
        <v>1</v>
      </c>
      <c r="AK666" s="26"/>
      <c r="AL666" s="25" t="s">
        <v>740</v>
      </c>
      <c r="AM666" s="26"/>
      <c r="AN666" s="25">
        <v>4</v>
      </c>
      <c r="AO666" s="25" t="s">
        <v>25</v>
      </c>
      <c r="AP666" s="20">
        <f t="shared" si="287"/>
        <v>661</v>
      </c>
    </row>
    <row r="667" s="20" customFormat="1" customHeight="1" spans="1:42">
      <c r="A667" s="25">
        <v>5510297</v>
      </c>
      <c r="B667" s="25">
        <v>5301254</v>
      </c>
      <c r="C667" s="25">
        <v>7</v>
      </c>
      <c r="D667" s="25"/>
      <c r="E667" s="25" t="s">
        <v>200</v>
      </c>
      <c r="F667" s="26" t="str">
        <f t="shared" si="285"/>
        <v/>
      </c>
      <c r="G667" s="26">
        <f>IFERROR(IF(--MID($E667,2*COUNTIF($F667:F667,"&gt;"&amp;0)+2,1)=G$1,G$1,""),"")</f>
        <v>2</v>
      </c>
      <c r="H667" s="26" t="str">
        <f>IFERROR(IF(--MID($E667,2*COUNTIF($F667:G667,"&gt;"&amp;0)+2,1)=H$1,H$1,""),"")</f>
        <v/>
      </c>
      <c r="I667" s="26" t="str">
        <f>IFERROR(IF(--MID($E667,2*COUNTIF($F667:H667,"&gt;"&amp;0)+2,1)=I$1,I$1,""),"")</f>
        <v/>
      </c>
      <c r="J667" s="26" t="str">
        <f>IFERROR(IF(--MID($E667,2*COUNTIF($F667:I667,"&gt;"&amp;0)+2,1)=J$1,J$1,""),"")</f>
        <v/>
      </c>
      <c r="K667" s="26" t="str">
        <f>IFERROR(IF(--MID($E667,2*COUNTIF($F667:J667,"&gt;"&amp;0)+2,1)=K$1,K$1,""),"")</f>
        <v/>
      </c>
      <c r="L667" s="39" t="str" cm="1">
        <f t="array" ref="L667">IFERROR(IF($A667="","",IF(F667="","",_xlfn.XLOOKUP($C667&amp;"_"&amp;$AG667,符文权重!$A:$A&amp;"_"&amp;符文权重!$C:$C,符文权重!$D:$D)*$X667/SUMIFS($X:$X,F:F,F667,$C:$C,$C667,$AG:$AG,$AG667)/SUMIF(符文权重!$A:$A,$C667,符文权重!$D:$D))),"")</f>
        <v/>
      </c>
      <c r="M667" s="39" cm="1">
        <f t="array" ref="M667">IFERROR(IF($A667="","",IF(G667="","",_xlfn.XLOOKUP($C667&amp;"_"&amp;$AG667,符文权重!$A:$A&amp;"_"&amp;符文权重!$C:$C,符文权重!$D:$D)*$X667/SUMIFS($X:$X,G:G,G667,$C:$C,$C667,$AG:$AG,$AG667)/SUMIF(符文权重!$A:$A,$C667,符文权重!$D:$D))),"")</f>
        <v>0.0125</v>
      </c>
      <c r="N667" s="39" t="str" cm="1">
        <f t="array" ref="N667">IFERROR(IF($A667="","",IF(H667="","",_xlfn.XLOOKUP($C667&amp;"_"&amp;$AG667,符文权重!$A:$A&amp;"_"&amp;符文权重!$C:$C,符文权重!$D:$D)*$X667/SUMIFS($X:$X,H:H,H667,$C:$C,$C667,$AG:$AG,$AG667)/SUMIF(符文权重!$A:$A,$C667,符文权重!$D:$D))),"")</f>
        <v/>
      </c>
      <c r="O667" s="39" t="str" cm="1">
        <f t="array" ref="O667">IFERROR(IF($A667="","",IF(I667="","",_xlfn.XLOOKUP($C667&amp;"_"&amp;$AG667,符文权重!$A:$A&amp;"_"&amp;符文权重!$C:$C,符文权重!$D:$D)*$X667/SUMIFS($X:$X,I:I,I667,$C:$C,$C667,$AG:$AG,$AG667)/SUMIF(符文权重!$A:$A,$C667,符文权重!$D:$D))),"")</f>
        <v/>
      </c>
      <c r="P667" s="39" t="str" cm="1">
        <f t="array" ref="P667">IFERROR(IF($A667="","",IF(J667="","",_xlfn.XLOOKUP($C667&amp;"_"&amp;$AG667,符文权重!$A:$A&amp;"_"&amp;符文权重!$C:$C,符文权重!$D:$D)*$X667/SUMIFS($X:$X,J:J,J667,$C:$C,$C667,$AG:$AG,$AG667)/SUMIF(符文权重!$A:$A,$C667,符文权重!$D:$D))),"")</f>
        <v/>
      </c>
      <c r="Q667" s="39" t="str" cm="1">
        <f t="array" ref="Q667">IFERROR(IF($A667="","",IF(K667="","",_xlfn.XLOOKUP($C667&amp;"_"&amp;$AG667,符文权重!$A:$A&amp;"_"&amp;符文权重!$C:$C,符文权重!$D:$D)*$X667/SUMIFS($X:$X,K:K,K667,$C:$C,$C667,$AG:$AG,$AG667)/SUMIF(符文权重!$A:$A,$C667,符文权重!$D:$D))),"")</f>
        <v/>
      </c>
      <c r="R667" s="25" t="s">
        <v>330</v>
      </c>
      <c r="S667" s="25" t="s">
        <v>724</v>
      </c>
      <c r="T667" s="25" t="s">
        <v>397</v>
      </c>
      <c r="U667" s="25" t="s">
        <v>741</v>
      </c>
      <c r="W667" s="25" t="s">
        <v>733</v>
      </c>
      <c r="X667" s="25">
        <v>100</v>
      </c>
      <c r="Z667" s="25" t="s">
        <v>180</v>
      </c>
      <c r="AA667" s="32" t="str">
        <f t="shared" si="288"/>
        <v>亚瑟的[正当防卫]有5%概率秒杀普通怪物（不超过亚瑟攻击力4000%）</v>
      </c>
      <c r="AB667" s="32"/>
      <c r="AC667" s="32" t="s">
        <v>166</v>
      </c>
      <c r="AD667" s="32">
        <f t="shared" si="286"/>
        <v>1662</v>
      </c>
      <c r="AE667" s="25">
        <v>53012544</v>
      </c>
      <c r="AF667" s="25" t="s">
        <v>218</v>
      </c>
      <c r="AG667" s="25">
        <v>4</v>
      </c>
      <c r="AJ667" s="25">
        <v>1</v>
      </c>
      <c r="AK667" s="26"/>
      <c r="AL667" s="25" t="s">
        <v>742</v>
      </c>
      <c r="AM667" s="26"/>
      <c r="AN667" s="25">
        <v>4</v>
      </c>
      <c r="AO667" s="25" t="s">
        <v>25</v>
      </c>
      <c r="AP667" s="20">
        <f t="shared" si="287"/>
        <v>662</v>
      </c>
    </row>
    <row r="668" s="20" customFormat="1" customHeight="1" spans="1:42">
      <c r="A668" s="25">
        <v>5510304</v>
      </c>
      <c r="B668" s="25">
        <v>5301255</v>
      </c>
      <c r="C668" s="26">
        <v>4</v>
      </c>
      <c r="D668" s="26"/>
      <c r="E668" s="25" t="s">
        <v>182</v>
      </c>
      <c r="F668" s="26" t="str">
        <f t="shared" si="285"/>
        <v/>
      </c>
      <c r="G668" s="26" t="str">
        <f>IFERROR(IF(--MID($E668,2*COUNTIF($F668:F668,"&gt;"&amp;0)+2,1)=G$1,G$1,""),"")</f>
        <v/>
      </c>
      <c r="H668" s="26">
        <f>IFERROR(IF(--MID($E668,2*COUNTIF($F668:G668,"&gt;"&amp;0)+2,1)=H$1,H$1,""),"")</f>
        <v>3</v>
      </c>
      <c r="I668" s="26" t="str">
        <f>IFERROR(IF(--MID($E668,2*COUNTIF($F668:H668,"&gt;"&amp;0)+2,1)=I$1,I$1,""),"")</f>
        <v/>
      </c>
      <c r="J668" s="26" t="str">
        <f>IFERROR(IF(--MID($E668,2*COUNTIF($F668:I668,"&gt;"&amp;0)+2,1)=J$1,J$1,""),"")</f>
        <v/>
      </c>
      <c r="K668" s="26" t="str">
        <f>IFERROR(IF(--MID($E668,2*COUNTIF($F668:J668,"&gt;"&amp;0)+2,1)=K$1,K$1,""),"")</f>
        <v/>
      </c>
      <c r="L668" s="39" t="str" cm="1">
        <f t="array" ref="L668">IFERROR(IF($A668="","",IF(F668="","",_xlfn.XLOOKUP($C668&amp;"_"&amp;$AG668,符文权重!$A:$A&amp;"_"&amp;符文权重!$C:$C,符文权重!$D:$D)*$X668/SUMIFS($X:$X,F:F,F668,$C:$C,$C668,$AG:$AG,$AG668)/SUMIF(符文权重!$A:$A,$C668,符文权重!$D:$D))),"")</f>
        <v/>
      </c>
      <c r="M668" s="39" t="str" cm="1">
        <f t="array" ref="M668">IFERROR(IF($A668="","",IF(G668="","",_xlfn.XLOOKUP($C668&amp;"_"&amp;$AG668,符文权重!$A:$A&amp;"_"&amp;符文权重!$C:$C,符文权重!$D:$D)*$X668/SUMIFS($X:$X,G:G,G668,$C:$C,$C668,$AG:$AG,$AG668)/SUMIF(符文权重!$A:$A,$C668,符文权重!$D:$D))),"")</f>
        <v/>
      </c>
      <c r="N668" s="39" cm="1">
        <f t="array" ref="N668">IFERROR(IF($A668="","",IF(H668="","",_xlfn.XLOOKUP($C668&amp;"_"&amp;$AG668,符文权重!$A:$A&amp;"_"&amp;符文权重!$C:$C,符文权重!$D:$D)*$X668/SUMIFS($X:$X,H:H,H668,$C:$C,$C668,$AG:$AG,$AG668)/SUMIF(符文权重!$A:$A,$C668,符文权重!$D:$D))),"")</f>
        <v>0.00333333333333333</v>
      </c>
      <c r="O668" s="39" t="str" cm="1">
        <f t="array" ref="O668">IFERROR(IF($A668="","",IF(I668="","",_xlfn.XLOOKUP($C668&amp;"_"&amp;$AG668,符文权重!$A:$A&amp;"_"&amp;符文权重!$C:$C,符文权重!$D:$D)*$X668/SUMIFS($X:$X,I:I,I668,$C:$C,$C668,$AG:$AG,$AG668)/SUMIF(符文权重!$A:$A,$C668,符文权重!$D:$D))),"")</f>
        <v/>
      </c>
      <c r="P668" s="39" t="str" cm="1">
        <f t="array" ref="P668">IFERROR(IF($A668="","",IF(J668="","",_xlfn.XLOOKUP($C668&amp;"_"&amp;$AG668,符文权重!$A:$A&amp;"_"&amp;符文权重!$C:$C,符文权重!$D:$D)*$X668/SUMIFS($X:$X,J:J,J668,$C:$C,$C668,$AG:$AG,$AG668)/SUMIF(符文权重!$A:$A,$C668,符文权重!$D:$D))),"")</f>
        <v/>
      </c>
      <c r="Q668" s="39" t="str" cm="1">
        <f t="array" ref="Q668">IFERROR(IF($A668="","",IF(K668="","",_xlfn.XLOOKUP($C668&amp;"_"&amp;$AG668,符文权重!$A:$A&amp;"_"&amp;符文权重!$C:$C,符文权重!$D:$D)*$X668/SUMIFS($X:$X,K:K,K668,$C:$C,$C668,$AG:$AG,$AG668)/SUMIF(符文权重!$A:$A,$C668,符文权重!$D:$D))),"")</f>
        <v/>
      </c>
      <c r="R668" s="26" t="s">
        <v>330</v>
      </c>
      <c r="S668" s="26" t="s">
        <v>724</v>
      </c>
      <c r="T668" s="26" t="s">
        <v>388</v>
      </c>
      <c r="U668" s="20" t="s">
        <v>743</v>
      </c>
      <c r="V668" s="26"/>
      <c r="W668" s="25" t="s">
        <v>540</v>
      </c>
      <c r="X668" s="25">
        <v>100</v>
      </c>
      <c r="Y668" s="25"/>
      <c r="Z668" s="26" t="s">
        <v>174</v>
      </c>
      <c r="AA668" s="32" t="str">
        <f t="shared" si="288"/>
        <v>亚瑟首次生命低于35%时，立刻恢复20%最大生命值</v>
      </c>
      <c r="AB668" s="32"/>
      <c r="AC668" s="32" t="s">
        <v>166</v>
      </c>
      <c r="AD668" s="32">
        <f t="shared" si="286"/>
        <v>1663</v>
      </c>
      <c r="AE668" s="25">
        <v>5301255</v>
      </c>
      <c r="AF668" s="26" t="s">
        <v>396</v>
      </c>
      <c r="AG668" s="26">
        <v>8</v>
      </c>
      <c r="AH668" s="26"/>
      <c r="AI668" s="26"/>
      <c r="AJ668" s="26">
        <v>1</v>
      </c>
      <c r="AK668" s="26"/>
      <c r="AL668" s="32" t="s">
        <v>744</v>
      </c>
      <c r="AM668" s="26"/>
      <c r="AN668" s="25">
        <v>4</v>
      </c>
      <c r="AO668" s="25" t="s">
        <v>28</v>
      </c>
      <c r="AP668" s="20">
        <f t="shared" si="287"/>
        <v>663</v>
      </c>
    </row>
    <row r="669" s="20" customFormat="1" customHeight="1" spans="1:42">
      <c r="A669" s="25">
        <v>5510305</v>
      </c>
      <c r="B669" s="25">
        <v>5301255</v>
      </c>
      <c r="C669" s="25">
        <v>5</v>
      </c>
      <c r="D669" s="25"/>
      <c r="E669" s="25" t="s">
        <v>182</v>
      </c>
      <c r="F669" s="26" t="str">
        <f t="shared" si="285"/>
        <v/>
      </c>
      <c r="G669" s="26" t="str">
        <f>IFERROR(IF(--MID($E669,2*COUNTIF($F669:F669,"&gt;"&amp;0)+2,1)=G$1,G$1,""),"")</f>
        <v/>
      </c>
      <c r="H669" s="26">
        <f>IFERROR(IF(--MID($E669,2*COUNTIF($F669:G669,"&gt;"&amp;0)+2,1)=H$1,H$1,""),"")</f>
        <v>3</v>
      </c>
      <c r="I669" s="26" t="str">
        <f>IFERROR(IF(--MID($E669,2*COUNTIF($F669:H669,"&gt;"&amp;0)+2,1)=I$1,I$1,""),"")</f>
        <v/>
      </c>
      <c r="J669" s="26" t="str">
        <f>IFERROR(IF(--MID($E669,2*COUNTIF($F669:I669,"&gt;"&amp;0)+2,1)=J$1,J$1,""),"")</f>
        <v/>
      </c>
      <c r="K669" s="26" t="str">
        <f>IFERROR(IF(--MID($E669,2*COUNTIF($F669:J669,"&gt;"&amp;0)+2,1)=K$1,K$1,""),"")</f>
        <v/>
      </c>
      <c r="L669" s="39" t="str" cm="1">
        <f t="array" ref="L669">IFERROR(IF($A669="","",IF(F669="","",_xlfn.XLOOKUP($C669&amp;"_"&amp;$AG669,符文权重!$A:$A&amp;"_"&amp;符文权重!$C:$C,符文权重!$D:$D)*$X669/SUMIFS($X:$X,F:F,F669,$C:$C,$C669,$AG:$AG,$AG669)/SUMIF(符文权重!$A:$A,$C669,符文权重!$D:$D))),"")</f>
        <v/>
      </c>
      <c r="M669" s="39" t="str" cm="1">
        <f t="array" ref="M669">IFERROR(IF($A669="","",IF(G669="","",_xlfn.XLOOKUP($C669&amp;"_"&amp;$AG669,符文权重!$A:$A&amp;"_"&amp;符文权重!$C:$C,符文权重!$D:$D)*$X669/SUMIFS($X:$X,G:G,G669,$C:$C,$C669,$AG:$AG,$AG669)/SUMIF(符文权重!$A:$A,$C669,符文权重!$D:$D))),"")</f>
        <v/>
      </c>
      <c r="N669" s="39" cm="1">
        <f t="array" ref="N669">IFERROR(IF($A669="","",IF(H669="","",_xlfn.XLOOKUP($C669&amp;"_"&amp;$AG669,符文权重!$A:$A&amp;"_"&amp;符文权重!$C:$C,符文权重!$D:$D)*$X669/SUMIFS($X:$X,H:H,H669,$C:$C,$C669,$AG:$AG,$AG669)/SUMIF(符文权重!$A:$A,$C669,符文权重!$D:$D))),"")</f>
        <v>0.0115384615384615</v>
      </c>
      <c r="O669" s="39" t="str" cm="1">
        <f t="array" ref="O669">IFERROR(IF($A669="","",IF(I669="","",_xlfn.XLOOKUP($C669&amp;"_"&amp;$AG669,符文权重!$A:$A&amp;"_"&amp;符文权重!$C:$C,符文权重!$D:$D)*$X669/SUMIFS($X:$X,I:I,I669,$C:$C,$C669,$AG:$AG,$AG669)/SUMIF(符文权重!$A:$A,$C669,符文权重!$D:$D))),"")</f>
        <v/>
      </c>
      <c r="P669" s="39" t="str" cm="1">
        <f t="array" ref="P669">IFERROR(IF($A669="","",IF(J669="","",_xlfn.XLOOKUP($C669&amp;"_"&amp;$AG669,符文权重!$A:$A&amp;"_"&amp;符文权重!$C:$C,符文权重!$D:$D)*$X669/SUMIFS($X:$X,J:J,J669,$C:$C,$C669,$AG:$AG,$AG669)/SUMIF(符文权重!$A:$A,$C669,符文权重!$D:$D))),"")</f>
        <v/>
      </c>
      <c r="Q669" s="39" t="str" cm="1">
        <f t="array" ref="Q669">IFERROR(IF($A669="","",IF(K669="","",_xlfn.XLOOKUP($C669&amp;"_"&amp;$AG669,符文权重!$A:$A&amp;"_"&amp;符文权重!$C:$C,符文权重!$D:$D)*$X669/SUMIFS($X:$X,K:K,K669,$C:$C,$C669,$AG:$AG,$AG669)/SUMIF(符文权重!$A:$A,$C669,符文权重!$D:$D))),"")</f>
        <v/>
      </c>
      <c r="R669" s="25" t="s">
        <v>330</v>
      </c>
      <c r="S669" s="25" t="s">
        <v>724</v>
      </c>
      <c r="T669" s="25" t="s">
        <v>391</v>
      </c>
      <c r="U669" s="25" t="s">
        <v>745</v>
      </c>
      <c r="W669" s="25" t="s">
        <v>728</v>
      </c>
      <c r="X669" s="25">
        <v>100</v>
      </c>
      <c r="Z669" s="25" t="s">
        <v>176</v>
      </c>
      <c r="AA669" s="32" t="str">
        <f t="shared" si="288"/>
        <v>亚瑟首次生命低于35%时，立刻恢复28%最大生命值</v>
      </c>
      <c r="AB669" s="32"/>
      <c r="AC669" s="32" t="s">
        <v>166</v>
      </c>
      <c r="AD669" s="32">
        <f t="shared" si="286"/>
        <v>1664</v>
      </c>
      <c r="AE669" s="25">
        <v>5301255</v>
      </c>
      <c r="AF669" s="25" t="s">
        <v>746</v>
      </c>
      <c r="AG669" s="25">
        <v>4</v>
      </c>
      <c r="AJ669" s="25">
        <v>1</v>
      </c>
      <c r="AK669" s="26"/>
      <c r="AL669" s="25" t="s">
        <v>747</v>
      </c>
      <c r="AM669" s="26"/>
      <c r="AN669" s="25">
        <v>4</v>
      </c>
      <c r="AO669" s="25" t="s">
        <v>28</v>
      </c>
      <c r="AP669" s="20">
        <f t="shared" si="287"/>
        <v>664</v>
      </c>
    </row>
    <row r="670" s="20" customFormat="1" customHeight="1" spans="1:42">
      <c r="A670" s="25">
        <v>5510306</v>
      </c>
      <c r="B670" s="25">
        <v>5301255</v>
      </c>
      <c r="C670" s="25">
        <v>6</v>
      </c>
      <c r="D670" s="25"/>
      <c r="E670" s="25" t="s">
        <v>182</v>
      </c>
      <c r="F670" s="26" t="str">
        <f t="shared" si="285"/>
        <v/>
      </c>
      <c r="G670" s="26" t="str">
        <f>IFERROR(IF(--MID($E670,2*COUNTIF($F670:F670,"&gt;"&amp;0)+2,1)=G$1,G$1,""),"")</f>
        <v/>
      </c>
      <c r="H670" s="26">
        <f>IFERROR(IF(--MID($E670,2*COUNTIF($F670:G670,"&gt;"&amp;0)+2,1)=H$1,H$1,""),"")</f>
        <v>3</v>
      </c>
      <c r="I670" s="26" t="str">
        <f>IFERROR(IF(--MID($E670,2*COUNTIF($F670:H670,"&gt;"&amp;0)+2,1)=I$1,I$1,""),"")</f>
        <v/>
      </c>
      <c r="J670" s="26" t="str">
        <f>IFERROR(IF(--MID($E670,2*COUNTIF($F670:I670,"&gt;"&amp;0)+2,1)=J$1,J$1,""),"")</f>
        <v/>
      </c>
      <c r="K670" s="26" t="str">
        <f>IFERROR(IF(--MID($E670,2*COUNTIF($F670:J670,"&gt;"&amp;0)+2,1)=K$1,K$1,""),"")</f>
        <v/>
      </c>
      <c r="L670" s="39" t="str" cm="1">
        <f t="array" ref="L670">IFERROR(IF($A670="","",IF(F670="","",_xlfn.XLOOKUP($C670&amp;"_"&amp;$AG670,符文权重!$A:$A&amp;"_"&amp;符文权重!$C:$C,符文权重!$D:$D)*$X670/SUMIFS($X:$X,F:F,F670,$C:$C,$C670,$AG:$AG,$AG670)/SUMIF(符文权重!$A:$A,$C670,符文权重!$D:$D))),"")</f>
        <v/>
      </c>
      <c r="M670" s="39" t="str" cm="1">
        <f t="array" ref="M670">IFERROR(IF($A670="","",IF(G670="","",_xlfn.XLOOKUP($C670&amp;"_"&amp;$AG670,符文权重!$A:$A&amp;"_"&amp;符文权重!$C:$C,符文权重!$D:$D)*$X670/SUMIFS($X:$X,G:G,G670,$C:$C,$C670,$AG:$AG,$AG670)/SUMIF(符文权重!$A:$A,$C670,符文权重!$D:$D))),"")</f>
        <v/>
      </c>
      <c r="N670" s="39" cm="1">
        <f t="array" ref="N670">IFERROR(IF($A670="","",IF(H670="","",_xlfn.XLOOKUP($C670&amp;"_"&amp;$AG670,符文权重!$A:$A&amp;"_"&amp;符文权重!$C:$C,符文权重!$D:$D)*$X670/SUMIFS($X:$X,H:H,H670,$C:$C,$C670,$AG:$AG,$AG670)/SUMIF(符文权重!$A:$A,$C670,符文权重!$D:$D))),"")</f>
        <v>0.0115384615384615</v>
      </c>
      <c r="O670" s="39" t="str" cm="1">
        <f t="array" ref="O670">IFERROR(IF($A670="","",IF(I670="","",_xlfn.XLOOKUP($C670&amp;"_"&amp;$AG670,符文权重!$A:$A&amp;"_"&amp;符文权重!$C:$C,符文权重!$D:$D)*$X670/SUMIFS($X:$X,I:I,I670,$C:$C,$C670,$AG:$AG,$AG670)/SUMIF(符文权重!$A:$A,$C670,符文权重!$D:$D))),"")</f>
        <v/>
      </c>
      <c r="P670" s="39" t="str" cm="1">
        <f t="array" ref="P670">IFERROR(IF($A670="","",IF(J670="","",_xlfn.XLOOKUP($C670&amp;"_"&amp;$AG670,符文权重!$A:$A&amp;"_"&amp;符文权重!$C:$C,符文权重!$D:$D)*$X670/SUMIFS($X:$X,J:J,J670,$C:$C,$C670,$AG:$AG,$AG670)/SUMIF(符文权重!$A:$A,$C670,符文权重!$D:$D))),"")</f>
        <v/>
      </c>
      <c r="Q670" s="39" t="str" cm="1">
        <f t="array" ref="Q670">IFERROR(IF($A670="","",IF(K670="","",_xlfn.XLOOKUP($C670&amp;"_"&amp;$AG670,符文权重!$A:$A&amp;"_"&amp;符文权重!$C:$C,符文权重!$D:$D)*$X670/SUMIFS($X:$X,K:K,K670,$C:$C,$C670,$AG:$AG,$AG670)/SUMIF(符文权重!$A:$A,$C670,符文权重!$D:$D))),"")</f>
        <v/>
      </c>
      <c r="R670" s="25" t="s">
        <v>330</v>
      </c>
      <c r="S670" s="25" t="s">
        <v>724</v>
      </c>
      <c r="T670" s="25" t="s">
        <v>394</v>
      </c>
      <c r="U670" s="25" t="s">
        <v>748</v>
      </c>
      <c r="W670" s="25" t="s">
        <v>599</v>
      </c>
      <c r="X670" s="25">
        <v>100</v>
      </c>
      <c r="Z670" s="25" t="s">
        <v>178</v>
      </c>
      <c r="AA670" s="32" t="str">
        <f t="shared" si="288"/>
        <v>亚瑟首次生命低于35%时，立刻恢复36%最大生命值</v>
      </c>
      <c r="AB670" s="32"/>
      <c r="AC670" s="32" t="s">
        <v>166</v>
      </c>
      <c r="AD670" s="32">
        <f t="shared" si="286"/>
        <v>1665</v>
      </c>
      <c r="AE670" s="25">
        <v>5301255</v>
      </c>
      <c r="AF670" s="25" t="s">
        <v>603</v>
      </c>
      <c r="AG670" s="25">
        <v>4</v>
      </c>
      <c r="AJ670" s="25">
        <v>1</v>
      </c>
      <c r="AL670" s="25" t="s">
        <v>749</v>
      </c>
      <c r="AN670" s="25">
        <v>4</v>
      </c>
      <c r="AO670" s="25" t="s">
        <v>28</v>
      </c>
      <c r="AP670" s="20">
        <f t="shared" si="287"/>
        <v>665</v>
      </c>
    </row>
    <row r="671" s="20" customFormat="1" customHeight="1" spans="1:42">
      <c r="A671" s="25">
        <v>5510307</v>
      </c>
      <c r="B671" s="25">
        <v>5301255</v>
      </c>
      <c r="C671" s="25">
        <v>7</v>
      </c>
      <c r="D671" s="25"/>
      <c r="E671" s="25" t="s">
        <v>182</v>
      </c>
      <c r="F671" s="26" t="str">
        <f t="shared" si="285"/>
        <v/>
      </c>
      <c r="G671" s="26" t="str">
        <f>IFERROR(IF(--MID($E671,2*COUNTIF($F671:F671,"&gt;"&amp;0)+2,1)=G$1,G$1,""),"")</f>
        <v/>
      </c>
      <c r="H671" s="26">
        <f>IFERROR(IF(--MID($E671,2*COUNTIF($F671:G671,"&gt;"&amp;0)+2,1)=H$1,H$1,""),"")</f>
        <v>3</v>
      </c>
      <c r="I671" s="26" t="str">
        <f>IFERROR(IF(--MID($E671,2*COUNTIF($F671:H671,"&gt;"&amp;0)+2,1)=I$1,I$1,""),"")</f>
        <v/>
      </c>
      <c r="J671" s="26" t="str">
        <f>IFERROR(IF(--MID($E671,2*COUNTIF($F671:I671,"&gt;"&amp;0)+2,1)=J$1,J$1,""),"")</f>
        <v/>
      </c>
      <c r="K671" s="26" t="str">
        <f>IFERROR(IF(--MID($E671,2*COUNTIF($F671:J671,"&gt;"&amp;0)+2,1)=K$1,K$1,""),"")</f>
        <v/>
      </c>
      <c r="L671" s="39" t="str" cm="1">
        <f t="array" ref="L671">IFERROR(IF($A671="","",IF(F671="","",_xlfn.XLOOKUP($C671&amp;"_"&amp;$AG671,符文权重!$A:$A&amp;"_"&amp;符文权重!$C:$C,符文权重!$D:$D)*$X671/SUMIFS($X:$X,F:F,F671,$C:$C,$C671,$AG:$AG,$AG671)/SUMIF(符文权重!$A:$A,$C671,符文权重!$D:$D))),"")</f>
        <v/>
      </c>
      <c r="M671" s="39" t="str" cm="1">
        <f t="array" ref="M671">IFERROR(IF($A671="","",IF(G671="","",_xlfn.XLOOKUP($C671&amp;"_"&amp;$AG671,符文权重!$A:$A&amp;"_"&amp;符文权重!$C:$C,符文权重!$D:$D)*$X671/SUMIFS($X:$X,G:G,G671,$C:$C,$C671,$AG:$AG,$AG671)/SUMIF(符文权重!$A:$A,$C671,符文权重!$D:$D))),"")</f>
        <v/>
      </c>
      <c r="N671" s="39" cm="1">
        <f t="array" ref="N671">IFERROR(IF($A671="","",IF(H671="","",_xlfn.XLOOKUP($C671&amp;"_"&amp;$AG671,符文权重!$A:$A&amp;"_"&amp;符文权重!$C:$C,符文权重!$D:$D)*$X671/SUMIFS($X:$X,H:H,H671,$C:$C,$C671,$AG:$AG,$AG671)/SUMIF(符文权重!$A:$A,$C671,符文权重!$D:$D))),"")</f>
        <v>0.0115384615384615</v>
      </c>
      <c r="O671" s="39" t="str" cm="1">
        <f t="array" ref="O671">IFERROR(IF($A671="","",IF(I671="","",_xlfn.XLOOKUP($C671&amp;"_"&amp;$AG671,符文权重!$A:$A&amp;"_"&amp;符文权重!$C:$C,符文权重!$D:$D)*$X671/SUMIFS($X:$X,I:I,I671,$C:$C,$C671,$AG:$AG,$AG671)/SUMIF(符文权重!$A:$A,$C671,符文权重!$D:$D))),"")</f>
        <v/>
      </c>
      <c r="P671" s="39" t="str" cm="1">
        <f t="array" ref="P671">IFERROR(IF($A671="","",IF(J671="","",_xlfn.XLOOKUP($C671&amp;"_"&amp;$AG671,符文权重!$A:$A&amp;"_"&amp;符文权重!$C:$C,符文权重!$D:$D)*$X671/SUMIFS($X:$X,J:J,J671,$C:$C,$C671,$AG:$AG,$AG671)/SUMIF(符文权重!$A:$A,$C671,符文权重!$D:$D))),"")</f>
        <v/>
      </c>
      <c r="Q671" s="39" t="str" cm="1">
        <f t="array" ref="Q671">IFERROR(IF($A671="","",IF(K671="","",_xlfn.XLOOKUP($C671&amp;"_"&amp;$AG671,符文权重!$A:$A&amp;"_"&amp;符文权重!$C:$C,符文权重!$D:$D)*$X671/SUMIFS($X:$X,K:K,K671,$C:$C,$C671,$AG:$AG,$AG671)/SUMIF(符文权重!$A:$A,$C671,符文权重!$D:$D))),"")</f>
        <v/>
      </c>
      <c r="R671" s="25" t="s">
        <v>330</v>
      </c>
      <c r="S671" s="25" t="s">
        <v>724</v>
      </c>
      <c r="T671" s="25" t="s">
        <v>397</v>
      </c>
      <c r="U671" s="25" t="s">
        <v>750</v>
      </c>
      <c r="W671" s="25" t="s">
        <v>733</v>
      </c>
      <c r="X671" s="25">
        <v>100</v>
      </c>
      <c r="Z671" s="25" t="s">
        <v>180</v>
      </c>
      <c r="AA671" s="32" t="str">
        <f t="shared" si="288"/>
        <v>亚瑟首次生命低于35%时，立刻恢复45%最大生命值</v>
      </c>
      <c r="AB671" s="32"/>
      <c r="AC671" s="32" t="s">
        <v>166</v>
      </c>
      <c r="AD671" s="32">
        <f t="shared" si="286"/>
        <v>1666</v>
      </c>
      <c r="AE671" s="25">
        <v>5301255</v>
      </c>
      <c r="AF671" s="25" t="s">
        <v>437</v>
      </c>
      <c r="AG671" s="25">
        <v>4</v>
      </c>
      <c r="AJ671" s="25">
        <v>1</v>
      </c>
      <c r="AK671" s="26"/>
      <c r="AL671" s="25" t="s">
        <v>751</v>
      </c>
      <c r="AM671" s="26"/>
      <c r="AN671" s="25">
        <v>4</v>
      </c>
      <c r="AO671" s="25" t="s">
        <v>28</v>
      </c>
      <c r="AP671" s="20">
        <f t="shared" si="287"/>
        <v>666</v>
      </c>
    </row>
    <row r="672" s="20" customFormat="1" customHeight="1" spans="1:42">
      <c r="A672" s="25">
        <v>5510314</v>
      </c>
      <c r="B672" s="25">
        <v>5301257</v>
      </c>
      <c r="C672" s="26">
        <v>4</v>
      </c>
      <c r="D672" s="26"/>
      <c r="E672" s="25" t="s">
        <v>375</v>
      </c>
      <c r="F672" s="26" t="str">
        <f t="shared" si="285"/>
        <v/>
      </c>
      <c r="G672" s="26" t="str">
        <f>IFERROR(IF(--MID($E672,2*COUNTIF($F672:F672,"&gt;"&amp;0)+2,1)=G$1,G$1,""),"")</f>
        <v/>
      </c>
      <c r="H672" s="26" t="str">
        <f>IFERROR(IF(--MID($E672,2*COUNTIF($F672:G672,"&gt;"&amp;0)+2,1)=H$1,H$1,""),"")</f>
        <v/>
      </c>
      <c r="I672" s="26">
        <f>IFERROR(IF(--MID($E672,2*COUNTIF($F672:H672,"&gt;"&amp;0)+2,1)=I$1,I$1,""),"")</f>
        <v>4</v>
      </c>
      <c r="J672" s="26" t="str">
        <f>IFERROR(IF(--MID($E672,2*COUNTIF($F672:I672,"&gt;"&amp;0)+2,1)=J$1,J$1,""),"")</f>
        <v/>
      </c>
      <c r="K672" s="26" t="str">
        <f>IFERROR(IF(--MID($E672,2*COUNTIF($F672:J672,"&gt;"&amp;0)+2,1)=K$1,K$1,""),"")</f>
        <v/>
      </c>
      <c r="L672" s="39" t="str" cm="1">
        <f t="array" ref="L672">IFERROR(IF($A672="","",IF(F672="","",_xlfn.XLOOKUP($C672&amp;"_"&amp;$AG672,符文权重!$A:$A&amp;"_"&amp;符文权重!$C:$C,符文权重!$D:$D)*$X672/SUMIFS($X:$X,F:F,F672,$C:$C,$C672,$AG:$AG,$AG672)/SUMIF(符文权重!$A:$A,$C672,符文权重!$D:$D))),"")</f>
        <v/>
      </c>
      <c r="M672" s="39" t="str" cm="1">
        <f t="array" ref="M672">IFERROR(IF($A672="","",IF(G672="","",_xlfn.XLOOKUP($C672&amp;"_"&amp;$AG672,符文权重!$A:$A&amp;"_"&amp;符文权重!$C:$C,符文权重!$D:$D)*$X672/SUMIFS($X:$X,G:G,G672,$C:$C,$C672,$AG:$AG,$AG672)/SUMIF(符文权重!$A:$A,$C672,符文权重!$D:$D))),"")</f>
        <v/>
      </c>
      <c r="N672" s="39" t="str" cm="1">
        <f t="array" ref="N672">IFERROR(IF($A672="","",IF(H672="","",_xlfn.XLOOKUP($C672&amp;"_"&amp;$AG672,符文权重!$A:$A&amp;"_"&amp;符文权重!$C:$C,符文权重!$D:$D)*$X672/SUMIFS($X:$X,H:H,H672,$C:$C,$C672,$AG:$AG,$AG672)/SUMIF(符文权重!$A:$A,$C672,符文权重!$D:$D))),"")</f>
        <v/>
      </c>
      <c r="O672" s="39" cm="1">
        <f t="array" ref="O672">IFERROR(IF($A672="","",IF(I672="","",_xlfn.XLOOKUP($C672&amp;"_"&amp;$AG672,符文权重!$A:$A&amp;"_"&amp;符文权重!$C:$C,符文权重!$D:$D)*$X672/SUMIFS($X:$X,I:I,I672,$C:$C,$C672,$AG:$AG,$AG672)/SUMIF(符文权重!$A:$A,$C672,符文权重!$D:$D))),"")</f>
        <v>0.0025</v>
      </c>
      <c r="P672" s="39" t="str" cm="1">
        <f t="array" ref="P672">IFERROR(IF($A672="","",IF(J672="","",_xlfn.XLOOKUP($C672&amp;"_"&amp;$AG672,符文权重!$A:$A&amp;"_"&amp;符文权重!$C:$C,符文权重!$D:$D)*$X672/SUMIFS($X:$X,J:J,J672,$C:$C,$C672,$AG:$AG,$AG672)/SUMIF(符文权重!$A:$A,$C672,符文权重!$D:$D))),"")</f>
        <v/>
      </c>
      <c r="Q672" s="39" t="str" cm="1">
        <f t="array" ref="Q672">IFERROR(IF($A672="","",IF(K672="","",_xlfn.XLOOKUP($C672&amp;"_"&amp;$AG672,符文权重!$A:$A&amp;"_"&amp;符文权重!$C:$C,符文权重!$D:$D)*$X672/SUMIFS($X:$X,K:K,K672,$C:$C,$C672,$AG:$AG,$AG672)/SUMIF(符文权重!$A:$A,$C672,符文权重!$D:$D))),"")</f>
        <v/>
      </c>
      <c r="R672" s="26" t="s">
        <v>330</v>
      </c>
      <c r="S672" s="26" t="s">
        <v>752</v>
      </c>
      <c r="T672" s="26" t="s">
        <v>388</v>
      </c>
      <c r="V672" s="31" t="s">
        <v>753</v>
      </c>
      <c r="W672" s="25" t="s">
        <v>754</v>
      </c>
      <c r="X672" s="25">
        <v>100</v>
      </c>
      <c r="Y672" s="25"/>
      <c r="Z672" s="26" t="s">
        <v>174</v>
      </c>
      <c r="AA672" s="32" t="str">
        <f t="shared" si="288"/>
        <v>东方不败攻击充能效率提高10%，有15%几率立即完成</v>
      </c>
      <c r="AB672" s="32"/>
      <c r="AC672" s="32" t="s">
        <v>166</v>
      </c>
      <c r="AD672" s="32">
        <f t="shared" si="286"/>
        <v>1667</v>
      </c>
      <c r="AE672" s="25">
        <v>5301257</v>
      </c>
      <c r="AF672" s="26" t="s">
        <v>390</v>
      </c>
      <c r="AG672" s="26">
        <v>8</v>
      </c>
      <c r="AH672" s="26"/>
      <c r="AI672" s="26"/>
      <c r="AJ672" s="26">
        <v>1</v>
      </c>
      <c r="AK672" s="26"/>
      <c r="AL672" s="32" t="s">
        <v>755</v>
      </c>
      <c r="AM672" s="26"/>
      <c r="AN672" s="25">
        <v>4</v>
      </c>
      <c r="AO672" s="25" t="s">
        <v>31</v>
      </c>
      <c r="AP672" s="20">
        <f t="shared" si="287"/>
        <v>667</v>
      </c>
    </row>
    <row r="673" s="20" customFormat="1" customHeight="1" spans="1:42">
      <c r="A673" s="25">
        <v>5510315</v>
      </c>
      <c r="B673" s="25">
        <v>5301257</v>
      </c>
      <c r="C673" s="25">
        <v>5</v>
      </c>
      <c r="D673" s="25"/>
      <c r="E673" s="25" t="s">
        <v>375</v>
      </c>
      <c r="F673" s="26" t="str">
        <f t="shared" si="285"/>
        <v/>
      </c>
      <c r="G673" s="26" t="str">
        <f>IFERROR(IF(--MID($E673,2*COUNTIF($F673:F673,"&gt;"&amp;0)+2,1)=G$1,G$1,""),"")</f>
        <v/>
      </c>
      <c r="H673" s="26" t="str">
        <f>IFERROR(IF(--MID($E673,2*COUNTIF($F673:G673,"&gt;"&amp;0)+2,1)=H$1,H$1,""),"")</f>
        <v/>
      </c>
      <c r="I673" s="26">
        <f>IFERROR(IF(--MID($E673,2*COUNTIF($F673:H673,"&gt;"&amp;0)+2,1)=I$1,I$1,""),"")</f>
        <v>4</v>
      </c>
      <c r="J673" s="26" t="str">
        <f>IFERROR(IF(--MID($E673,2*COUNTIF($F673:I673,"&gt;"&amp;0)+2,1)=J$1,J$1,""),"")</f>
        <v/>
      </c>
      <c r="K673" s="26" t="str">
        <f>IFERROR(IF(--MID($E673,2*COUNTIF($F673:J673,"&gt;"&amp;0)+2,1)=K$1,K$1,""),"")</f>
        <v/>
      </c>
      <c r="L673" s="39" t="str" cm="1">
        <f t="array" ref="L673">IFERROR(IF($A673="","",IF(F673="","",_xlfn.XLOOKUP($C673&amp;"_"&amp;$AG673,符文权重!$A:$A&amp;"_"&amp;符文权重!$C:$C,符文权重!$D:$D)*$X673/SUMIFS($X:$X,F:F,F673,$C:$C,$C673,$AG:$AG,$AG673)/SUMIF(符文权重!$A:$A,$C673,符文权重!$D:$D))),"")</f>
        <v/>
      </c>
      <c r="M673" s="39" t="str" cm="1">
        <f t="array" ref="M673">IFERROR(IF($A673="","",IF(G673="","",_xlfn.XLOOKUP($C673&amp;"_"&amp;$AG673,符文权重!$A:$A&amp;"_"&amp;符文权重!$C:$C,符文权重!$D:$D)*$X673/SUMIFS($X:$X,G:G,G673,$C:$C,$C673,$AG:$AG,$AG673)/SUMIF(符文权重!$A:$A,$C673,符文权重!$D:$D))),"")</f>
        <v/>
      </c>
      <c r="N673" s="39" t="str" cm="1">
        <f t="array" ref="N673">IFERROR(IF($A673="","",IF(H673="","",_xlfn.XLOOKUP($C673&amp;"_"&amp;$AG673,符文权重!$A:$A&amp;"_"&amp;符文权重!$C:$C,符文权重!$D:$D)*$X673/SUMIFS($X:$X,H:H,H673,$C:$C,$C673,$AG:$AG,$AG673)/SUMIF(符文权重!$A:$A,$C673,符文权重!$D:$D))),"")</f>
        <v/>
      </c>
      <c r="O673" s="39" cm="1">
        <f t="array" ref="O673">IFERROR(IF($A673="","",IF(I673="","",_xlfn.XLOOKUP($C673&amp;"_"&amp;$AG673,符文权重!$A:$A&amp;"_"&amp;符文权重!$C:$C,符文权重!$D:$D)*$X673/SUMIFS($X:$X,I:I,I673,$C:$C,$C673,$AG:$AG,$AG673)/SUMIF(符文权重!$A:$A,$C673,符文权重!$D:$D))),"")</f>
        <v>0.009375</v>
      </c>
      <c r="P673" s="39" t="str" cm="1">
        <f t="array" ref="P673">IFERROR(IF($A673="","",IF(J673="","",_xlfn.XLOOKUP($C673&amp;"_"&amp;$AG673,符文权重!$A:$A&amp;"_"&amp;符文权重!$C:$C,符文权重!$D:$D)*$X673/SUMIFS($X:$X,J:J,J673,$C:$C,$C673,$AG:$AG,$AG673)/SUMIF(符文权重!$A:$A,$C673,符文权重!$D:$D))),"")</f>
        <v/>
      </c>
      <c r="Q673" s="39" t="str" cm="1">
        <f t="array" ref="Q673">IFERROR(IF($A673="","",IF(K673="","",_xlfn.XLOOKUP($C673&amp;"_"&amp;$AG673,符文权重!$A:$A&amp;"_"&amp;符文权重!$C:$C,符文权重!$D:$D)*$X673/SUMIFS($X:$X,K:K,K673,$C:$C,$C673,$AG:$AG,$AG673)/SUMIF(符文权重!$A:$A,$C673,符文权重!$D:$D))),"")</f>
        <v/>
      </c>
      <c r="R673" s="25" t="s">
        <v>330</v>
      </c>
      <c r="S673" s="25" t="s">
        <v>752</v>
      </c>
      <c r="T673" s="25" t="s">
        <v>391</v>
      </c>
      <c r="U673" s="25"/>
      <c r="V673" s="25" t="s">
        <v>756</v>
      </c>
      <c r="W673" s="25" t="s">
        <v>757</v>
      </c>
      <c r="X673" s="25">
        <v>100</v>
      </c>
      <c r="Z673" s="25" t="s">
        <v>176</v>
      </c>
      <c r="AA673" s="32" t="str">
        <f t="shared" si="288"/>
        <v>东方不败攻击充能效率提高15%，有15%几率立即完成</v>
      </c>
      <c r="AB673" s="32"/>
      <c r="AC673" s="32" t="s">
        <v>166</v>
      </c>
      <c r="AD673" s="32">
        <f t="shared" si="286"/>
        <v>1668</v>
      </c>
      <c r="AE673" s="25">
        <v>5301257</v>
      </c>
      <c r="AF673" s="25" t="s">
        <v>393</v>
      </c>
      <c r="AG673" s="25">
        <v>4</v>
      </c>
      <c r="AJ673" s="25">
        <v>1</v>
      </c>
      <c r="AK673" s="26"/>
      <c r="AL673" s="25" t="s">
        <v>758</v>
      </c>
      <c r="AM673" s="26"/>
      <c r="AN673" s="25">
        <v>4</v>
      </c>
      <c r="AO673" s="25" t="s">
        <v>31</v>
      </c>
      <c r="AP673" s="20">
        <f t="shared" si="287"/>
        <v>668</v>
      </c>
    </row>
    <row r="674" s="20" customFormat="1" customHeight="1" spans="1:42">
      <c r="A674" s="25">
        <v>5510316</v>
      </c>
      <c r="B674" s="25">
        <v>5301257</v>
      </c>
      <c r="C674" s="25">
        <v>6</v>
      </c>
      <c r="D674" s="25"/>
      <c r="E674" s="25" t="s">
        <v>375</v>
      </c>
      <c r="F674" s="26" t="str">
        <f t="shared" si="285"/>
        <v/>
      </c>
      <c r="G674" s="26" t="str">
        <f>IFERROR(IF(--MID($E674,2*COUNTIF($F674:F674,"&gt;"&amp;0)+2,1)=G$1,G$1,""),"")</f>
        <v/>
      </c>
      <c r="H674" s="26" t="str">
        <f>IFERROR(IF(--MID($E674,2*COUNTIF($F674:G674,"&gt;"&amp;0)+2,1)=H$1,H$1,""),"")</f>
        <v/>
      </c>
      <c r="I674" s="26">
        <f>IFERROR(IF(--MID($E674,2*COUNTIF($F674:H674,"&gt;"&amp;0)+2,1)=I$1,I$1,""),"")</f>
        <v>4</v>
      </c>
      <c r="J674" s="26" t="str">
        <f>IFERROR(IF(--MID($E674,2*COUNTIF($F674:I674,"&gt;"&amp;0)+2,1)=J$1,J$1,""),"")</f>
        <v/>
      </c>
      <c r="K674" s="26" t="str">
        <f>IFERROR(IF(--MID($E674,2*COUNTIF($F674:J674,"&gt;"&amp;0)+2,1)=K$1,K$1,""),"")</f>
        <v/>
      </c>
      <c r="L674" s="39" t="str" cm="1">
        <f t="array" ref="L674">IFERROR(IF($A674="","",IF(F674="","",_xlfn.XLOOKUP($C674&amp;"_"&amp;$AG674,符文权重!$A:$A&amp;"_"&amp;符文权重!$C:$C,符文权重!$D:$D)*$X674/SUMIFS($X:$X,F:F,F674,$C:$C,$C674,$AG:$AG,$AG674)/SUMIF(符文权重!$A:$A,$C674,符文权重!$D:$D))),"")</f>
        <v/>
      </c>
      <c r="M674" s="39" t="str" cm="1">
        <f t="array" ref="M674">IFERROR(IF($A674="","",IF(G674="","",_xlfn.XLOOKUP($C674&amp;"_"&amp;$AG674,符文权重!$A:$A&amp;"_"&amp;符文权重!$C:$C,符文权重!$D:$D)*$X674/SUMIFS($X:$X,G:G,G674,$C:$C,$C674,$AG:$AG,$AG674)/SUMIF(符文权重!$A:$A,$C674,符文权重!$D:$D))),"")</f>
        <v/>
      </c>
      <c r="N674" s="39" t="str" cm="1">
        <f t="array" ref="N674">IFERROR(IF($A674="","",IF(H674="","",_xlfn.XLOOKUP($C674&amp;"_"&amp;$AG674,符文权重!$A:$A&amp;"_"&amp;符文权重!$C:$C,符文权重!$D:$D)*$X674/SUMIFS($X:$X,H:H,H674,$C:$C,$C674,$AG:$AG,$AG674)/SUMIF(符文权重!$A:$A,$C674,符文权重!$D:$D))),"")</f>
        <v/>
      </c>
      <c r="O674" s="39" cm="1">
        <f t="array" ref="O674">IFERROR(IF($A674="","",IF(I674="","",_xlfn.XLOOKUP($C674&amp;"_"&amp;$AG674,符文权重!$A:$A&amp;"_"&amp;符文权重!$C:$C,符文权重!$D:$D)*$X674/SUMIFS($X:$X,I:I,I674,$C:$C,$C674,$AG:$AG,$AG674)/SUMIF(符文权重!$A:$A,$C674,符文权重!$D:$D))),"")</f>
        <v>0.009375</v>
      </c>
      <c r="P674" s="39" t="str" cm="1">
        <f t="array" ref="P674">IFERROR(IF($A674="","",IF(J674="","",_xlfn.XLOOKUP($C674&amp;"_"&amp;$AG674,符文权重!$A:$A&amp;"_"&amp;符文权重!$C:$C,符文权重!$D:$D)*$X674/SUMIFS($X:$X,J:J,J674,$C:$C,$C674,$AG:$AG,$AG674)/SUMIF(符文权重!$A:$A,$C674,符文权重!$D:$D))),"")</f>
        <v/>
      </c>
      <c r="Q674" s="39" t="str" cm="1">
        <f t="array" ref="Q674">IFERROR(IF($A674="","",IF(K674="","",_xlfn.XLOOKUP($C674&amp;"_"&amp;$AG674,符文权重!$A:$A&amp;"_"&amp;符文权重!$C:$C,符文权重!$D:$D)*$X674/SUMIFS($X:$X,K:K,K674,$C:$C,$C674,$AG:$AG,$AG674)/SUMIF(符文权重!$A:$A,$C674,符文权重!$D:$D))),"")</f>
        <v/>
      </c>
      <c r="R674" s="25" t="s">
        <v>330</v>
      </c>
      <c r="S674" s="25" t="s">
        <v>752</v>
      </c>
      <c r="T674" s="25" t="s">
        <v>394</v>
      </c>
      <c r="U674" s="25"/>
      <c r="V674" s="25" t="s">
        <v>759</v>
      </c>
      <c r="W674" s="25" t="s">
        <v>760</v>
      </c>
      <c r="X674" s="25">
        <v>100</v>
      </c>
      <c r="Z674" s="25" t="s">
        <v>178</v>
      </c>
      <c r="AA674" s="32" t="str">
        <f t="shared" si="288"/>
        <v>东方不败攻击充能效率提高20%，有15%几率立即完成</v>
      </c>
      <c r="AB674" s="32"/>
      <c r="AC674" s="32" t="s">
        <v>166</v>
      </c>
      <c r="AD674" s="32">
        <f t="shared" si="286"/>
        <v>1669</v>
      </c>
      <c r="AE674" s="25">
        <v>5301257</v>
      </c>
      <c r="AF674" s="25" t="s">
        <v>396</v>
      </c>
      <c r="AG674" s="25">
        <v>4</v>
      </c>
      <c r="AJ674" s="25">
        <v>1</v>
      </c>
      <c r="AK674" s="26"/>
      <c r="AL674" s="25" t="s">
        <v>761</v>
      </c>
      <c r="AM674" s="26"/>
      <c r="AN674" s="25">
        <v>4</v>
      </c>
      <c r="AO674" s="25" t="s">
        <v>31</v>
      </c>
      <c r="AP674" s="20">
        <f t="shared" si="287"/>
        <v>669</v>
      </c>
    </row>
    <row r="675" s="20" customFormat="1" customHeight="1" spans="1:42">
      <c r="A675" s="25">
        <v>5510317</v>
      </c>
      <c r="B675" s="25">
        <v>5301257</v>
      </c>
      <c r="C675" s="25">
        <v>7</v>
      </c>
      <c r="D675" s="25"/>
      <c r="E675" s="25" t="s">
        <v>375</v>
      </c>
      <c r="F675" s="26" t="str">
        <f t="shared" si="285"/>
        <v/>
      </c>
      <c r="G675" s="26" t="str">
        <f>IFERROR(IF(--MID($E675,2*COUNTIF($F675:F675,"&gt;"&amp;0)+2,1)=G$1,G$1,""),"")</f>
        <v/>
      </c>
      <c r="H675" s="26" t="str">
        <f>IFERROR(IF(--MID($E675,2*COUNTIF($F675:G675,"&gt;"&amp;0)+2,1)=H$1,H$1,""),"")</f>
        <v/>
      </c>
      <c r="I675" s="26">
        <f>IFERROR(IF(--MID($E675,2*COUNTIF($F675:H675,"&gt;"&amp;0)+2,1)=I$1,I$1,""),"")</f>
        <v>4</v>
      </c>
      <c r="J675" s="26" t="str">
        <f>IFERROR(IF(--MID($E675,2*COUNTIF($F675:I675,"&gt;"&amp;0)+2,1)=J$1,J$1,""),"")</f>
        <v/>
      </c>
      <c r="K675" s="26" t="str">
        <f>IFERROR(IF(--MID($E675,2*COUNTIF($F675:J675,"&gt;"&amp;0)+2,1)=K$1,K$1,""),"")</f>
        <v/>
      </c>
      <c r="L675" s="39" t="str" cm="1">
        <f t="array" ref="L675">IFERROR(IF($A675="","",IF(F675="","",_xlfn.XLOOKUP($C675&amp;"_"&amp;$AG675,符文权重!$A:$A&amp;"_"&amp;符文权重!$C:$C,符文权重!$D:$D)*$X675/SUMIFS($X:$X,F:F,F675,$C:$C,$C675,$AG:$AG,$AG675)/SUMIF(符文权重!$A:$A,$C675,符文权重!$D:$D))),"")</f>
        <v/>
      </c>
      <c r="M675" s="39" t="str" cm="1">
        <f t="array" ref="M675">IFERROR(IF($A675="","",IF(G675="","",_xlfn.XLOOKUP($C675&amp;"_"&amp;$AG675,符文权重!$A:$A&amp;"_"&amp;符文权重!$C:$C,符文权重!$D:$D)*$X675/SUMIFS($X:$X,G:G,G675,$C:$C,$C675,$AG:$AG,$AG675)/SUMIF(符文权重!$A:$A,$C675,符文权重!$D:$D))),"")</f>
        <v/>
      </c>
      <c r="N675" s="39" t="str" cm="1">
        <f t="array" ref="N675">IFERROR(IF($A675="","",IF(H675="","",_xlfn.XLOOKUP($C675&amp;"_"&amp;$AG675,符文权重!$A:$A&amp;"_"&amp;符文权重!$C:$C,符文权重!$D:$D)*$X675/SUMIFS($X:$X,H:H,H675,$C:$C,$C675,$AG:$AG,$AG675)/SUMIF(符文权重!$A:$A,$C675,符文权重!$D:$D))),"")</f>
        <v/>
      </c>
      <c r="O675" s="39" cm="1">
        <f t="array" ref="O675">IFERROR(IF($A675="","",IF(I675="","",_xlfn.XLOOKUP($C675&amp;"_"&amp;$AG675,符文权重!$A:$A&amp;"_"&amp;符文权重!$C:$C,符文权重!$D:$D)*$X675/SUMIFS($X:$X,I:I,I675,$C:$C,$C675,$AG:$AG,$AG675)/SUMIF(符文权重!$A:$A,$C675,符文权重!$D:$D))),"")</f>
        <v>0.009375</v>
      </c>
      <c r="P675" s="39" t="str" cm="1">
        <f t="array" ref="P675">IFERROR(IF($A675="","",IF(J675="","",_xlfn.XLOOKUP($C675&amp;"_"&amp;$AG675,符文权重!$A:$A&amp;"_"&amp;符文权重!$C:$C,符文权重!$D:$D)*$X675/SUMIFS($X:$X,J:J,J675,$C:$C,$C675,$AG:$AG,$AG675)/SUMIF(符文权重!$A:$A,$C675,符文权重!$D:$D))),"")</f>
        <v/>
      </c>
      <c r="Q675" s="39" t="str" cm="1">
        <f t="array" ref="Q675">IFERROR(IF($A675="","",IF(K675="","",_xlfn.XLOOKUP($C675&amp;"_"&amp;$AG675,符文权重!$A:$A&amp;"_"&amp;符文权重!$C:$C,符文权重!$D:$D)*$X675/SUMIFS($X:$X,K:K,K675,$C:$C,$C675,$AG:$AG,$AG675)/SUMIF(符文权重!$A:$A,$C675,符文权重!$D:$D))),"")</f>
        <v/>
      </c>
      <c r="R675" s="25" t="s">
        <v>330</v>
      </c>
      <c r="S675" s="25" t="s">
        <v>752</v>
      </c>
      <c r="T675" s="25" t="s">
        <v>397</v>
      </c>
      <c r="U675" s="25"/>
      <c r="V675" s="25" t="s">
        <v>762</v>
      </c>
      <c r="W675" s="25" t="s">
        <v>763</v>
      </c>
      <c r="X675" s="25">
        <v>100</v>
      </c>
      <c r="Z675" s="25" t="s">
        <v>180</v>
      </c>
      <c r="AA675" s="32" t="str">
        <f t="shared" si="288"/>
        <v>东方不败攻击充能效率提高30%，有15%几率立即完成</v>
      </c>
      <c r="AB675" s="32"/>
      <c r="AC675" s="32" t="s">
        <v>166</v>
      </c>
      <c r="AD675" s="32">
        <f t="shared" si="286"/>
        <v>1670</v>
      </c>
      <c r="AE675" s="25">
        <v>5301257</v>
      </c>
      <c r="AF675" s="25" t="s">
        <v>449</v>
      </c>
      <c r="AG675" s="25">
        <v>4</v>
      </c>
      <c r="AJ675" s="25">
        <v>1</v>
      </c>
      <c r="AK675" s="26"/>
      <c r="AL675" s="25" t="s">
        <v>764</v>
      </c>
      <c r="AM675" s="26"/>
      <c r="AN675" s="25">
        <v>4</v>
      </c>
      <c r="AO675" s="25" t="s">
        <v>31</v>
      </c>
      <c r="AP675" s="20">
        <f t="shared" si="287"/>
        <v>670</v>
      </c>
    </row>
    <row r="676" s="20" customFormat="1" customHeight="1" spans="1:42">
      <c r="A676" s="25">
        <v>5510324</v>
      </c>
      <c r="B676" s="25">
        <v>5301258</v>
      </c>
      <c r="C676" s="26">
        <v>4</v>
      </c>
      <c r="D676" s="26"/>
      <c r="E676" s="25" t="s">
        <v>218</v>
      </c>
      <c r="F676" s="26" t="str">
        <f t="shared" si="285"/>
        <v/>
      </c>
      <c r="G676" s="26" t="str">
        <f>IFERROR(IF(--MID($E676,2*COUNTIF($F676:F676,"&gt;"&amp;0)+2,1)=G$1,G$1,""),"")</f>
        <v/>
      </c>
      <c r="H676" s="26" t="str">
        <f>IFERROR(IF(--MID($E676,2*COUNTIF($F676:G676,"&gt;"&amp;0)+2,1)=H$1,H$1,""),"")</f>
        <v/>
      </c>
      <c r="I676" s="26" t="str">
        <f>IFERROR(IF(--MID($E676,2*COUNTIF($F676:H676,"&gt;"&amp;0)+2,1)=I$1,I$1,""),"")</f>
        <v/>
      </c>
      <c r="J676" s="26">
        <f>IFERROR(IF(--MID($E676,2*COUNTIF($F676:I676,"&gt;"&amp;0)+2,1)=J$1,J$1,""),"")</f>
        <v>5</v>
      </c>
      <c r="K676" s="26" t="str">
        <f>IFERROR(IF(--MID($E676,2*COUNTIF($F676:J676,"&gt;"&amp;0)+2,1)=K$1,K$1,""),"")</f>
        <v/>
      </c>
      <c r="L676" s="39" t="str" cm="1">
        <f t="array" ref="L676">IFERROR(IF($A676="","",IF(F676="","",_xlfn.XLOOKUP($C676&amp;"_"&amp;$AG676,符文权重!$A:$A&amp;"_"&amp;符文权重!$C:$C,符文权重!$D:$D)*$X676/SUMIFS($X:$X,F:F,F676,$C:$C,$C676,$AG:$AG,$AG676)/SUMIF(符文权重!$A:$A,$C676,符文权重!$D:$D))),"")</f>
        <v/>
      </c>
      <c r="M676" s="39" t="str" cm="1">
        <f t="array" ref="M676">IFERROR(IF($A676="","",IF(G676="","",_xlfn.XLOOKUP($C676&amp;"_"&amp;$AG676,符文权重!$A:$A&amp;"_"&amp;符文权重!$C:$C,符文权重!$D:$D)*$X676/SUMIFS($X:$X,G:G,G676,$C:$C,$C676,$AG:$AG,$AG676)/SUMIF(符文权重!$A:$A,$C676,符文权重!$D:$D))),"")</f>
        <v/>
      </c>
      <c r="N676" s="39" t="str" cm="1">
        <f t="array" ref="N676">IFERROR(IF($A676="","",IF(H676="","",_xlfn.XLOOKUP($C676&amp;"_"&amp;$AG676,符文权重!$A:$A&amp;"_"&amp;符文权重!$C:$C,符文权重!$D:$D)*$X676/SUMIFS($X:$X,H:H,H676,$C:$C,$C676,$AG:$AG,$AG676)/SUMIF(符文权重!$A:$A,$C676,符文权重!$D:$D))),"")</f>
        <v/>
      </c>
      <c r="O676" s="39" t="str" cm="1">
        <f t="array" ref="O676">IFERROR(IF($A676="","",IF(I676="","",_xlfn.XLOOKUP($C676&amp;"_"&amp;$AG676,符文权重!$A:$A&amp;"_"&amp;符文权重!$C:$C,符文权重!$D:$D)*$X676/SUMIFS($X:$X,I:I,I676,$C:$C,$C676,$AG:$AG,$AG676)/SUMIF(符文权重!$A:$A,$C676,符文权重!$D:$D))),"")</f>
        <v/>
      </c>
      <c r="P676" s="39" cm="1">
        <f t="array" ref="P676">IFERROR(IF($A676="","",IF(J676="","",_xlfn.XLOOKUP($C676&amp;"_"&amp;$AG676,符文权重!$A:$A&amp;"_"&amp;符文权重!$C:$C,符文权重!$D:$D)*$X676/SUMIFS($X:$X,J:J,J676,$C:$C,$C676,$AG:$AG,$AG676)/SUMIF(符文权重!$A:$A,$C676,符文权重!$D:$D))),"")</f>
        <v>0.0025</v>
      </c>
      <c r="Q676" s="39" t="str" cm="1">
        <f t="array" ref="Q676">IFERROR(IF($A676="","",IF(K676="","",_xlfn.XLOOKUP($C676&amp;"_"&amp;$AG676,符文权重!$A:$A&amp;"_"&amp;符文权重!$C:$C,符文权重!$D:$D)*$X676/SUMIFS($X:$X,K:K,K676,$C:$C,$C676,$AG:$AG,$AG676)/SUMIF(符文权重!$A:$A,$C676,符文权重!$D:$D))),"")</f>
        <v/>
      </c>
      <c r="R676" s="26" t="s">
        <v>330</v>
      </c>
      <c r="S676" s="26" t="s">
        <v>752</v>
      </c>
      <c r="T676" s="26" t="s">
        <v>388</v>
      </c>
      <c r="U676" s="20" t="s">
        <v>765</v>
      </c>
      <c r="V676" s="26" t="s">
        <v>766</v>
      </c>
      <c r="W676" s="25" t="s">
        <v>754</v>
      </c>
      <c r="X676" s="25">
        <v>100</v>
      </c>
      <c r="Y676" s="25"/>
      <c r="Z676" s="26" t="s">
        <v>174</v>
      </c>
      <c r="AA676" s="32" t="str">
        <f t="shared" si="288"/>
        <v>东方不败有50%概率飞针+1，伤害-20%</v>
      </c>
      <c r="AB676" s="32"/>
      <c r="AC676" s="32" t="s">
        <v>166</v>
      </c>
      <c r="AD676" s="32">
        <f t="shared" si="286"/>
        <v>1671</v>
      </c>
      <c r="AE676" s="25">
        <v>5301258</v>
      </c>
      <c r="AF676" s="26" t="s">
        <v>541</v>
      </c>
      <c r="AG676" s="26">
        <v>8</v>
      </c>
      <c r="AH676" s="26"/>
      <c r="AI676" s="26"/>
      <c r="AJ676" s="26">
        <v>1</v>
      </c>
      <c r="AK676" s="26"/>
      <c r="AL676" s="32" t="s">
        <v>767</v>
      </c>
      <c r="AM676" s="26"/>
      <c r="AN676" s="25">
        <v>4</v>
      </c>
      <c r="AO676" s="25" t="s">
        <v>31</v>
      </c>
      <c r="AP676" s="20">
        <f t="shared" si="287"/>
        <v>671</v>
      </c>
    </row>
    <row r="677" s="20" customFormat="1" customHeight="1" spans="1:42">
      <c r="A677" s="25">
        <v>5510325</v>
      </c>
      <c r="B677" s="25">
        <v>5301258</v>
      </c>
      <c r="C677" s="25">
        <v>5</v>
      </c>
      <c r="D677" s="25"/>
      <c r="E677" s="25" t="s">
        <v>218</v>
      </c>
      <c r="F677" s="26" t="str">
        <f t="shared" si="285"/>
        <v/>
      </c>
      <c r="G677" s="26" t="str">
        <f>IFERROR(IF(--MID($E677,2*COUNTIF($F677:F677,"&gt;"&amp;0)+2,1)=G$1,G$1,""),"")</f>
        <v/>
      </c>
      <c r="H677" s="26" t="str">
        <f>IFERROR(IF(--MID($E677,2*COUNTIF($F677:G677,"&gt;"&amp;0)+2,1)=H$1,H$1,""),"")</f>
        <v/>
      </c>
      <c r="I677" s="26" t="str">
        <f>IFERROR(IF(--MID($E677,2*COUNTIF($F677:H677,"&gt;"&amp;0)+2,1)=I$1,I$1,""),"")</f>
        <v/>
      </c>
      <c r="J677" s="26">
        <f>IFERROR(IF(--MID($E677,2*COUNTIF($F677:I677,"&gt;"&amp;0)+2,1)=J$1,J$1,""),"")</f>
        <v>5</v>
      </c>
      <c r="K677" s="26" t="str">
        <f>IFERROR(IF(--MID($E677,2*COUNTIF($F677:J677,"&gt;"&amp;0)+2,1)=K$1,K$1,""),"")</f>
        <v/>
      </c>
      <c r="L677" s="39" t="str" cm="1">
        <f t="array" ref="L677">IFERROR(IF($A677="","",IF(F677="","",_xlfn.XLOOKUP($C677&amp;"_"&amp;$AG677,符文权重!$A:$A&amp;"_"&amp;符文权重!$C:$C,符文权重!$D:$D)*$X677/SUMIFS($X:$X,F:F,F677,$C:$C,$C677,$AG:$AG,$AG677)/SUMIF(符文权重!$A:$A,$C677,符文权重!$D:$D))),"")</f>
        <v/>
      </c>
      <c r="M677" s="39" t="str" cm="1">
        <f t="array" ref="M677">IFERROR(IF($A677="","",IF(G677="","",_xlfn.XLOOKUP($C677&amp;"_"&amp;$AG677,符文权重!$A:$A&amp;"_"&amp;符文权重!$C:$C,符文权重!$D:$D)*$X677/SUMIFS($X:$X,G:G,G677,$C:$C,$C677,$AG:$AG,$AG677)/SUMIF(符文权重!$A:$A,$C677,符文权重!$D:$D))),"")</f>
        <v/>
      </c>
      <c r="N677" s="39" t="str" cm="1">
        <f t="array" ref="N677">IFERROR(IF($A677="","",IF(H677="","",_xlfn.XLOOKUP($C677&amp;"_"&amp;$AG677,符文权重!$A:$A&amp;"_"&amp;符文权重!$C:$C,符文权重!$D:$D)*$X677/SUMIFS($X:$X,H:H,H677,$C:$C,$C677,$AG:$AG,$AG677)/SUMIF(符文权重!$A:$A,$C677,符文权重!$D:$D))),"")</f>
        <v/>
      </c>
      <c r="O677" s="39" t="str" cm="1">
        <f t="array" ref="O677">IFERROR(IF($A677="","",IF(I677="","",_xlfn.XLOOKUP($C677&amp;"_"&amp;$AG677,符文权重!$A:$A&amp;"_"&amp;符文权重!$C:$C,符文权重!$D:$D)*$X677/SUMIFS($X:$X,I:I,I677,$C:$C,$C677,$AG:$AG,$AG677)/SUMIF(符文权重!$A:$A,$C677,符文权重!$D:$D))),"")</f>
        <v/>
      </c>
      <c r="P677" s="39" cm="1">
        <f t="array" ref="P677">IFERROR(IF($A677="","",IF(J677="","",_xlfn.XLOOKUP($C677&amp;"_"&amp;$AG677,符文权重!$A:$A&amp;"_"&amp;符文权重!$C:$C,符文权重!$D:$D)*$X677/SUMIFS($X:$X,J:J,J677,$C:$C,$C677,$AG:$AG,$AG677)/SUMIF(符文权重!$A:$A,$C677,符文权重!$D:$D))),"")</f>
        <v>0.0107142857142857</v>
      </c>
      <c r="Q677" s="39" t="str" cm="1">
        <f t="array" ref="Q677">IFERROR(IF($A677="","",IF(K677="","",_xlfn.XLOOKUP($C677&amp;"_"&amp;$AG677,符文权重!$A:$A&amp;"_"&amp;符文权重!$C:$C,符文权重!$D:$D)*$X677/SUMIFS($X:$X,K:K,K677,$C:$C,$C677,$AG:$AG,$AG677)/SUMIF(符文权重!$A:$A,$C677,符文权重!$D:$D))),"")</f>
        <v/>
      </c>
      <c r="R677" s="25" t="s">
        <v>330</v>
      </c>
      <c r="S677" s="25" t="s">
        <v>752</v>
      </c>
      <c r="T677" s="25" t="s">
        <v>391</v>
      </c>
      <c r="U677" s="25" t="s">
        <v>768</v>
      </c>
      <c r="V677" s="25" t="s">
        <v>766</v>
      </c>
      <c r="W677" s="25" t="s">
        <v>757</v>
      </c>
      <c r="X677" s="25">
        <v>100</v>
      </c>
      <c r="Z677" s="25" t="s">
        <v>176</v>
      </c>
      <c r="AA677" s="32" t="str">
        <f t="shared" si="288"/>
        <v>东方不败有60%概率飞针+1，伤害-20%</v>
      </c>
      <c r="AB677" s="32"/>
      <c r="AC677" s="32" t="s">
        <v>166</v>
      </c>
      <c r="AD677" s="32">
        <f t="shared" si="286"/>
        <v>1672</v>
      </c>
      <c r="AE677" s="25">
        <v>5301258</v>
      </c>
      <c r="AF677" s="25" t="s">
        <v>439</v>
      </c>
      <c r="AG677" s="25">
        <v>4</v>
      </c>
      <c r="AJ677" s="25">
        <v>1</v>
      </c>
      <c r="AL677" s="25" t="s">
        <v>769</v>
      </c>
      <c r="AN677" s="25">
        <v>4</v>
      </c>
      <c r="AO677" s="25" t="s">
        <v>31</v>
      </c>
      <c r="AP677" s="20">
        <f t="shared" si="287"/>
        <v>672</v>
      </c>
    </row>
    <row r="678" s="20" customFormat="1" customHeight="1" spans="1:42">
      <c r="A678" s="25">
        <v>5510326</v>
      </c>
      <c r="B678" s="25">
        <v>5301258</v>
      </c>
      <c r="C678" s="25">
        <v>6</v>
      </c>
      <c r="D678" s="25"/>
      <c r="E678" s="25" t="s">
        <v>218</v>
      </c>
      <c r="F678" s="26" t="str">
        <f t="shared" si="285"/>
        <v/>
      </c>
      <c r="G678" s="26" t="str">
        <f>IFERROR(IF(--MID($E678,2*COUNTIF($F678:F678,"&gt;"&amp;0)+2,1)=G$1,G$1,""),"")</f>
        <v/>
      </c>
      <c r="H678" s="26" t="str">
        <f>IFERROR(IF(--MID($E678,2*COUNTIF($F678:G678,"&gt;"&amp;0)+2,1)=H$1,H$1,""),"")</f>
        <v/>
      </c>
      <c r="I678" s="26" t="str">
        <f>IFERROR(IF(--MID($E678,2*COUNTIF($F678:H678,"&gt;"&amp;0)+2,1)=I$1,I$1,""),"")</f>
        <v/>
      </c>
      <c r="J678" s="26">
        <f>IFERROR(IF(--MID($E678,2*COUNTIF($F678:I678,"&gt;"&amp;0)+2,1)=J$1,J$1,""),"")</f>
        <v>5</v>
      </c>
      <c r="K678" s="26" t="str">
        <f>IFERROR(IF(--MID($E678,2*COUNTIF($F678:J678,"&gt;"&amp;0)+2,1)=K$1,K$1,""),"")</f>
        <v/>
      </c>
      <c r="L678" s="39" t="str" cm="1">
        <f t="array" ref="L678">IFERROR(IF($A678="","",IF(F678="","",_xlfn.XLOOKUP($C678&amp;"_"&amp;$AG678,符文权重!$A:$A&amp;"_"&amp;符文权重!$C:$C,符文权重!$D:$D)*$X678/SUMIFS($X:$X,F:F,F678,$C:$C,$C678,$AG:$AG,$AG678)/SUMIF(符文权重!$A:$A,$C678,符文权重!$D:$D))),"")</f>
        <v/>
      </c>
      <c r="M678" s="39" t="str" cm="1">
        <f t="array" ref="M678">IFERROR(IF($A678="","",IF(G678="","",_xlfn.XLOOKUP($C678&amp;"_"&amp;$AG678,符文权重!$A:$A&amp;"_"&amp;符文权重!$C:$C,符文权重!$D:$D)*$X678/SUMIFS($X:$X,G:G,G678,$C:$C,$C678,$AG:$AG,$AG678)/SUMIF(符文权重!$A:$A,$C678,符文权重!$D:$D))),"")</f>
        <v/>
      </c>
      <c r="N678" s="39" t="str" cm="1">
        <f t="array" ref="N678">IFERROR(IF($A678="","",IF(H678="","",_xlfn.XLOOKUP($C678&amp;"_"&amp;$AG678,符文权重!$A:$A&amp;"_"&amp;符文权重!$C:$C,符文权重!$D:$D)*$X678/SUMIFS($X:$X,H:H,H678,$C:$C,$C678,$AG:$AG,$AG678)/SUMIF(符文权重!$A:$A,$C678,符文权重!$D:$D))),"")</f>
        <v/>
      </c>
      <c r="O678" s="39" t="str" cm="1">
        <f t="array" ref="O678">IFERROR(IF($A678="","",IF(I678="","",_xlfn.XLOOKUP($C678&amp;"_"&amp;$AG678,符文权重!$A:$A&amp;"_"&amp;符文权重!$C:$C,符文权重!$D:$D)*$X678/SUMIFS($X:$X,I:I,I678,$C:$C,$C678,$AG:$AG,$AG678)/SUMIF(符文权重!$A:$A,$C678,符文权重!$D:$D))),"")</f>
        <v/>
      </c>
      <c r="P678" s="39" cm="1">
        <f t="array" ref="P678">IFERROR(IF($A678="","",IF(J678="","",_xlfn.XLOOKUP($C678&amp;"_"&amp;$AG678,符文权重!$A:$A&amp;"_"&amp;符文权重!$C:$C,符文权重!$D:$D)*$X678/SUMIFS($X:$X,J:J,J678,$C:$C,$C678,$AG:$AG,$AG678)/SUMIF(符文权重!$A:$A,$C678,符文权重!$D:$D))),"")</f>
        <v>0.0107142857142857</v>
      </c>
      <c r="Q678" s="39" t="str" cm="1">
        <f t="array" ref="Q678">IFERROR(IF($A678="","",IF(K678="","",_xlfn.XLOOKUP($C678&amp;"_"&amp;$AG678,符文权重!$A:$A&amp;"_"&amp;符文权重!$C:$C,符文权重!$D:$D)*$X678/SUMIFS($X:$X,K:K,K678,$C:$C,$C678,$AG:$AG,$AG678)/SUMIF(符文权重!$A:$A,$C678,符文权重!$D:$D))),"")</f>
        <v/>
      </c>
      <c r="R678" s="25" t="s">
        <v>330</v>
      </c>
      <c r="S678" s="25" t="s">
        <v>752</v>
      </c>
      <c r="T678" s="25" t="s">
        <v>394</v>
      </c>
      <c r="U678" s="25" t="s">
        <v>770</v>
      </c>
      <c r="V678" s="25" t="s">
        <v>766</v>
      </c>
      <c r="W678" s="25" t="s">
        <v>760</v>
      </c>
      <c r="X678" s="25">
        <v>100</v>
      </c>
      <c r="Z678" s="25" t="s">
        <v>178</v>
      </c>
      <c r="AA678" s="32" t="str">
        <f t="shared" si="288"/>
        <v>东方不败有70%概率飞针+1，伤害-20%</v>
      </c>
      <c r="AB678" s="32"/>
      <c r="AC678" s="32" t="s">
        <v>166</v>
      </c>
      <c r="AD678" s="32">
        <f t="shared" si="286"/>
        <v>1673</v>
      </c>
      <c r="AE678" s="25">
        <v>5301258</v>
      </c>
      <c r="AF678" s="25" t="s">
        <v>545</v>
      </c>
      <c r="AG678" s="25">
        <v>4</v>
      </c>
      <c r="AJ678" s="25">
        <v>1</v>
      </c>
      <c r="AK678" s="26"/>
      <c r="AL678" s="25" t="s">
        <v>771</v>
      </c>
      <c r="AM678" s="26"/>
      <c r="AN678" s="25">
        <v>4</v>
      </c>
      <c r="AO678" s="25" t="s">
        <v>31</v>
      </c>
      <c r="AP678" s="20">
        <f t="shared" si="287"/>
        <v>673</v>
      </c>
    </row>
    <row r="679" s="20" customFormat="1" customHeight="1" spans="1:42">
      <c r="A679" s="25">
        <v>5510327</v>
      </c>
      <c r="B679" s="25">
        <v>5301258</v>
      </c>
      <c r="C679" s="25">
        <v>7</v>
      </c>
      <c r="D679" s="25"/>
      <c r="E679" s="25" t="s">
        <v>218</v>
      </c>
      <c r="F679" s="26" t="str">
        <f t="shared" si="285"/>
        <v/>
      </c>
      <c r="G679" s="26" t="str">
        <f>IFERROR(IF(--MID($E679,2*COUNTIF($F679:F679,"&gt;"&amp;0)+2,1)=G$1,G$1,""),"")</f>
        <v/>
      </c>
      <c r="H679" s="26" t="str">
        <f>IFERROR(IF(--MID($E679,2*COUNTIF($F679:G679,"&gt;"&amp;0)+2,1)=H$1,H$1,""),"")</f>
        <v/>
      </c>
      <c r="I679" s="26" t="str">
        <f>IFERROR(IF(--MID($E679,2*COUNTIF($F679:H679,"&gt;"&amp;0)+2,1)=I$1,I$1,""),"")</f>
        <v/>
      </c>
      <c r="J679" s="26">
        <f>IFERROR(IF(--MID($E679,2*COUNTIF($F679:I679,"&gt;"&amp;0)+2,1)=J$1,J$1,""),"")</f>
        <v>5</v>
      </c>
      <c r="K679" s="26" t="str">
        <f>IFERROR(IF(--MID($E679,2*COUNTIF($F679:J679,"&gt;"&amp;0)+2,1)=K$1,K$1,""),"")</f>
        <v/>
      </c>
      <c r="L679" s="39" t="str" cm="1">
        <f t="array" ref="L679">IFERROR(IF($A679="","",IF(F679="","",_xlfn.XLOOKUP($C679&amp;"_"&amp;$AG679,符文权重!$A:$A&amp;"_"&amp;符文权重!$C:$C,符文权重!$D:$D)*$X679/SUMIFS($X:$X,F:F,F679,$C:$C,$C679,$AG:$AG,$AG679)/SUMIF(符文权重!$A:$A,$C679,符文权重!$D:$D))),"")</f>
        <v/>
      </c>
      <c r="M679" s="39" t="str" cm="1">
        <f t="array" ref="M679">IFERROR(IF($A679="","",IF(G679="","",_xlfn.XLOOKUP($C679&amp;"_"&amp;$AG679,符文权重!$A:$A&amp;"_"&amp;符文权重!$C:$C,符文权重!$D:$D)*$X679/SUMIFS($X:$X,G:G,G679,$C:$C,$C679,$AG:$AG,$AG679)/SUMIF(符文权重!$A:$A,$C679,符文权重!$D:$D))),"")</f>
        <v/>
      </c>
      <c r="N679" s="39" t="str" cm="1">
        <f t="array" ref="N679">IFERROR(IF($A679="","",IF(H679="","",_xlfn.XLOOKUP($C679&amp;"_"&amp;$AG679,符文权重!$A:$A&amp;"_"&amp;符文权重!$C:$C,符文权重!$D:$D)*$X679/SUMIFS($X:$X,H:H,H679,$C:$C,$C679,$AG:$AG,$AG679)/SUMIF(符文权重!$A:$A,$C679,符文权重!$D:$D))),"")</f>
        <v/>
      </c>
      <c r="O679" s="39" t="str" cm="1">
        <f t="array" ref="O679">IFERROR(IF($A679="","",IF(I679="","",_xlfn.XLOOKUP($C679&amp;"_"&amp;$AG679,符文权重!$A:$A&amp;"_"&amp;符文权重!$C:$C,符文权重!$D:$D)*$X679/SUMIFS($X:$X,I:I,I679,$C:$C,$C679,$AG:$AG,$AG679)/SUMIF(符文权重!$A:$A,$C679,符文权重!$D:$D))),"")</f>
        <v/>
      </c>
      <c r="P679" s="39" cm="1">
        <f t="array" ref="P679">IFERROR(IF($A679="","",IF(J679="","",_xlfn.XLOOKUP($C679&amp;"_"&amp;$AG679,符文权重!$A:$A&amp;"_"&amp;符文权重!$C:$C,符文权重!$D:$D)*$X679/SUMIFS($X:$X,J:J,J679,$C:$C,$C679,$AG:$AG,$AG679)/SUMIF(符文权重!$A:$A,$C679,符文权重!$D:$D))),"")</f>
        <v>0.0107142857142857</v>
      </c>
      <c r="Q679" s="39" t="str" cm="1">
        <f t="array" ref="Q679">IFERROR(IF($A679="","",IF(K679="","",_xlfn.XLOOKUP($C679&amp;"_"&amp;$AG679,符文权重!$A:$A&amp;"_"&amp;符文权重!$C:$C,符文权重!$D:$D)*$X679/SUMIFS($X:$X,K:K,K679,$C:$C,$C679,$AG:$AG,$AG679)/SUMIF(符文权重!$A:$A,$C679,符文权重!$D:$D))),"")</f>
        <v/>
      </c>
      <c r="R679" s="25" t="s">
        <v>330</v>
      </c>
      <c r="S679" s="25" t="s">
        <v>752</v>
      </c>
      <c r="T679" s="25" t="s">
        <v>397</v>
      </c>
      <c r="U679" s="25" t="s">
        <v>772</v>
      </c>
      <c r="V679" s="25" t="s">
        <v>766</v>
      </c>
      <c r="W679" s="25" t="s">
        <v>763</v>
      </c>
      <c r="X679" s="25">
        <v>100</v>
      </c>
      <c r="Z679" s="25" t="s">
        <v>180</v>
      </c>
      <c r="AA679" s="32" t="str">
        <f t="shared" si="288"/>
        <v>东方不败有80%概率飞针+1，伤害-20%</v>
      </c>
      <c r="AB679" s="32"/>
      <c r="AC679" s="32" t="s">
        <v>166</v>
      </c>
      <c r="AD679" s="32">
        <f t="shared" si="286"/>
        <v>1674</v>
      </c>
      <c r="AE679" s="25">
        <v>5301258</v>
      </c>
      <c r="AF679" s="25" t="s">
        <v>421</v>
      </c>
      <c r="AG679" s="25">
        <v>4</v>
      </c>
      <c r="AJ679" s="25">
        <v>1</v>
      </c>
      <c r="AK679" s="26"/>
      <c r="AL679" s="25" t="s">
        <v>773</v>
      </c>
      <c r="AM679" s="26"/>
      <c r="AN679" s="25">
        <v>4</v>
      </c>
      <c r="AO679" s="25" t="s">
        <v>31</v>
      </c>
      <c r="AP679" s="20">
        <f t="shared" si="287"/>
        <v>674</v>
      </c>
    </row>
    <row r="680" s="20" customFormat="1" customHeight="1" spans="1:42">
      <c r="A680" s="25">
        <v>5510334</v>
      </c>
      <c r="B680" s="25">
        <v>5301259</v>
      </c>
      <c r="C680" s="26">
        <v>4</v>
      </c>
      <c r="D680" s="26"/>
      <c r="E680" s="25" t="s">
        <v>209</v>
      </c>
      <c r="F680" s="26" t="str">
        <f t="shared" si="285"/>
        <v/>
      </c>
      <c r="G680" s="26" t="str">
        <f>IFERROR(IF(--MID($E680,2*COUNTIF($F680:F680,"&gt;"&amp;0)+2,1)=G$1,G$1,""),"")</f>
        <v/>
      </c>
      <c r="H680" s="26" t="str">
        <f>IFERROR(IF(--MID($E680,2*COUNTIF($F680:G680,"&gt;"&amp;0)+2,1)=H$1,H$1,""),"")</f>
        <v/>
      </c>
      <c r="I680" s="26" t="str">
        <f>IFERROR(IF(--MID($E680,2*COUNTIF($F680:H680,"&gt;"&amp;0)+2,1)=I$1,I$1,""),"")</f>
        <v/>
      </c>
      <c r="J680" s="26" t="str">
        <f>IFERROR(IF(--MID($E680,2*COUNTIF($F680:I680,"&gt;"&amp;0)+2,1)=J$1,J$1,""),"")</f>
        <v/>
      </c>
      <c r="K680" s="26">
        <f>IFERROR(IF(--MID($E680,2*COUNTIF($F680:J680,"&gt;"&amp;0)+2,1)=K$1,K$1,""),"")</f>
        <v>6</v>
      </c>
      <c r="L680" s="39" t="str" cm="1">
        <f t="array" ref="L680">IFERROR(IF($A680="","",IF(F680="","",_xlfn.XLOOKUP($C680&amp;"_"&amp;$AG680,符文权重!$A:$A&amp;"_"&amp;符文权重!$C:$C,符文权重!$D:$D)*$X680/SUMIFS($X:$X,F:F,F680,$C:$C,$C680,$AG:$AG,$AG680)/SUMIF(符文权重!$A:$A,$C680,符文权重!$D:$D))),"")</f>
        <v/>
      </c>
      <c r="M680" s="39" t="str" cm="1">
        <f t="array" ref="M680">IFERROR(IF($A680="","",IF(G680="","",_xlfn.XLOOKUP($C680&amp;"_"&amp;$AG680,符文权重!$A:$A&amp;"_"&amp;符文权重!$C:$C,符文权重!$D:$D)*$X680/SUMIFS($X:$X,G:G,G680,$C:$C,$C680,$AG:$AG,$AG680)/SUMIF(符文权重!$A:$A,$C680,符文权重!$D:$D))),"")</f>
        <v/>
      </c>
      <c r="N680" s="39" t="str" cm="1">
        <f t="array" ref="N680">IFERROR(IF($A680="","",IF(H680="","",_xlfn.XLOOKUP($C680&amp;"_"&amp;$AG680,符文权重!$A:$A&amp;"_"&amp;符文权重!$C:$C,符文权重!$D:$D)*$X680/SUMIFS($X:$X,H:H,H680,$C:$C,$C680,$AG:$AG,$AG680)/SUMIF(符文权重!$A:$A,$C680,符文权重!$D:$D))),"")</f>
        <v/>
      </c>
      <c r="O680" s="39" t="str" cm="1">
        <f t="array" ref="O680">IFERROR(IF($A680="","",IF(I680="","",_xlfn.XLOOKUP($C680&amp;"_"&amp;$AG680,符文权重!$A:$A&amp;"_"&amp;符文权重!$C:$C,符文权重!$D:$D)*$X680/SUMIFS($X:$X,I:I,I680,$C:$C,$C680,$AG:$AG,$AG680)/SUMIF(符文权重!$A:$A,$C680,符文权重!$D:$D))),"")</f>
        <v/>
      </c>
      <c r="P680" s="39" t="str" cm="1">
        <f t="array" ref="P680">IFERROR(IF($A680="","",IF(J680="","",_xlfn.XLOOKUP($C680&amp;"_"&amp;$AG680,符文权重!$A:$A&amp;"_"&amp;符文权重!$C:$C,符文权重!$D:$D)*$X680/SUMIFS($X:$X,J:J,J680,$C:$C,$C680,$AG:$AG,$AG680)/SUMIF(符文权重!$A:$A,$C680,符文权重!$D:$D))),"")</f>
        <v/>
      </c>
      <c r="Q680" s="39" cm="1">
        <f t="array" ref="Q680">IFERROR(IF($A680="","",IF(K680="","",_xlfn.XLOOKUP($C680&amp;"_"&amp;$AG680,符文权重!$A:$A&amp;"_"&amp;符文权重!$C:$C,符文权重!$D:$D)*$X680/SUMIFS($X:$X,K:K,K680,$C:$C,$C680,$AG:$AG,$AG680)/SUMIF(符文权重!$A:$A,$C680,符文权重!$D:$D))),"")</f>
        <v>0.0025</v>
      </c>
      <c r="R680" s="26" t="s">
        <v>330</v>
      </c>
      <c r="S680" s="26" t="s">
        <v>752</v>
      </c>
      <c r="T680" s="26" t="s">
        <v>388</v>
      </c>
      <c r="U680" s="20" t="s">
        <v>774</v>
      </c>
      <c r="V680" s="26"/>
      <c r="W680" s="25" t="s">
        <v>754</v>
      </c>
      <c r="X680" s="25">
        <v>100</v>
      </c>
      <c r="Y680" s="25"/>
      <c r="Z680" s="26" t="s">
        <v>174</v>
      </c>
      <c r="AA680" s="32" t="str">
        <f t="shared" si="288"/>
        <v>东方不败击杀目标时，攻速提升30%，持续5秒</v>
      </c>
      <c r="AB680" s="32"/>
      <c r="AC680" s="32" t="s">
        <v>166</v>
      </c>
      <c r="AD680" s="32">
        <f t="shared" si="286"/>
        <v>1675</v>
      </c>
      <c r="AE680" s="25">
        <v>5301259</v>
      </c>
      <c r="AF680" s="26" t="s">
        <v>449</v>
      </c>
      <c r="AG680" s="26">
        <v>8</v>
      </c>
      <c r="AH680" s="26"/>
      <c r="AI680" s="26"/>
      <c r="AJ680" s="26">
        <v>1</v>
      </c>
      <c r="AK680" s="26"/>
      <c r="AL680" s="32" t="s">
        <v>775</v>
      </c>
      <c r="AM680" s="26"/>
      <c r="AN680" s="25">
        <v>4</v>
      </c>
      <c r="AO680" s="25" t="s">
        <v>31</v>
      </c>
      <c r="AP680" s="20">
        <f t="shared" si="287"/>
        <v>675</v>
      </c>
    </row>
    <row r="681" s="20" customFormat="1" customHeight="1" spans="1:42">
      <c r="A681" s="25">
        <v>5510335</v>
      </c>
      <c r="B681" s="25">
        <v>5301259</v>
      </c>
      <c r="C681" s="25">
        <v>5</v>
      </c>
      <c r="D681" s="25"/>
      <c r="E681" s="25" t="s">
        <v>209</v>
      </c>
      <c r="F681" s="26" t="str">
        <f t="shared" si="285"/>
        <v/>
      </c>
      <c r="G681" s="26" t="str">
        <f>IFERROR(IF(--MID($E681,2*COUNTIF($F681:F681,"&gt;"&amp;0)+2,1)=G$1,G$1,""),"")</f>
        <v/>
      </c>
      <c r="H681" s="26" t="str">
        <f>IFERROR(IF(--MID($E681,2*COUNTIF($F681:G681,"&gt;"&amp;0)+2,1)=H$1,H$1,""),"")</f>
        <v/>
      </c>
      <c r="I681" s="26" t="str">
        <f>IFERROR(IF(--MID($E681,2*COUNTIF($F681:H681,"&gt;"&amp;0)+2,1)=I$1,I$1,""),"")</f>
        <v/>
      </c>
      <c r="J681" s="26" t="str">
        <f>IFERROR(IF(--MID($E681,2*COUNTIF($F681:I681,"&gt;"&amp;0)+2,1)=J$1,J$1,""),"")</f>
        <v/>
      </c>
      <c r="K681" s="26">
        <f>IFERROR(IF(--MID($E681,2*COUNTIF($F681:J681,"&gt;"&amp;0)+2,1)=K$1,K$1,""),"")</f>
        <v>6</v>
      </c>
      <c r="L681" s="39" t="str" cm="1">
        <f t="array" ref="L681">IFERROR(IF($A681="","",IF(F681="","",_xlfn.XLOOKUP($C681&amp;"_"&amp;$AG681,符文权重!$A:$A&amp;"_"&amp;符文权重!$C:$C,符文权重!$D:$D)*$X681/SUMIFS($X:$X,F:F,F681,$C:$C,$C681,$AG:$AG,$AG681)/SUMIF(符文权重!$A:$A,$C681,符文权重!$D:$D))),"")</f>
        <v/>
      </c>
      <c r="M681" s="39" t="str" cm="1">
        <f t="array" ref="M681">IFERROR(IF($A681="","",IF(G681="","",_xlfn.XLOOKUP($C681&amp;"_"&amp;$AG681,符文权重!$A:$A&amp;"_"&amp;符文权重!$C:$C,符文权重!$D:$D)*$X681/SUMIFS($X:$X,G:G,G681,$C:$C,$C681,$AG:$AG,$AG681)/SUMIF(符文权重!$A:$A,$C681,符文权重!$D:$D))),"")</f>
        <v/>
      </c>
      <c r="N681" s="39" t="str" cm="1">
        <f t="array" ref="N681">IFERROR(IF($A681="","",IF(H681="","",_xlfn.XLOOKUP($C681&amp;"_"&amp;$AG681,符文权重!$A:$A&amp;"_"&amp;符文权重!$C:$C,符文权重!$D:$D)*$X681/SUMIFS($X:$X,H:H,H681,$C:$C,$C681,$AG:$AG,$AG681)/SUMIF(符文权重!$A:$A,$C681,符文权重!$D:$D))),"")</f>
        <v/>
      </c>
      <c r="O681" s="39" t="str" cm="1">
        <f t="array" ref="O681">IFERROR(IF($A681="","",IF(I681="","",_xlfn.XLOOKUP($C681&amp;"_"&amp;$AG681,符文权重!$A:$A&amp;"_"&amp;符文权重!$C:$C,符文权重!$D:$D)*$X681/SUMIFS($X:$X,I:I,I681,$C:$C,$C681,$AG:$AG,$AG681)/SUMIF(符文权重!$A:$A,$C681,符文权重!$D:$D))),"")</f>
        <v/>
      </c>
      <c r="P681" s="39" t="str" cm="1">
        <f t="array" ref="P681">IFERROR(IF($A681="","",IF(J681="","",_xlfn.XLOOKUP($C681&amp;"_"&amp;$AG681,符文权重!$A:$A&amp;"_"&amp;符文权重!$C:$C,符文权重!$D:$D)*$X681/SUMIFS($X:$X,J:J,J681,$C:$C,$C681,$AG:$AG,$AG681)/SUMIF(符文权重!$A:$A,$C681,符文权重!$D:$D))),"")</f>
        <v/>
      </c>
      <c r="Q681" s="39" cm="1">
        <f t="array" ref="Q681">IFERROR(IF($A681="","",IF(K681="","",_xlfn.XLOOKUP($C681&amp;"_"&amp;$AG681,符文权重!$A:$A&amp;"_"&amp;符文权重!$C:$C,符文权重!$D:$D)*$X681/SUMIFS($X:$X,K:K,K681,$C:$C,$C681,$AG:$AG,$AG681)/SUMIF(符文权重!$A:$A,$C681,符文权重!$D:$D))),"")</f>
        <v>0.009375</v>
      </c>
      <c r="R681" s="25" t="s">
        <v>330</v>
      </c>
      <c r="S681" s="25" t="s">
        <v>752</v>
      </c>
      <c r="T681" s="25" t="s">
        <v>391</v>
      </c>
      <c r="U681" s="25" t="s">
        <v>776</v>
      </c>
      <c r="W681" s="25" t="s">
        <v>757</v>
      </c>
      <c r="X681" s="25">
        <v>100</v>
      </c>
      <c r="Z681" s="25" t="s">
        <v>176</v>
      </c>
      <c r="AA681" s="32" t="str">
        <f t="shared" si="288"/>
        <v>东方不败击杀目标时，攻速提升40%，持续5秒</v>
      </c>
      <c r="AB681" s="32"/>
      <c r="AC681" s="32" t="s">
        <v>166</v>
      </c>
      <c r="AD681" s="32">
        <f t="shared" si="286"/>
        <v>1676</v>
      </c>
      <c r="AE681" s="25">
        <v>5301259</v>
      </c>
      <c r="AF681" s="25" t="s">
        <v>459</v>
      </c>
      <c r="AG681" s="25">
        <v>4</v>
      </c>
      <c r="AJ681" s="25">
        <v>1</v>
      </c>
      <c r="AK681" s="26"/>
      <c r="AL681" s="25" t="s">
        <v>777</v>
      </c>
      <c r="AM681" s="26"/>
      <c r="AN681" s="25">
        <v>4</v>
      </c>
      <c r="AO681" s="25" t="s">
        <v>31</v>
      </c>
      <c r="AP681" s="20">
        <f t="shared" si="287"/>
        <v>676</v>
      </c>
    </row>
    <row r="682" s="20" customFormat="1" customHeight="1" spans="1:42">
      <c r="A682" s="25">
        <v>5510336</v>
      </c>
      <c r="B682" s="25">
        <v>5301259</v>
      </c>
      <c r="C682" s="25">
        <v>6</v>
      </c>
      <c r="D682" s="25"/>
      <c r="E682" s="25" t="s">
        <v>209</v>
      </c>
      <c r="F682" s="26" t="str">
        <f t="shared" si="285"/>
        <v/>
      </c>
      <c r="G682" s="26" t="str">
        <f>IFERROR(IF(--MID($E682,2*COUNTIF($F682:F682,"&gt;"&amp;0)+2,1)=G$1,G$1,""),"")</f>
        <v/>
      </c>
      <c r="H682" s="26" t="str">
        <f>IFERROR(IF(--MID($E682,2*COUNTIF($F682:G682,"&gt;"&amp;0)+2,1)=H$1,H$1,""),"")</f>
        <v/>
      </c>
      <c r="I682" s="26" t="str">
        <f>IFERROR(IF(--MID($E682,2*COUNTIF($F682:H682,"&gt;"&amp;0)+2,1)=I$1,I$1,""),"")</f>
        <v/>
      </c>
      <c r="J682" s="26" t="str">
        <f>IFERROR(IF(--MID($E682,2*COUNTIF($F682:I682,"&gt;"&amp;0)+2,1)=J$1,J$1,""),"")</f>
        <v/>
      </c>
      <c r="K682" s="26">
        <f>IFERROR(IF(--MID($E682,2*COUNTIF($F682:J682,"&gt;"&amp;0)+2,1)=K$1,K$1,""),"")</f>
        <v>6</v>
      </c>
      <c r="L682" s="39" t="str" cm="1">
        <f t="array" ref="L682">IFERROR(IF($A682="","",IF(F682="","",_xlfn.XLOOKUP($C682&amp;"_"&amp;$AG682,符文权重!$A:$A&amp;"_"&amp;符文权重!$C:$C,符文权重!$D:$D)*$X682/SUMIFS($X:$X,F:F,F682,$C:$C,$C682,$AG:$AG,$AG682)/SUMIF(符文权重!$A:$A,$C682,符文权重!$D:$D))),"")</f>
        <v/>
      </c>
      <c r="M682" s="39" t="str" cm="1">
        <f t="array" ref="M682">IFERROR(IF($A682="","",IF(G682="","",_xlfn.XLOOKUP($C682&amp;"_"&amp;$AG682,符文权重!$A:$A&amp;"_"&amp;符文权重!$C:$C,符文权重!$D:$D)*$X682/SUMIFS($X:$X,G:G,G682,$C:$C,$C682,$AG:$AG,$AG682)/SUMIF(符文权重!$A:$A,$C682,符文权重!$D:$D))),"")</f>
        <v/>
      </c>
      <c r="N682" s="39" t="str" cm="1">
        <f t="array" ref="N682">IFERROR(IF($A682="","",IF(H682="","",_xlfn.XLOOKUP($C682&amp;"_"&amp;$AG682,符文权重!$A:$A&amp;"_"&amp;符文权重!$C:$C,符文权重!$D:$D)*$X682/SUMIFS($X:$X,H:H,H682,$C:$C,$C682,$AG:$AG,$AG682)/SUMIF(符文权重!$A:$A,$C682,符文权重!$D:$D))),"")</f>
        <v/>
      </c>
      <c r="O682" s="39" t="str" cm="1">
        <f t="array" ref="O682">IFERROR(IF($A682="","",IF(I682="","",_xlfn.XLOOKUP($C682&amp;"_"&amp;$AG682,符文权重!$A:$A&amp;"_"&amp;符文权重!$C:$C,符文权重!$D:$D)*$X682/SUMIFS($X:$X,I:I,I682,$C:$C,$C682,$AG:$AG,$AG682)/SUMIF(符文权重!$A:$A,$C682,符文权重!$D:$D))),"")</f>
        <v/>
      </c>
      <c r="P682" s="39" t="str" cm="1">
        <f t="array" ref="P682">IFERROR(IF($A682="","",IF(J682="","",_xlfn.XLOOKUP($C682&amp;"_"&amp;$AG682,符文权重!$A:$A&amp;"_"&amp;符文权重!$C:$C,符文权重!$D:$D)*$X682/SUMIFS($X:$X,J:J,J682,$C:$C,$C682,$AG:$AG,$AG682)/SUMIF(符文权重!$A:$A,$C682,符文权重!$D:$D))),"")</f>
        <v/>
      </c>
      <c r="Q682" s="39" cm="1">
        <f t="array" ref="Q682">IFERROR(IF($A682="","",IF(K682="","",_xlfn.XLOOKUP($C682&amp;"_"&amp;$AG682,符文权重!$A:$A&amp;"_"&amp;符文权重!$C:$C,符文权重!$D:$D)*$X682/SUMIFS($X:$X,K:K,K682,$C:$C,$C682,$AG:$AG,$AG682)/SUMIF(符文权重!$A:$A,$C682,符文权重!$D:$D))),"")</f>
        <v>0.009375</v>
      </c>
      <c r="R682" s="25" t="s">
        <v>330</v>
      </c>
      <c r="S682" s="25" t="s">
        <v>752</v>
      </c>
      <c r="T682" s="25" t="s">
        <v>394</v>
      </c>
      <c r="U682" s="25" t="s">
        <v>778</v>
      </c>
      <c r="W682" s="25" t="s">
        <v>760</v>
      </c>
      <c r="X682" s="25">
        <v>100</v>
      </c>
      <c r="Z682" s="25" t="s">
        <v>178</v>
      </c>
      <c r="AA682" s="32" t="str">
        <f t="shared" si="288"/>
        <v>东方不败击杀目标时，攻速提升50%，持续5秒</v>
      </c>
      <c r="AB682" s="32"/>
      <c r="AC682" s="32" t="s">
        <v>166</v>
      </c>
      <c r="AD682" s="32">
        <f t="shared" si="286"/>
        <v>1677</v>
      </c>
      <c r="AE682" s="25">
        <v>5301259</v>
      </c>
      <c r="AF682" s="25" t="s">
        <v>541</v>
      </c>
      <c r="AG682" s="25">
        <v>4</v>
      </c>
      <c r="AJ682" s="25">
        <v>1</v>
      </c>
      <c r="AL682" s="25" t="s">
        <v>779</v>
      </c>
      <c r="AN682" s="25">
        <v>4</v>
      </c>
      <c r="AO682" s="25" t="s">
        <v>31</v>
      </c>
      <c r="AP682" s="20">
        <f t="shared" si="287"/>
        <v>677</v>
      </c>
    </row>
    <row r="683" s="20" customFormat="1" customHeight="1" spans="1:42">
      <c r="A683" s="25">
        <v>5510337</v>
      </c>
      <c r="B683" s="25">
        <v>5301259</v>
      </c>
      <c r="C683" s="25">
        <v>7</v>
      </c>
      <c r="D683" s="25"/>
      <c r="E683" s="25" t="s">
        <v>209</v>
      </c>
      <c r="F683" s="26" t="str">
        <f t="shared" si="285"/>
        <v/>
      </c>
      <c r="G683" s="26" t="str">
        <f>IFERROR(IF(--MID($E683,2*COUNTIF($F683:F683,"&gt;"&amp;0)+2,1)=G$1,G$1,""),"")</f>
        <v/>
      </c>
      <c r="H683" s="26" t="str">
        <f>IFERROR(IF(--MID($E683,2*COUNTIF($F683:G683,"&gt;"&amp;0)+2,1)=H$1,H$1,""),"")</f>
        <v/>
      </c>
      <c r="I683" s="26" t="str">
        <f>IFERROR(IF(--MID($E683,2*COUNTIF($F683:H683,"&gt;"&amp;0)+2,1)=I$1,I$1,""),"")</f>
        <v/>
      </c>
      <c r="J683" s="26" t="str">
        <f>IFERROR(IF(--MID($E683,2*COUNTIF($F683:I683,"&gt;"&amp;0)+2,1)=J$1,J$1,""),"")</f>
        <v/>
      </c>
      <c r="K683" s="26">
        <f>IFERROR(IF(--MID($E683,2*COUNTIF($F683:J683,"&gt;"&amp;0)+2,1)=K$1,K$1,""),"")</f>
        <v>6</v>
      </c>
      <c r="L683" s="39" t="str" cm="1">
        <f t="array" ref="L683">IFERROR(IF($A683="","",IF(F683="","",_xlfn.XLOOKUP($C683&amp;"_"&amp;$AG683,符文权重!$A:$A&amp;"_"&amp;符文权重!$C:$C,符文权重!$D:$D)*$X683/SUMIFS($X:$X,F:F,F683,$C:$C,$C683,$AG:$AG,$AG683)/SUMIF(符文权重!$A:$A,$C683,符文权重!$D:$D))),"")</f>
        <v/>
      </c>
      <c r="M683" s="39" t="str" cm="1">
        <f t="array" ref="M683">IFERROR(IF($A683="","",IF(G683="","",_xlfn.XLOOKUP($C683&amp;"_"&amp;$AG683,符文权重!$A:$A&amp;"_"&amp;符文权重!$C:$C,符文权重!$D:$D)*$X683/SUMIFS($X:$X,G:G,G683,$C:$C,$C683,$AG:$AG,$AG683)/SUMIF(符文权重!$A:$A,$C683,符文权重!$D:$D))),"")</f>
        <v/>
      </c>
      <c r="N683" s="39" t="str" cm="1">
        <f t="array" ref="N683">IFERROR(IF($A683="","",IF(H683="","",_xlfn.XLOOKUP($C683&amp;"_"&amp;$AG683,符文权重!$A:$A&amp;"_"&amp;符文权重!$C:$C,符文权重!$D:$D)*$X683/SUMIFS($X:$X,H:H,H683,$C:$C,$C683,$AG:$AG,$AG683)/SUMIF(符文权重!$A:$A,$C683,符文权重!$D:$D))),"")</f>
        <v/>
      </c>
      <c r="O683" s="39" t="str" cm="1">
        <f t="array" ref="O683">IFERROR(IF($A683="","",IF(I683="","",_xlfn.XLOOKUP($C683&amp;"_"&amp;$AG683,符文权重!$A:$A&amp;"_"&amp;符文权重!$C:$C,符文权重!$D:$D)*$X683/SUMIFS($X:$X,I:I,I683,$C:$C,$C683,$AG:$AG,$AG683)/SUMIF(符文权重!$A:$A,$C683,符文权重!$D:$D))),"")</f>
        <v/>
      </c>
      <c r="P683" s="39" t="str" cm="1">
        <f t="array" ref="P683">IFERROR(IF($A683="","",IF(J683="","",_xlfn.XLOOKUP($C683&amp;"_"&amp;$AG683,符文权重!$A:$A&amp;"_"&amp;符文权重!$C:$C,符文权重!$D:$D)*$X683/SUMIFS($X:$X,J:J,J683,$C:$C,$C683,$AG:$AG,$AG683)/SUMIF(符文权重!$A:$A,$C683,符文权重!$D:$D))),"")</f>
        <v/>
      </c>
      <c r="Q683" s="39" cm="1">
        <f t="array" ref="Q683">IFERROR(IF($A683="","",IF(K683="","",_xlfn.XLOOKUP($C683&amp;"_"&amp;$AG683,符文权重!$A:$A&amp;"_"&amp;符文权重!$C:$C,符文权重!$D:$D)*$X683/SUMIFS($X:$X,K:K,K683,$C:$C,$C683,$AG:$AG,$AG683)/SUMIF(符文权重!$A:$A,$C683,符文权重!$D:$D))),"")</f>
        <v>0.009375</v>
      </c>
      <c r="R683" s="25" t="s">
        <v>330</v>
      </c>
      <c r="S683" s="25" t="s">
        <v>752</v>
      </c>
      <c r="T683" s="25" t="s">
        <v>397</v>
      </c>
      <c r="U683" s="25" t="s">
        <v>780</v>
      </c>
      <c r="W683" s="25" t="s">
        <v>763</v>
      </c>
      <c r="X683" s="25">
        <v>100</v>
      </c>
      <c r="Z683" s="25" t="s">
        <v>180</v>
      </c>
      <c r="AA683" s="32" t="str">
        <f t="shared" si="288"/>
        <v>东方不败击杀目标时，攻速提升60%，持续5秒</v>
      </c>
      <c r="AB683" s="32"/>
      <c r="AC683" s="32" t="s">
        <v>166</v>
      </c>
      <c r="AD683" s="32">
        <f t="shared" si="286"/>
        <v>1678</v>
      </c>
      <c r="AE683" s="25">
        <v>5301259</v>
      </c>
      <c r="AF683" s="25" t="s">
        <v>439</v>
      </c>
      <c r="AG683" s="25">
        <v>4</v>
      </c>
      <c r="AJ683" s="25">
        <v>1</v>
      </c>
      <c r="AK683" s="26"/>
      <c r="AL683" s="25" t="s">
        <v>781</v>
      </c>
      <c r="AM683" s="26"/>
      <c r="AN683" s="25">
        <v>4</v>
      </c>
      <c r="AO683" s="25" t="s">
        <v>31</v>
      </c>
      <c r="AP683" s="20">
        <f t="shared" si="287"/>
        <v>678</v>
      </c>
    </row>
    <row r="684" s="20" customFormat="1" customHeight="1" spans="1:42">
      <c r="A684" s="25">
        <v>5510344</v>
      </c>
      <c r="B684" s="25">
        <v>5301261</v>
      </c>
      <c r="C684" s="26">
        <v>4</v>
      </c>
      <c r="D684" s="26"/>
      <c r="E684" s="25" t="s">
        <v>218</v>
      </c>
      <c r="F684" s="26" t="str">
        <f t="shared" si="285"/>
        <v/>
      </c>
      <c r="G684" s="26" t="str">
        <f>IFERROR(IF(--MID($E684,2*COUNTIF($F684:F684,"&gt;"&amp;0)+2,1)=G$1,G$1,""),"")</f>
        <v/>
      </c>
      <c r="H684" s="26" t="str">
        <f>IFERROR(IF(--MID($E684,2*COUNTIF($F684:G684,"&gt;"&amp;0)+2,1)=H$1,H$1,""),"")</f>
        <v/>
      </c>
      <c r="I684" s="26" t="str">
        <f>IFERROR(IF(--MID($E684,2*COUNTIF($F684:H684,"&gt;"&amp;0)+2,1)=I$1,I$1,""),"")</f>
        <v/>
      </c>
      <c r="J684" s="26">
        <f>IFERROR(IF(--MID($E684,2*COUNTIF($F684:I684,"&gt;"&amp;0)+2,1)=J$1,J$1,""),"")</f>
        <v>5</v>
      </c>
      <c r="K684" s="26" t="str">
        <f>IFERROR(IF(--MID($E684,2*COUNTIF($F684:J684,"&gt;"&amp;0)+2,1)=K$1,K$1,""),"")</f>
        <v/>
      </c>
      <c r="L684" s="39" t="str" cm="1">
        <f t="array" ref="L684">IFERROR(IF($A684="","",IF(F684="","",_xlfn.XLOOKUP($C684&amp;"_"&amp;$AG684,符文权重!$A:$A&amp;"_"&amp;符文权重!$C:$C,符文权重!$D:$D)*$X684/SUMIFS($X:$X,F:F,F684,$C:$C,$C684,$AG:$AG,$AG684)/SUMIF(符文权重!$A:$A,$C684,符文权重!$D:$D))),"")</f>
        <v/>
      </c>
      <c r="M684" s="39" t="str" cm="1">
        <f t="array" ref="M684">IFERROR(IF($A684="","",IF(G684="","",_xlfn.XLOOKUP($C684&amp;"_"&amp;$AG684,符文权重!$A:$A&amp;"_"&amp;符文权重!$C:$C,符文权重!$D:$D)*$X684/SUMIFS($X:$X,G:G,G684,$C:$C,$C684,$AG:$AG,$AG684)/SUMIF(符文权重!$A:$A,$C684,符文权重!$D:$D))),"")</f>
        <v/>
      </c>
      <c r="N684" s="39" t="str" cm="1">
        <f t="array" ref="N684">IFERROR(IF($A684="","",IF(H684="","",_xlfn.XLOOKUP($C684&amp;"_"&amp;$AG684,符文权重!$A:$A&amp;"_"&amp;符文权重!$C:$C,符文权重!$D:$D)*$X684/SUMIFS($X:$X,H:H,H684,$C:$C,$C684,$AG:$AG,$AG684)/SUMIF(符文权重!$A:$A,$C684,符文权重!$D:$D))),"")</f>
        <v/>
      </c>
      <c r="O684" s="39" t="str" cm="1">
        <f t="array" ref="O684">IFERROR(IF($A684="","",IF(I684="","",_xlfn.XLOOKUP($C684&amp;"_"&amp;$AG684,符文权重!$A:$A&amp;"_"&amp;符文权重!$C:$C,符文权重!$D:$D)*$X684/SUMIFS($X:$X,I:I,I684,$C:$C,$C684,$AG:$AG,$AG684)/SUMIF(符文权重!$A:$A,$C684,符文权重!$D:$D))),"")</f>
        <v/>
      </c>
      <c r="P684" s="39" cm="1">
        <f t="array" ref="P684">IFERROR(IF($A684="","",IF(J684="","",_xlfn.XLOOKUP($C684&amp;"_"&amp;$AG684,符文权重!$A:$A&amp;"_"&amp;符文权重!$C:$C,符文权重!$D:$D)*$X684/SUMIFS($X:$X,J:J,J684,$C:$C,$C684,$AG:$AG,$AG684)/SUMIF(符文权重!$A:$A,$C684,符文权重!$D:$D))),"")</f>
        <v>0.0025</v>
      </c>
      <c r="Q684" s="39" t="str" cm="1">
        <f t="array" ref="Q684">IFERROR(IF($A684="","",IF(K684="","",_xlfn.XLOOKUP($C684&amp;"_"&amp;$AG684,符文权重!$A:$A&amp;"_"&amp;符文权重!$C:$C,符文权重!$D:$D)*$X684/SUMIFS($X:$X,K:K,K684,$C:$C,$C684,$AG:$AG,$AG684)/SUMIF(符文权重!$A:$A,$C684,符文权重!$D:$D))),"")</f>
        <v/>
      </c>
      <c r="R684" s="26" t="s">
        <v>330</v>
      </c>
      <c r="S684" s="26" t="s">
        <v>782</v>
      </c>
      <c r="T684" s="26" t="s">
        <v>388</v>
      </c>
      <c r="U684" s="20" t="s">
        <v>783</v>
      </c>
      <c r="V684" s="26"/>
      <c r="W684" s="25" t="s">
        <v>754</v>
      </c>
      <c r="X684" s="25">
        <v>100</v>
      </c>
      <c r="Y684" s="25"/>
      <c r="Z684" s="26" t="s">
        <v>174</v>
      </c>
      <c r="AA684" s="32" t="str">
        <f t="shared" si="288"/>
        <v>镭射眼对减速的敌人造成伤害时，暴击率+8%</v>
      </c>
      <c r="AB684" s="32"/>
      <c r="AC684" s="32" t="s">
        <v>166</v>
      </c>
      <c r="AD684" s="32">
        <f t="shared" si="286"/>
        <v>1679</v>
      </c>
      <c r="AE684" s="25">
        <v>5301261</v>
      </c>
      <c r="AF684" s="26" t="s">
        <v>387</v>
      </c>
      <c r="AG684" s="26">
        <v>8</v>
      </c>
      <c r="AH684" s="26"/>
      <c r="AI684" s="26"/>
      <c r="AJ684" s="26">
        <v>1</v>
      </c>
      <c r="AK684" s="26"/>
      <c r="AL684" s="32" t="s">
        <v>784</v>
      </c>
      <c r="AM684" s="26"/>
      <c r="AN684" s="25">
        <v>4</v>
      </c>
      <c r="AO684" s="25" t="s">
        <v>32</v>
      </c>
      <c r="AP684" s="20">
        <f t="shared" si="287"/>
        <v>679</v>
      </c>
    </row>
    <row r="685" s="20" customFormat="1" customHeight="1" spans="1:42">
      <c r="A685" s="25">
        <v>5510345</v>
      </c>
      <c r="B685" s="25">
        <v>5301261</v>
      </c>
      <c r="C685" s="25">
        <v>5</v>
      </c>
      <c r="D685" s="25"/>
      <c r="E685" s="25" t="s">
        <v>218</v>
      </c>
      <c r="F685" s="26" t="str">
        <f t="shared" si="285"/>
        <v/>
      </c>
      <c r="G685" s="26" t="str">
        <f>IFERROR(IF(--MID($E685,2*COUNTIF($F685:F685,"&gt;"&amp;0)+2,1)=G$1,G$1,""),"")</f>
        <v/>
      </c>
      <c r="H685" s="26" t="str">
        <f>IFERROR(IF(--MID($E685,2*COUNTIF($F685:G685,"&gt;"&amp;0)+2,1)=H$1,H$1,""),"")</f>
        <v/>
      </c>
      <c r="I685" s="26" t="str">
        <f>IFERROR(IF(--MID($E685,2*COUNTIF($F685:H685,"&gt;"&amp;0)+2,1)=I$1,I$1,""),"")</f>
        <v/>
      </c>
      <c r="J685" s="26">
        <f>IFERROR(IF(--MID($E685,2*COUNTIF($F685:I685,"&gt;"&amp;0)+2,1)=J$1,J$1,""),"")</f>
        <v>5</v>
      </c>
      <c r="K685" s="26" t="str">
        <f>IFERROR(IF(--MID($E685,2*COUNTIF($F685:J685,"&gt;"&amp;0)+2,1)=K$1,K$1,""),"")</f>
        <v/>
      </c>
      <c r="L685" s="39" t="str" cm="1">
        <f t="array" ref="L685">IFERROR(IF($A685="","",IF(F685="","",_xlfn.XLOOKUP($C685&amp;"_"&amp;$AG685,符文权重!$A:$A&amp;"_"&amp;符文权重!$C:$C,符文权重!$D:$D)*$X685/SUMIFS($X:$X,F:F,F685,$C:$C,$C685,$AG:$AG,$AG685)/SUMIF(符文权重!$A:$A,$C685,符文权重!$D:$D))),"")</f>
        <v/>
      </c>
      <c r="M685" s="39" t="str" cm="1">
        <f t="array" ref="M685">IFERROR(IF($A685="","",IF(G685="","",_xlfn.XLOOKUP($C685&amp;"_"&amp;$AG685,符文权重!$A:$A&amp;"_"&amp;符文权重!$C:$C,符文权重!$D:$D)*$X685/SUMIFS($X:$X,G:G,G685,$C:$C,$C685,$AG:$AG,$AG685)/SUMIF(符文权重!$A:$A,$C685,符文权重!$D:$D))),"")</f>
        <v/>
      </c>
      <c r="N685" s="39" t="str" cm="1">
        <f t="array" ref="N685">IFERROR(IF($A685="","",IF(H685="","",_xlfn.XLOOKUP($C685&amp;"_"&amp;$AG685,符文权重!$A:$A&amp;"_"&amp;符文权重!$C:$C,符文权重!$D:$D)*$X685/SUMIFS($X:$X,H:H,H685,$C:$C,$C685,$AG:$AG,$AG685)/SUMIF(符文权重!$A:$A,$C685,符文权重!$D:$D))),"")</f>
        <v/>
      </c>
      <c r="O685" s="39" t="str" cm="1">
        <f t="array" ref="O685">IFERROR(IF($A685="","",IF(I685="","",_xlfn.XLOOKUP($C685&amp;"_"&amp;$AG685,符文权重!$A:$A&amp;"_"&amp;符文权重!$C:$C,符文权重!$D:$D)*$X685/SUMIFS($X:$X,I:I,I685,$C:$C,$C685,$AG:$AG,$AG685)/SUMIF(符文权重!$A:$A,$C685,符文权重!$D:$D))),"")</f>
        <v/>
      </c>
      <c r="P685" s="39" cm="1">
        <f t="array" ref="P685">IFERROR(IF($A685="","",IF(J685="","",_xlfn.XLOOKUP($C685&amp;"_"&amp;$AG685,符文权重!$A:$A&amp;"_"&amp;符文权重!$C:$C,符文权重!$D:$D)*$X685/SUMIFS($X:$X,J:J,J685,$C:$C,$C685,$AG:$AG,$AG685)/SUMIF(符文权重!$A:$A,$C685,符文权重!$D:$D))),"")</f>
        <v>0.0107142857142857</v>
      </c>
      <c r="Q685" s="39" t="str" cm="1">
        <f t="array" ref="Q685">IFERROR(IF($A685="","",IF(K685="","",_xlfn.XLOOKUP($C685&amp;"_"&amp;$AG685,符文权重!$A:$A&amp;"_"&amp;符文权重!$C:$C,符文权重!$D:$D)*$X685/SUMIFS($X:$X,K:K,K685,$C:$C,$C685,$AG:$AG,$AG685)/SUMIF(符文权重!$A:$A,$C685,符文权重!$D:$D))),"")</f>
        <v/>
      </c>
      <c r="R685" s="25" t="s">
        <v>330</v>
      </c>
      <c r="S685" s="25" t="s">
        <v>782</v>
      </c>
      <c r="T685" s="25" t="s">
        <v>391</v>
      </c>
      <c r="U685" s="25" t="s">
        <v>785</v>
      </c>
      <c r="W685" s="25" t="s">
        <v>757</v>
      </c>
      <c r="X685" s="25">
        <v>100</v>
      </c>
      <c r="Z685" s="25" t="s">
        <v>176</v>
      </c>
      <c r="AA685" s="32" t="str">
        <f t="shared" si="288"/>
        <v>镭射眼对减速的敌人造成伤害时，暴击率+10%</v>
      </c>
      <c r="AB685" s="32"/>
      <c r="AC685" s="32" t="s">
        <v>166</v>
      </c>
      <c r="AD685" s="32">
        <f t="shared" si="286"/>
        <v>1680</v>
      </c>
      <c r="AE685" s="25">
        <v>5301261</v>
      </c>
      <c r="AF685" s="25" t="s">
        <v>390</v>
      </c>
      <c r="AG685" s="25">
        <v>4</v>
      </c>
      <c r="AJ685" s="25">
        <v>1</v>
      </c>
      <c r="AK685" s="26"/>
      <c r="AL685" s="25" t="s">
        <v>786</v>
      </c>
      <c r="AM685" s="26"/>
      <c r="AN685" s="25">
        <v>4</v>
      </c>
      <c r="AO685" s="25" t="s">
        <v>32</v>
      </c>
      <c r="AP685" s="20">
        <f t="shared" si="287"/>
        <v>680</v>
      </c>
    </row>
    <row r="686" s="20" customFormat="1" customHeight="1" spans="1:42">
      <c r="A686" s="25">
        <v>5510346</v>
      </c>
      <c r="B686" s="25">
        <v>5301261</v>
      </c>
      <c r="C686" s="25">
        <v>6</v>
      </c>
      <c r="D686" s="25"/>
      <c r="E686" s="25" t="s">
        <v>218</v>
      </c>
      <c r="F686" s="26" t="str">
        <f t="shared" si="285"/>
        <v/>
      </c>
      <c r="G686" s="26" t="str">
        <f>IFERROR(IF(--MID($E686,2*COUNTIF($F686:F686,"&gt;"&amp;0)+2,1)=G$1,G$1,""),"")</f>
        <v/>
      </c>
      <c r="H686" s="26" t="str">
        <f>IFERROR(IF(--MID($E686,2*COUNTIF($F686:G686,"&gt;"&amp;0)+2,1)=H$1,H$1,""),"")</f>
        <v/>
      </c>
      <c r="I686" s="26" t="str">
        <f>IFERROR(IF(--MID($E686,2*COUNTIF($F686:H686,"&gt;"&amp;0)+2,1)=I$1,I$1,""),"")</f>
        <v/>
      </c>
      <c r="J686" s="26">
        <f>IFERROR(IF(--MID($E686,2*COUNTIF($F686:I686,"&gt;"&amp;0)+2,1)=J$1,J$1,""),"")</f>
        <v>5</v>
      </c>
      <c r="K686" s="26" t="str">
        <f>IFERROR(IF(--MID($E686,2*COUNTIF($F686:J686,"&gt;"&amp;0)+2,1)=K$1,K$1,""),"")</f>
        <v/>
      </c>
      <c r="L686" s="39" t="str" cm="1">
        <f t="array" ref="L686">IFERROR(IF($A686="","",IF(F686="","",_xlfn.XLOOKUP($C686&amp;"_"&amp;$AG686,符文权重!$A:$A&amp;"_"&amp;符文权重!$C:$C,符文权重!$D:$D)*$X686/SUMIFS($X:$X,F:F,F686,$C:$C,$C686,$AG:$AG,$AG686)/SUMIF(符文权重!$A:$A,$C686,符文权重!$D:$D))),"")</f>
        <v/>
      </c>
      <c r="M686" s="39" t="str" cm="1">
        <f t="array" ref="M686">IFERROR(IF($A686="","",IF(G686="","",_xlfn.XLOOKUP($C686&amp;"_"&amp;$AG686,符文权重!$A:$A&amp;"_"&amp;符文权重!$C:$C,符文权重!$D:$D)*$X686/SUMIFS($X:$X,G:G,G686,$C:$C,$C686,$AG:$AG,$AG686)/SUMIF(符文权重!$A:$A,$C686,符文权重!$D:$D))),"")</f>
        <v/>
      </c>
      <c r="N686" s="39" t="str" cm="1">
        <f t="array" ref="N686">IFERROR(IF($A686="","",IF(H686="","",_xlfn.XLOOKUP($C686&amp;"_"&amp;$AG686,符文权重!$A:$A&amp;"_"&amp;符文权重!$C:$C,符文权重!$D:$D)*$X686/SUMIFS($X:$X,H:H,H686,$C:$C,$C686,$AG:$AG,$AG686)/SUMIF(符文权重!$A:$A,$C686,符文权重!$D:$D))),"")</f>
        <v/>
      </c>
      <c r="O686" s="39" t="str" cm="1">
        <f t="array" ref="O686">IFERROR(IF($A686="","",IF(I686="","",_xlfn.XLOOKUP($C686&amp;"_"&amp;$AG686,符文权重!$A:$A&amp;"_"&amp;符文权重!$C:$C,符文权重!$D:$D)*$X686/SUMIFS($X:$X,I:I,I686,$C:$C,$C686,$AG:$AG,$AG686)/SUMIF(符文权重!$A:$A,$C686,符文权重!$D:$D))),"")</f>
        <v/>
      </c>
      <c r="P686" s="39" cm="1">
        <f t="array" ref="P686">IFERROR(IF($A686="","",IF(J686="","",_xlfn.XLOOKUP($C686&amp;"_"&amp;$AG686,符文权重!$A:$A&amp;"_"&amp;符文权重!$C:$C,符文权重!$D:$D)*$X686/SUMIFS($X:$X,J:J,J686,$C:$C,$C686,$AG:$AG,$AG686)/SUMIF(符文权重!$A:$A,$C686,符文权重!$D:$D))),"")</f>
        <v>0.0107142857142857</v>
      </c>
      <c r="Q686" s="39" t="str" cm="1">
        <f t="array" ref="Q686">IFERROR(IF($A686="","",IF(K686="","",_xlfn.XLOOKUP($C686&amp;"_"&amp;$AG686,符文权重!$A:$A&amp;"_"&amp;符文权重!$C:$C,符文权重!$D:$D)*$X686/SUMIFS($X:$X,K:K,K686,$C:$C,$C686,$AG:$AG,$AG686)/SUMIF(符文权重!$A:$A,$C686,符文权重!$D:$D))),"")</f>
        <v/>
      </c>
      <c r="R686" s="25" t="s">
        <v>330</v>
      </c>
      <c r="S686" s="25" t="s">
        <v>782</v>
      </c>
      <c r="T686" s="25" t="s">
        <v>394</v>
      </c>
      <c r="U686" s="25" t="s">
        <v>787</v>
      </c>
      <c r="W686" s="25" t="s">
        <v>760</v>
      </c>
      <c r="X686" s="25">
        <v>100</v>
      </c>
      <c r="Z686" s="25" t="s">
        <v>178</v>
      </c>
      <c r="AA686" s="32" t="str">
        <f t="shared" si="288"/>
        <v>镭射眼对减速的敌人造成伤害时，暴击率+12%</v>
      </c>
      <c r="AB686" s="32"/>
      <c r="AC686" s="32" t="s">
        <v>166</v>
      </c>
      <c r="AD686" s="32">
        <f t="shared" si="286"/>
        <v>1681</v>
      </c>
      <c r="AE686" s="25">
        <v>5301261</v>
      </c>
      <c r="AF686" s="25" t="s">
        <v>454</v>
      </c>
      <c r="AG686" s="25">
        <v>4</v>
      </c>
      <c r="AJ686" s="25">
        <v>1</v>
      </c>
      <c r="AK686" s="26"/>
      <c r="AL686" s="25" t="s">
        <v>788</v>
      </c>
      <c r="AM686" s="26"/>
      <c r="AN686" s="25">
        <v>4</v>
      </c>
      <c r="AO686" s="25" t="s">
        <v>32</v>
      </c>
      <c r="AP686" s="20">
        <f t="shared" si="287"/>
        <v>681</v>
      </c>
    </row>
    <row r="687" s="20" customFormat="1" customHeight="1" spans="1:42">
      <c r="A687" s="25">
        <v>5510347</v>
      </c>
      <c r="B687" s="25">
        <v>5301261</v>
      </c>
      <c r="C687" s="25">
        <v>7</v>
      </c>
      <c r="D687" s="25"/>
      <c r="E687" s="25" t="s">
        <v>218</v>
      </c>
      <c r="F687" s="26" t="str">
        <f t="shared" si="285"/>
        <v/>
      </c>
      <c r="G687" s="26" t="str">
        <f>IFERROR(IF(--MID($E687,2*COUNTIF($F687:F687,"&gt;"&amp;0)+2,1)=G$1,G$1,""),"")</f>
        <v/>
      </c>
      <c r="H687" s="26" t="str">
        <f>IFERROR(IF(--MID($E687,2*COUNTIF($F687:G687,"&gt;"&amp;0)+2,1)=H$1,H$1,""),"")</f>
        <v/>
      </c>
      <c r="I687" s="26" t="str">
        <f>IFERROR(IF(--MID($E687,2*COUNTIF($F687:H687,"&gt;"&amp;0)+2,1)=I$1,I$1,""),"")</f>
        <v/>
      </c>
      <c r="J687" s="26">
        <f>IFERROR(IF(--MID($E687,2*COUNTIF($F687:I687,"&gt;"&amp;0)+2,1)=J$1,J$1,""),"")</f>
        <v>5</v>
      </c>
      <c r="K687" s="26" t="str">
        <f>IFERROR(IF(--MID($E687,2*COUNTIF($F687:J687,"&gt;"&amp;0)+2,1)=K$1,K$1,""),"")</f>
        <v/>
      </c>
      <c r="L687" s="39" t="str" cm="1">
        <f t="array" ref="L687">IFERROR(IF($A687="","",IF(F687="","",_xlfn.XLOOKUP($C687&amp;"_"&amp;$AG687,符文权重!$A:$A&amp;"_"&amp;符文权重!$C:$C,符文权重!$D:$D)*$X687/SUMIFS($X:$X,F:F,F687,$C:$C,$C687,$AG:$AG,$AG687)/SUMIF(符文权重!$A:$A,$C687,符文权重!$D:$D))),"")</f>
        <v/>
      </c>
      <c r="M687" s="39" t="str" cm="1">
        <f t="array" ref="M687">IFERROR(IF($A687="","",IF(G687="","",_xlfn.XLOOKUP($C687&amp;"_"&amp;$AG687,符文权重!$A:$A&amp;"_"&amp;符文权重!$C:$C,符文权重!$D:$D)*$X687/SUMIFS($X:$X,G:G,G687,$C:$C,$C687,$AG:$AG,$AG687)/SUMIF(符文权重!$A:$A,$C687,符文权重!$D:$D))),"")</f>
        <v/>
      </c>
      <c r="N687" s="39" t="str" cm="1">
        <f t="array" ref="N687">IFERROR(IF($A687="","",IF(H687="","",_xlfn.XLOOKUP($C687&amp;"_"&amp;$AG687,符文权重!$A:$A&amp;"_"&amp;符文权重!$C:$C,符文权重!$D:$D)*$X687/SUMIFS($X:$X,H:H,H687,$C:$C,$C687,$AG:$AG,$AG687)/SUMIF(符文权重!$A:$A,$C687,符文权重!$D:$D))),"")</f>
        <v/>
      </c>
      <c r="O687" s="39" t="str" cm="1">
        <f t="array" ref="O687">IFERROR(IF($A687="","",IF(I687="","",_xlfn.XLOOKUP($C687&amp;"_"&amp;$AG687,符文权重!$A:$A&amp;"_"&amp;符文权重!$C:$C,符文权重!$D:$D)*$X687/SUMIFS($X:$X,I:I,I687,$C:$C,$C687,$AG:$AG,$AG687)/SUMIF(符文权重!$A:$A,$C687,符文权重!$D:$D))),"")</f>
        <v/>
      </c>
      <c r="P687" s="39" cm="1">
        <f t="array" ref="P687">IFERROR(IF($A687="","",IF(J687="","",_xlfn.XLOOKUP($C687&amp;"_"&amp;$AG687,符文权重!$A:$A&amp;"_"&amp;符文权重!$C:$C,符文权重!$D:$D)*$X687/SUMIFS($X:$X,J:J,J687,$C:$C,$C687,$AG:$AG,$AG687)/SUMIF(符文权重!$A:$A,$C687,符文权重!$D:$D))),"")</f>
        <v>0.0107142857142857</v>
      </c>
      <c r="Q687" s="39" t="str" cm="1">
        <f t="array" ref="Q687">IFERROR(IF($A687="","",IF(K687="","",_xlfn.XLOOKUP($C687&amp;"_"&amp;$AG687,符文权重!$A:$A&amp;"_"&amp;符文权重!$C:$C,符文权重!$D:$D)*$X687/SUMIFS($X:$X,K:K,K687,$C:$C,$C687,$AG:$AG,$AG687)/SUMIF(符文权重!$A:$A,$C687,符文权重!$D:$D))),"")</f>
        <v/>
      </c>
      <c r="R687" s="25" t="s">
        <v>330</v>
      </c>
      <c r="S687" s="25" t="s">
        <v>782</v>
      </c>
      <c r="T687" s="25" t="s">
        <v>397</v>
      </c>
      <c r="U687" s="25" t="s">
        <v>789</v>
      </c>
      <c r="W687" s="25" t="s">
        <v>763</v>
      </c>
      <c r="X687" s="25">
        <v>100</v>
      </c>
      <c r="Z687" s="25" t="s">
        <v>180</v>
      </c>
      <c r="AA687" s="32" t="str">
        <f t="shared" si="288"/>
        <v>镭射眼对减速的敌人造成伤害时，暴击率+14%</v>
      </c>
      <c r="AB687" s="32"/>
      <c r="AC687" s="32" t="s">
        <v>166</v>
      </c>
      <c r="AD687" s="32">
        <f t="shared" si="286"/>
        <v>1682</v>
      </c>
      <c r="AE687" s="25">
        <v>5301261</v>
      </c>
      <c r="AF687" s="25" t="s">
        <v>790</v>
      </c>
      <c r="AG687" s="25">
        <v>4</v>
      </c>
      <c r="AJ687" s="25">
        <v>1</v>
      </c>
      <c r="AL687" s="25" t="s">
        <v>791</v>
      </c>
      <c r="AN687" s="25">
        <v>4</v>
      </c>
      <c r="AO687" s="25" t="s">
        <v>32</v>
      </c>
      <c r="AP687" s="20">
        <f t="shared" si="287"/>
        <v>682</v>
      </c>
    </row>
    <row r="688" s="20" customFormat="1" customHeight="1" spans="1:42">
      <c r="A688" s="25">
        <v>5510354</v>
      </c>
      <c r="B688" s="25">
        <v>5301262</v>
      </c>
      <c r="C688" s="26">
        <v>4</v>
      </c>
      <c r="D688" s="26"/>
      <c r="E688" s="25" t="s">
        <v>209</v>
      </c>
      <c r="F688" s="26" t="str">
        <f t="shared" si="285"/>
        <v/>
      </c>
      <c r="G688" s="26" t="str">
        <f>IFERROR(IF(--MID($E688,2*COUNTIF($F688:F688,"&gt;"&amp;0)+2,1)=G$1,G$1,""),"")</f>
        <v/>
      </c>
      <c r="H688" s="26" t="str">
        <f>IFERROR(IF(--MID($E688,2*COUNTIF($F688:G688,"&gt;"&amp;0)+2,1)=H$1,H$1,""),"")</f>
        <v/>
      </c>
      <c r="I688" s="26" t="str">
        <f>IFERROR(IF(--MID($E688,2*COUNTIF($F688:H688,"&gt;"&amp;0)+2,1)=I$1,I$1,""),"")</f>
        <v/>
      </c>
      <c r="J688" s="26" t="str">
        <f>IFERROR(IF(--MID($E688,2*COUNTIF($F688:I688,"&gt;"&amp;0)+2,1)=J$1,J$1,""),"")</f>
        <v/>
      </c>
      <c r="K688" s="26">
        <f>IFERROR(IF(--MID($E688,2*COUNTIF($F688:J688,"&gt;"&amp;0)+2,1)=K$1,K$1,""),"")</f>
        <v>6</v>
      </c>
      <c r="L688" s="39" t="str" cm="1">
        <f t="array" ref="L688">IFERROR(IF($A688="","",IF(F688="","",_xlfn.XLOOKUP($C688&amp;"_"&amp;$AG688,符文权重!$A:$A&amp;"_"&amp;符文权重!$C:$C,符文权重!$D:$D)*$X688/SUMIFS($X:$X,F:F,F688,$C:$C,$C688,$AG:$AG,$AG688)/SUMIF(符文权重!$A:$A,$C688,符文权重!$D:$D))),"")</f>
        <v/>
      </c>
      <c r="M688" s="39" t="str" cm="1">
        <f t="array" ref="M688">IFERROR(IF($A688="","",IF(G688="","",_xlfn.XLOOKUP($C688&amp;"_"&amp;$AG688,符文权重!$A:$A&amp;"_"&amp;符文权重!$C:$C,符文权重!$D:$D)*$X688/SUMIFS($X:$X,G:G,G688,$C:$C,$C688,$AG:$AG,$AG688)/SUMIF(符文权重!$A:$A,$C688,符文权重!$D:$D))),"")</f>
        <v/>
      </c>
      <c r="N688" s="39" t="str" cm="1">
        <f t="array" ref="N688">IFERROR(IF($A688="","",IF(H688="","",_xlfn.XLOOKUP($C688&amp;"_"&amp;$AG688,符文权重!$A:$A&amp;"_"&amp;符文权重!$C:$C,符文权重!$D:$D)*$X688/SUMIFS($X:$X,H:H,H688,$C:$C,$C688,$AG:$AG,$AG688)/SUMIF(符文权重!$A:$A,$C688,符文权重!$D:$D))),"")</f>
        <v/>
      </c>
      <c r="O688" s="39" t="str" cm="1">
        <f t="array" ref="O688">IFERROR(IF($A688="","",IF(I688="","",_xlfn.XLOOKUP($C688&amp;"_"&amp;$AG688,符文权重!$A:$A&amp;"_"&amp;符文权重!$C:$C,符文权重!$D:$D)*$X688/SUMIFS($X:$X,I:I,I688,$C:$C,$C688,$AG:$AG,$AG688)/SUMIF(符文权重!$A:$A,$C688,符文权重!$D:$D))),"")</f>
        <v/>
      </c>
      <c r="P688" s="39" t="str" cm="1">
        <f t="array" ref="P688">IFERROR(IF($A688="","",IF(J688="","",_xlfn.XLOOKUP($C688&amp;"_"&amp;$AG688,符文权重!$A:$A&amp;"_"&amp;符文权重!$C:$C,符文权重!$D:$D)*$X688/SUMIFS($X:$X,J:J,J688,$C:$C,$C688,$AG:$AG,$AG688)/SUMIF(符文权重!$A:$A,$C688,符文权重!$D:$D))),"")</f>
        <v/>
      </c>
      <c r="Q688" s="39" cm="1">
        <f t="array" ref="Q688">IFERROR(IF($A688="","",IF(K688="","",_xlfn.XLOOKUP($C688&amp;"_"&amp;$AG688,符文权重!$A:$A&amp;"_"&amp;符文权重!$C:$C,符文权重!$D:$D)*$X688/SUMIFS($X:$X,K:K,K688,$C:$C,$C688,$AG:$AG,$AG688)/SUMIF(符文权重!$A:$A,$C688,符文权重!$D:$D))),"")</f>
        <v>0.0025</v>
      </c>
      <c r="R688" s="26" t="s">
        <v>330</v>
      </c>
      <c r="S688" s="26" t="s">
        <v>782</v>
      </c>
      <c r="T688" s="26" t="s">
        <v>388</v>
      </c>
      <c r="U688" s="20" t="s">
        <v>792</v>
      </c>
      <c r="V688" s="26"/>
      <c r="W688" s="25" t="s">
        <v>754</v>
      </c>
      <c r="X688" s="25">
        <v>100</v>
      </c>
      <c r="Y688" s="25"/>
      <c r="Z688" s="26" t="s">
        <v>174</v>
      </c>
      <c r="AA688" s="32" t="str">
        <f t="shared" si="288"/>
        <v>镭射眼对主目标的敌人造成暴击时，会额外造成最大生命值的7%伤害（400%攻击力上限）</v>
      </c>
      <c r="AB688" s="32"/>
      <c r="AC688" s="32" t="s">
        <v>166</v>
      </c>
      <c r="AD688" s="32">
        <f t="shared" si="286"/>
        <v>1683</v>
      </c>
      <c r="AE688" s="25">
        <v>5301262</v>
      </c>
      <c r="AF688" s="26" t="s">
        <v>227</v>
      </c>
      <c r="AG688" s="26">
        <v>8</v>
      </c>
      <c r="AH688" s="26"/>
      <c r="AI688" s="26"/>
      <c r="AJ688" s="26">
        <v>1</v>
      </c>
      <c r="AK688" s="26"/>
      <c r="AL688" s="32" t="s">
        <v>793</v>
      </c>
      <c r="AM688" s="26"/>
      <c r="AN688" s="25">
        <v>4</v>
      </c>
      <c r="AO688" s="25" t="s">
        <v>32</v>
      </c>
      <c r="AP688" s="20">
        <f t="shared" si="287"/>
        <v>683</v>
      </c>
    </row>
    <row r="689" s="20" customFormat="1" customHeight="1" spans="1:42">
      <c r="A689" s="25">
        <v>5510355</v>
      </c>
      <c r="B689" s="25">
        <v>5301262</v>
      </c>
      <c r="C689" s="25">
        <v>5</v>
      </c>
      <c r="D689" s="25"/>
      <c r="E689" s="25" t="s">
        <v>209</v>
      </c>
      <c r="F689" s="26" t="str">
        <f t="shared" si="285"/>
        <v/>
      </c>
      <c r="G689" s="26" t="str">
        <f>IFERROR(IF(--MID($E689,2*COUNTIF($F689:F689,"&gt;"&amp;0)+2,1)=G$1,G$1,""),"")</f>
        <v/>
      </c>
      <c r="H689" s="26" t="str">
        <f>IFERROR(IF(--MID($E689,2*COUNTIF($F689:G689,"&gt;"&amp;0)+2,1)=H$1,H$1,""),"")</f>
        <v/>
      </c>
      <c r="I689" s="26" t="str">
        <f>IFERROR(IF(--MID($E689,2*COUNTIF($F689:H689,"&gt;"&amp;0)+2,1)=I$1,I$1,""),"")</f>
        <v/>
      </c>
      <c r="J689" s="26" t="str">
        <f>IFERROR(IF(--MID($E689,2*COUNTIF($F689:I689,"&gt;"&amp;0)+2,1)=J$1,J$1,""),"")</f>
        <v/>
      </c>
      <c r="K689" s="26">
        <f>IFERROR(IF(--MID($E689,2*COUNTIF($F689:J689,"&gt;"&amp;0)+2,1)=K$1,K$1,""),"")</f>
        <v>6</v>
      </c>
      <c r="L689" s="39" t="str" cm="1">
        <f t="array" ref="L689">IFERROR(IF($A689="","",IF(F689="","",_xlfn.XLOOKUP($C689&amp;"_"&amp;$AG689,符文权重!$A:$A&amp;"_"&amp;符文权重!$C:$C,符文权重!$D:$D)*$X689/SUMIFS($X:$X,F:F,F689,$C:$C,$C689,$AG:$AG,$AG689)/SUMIF(符文权重!$A:$A,$C689,符文权重!$D:$D))),"")</f>
        <v/>
      </c>
      <c r="M689" s="39" t="str" cm="1">
        <f t="array" ref="M689">IFERROR(IF($A689="","",IF(G689="","",_xlfn.XLOOKUP($C689&amp;"_"&amp;$AG689,符文权重!$A:$A&amp;"_"&amp;符文权重!$C:$C,符文权重!$D:$D)*$X689/SUMIFS($X:$X,G:G,G689,$C:$C,$C689,$AG:$AG,$AG689)/SUMIF(符文权重!$A:$A,$C689,符文权重!$D:$D))),"")</f>
        <v/>
      </c>
      <c r="N689" s="39" t="str" cm="1">
        <f t="array" ref="N689">IFERROR(IF($A689="","",IF(H689="","",_xlfn.XLOOKUP($C689&amp;"_"&amp;$AG689,符文权重!$A:$A&amp;"_"&amp;符文权重!$C:$C,符文权重!$D:$D)*$X689/SUMIFS($X:$X,H:H,H689,$C:$C,$C689,$AG:$AG,$AG689)/SUMIF(符文权重!$A:$A,$C689,符文权重!$D:$D))),"")</f>
        <v/>
      </c>
      <c r="O689" s="39" t="str" cm="1">
        <f t="array" ref="O689">IFERROR(IF($A689="","",IF(I689="","",_xlfn.XLOOKUP($C689&amp;"_"&amp;$AG689,符文权重!$A:$A&amp;"_"&amp;符文权重!$C:$C,符文权重!$D:$D)*$X689/SUMIFS($X:$X,I:I,I689,$C:$C,$C689,$AG:$AG,$AG689)/SUMIF(符文权重!$A:$A,$C689,符文权重!$D:$D))),"")</f>
        <v/>
      </c>
      <c r="P689" s="39" t="str" cm="1">
        <f t="array" ref="P689">IFERROR(IF($A689="","",IF(J689="","",_xlfn.XLOOKUP($C689&amp;"_"&amp;$AG689,符文权重!$A:$A&amp;"_"&amp;符文权重!$C:$C,符文权重!$D:$D)*$X689/SUMIFS($X:$X,J:J,J689,$C:$C,$C689,$AG:$AG,$AG689)/SUMIF(符文权重!$A:$A,$C689,符文权重!$D:$D))),"")</f>
        <v/>
      </c>
      <c r="Q689" s="39" cm="1">
        <f t="array" ref="Q689">IFERROR(IF($A689="","",IF(K689="","",_xlfn.XLOOKUP($C689&amp;"_"&amp;$AG689,符文权重!$A:$A&amp;"_"&amp;符文权重!$C:$C,符文权重!$D:$D)*$X689/SUMIFS($X:$X,K:K,K689,$C:$C,$C689,$AG:$AG,$AG689)/SUMIF(符文权重!$A:$A,$C689,符文权重!$D:$D))),"")</f>
        <v>0.009375</v>
      </c>
      <c r="R689" s="25" t="s">
        <v>330</v>
      </c>
      <c r="S689" s="25" t="s">
        <v>782</v>
      </c>
      <c r="T689" s="25" t="s">
        <v>391</v>
      </c>
      <c r="U689" s="25" t="s">
        <v>794</v>
      </c>
      <c r="W689" s="25" t="s">
        <v>757</v>
      </c>
      <c r="X689" s="25">
        <v>100</v>
      </c>
      <c r="Z689" s="25" t="s">
        <v>176</v>
      </c>
      <c r="AA689" s="32" t="str">
        <f t="shared" si="288"/>
        <v>镭射眼对主目标的敌人造成暴击时，会额外造成最大生命值的10%伤害（560%攻击力上限）</v>
      </c>
      <c r="AB689" s="32"/>
      <c r="AC689" s="32" t="s">
        <v>166</v>
      </c>
      <c r="AD689" s="32">
        <f t="shared" si="286"/>
        <v>1684</v>
      </c>
      <c r="AE689" s="25">
        <v>5301262</v>
      </c>
      <c r="AF689" s="25" t="s">
        <v>390</v>
      </c>
      <c r="AG689" s="25">
        <v>4</v>
      </c>
      <c r="AJ689" s="25">
        <v>1</v>
      </c>
      <c r="AK689" s="26"/>
      <c r="AL689" s="25" t="s">
        <v>795</v>
      </c>
      <c r="AM689" s="26"/>
      <c r="AN689" s="25">
        <v>4</v>
      </c>
      <c r="AO689" s="25" t="s">
        <v>32</v>
      </c>
      <c r="AP689" s="20">
        <f t="shared" si="287"/>
        <v>684</v>
      </c>
    </row>
    <row r="690" s="20" customFormat="1" customHeight="1" spans="1:42">
      <c r="A690" s="25">
        <v>5510356</v>
      </c>
      <c r="B690" s="25">
        <v>5301262</v>
      </c>
      <c r="C690" s="25">
        <v>6</v>
      </c>
      <c r="D690" s="25"/>
      <c r="E690" s="25" t="s">
        <v>209</v>
      </c>
      <c r="F690" s="26" t="str">
        <f t="shared" si="285"/>
        <v/>
      </c>
      <c r="G690" s="26" t="str">
        <f>IFERROR(IF(--MID($E690,2*COUNTIF($F690:F690,"&gt;"&amp;0)+2,1)=G$1,G$1,""),"")</f>
        <v/>
      </c>
      <c r="H690" s="26" t="str">
        <f>IFERROR(IF(--MID($E690,2*COUNTIF($F690:G690,"&gt;"&amp;0)+2,1)=H$1,H$1,""),"")</f>
        <v/>
      </c>
      <c r="I690" s="26" t="str">
        <f>IFERROR(IF(--MID($E690,2*COUNTIF($F690:H690,"&gt;"&amp;0)+2,1)=I$1,I$1,""),"")</f>
        <v/>
      </c>
      <c r="J690" s="26" t="str">
        <f>IFERROR(IF(--MID($E690,2*COUNTIF($F690:I690,"&gt;"&amp;0)+2,1)=J$1,J$1,""),"")</f>
        <v/>
      </c>
      <c r="K690" s="26">
        <f>IFERROR(IF(--MID($E690,2*COUNTIF($F690:J690,"&gt;"&amp;0)+2,1)=K$1,K$1,""),"")</f>
        <v>6</v>
      </c>
      <c r="L690" s="39" t="str" cm="1">
        <f t="array" ref="L690">IFERROR(IF($A690="","",IF(F690="","",_xlfn.XLOOKUP($C690&amp;"_"&amp;$AG690,符文权重!$A:$A&amp;"_"&amp;符文权重!$C:$C,符文权重!$D:$D)*$X690/SUMIFS($X:$X,F:F,F690,$C:$C,$C690,$AG:$AG,$AG690)/SUMIF(符文权重!$A:$A,$C690,符文权重!$D:$D))),"")</f>
        <v/>
      </c>
      <c r="M690" s="39" t="str" cm="1">
        <f t="array" ref="M690">IFERROR(IF($A690="","",IF(G690="","",_xlfn.XLOOKUP($C690&amp;"_"&amp;$AG690,符文权重!$A:$A&amp;"_"&amp;符文权重!$C:$C,符文权重!$D:$D)*$X690/SUMIFS($X:$X,G:G,G690,$C:$C,$C690,$AG:$AG,$AG690)/SUMIF(符文权重!$A:$A,$C690,符文权重!$D:$D))),"")</f>
        <v/>
      </c>
      <c r="N690" s="39" t="str" cm="1">
        <f t="array" ref="N690">IFERROR(IF($A690="","",IF(H690="","",_xlfn.XLOOKUP($C690&amp;"_"&amp;$AG690,符文权重!$A:$A&amp;"_"&amp;符文权重!$C:$C,符文权重!$D:$D)*$X690/SUMIFS($X:$X,H:H,H690,$C:$C,$C690,$AG:$AG,$AG690)/SUMIF(符文权重!$A:$A,$C690,符文权重!$D:$D))),"")</f>
        <v/>
      </c>
      <c r="O690" s="39" t="str" cm="1">
        <f t="array" ref="O690">IFERROR(IF($A690="","",IF(I690="","",_xlfn.XLOOKUP($C690&amp;"_"&amp;$AG690,符文权重!$A:$A&amp;"_"&amp;符文权重!$C:$C,符文权重!$D:$D)*$X690/SUMIFS($X:$X,I:I,I690,$C:$C,$C690,$AG:$AG,$AG690)/SUMIF(符文权重!$A:$A,$C690,符文权重!$D:$D))),"")</f>
        <v/>
      </c>
      <c r="P690" s="39" t="str" cm="1">
        <f t="array" ref="P690">IFERROR(IF($A690="","",IF(J690="","",_xlfn.XLOOKUP($C690&amp;"_"&amp;$AG690,符文权重!$A:$A&amp;"_"&amp;符文权重!$C:$C,符文权重!$D:$D)*$X690/SUMIFS($X:$X,J:J,J690,$C:$C,$C690,$AG:$AG,$AG690)/SUMIF(符文权重!$A:$A,$C690,符文权重!$D:$D))),"")</f>
        <v/>
      </c>
      <c r="Q690" s="39" cm="1">
        <f t="array" ref="Q690">IFERROR(IF($A690="","",IF(K690="","",_xlfn.XLOOKUP($C690&amp;"_"&amp;$AG690,符文权重!$A:$A&amp;"_"&amp;符文权重!$C:$C,符文权重!$D:$D)*$X690/SUMIFS($X:$X,K:K,K690,$C:$C,$C690,$AG:$AG,$AG690)/SUMIF(符文权重!$A:$A,$C690,符文权重!$D:$D))),"")</f>
        <v>0.009375</v>
      </c>
      <c r="R690" s="25" t="s">
        <v>330</v>
      </c>
      <c r="S690" s="25" t="s">
        <v>782</v>
      </c>
      <c r="T690" s="25" t="s">
        <v>394</v>
      </c>
      <c r="U690" s="25" t="s">
        <v>796</v>
      </c>
      <c r="W690" s="25" t="s">
        <v>760</v>
      </c>
      <c r="X690" s="25">
        <v>100</v>
      </c>
      <c r="Z690" s="25" t="s">
        <v>178</v>
      </c>
      <c r="AA690" s="32" t="str">
        <f t="shared" si="288"/>
        <v>镭射眼对主目标的敌人造成暴击时，会额外造成最大生命值的13%伤害（720%攻击力上限）</v>
      </c>
      <c r="AB690" s="32"/>
      <c r="AC690" s="32" t="s">
        <v>166</v>
      </c>
      <c r="AD690" s="32">
        <f t="shared" si="286"/>
        <v>1685</v>
      </c>
      <c r="AE690" s="25">
        <v>5301262</v>
      </c>
      <c r="AF690" s="25" t="s">
        <v>797</v>
      </c>
      <c r="AG690" s="25">
        <v>4</v>
      </c>
      <c r="AJ690" s="25">
        <v>1</v>
      </c>
      <c r="AK690" s="26"/>
      <c r="AL690" s="25" t="s">
        <v>798</v>
      </c>
      <c r="AM690" s="26"/>
      <c r="AN690" s="25">
        <v>4</v>
      </c>
      <c r="AO690" s="25" t="s">
        <v>32</v>
      </c>
      <c r="AP690" s="20">
        <f t="shared" si="287"/>
        <v>685</v>
      </c>
    </row>
    <row r="691" s="20" customFormat="1" customHeight="1" spans="1:42">
      <c r="A691" s="25">
        <v>5510357</v>
      </c>
      <c r="B691" s="25">
        <v>5301262</v>
      </c>
      <c r="C691" s="25">
        <v>7</v>
      </c>
      <c r="D691" s="25"/>
      <c r="E691" s="25" t="s">
        <v>209</v>
      </c>
      <c r="F691" s="26" t="str">
        <f t="shared" si="285"/>
        <v/>
      </c>
      <c r="G691" s="26" t="str">
        <f>IFERROR(IF(--MID($E691,2*COUNTIF($F691:F691,"&gt;"&amp;0)+2,1)=G$1,G$1,""),"")</f>
        <v/>
      </c>
      <c r="H691" s="26" t="str">
        <f>IFERROR(IF(--MID($E691,2*COUNTIF($F691:G691,"&gt;"&amp;0)+2,1)=H$1,H$1,""),"")</f>
        <v/>
      </c>
      <c r="I691" s="26" t="str">
        <f>IFERROR(IF(--MID($E691,2*COUNTIF($F691:H691,"&gt;"&amp;0)+2,1)=I$1,I$1,""),"")</f>
        <v/>
      </c>
      <c r="J691" s="26" t="str">
        <f>IFERROR(IF(--MID($E691,2*COUNTIF($F691:I691,"&gt;"&amp;0)+2,1)=J$1,J$1,""),"")</f>
        <v/>
      </c>
      <c r="K691" s="26">
        <f>IFERROR(IF(--MID($E691,2*COUNTIF($F691:J691,"&gt;"&amp;0)+2,1)=K$1,K$1,""),"")</f>
        <v>6</v>
      </c>
      <c r="L691" s="39" t="str" cm="1">
        <f t="array" ref="L691">IFERROR(IF($A691="","",IF(F691="","",_xlfn.XLOOKUP($C691&amp;"_"&amp;$AG691,符文权重!$A:$A&amp;"_"&amp;符文权重!$C:$C,符文权重!$D:$D)*$X691/SUMIFS($X:$X,F:F,F691,$C:$C,$C691,$AG:$AG,$AG691)/SUMIF(符文权重!$A:$A,$C691,符文权重!$D:$D))),"")</f>
        <v/>
      </c>
      <c r="M691" s="39" t="str" cm="1">
        <f t="array" ref="M691">IFERROR(IF($A691="","",IF(G691="","",_xlfn.XLOOKUP($C691&amp;"_"&amp;$AG691,符文权重!$A:$A&amp;"_"&amp;符文权重!$C:$C,符文权重!$D:$D)*$X691/SUMIFS($X:$X,G:G,G691,$C:$C,$C691,$AG:$AG,$AG691)/SUMIF(符文权重!$A:$A,$C691,符文权重!$D:$D))),"")</f>
        <v/>
      </c>
      <c r="N691" s="39" t="str" cm="1">
        <f t="array" ref="N691">IFERROR(IF($A691="","",IF(H691="","",_xlfn.XLOOKUP($C691&amp;"_"&amp;$AG691,符文权重!$A:$A&amp;"_"&amp;符文权重!$C:$C,符文权重!$D:$D)*$X691/SUMIFS($X:$X,H:H,H691,$C:$C,$C691,$AG:$AG,$AG691)/SUMIF(符文权重!$A:$A,$C691,符文权重!$D:$D))),"")</f>
        <v/>
      </c>
      <c r="O691" s="39" t="str" cm="1">
        <f t="array" ref="O691">IFERROR(IF($A691="","",IF(I691="","",_xlfn.XLOOKUP($C691&amp;"_"&amp;$AG691,符文权重!$A:$A&amp;"_"&amp;符文权重!$C:$C,符文权重!$D:$D)*$X691/SUMIFS($X:$X,I:I,I691,$C:$C,$C691,$AG:$AG,$AG691)/SUMIF(符文权重!$A:$A,$C691,符文权重!$D:$D))),"")</f>
        <v/>
      </c>
      <c r="P691" s="39" t="str" cm="1">
        <f t="array" ref="P691">IFERROR(IF($A691="","",IF(J691="","",_xlfn.XLOOKUP($C691&amp;"_"&amp;$AG691,符文权重!$A:$A&amp;"_"&amp;符文权重!$C:$C,符文权重!$D:$D)*$X691/SUMIFS($X:$X,J:J,J691,$C:$C,$C691,$AG:$AG,$AG691)/SUMIF(符文权重!$A:$A,$C691,符文权重!$D:$D))),"")</f>
        <v/>
      </c>
      <c r="Q691" s="39" cm="1">
        <f t="array" ref="Q691">IFERROR(IF($A691="","",IF(K691="","",_xlfn.XLOOKUP($C691&amp;"_"&amp;$AG691,符文权重!$A:$A&amp;"_"&amp;符文权重!$C:$C,符文权重!$D:$D)*$X691/SUMIFS($X:$X,K:K,K691,$C:$C,$C691,$AG:$AG,$AG691)/SUMIF(符文权重!$A:$A,$C691,符文权重!$D:$D))),"")</f>
        <v>0.009375</v>
      </c>
      <c r="R691" s="25" t="s">
        <v>330</v>
      </c>
      <c r="S691" s="25" t="s">
        <v>782</v>
      </c>
      <c r="T691" s="25" t="s">
        <v>397</v>
      </c>
      <c r="U691" s="25" t="s">
        <v>799</v>
      </c>
      <c r="W691" s="25" t="s">
        <v>763</v>
      </c>
      <c r="X691" s="25">
        <v>100</v>
      </c>
      <c r="Z691" s="25" t="s">
        <v>180</v>
      </c>
      <c r="AA691" s="32" t="str">
        <f t="shared" si="288"/>
        <v>镭射眼对主目标的敌人造成暴击时，会额外造成最大生命值的16%伤害（900%攻击力上限）</v>
      </c>
      <c r="AB691" s="32"/>
      <c r="AC691" s="32" t="s">
        <v>166</v>
      </c>
      <c r="AD691" s="32">
        <f t="shared" si="286"/>
        <v>1686</v>
      </c>
      <c r="AE691" s="25">
        <v>5301262</v>
      </c>
      <c r="AF691" s="25" t="s">
        <v>654</v>
      </c>
      <c r="AG691" s="25">
        <v>4</v>
      </c>
      <c r="AJ691" s="25">
        <v>1</v>
      </c>
      <c r="AK691" s="26"/>
      <c r="AL691" s="25" t="s">
        <v>800</v>
      </c>
      <c r="AM691" s="26"/>
      <c r="AN691" s="25">
        <v>4</v>
      </c>
      <c r="AO691" s="25" t="s">
        <v>32</v>
      </c>
      <c r="AP691" s="20">
        <f t="shared" si="287"/>
        <v>686</v>
      </c>
    </row>
    <row r="692" s="20" customFormat="1" customHeight="1" spans="1:42">
      <c r="A692" s="25">
        <v>5510364</v>
      </c>
      <c r="B692" s="25">
        <v>5301263</v>
      </c>
      <c r="C692" s="26">
        <v>4</v>
      </c>
      <c r="D692" s="26"/>
      <c r="E692" s="25" t="s">
        <v>191</v>
      </c>
      <c r="F692" s="26">
        <f t="shared" si="285"/>
        <v>1</v>
      </c>
      <c r="G692" s="26" t="str">
        <f>IFERROR(IF(--MID($E692,2*COUNTIF($F692:F692,"&gt;"&amp;0)+2,1)=G$1,G$1,""),"")</f>
        <v/>
      </c>
      <c r="H692" s="26" t="str">
        <f>IFERROR(IF(--MID($E692,2*COUNTIF($F692:G692,"&gt;"&amp;0)+2,1)=H$1,H$1,""),"")</f>
        <v/>
      </c>
      <c r="I692" s="26" t="str">
        <f>IFERROR(IF(--MID($E692,2*COUNTIF($F692:H692,"&gt;"&amp;0)+2,1)=I$1,I$1,""),"")</f>
        <v/>
      </c>
      <c r="J692" s="26" t="str">
        <f>IFERROR(IF(--MID($E692,2*COUNTIF($F692:I692,"&gt;"&amp;0)+2,1)=J$1,J$1,""),"")</f>
        <v/>
      </c>
      <c r="K692" s="26" t="str">
        <f>IFERROR(IF(--MID($E692,2*COUNTIF($F692:J692,"&gt;"&amp;0)+2,1)=K$1,K$1,""),"")</f>
        <v/>
      </c>
      <c r="L692" s="39" cm="1">
        <f t="array" ref="L692">IFERROR(IF($A692="","",IF(F692="","",_xlfn.XLOOKUP($C692&amp;"_"&amp;$AG692,符文权重!$A:$A&amp;"_"&amp;符文权重!$C:$C,符文权重!$D:$D)*$X692/SUMIFS($X:$X,F:F,F692,$C:$C,$C692,$AG:$AG,$AG692)/SUMIF(符文权重!$A:$A,$C692,符文权重!$D:$D))),"")</f>
        <v>0.00333333333333333</v>
      </c>
      <c r="M692" s="39" t="str" cm="1">
        <f t="array" ref="M692">IFERROR(IF($A692="","",IF(G692="","",_xlfn.XLOOKUP($C692&amp;"_"&amp;$AG692,符文权重!$A:$A&amp;"_"&amp;符文权重!$C:$C,符文权重!$D:$D)*$X692/SUMIFS($X:$X,G:G,G692,$C:$C,$C692,$AG:$AG,$AG692)/SUMIF(符文权重!$A:$A,$C692,符文权重!$D:$D))),"")</f>
        <v/>
      </c>
      <c r="N692" s="39" t="str" cm="1">
        <f t="array" ref="N692">IFERROR(IF($A692="","",IF(H692="","",_xlfn.XLOOKUP($C692&amp;"_"&amp;$AG692,符文权重!$A:$A&amp;"_"&amp;符文权重!$C:$C,符文权重!$D:$D)*$X692/SUMIFS($X:$X,H:H,H692,$C:$C,$C692,$AG:$AG,$AG692)/SUMIF(符文权重!$A:$A,$C692,符文权重!$D:$D))),"")</f>
        <v/>
      </c>
      <c r="O692" s="39" t="str" cm="1">
        <f t="array" ref="O692">IFERROR(IF($A692="","",IF(I692="","",_xlfn.XLOOKUP($C692&amp;"_"&amp;$AG692,符文权重!$A:$A&amp;"_"&amp;符文权重!$C:$C,符文权重!$D:$D)*$X692/SUMIFS($X:$X,I:I,I692,$C:$C,$C692,$AG:$AG,$AG692)/SUMIF(符文权重!$A:$A,$C692,符文权重!$D:$D))),"")</f>
        <v/>
      </c>
      <c r="P692" s="39" t="str" cm="1">
        <f t="array" ref="P692">IFERROR(IF($A692="","",IF(J692="","",_xlfn.XLOOKUP($C692&amp;"_"&amp;$AG692,符文权重!$A:$A&amp;"_"&amp;符文权重!$C:$C,符文权重!$D:$D)*$X692/SUMIFS($X:$X,J:J,J692,$C:$C,$C692,$AG:$AG,$AG692)/SUMIF(符文权重!$A:$A,$C692,符文权重!$D:$D))),"")</f>
        <v/>
      </c>
      <c r="Q692" s="39" t="str" cm="1">
        <f t="array" ref="Q692">IFERROR(IF($A692="","",IF(K692="","",_xlfn.XLOOKUP($C692&amp;"_"&amp;$AG692,符文权重!$A:$A&amp;"_"&amp;符文权重!$C:$C,符文权重!$D:$D)*$X692/SUMIFS($X:$X,K:K,K692,$C:$C,$C692,$AG:$AG,$AG692)/SUMIF(符文权重!$A:$A,$C692,符文权重!$D:$D))),"")</f>
        <v/>
      </c>
      <c r="R692" s="26" t="s">
        <v>330</v>
      </c>
      <c r="S692" s="26" t="s">
        <v>782</v>
      </c>
      <c r="T692" s="26" t="s">
        <v>388</v>
      </c>
      <c r="U692" s="20" t="s">
        <v>801</v>
      </c>
      <c r="V692" s="26"/>
      <c r="W692" s="25" t="s">
        <v>754</v>
      </c>
      <c r="X692" s="25">
        <v>100</v>
      </c>
      <c r="Y692" s="25"/>
      <c r="Z692" s="26" t="s">
        <v>174</v>
      </c>
      <c r="AA692" s="32" t="str">
        <f t="shared" si="288"/>
        <v>镭射眼暴击时，大招的冷却降低0.5秒</v>
      </c>
      <c r="AB692" s="32"/>
      <c r="AC692" s="32" t="s">
        <v>166</v>
      </c>
      <c r="AD692" s="32">
        <f t="shared" si="286"/>
        <v>1687</v>
      </c>
      <c r="AE692" s="25">
        <v>5301263</v>
      </c>
      <c r="AF692" s="26" t="s">
        <v>802</v>
      </c>
      <c r="AG692" s="26">
        <v>8</v>
      </c>
      <c r="AH692" s="26"/>
      <c r="AI692" s="26"/>
      <c r="AJ692" s="26">
        <v>1</v>
      </c>
      <c r="AL692" s="32" t="s">
        <v>803</v>
      </c>
      <c r="AN692" s="25">
        <v>4</v>
      </c>
      <c r="AO692" s="25" t="s">
        <v>32</v>
      </c>
      <c r="AP692" s="20">
        <f t="shared" si="287"/>
        <v>687</v>
      </c>
    </row>
    <row r="693" s="20" customFormat="1" customHeight="1" spans="1:42">
      <c r="A693" s="25">
        <v>5510365</v>
      </c>
      <c r="B693" s="25">
        <v>5301263</v>
      </c>
      <c r="C693" s="25">
        <v>5</v>
      </c>
      <c r="D693" s="25"/>
      <c r="E693" s="25" t="s">
        <v>191</v>
      </c>
      <c r="F693" s="26">
        <f t="shared" si="285"/>
        <v>1</v>
      </c>
      <c r="G693" s="26" t="str">
        <f>IFERROR(IF(--MID($E693,2*COUNTIF($F693:F693,"&gt;"&amp;0)+2,1)=G$1,G$1,""),"")</f>
        <v/>
      </c>
      <c r="H693" s="26" t="str">
        <f>IFERROR(IF(--MID($E693,2*COUNTIF($F693:G693,"&gt;"&amp;0)+2,1)=H$1,H$1,""),"")</f>
        <v/>
      </c>
      <c r="I693" s="26" t="str">
        <f>IFERROR(IF(--MID($E693,2*COUNTIF($F693:H693,"&gt;"&amp;0)+2,1)=I$1,I$1,""),"")</f>
        <v/>
      </c>
      <c r="J693" s="26" t="str">
        <f>IFERROR(IF(--MID($E693,2*COUNTIF($F693:I693,"&gt;"&amp;0)+2,1)=J$1,J$1,""),"")</f>
        <v/>
      </c>
      <c r="K693" s="26" t="str">
        <f>IFERROR(IF(--MID($E693,2*COUNTIF($F693:J693,"&gt;"&amp;0)+2,1)=K$1,K$1,""),"")</f>
        <v/>
      </c>
      <c r="L693" s="39" cm="1">
        <f t="array" ref="L693">IFERROR(IF($A693="","",IF(F693="","",_xlfn.XLOOKUP($C693&amp;"_"&amp;$AG693,符文权重!$A:$A&amp;"_"&amp;符文权重!$C:$C,符文权重!$D:$D)*$X693/SUMIFS($X:$X,F:F,F693,$C:$C,$C693,$AG:$AG,$AG693)/SUMIF(符文权重!$A:$A,$C693,符文权重!$D:$D))),"")</f>
        <v>0.0115384615384615</v>
      </c>
      <c r="M693" s="39" t="str" cm="1">
        <f t="array" ref="M693">IFERROR(IF($A693="","",IF(G693="","",_xlfn.XLOOKUP($C693&amp;"_"&amp;$AG693,符文权重!$A:$A&amp;"_"&amp;符文权重!$C:$C,符文权重!$D:$D)*$X693/SUMIFS($X:$X,G:G,G693,$C:$C,$C693,$AG:$AG,$AG693)/SUMIF(符文权重!$A:$A,$C693,符文权重!$D:$D))),"")</f>
        <v/>
      </c>
      <c r="N693" s="39" t="str" cm="1">
        <f t="array" ref="N693">IFERROR(IF($A693="","",IF(H693="","",_xlfn.XLOOKUP($C693&amp;"_"&amp;$AG693,符文权重!$A:$A&amp;"_"&amp;符文权重!$C:$C,符文权重!$D:$D)*$X693/SUMIFS($X:$X,H:H,H693,$C:$C,$C693,$AG:$AG,$AG693)/SUMIF(符文权重!$A:$A,$C693,符文权重!$D:$D))),"")</f>
        <v/>
      </c>
      <c r="O693" s="39" t="str" cm="1">
        <f t="array" ref="O693">IFERROR(IF($A693="","",IF(I693="","",_xlfn.XLOOKUP($C693&amp;"_"&amp;$AG693,符文权重!$A:$A&amp;"_"&amp;符文权重!$C:$C,符文权重!$D:$D)*$X693/SUMIFS($X:$X,I:I,I693,$C:$C,$C693,$AG:$AG,$AG693)/SUMIF(符文权重!$A:$A,$C693,符文权重!$D:$D))),"")</f>
        <v/>
      </c>
      <c r="P693" s="39" t="str" cm="1">
        <f t="array" ref="P693">IFERROR(IF($A693="","",IF(J693="","",_xlfn.XLOOKUP($C693&amp;"_"&amp;$AG693,符文权重!$A:$A&amp;"_"&amp;符文权重!$C:$C,符文权重!$D:$D)*$X693/SUMIFS($X:$X,J:J,J693,$C:$C,$C693,$AG:$AG,$AG693)/SUMIF(符文权重!$A:$A,$C693,符文权重!$D:$D))),"")</f>
        <v/>
      </c>
      <c r="Q693" s="39" t="str" cm="1">
        <f t="array" ref="Q693">IFERROR(IF($A693="","",IF(K693="","",_xlfn.XLOOKUP($C693&amp;"_"&amp;$AG693,符文权重!$A:$A&amp;"_"&amp;符文权重!$C:$C,符文权重!$D:$D)*$X693/SUMIFS($X:$X,K:K,K693,$C:$C,$C693,$AG:$AG,$AG693)/SUMIF(符文权重!$A:$A,$C693,符文权重!$D:$D))),"")</f>
        <v/>
      </c>
      <c r="R693" s="25" t="s">
        <v>330</v>
      </c>
      <c r="S693" s="25" t="s">
        <v>782</v>
      </c>
      <c r="T693" s="25" t="s">
        <v>391</v>
      </c>
      <c r="U693" s="25" t="s">
        <v>804</v>
      </c>
      <c r="W693" s="25" t="s">
        <v>757</v>
      </c>
      <c r="X693" s="25">
        <v>100</v>
      </c>
      <c r="Z693" s="25" t="s">
        <v>176</v>
      </c>
      <c r="AA693" s="32" t="str">
        <f t="shared" si="288"/>
        <v>镭射眼暴击时，大招的冷却降低0.7秒</v>
      </c>
      <c r="AB693" s="32"/>
      <c r="AC693" s="32" t="s">
        <v>166</v>
      </c>
      <c r="AD693" s="32">
        <f t="shared" si="286"/>
        <v>1688</v>
      </c>
      <c r="AE693" s="25">
        <v>5301263</v>
      </c>
      <c r="AF693" s="25" t="s">
        <v>805</v>
      </c>
      <c r="AG693" s="25">
        <v>4</v>
      </c>
      <c r="AJ693" s="25">
        <v>1</v>
      </c>
      <c r="AK693" s="26"/>
      <c r="AL693" s="25" t="s">
        <v>806</v>
      </c>
      <c r="AM693" s="26"/>
      <c r="AN693" s="25">
        <v>4</v>
      </c>
      <c r="AO693" s="25" t="s">
        <v>32</v>
      </c>
      <c r="AP693" s="20">
        <f t="shared" si="287"/>
        <v>688</v>
      </c>
    </row>
    <row r="694" s="20" customFormat="1" customHeight="1" spans="1:42">
      <c r="A694" s="25">
        <v>5510366</v>
      </c>
      <c r="B694" s="25">
        <v>5301263</v>
      </c>
      <c r="C694" s="25">
        <v>6</v>
      </c>
      <c r="D694" s="25"/>
      <c r="E694" s="25" t="s">
        <v>191</v>
      </c>
      <c r="F694" s="26">
        <f t="shared" si="285"/>
        <v>1</v>
      </c>
      <c r="G694" s="26" t="str">
        <f>IFERROR(IF(--MID($E694,2*COUNTIF($F694:F694,"&gt;"&amp;0)+2,1)=G$1,G$1,""),"")</f>
        <v/>
      </c>
      <c r="H694" s="26" t="str">
        <f>IFERROR(IF(--MID($E694,2*COUNTIF($F694:G694,"&gt;"&amp;0)+2,1)=H$1,H$1,""),"")</f>
        <v/>
      </c>
      <c r="I694" s="26" t="str">
        <f>IFERROR(IF(--MID($E694,2*COUNTIF($F694:H694,"&gt;"&amp;0)+2,1)=I$1,I$1,""),"")</f>
        <v/>
      </c>
      <c r="J694" s="26" t="str">
        <f>IFERROR(IF(--MID($E694,2*COUNTIF($F694:I694,"&gt;"&amp;0)+2,1)=J$1,J$1,""),"")</f>
        <v/>
      </c>
      <c r="K694" s="26" t="str">
        <f>IFERROR(IF(--MID($E694,2*COUNTIF($F694:J694,"&gt;"&amp;0)+2,1)=K$1,K$1,""),"")</f>
        <v/>
      </c>
      <c r="L694" s="39" cm="1">
        <f t="array" ref="L694">IFERROR(IF($A694="","",IF(F694="","",_xlfn.XLOOKUP($C694&amp;"_"&amp;$AG694,符文权重!$A:$A&amp;"_"&amp;符文权重!$C:$C,符文权重!$D:$D)*$X694/SUMIFS($X:$X,F:F,F694,$C:$C,$C694,$AG:$AG,$AG694)/SUMIF(符文权重!$A:$A,$C694,符文权重!$D:$D))),"")</f>
        <v>0.0115384615384615</v>
      </c>
      <c r="M694" s="39" t="str" cm="1">
        <f t="array" ref="M694">IFERROR(IF($A694="","",IF(G694="","",_xlfn.XLOOKUP($C694&amp;"_"&amp;$AG694,符文权重!$A:$A&amp;"_"&amp;符文权重!$C:$C,符文权重!$D:$D)*$X694/SUMIFS($X:$X,G:G,G694,$C:$C,$C694,$AG:$AG,$AG694)/SUMIF(符文权重!$A:$A,$C694,符文权重!$D:$D))),"")</f>
        <v/>
      </c>
      <c r="N694" s="39" t="str" cm="1">
        <f t="array" ref="N694">IFERROR(IF($A694="","",IF(H694="","",_xlfn.XLOOKUP($C694&amp;"_"&amp;$AG694,符文权重!$A:$A&amp;"_"&amp;符文权重!$C:$C,符文权重!$D:$D)*$X694/SUMIFS($X:$X,H:H,H694,$C:$C,$C694,$AG:$AG,$AG694)/SUMIF(符文权重!$A:$A,$C694,符文权重!$D:$D))),"")</f>
        <v/>
      </c>
      <c r="O694" s="39" t="str" cm="1">
        <f t="array" ref="O694">IFERROR(IF($A694="","",IF(I694="","",_xlfn.XLOOKUP($C694&amp;"_"&amp;$AG694,符文权重!$A:$A&amp;"_"&amp;符文权重!$C:$C,符文权重!$D:$D)*$X694/SUMIFS($X:$X,I:I,I694,$C:$C,$C694,$AG:$AG,$AG694)/SUMIF(符文权重!$A:$A,$C694,符文权重!$D:$D))),"")</f>
        <v/>
      </c>
      <c r="P694" s="39" t="str" cm="1">
        <f t="array" ref="P694">IFERROR(IF($A694="","",IF(J694="","",_xlfn.XLOOKUP($C694&amp;"_"&amp;$AG694,符文权重!$A:$A&amp;"_"&amp;符文权重!$C:$C,符文权重!$D:$D)*$X694/SUMIFS($X:$X,J:J,J694,$C:$C,$C694,$AG:$AG,$AG694)/SUMIF(符文权重!$A:$A,$C694,符文权重!$D:$D))),"")</f>
        <v/>
      </c>
      <c r="Q694" s="39" t="str" cm="1">
        <f t="array" ref="Q694">IFERROR(IF($A694="","",IF(K694="","",_xlfn.XLOOKUP($C694&amp;"_"&amp;$AG694,符文权重!$A:$A&amp;"_"&amp;符文权重!$C:$C,符文权重!$D:$D)*$X694/SUMIFS($X:$X,K:K,K694,$C:$C,$C694,$AG:$AG,$AG694)/SUMIF(符文权重!$A:$A,$C694,符文权重!$D:$D))),"")</f>
        <v/>
      </c>
      <c r="R694" s="25" t="s">
        <v>330</v>
      </c>
      <c r="S694" s="25" t="s">
        <v>782</v>
      </c>
      <c r="T694" s="25" t="s">
        <v>394</v>
      </c>
      <c r="U694" s="25" t="s">
        <v>807</v>
      </c>
      <c r="W694" s="25" t="s">
        <v>760</v>
      </c>
      <c r="X694" s="25">
        <v>100</v>
      </c>
      <c r="Z694" s="25" t="s">
        <v>178</v>
      </c>
      <c r="AA694" s="32" t="str">
        <f t="shared" si="288"/>
        <v>镭射眼暴击时，大招的冷却降低0.9秒</v>
      </c>
      <c r="AB694" s="32"/>
      <c r="AC694" s="32" t="s">
        <v>166</v>
      </c>
      <c r="AD694" s="32">
        <f t="shared" si="286"/>
        <v>1689</v>
      </c>
      <c r="AE694" s="25">
        <v>5301263</v>
      </c>
      <c r="AF694" s="25" t="s">
        <v>808</v>
      </c>
      <c r="AG694" s="25">
        <v>4</v>
      </c>
      <c r="AJ694" s="25">
        <v>1</v>
      </c>
      <c r="AK694" s="26"/>
      <c r="AL694" s="25" t="s">
        <v>809</v>
      </c>
      <c r="AM694" s="26"/>
      <c r="AN694" s="25">
        <v>4</v>
      </c>
      <c r="AO694" s="25" t="s">
        <v>32</v>
      </c>
      <c r="AP694" s="20">
        <f t="shared" si="287"/>
        <v>689</v>
      </c>
    </row>
    <row r="695" s="20" customFormat="1" customHeight="1" spans="1:42">
      <c r="A695" s="25">
        <v>5510367</v>
      </c>
      <c r="B695" s="25">
        <v>5301263</v>
      </c>
      <c r="C695" s="25">
        <v>7</v>
      </c>
      <c r="D695" s="25"/>
      <c r="E695" s="25" t="s">
        <v>191</v>
      </c>
      <c r="F695" s="26">
        <f t="shared" si="285"/>
        <v>1</v>
      </c>
      <c r="G695" s="26" t="str">
        <f>IFERROR(IF(--MID($E695,2*COUNTIF($F695:F695,"&gt;"&amp;0)+2,1)=G$1,G$1,""),"")</f>
        <v/>
      </c>
      <c r="H695" s="26" t="str">
        <f>IFERROR(IF(--MID($E695,2*COUNTIF($F695:G695,"&gt;"&amp;0)+2,1)=H$1,H$1,""),"")</f>
        <v/>
      </c>
      <c r="I695" s="26" t="str">
        <f>IFERROR(IF(--MID($E695,2*COUNTIF($F695:H695,"&gt;"&amp;0)+2,1)=I$1,I$1,""),"")</f>
        <v/>
      </c>
      <c r="J695" s="26" t="str">
        <f>IFERROR(IF(--MID($E695,2*COUNTIF($F695:I695,"&gt;"&amp;0)+2,1)=J$1,J$1,""),"")</f>
        <v/>
      </c>
      <c r="K695" s="26" t="str">
        <f>IFERROR(IF(--MID($E695,2*COUNTIF($F695:J695,"&gt;"&amp;0)+2,1)=K$1,K$1,""),"")</f>
        <v/>
      </c>
      <c r="L695" s="39" cm="1">
        <f t="array" ref="L695">IFERROR(IF($A695="","",IF(F695="","",_xlfn.XLOOKUP($C695&amp;"_"&amp;$AG695,符文权重!$A:$A&amp;"_"&amp;符文权重!$C:$C,符文权重!$D:$D)*$X695/SUMIFS($X:$X,F:F,F695,$C:$C,$C695,$AG:$AG,$AG695)/SUMIF(符文权重!$A:$A,$C695,符文权重!$D:$D))),"")</f>
        <v>0.0115384615384615</v>
      </c>
      <c r="M695" s="39" t="str" cm="1">
        <f t="array" ref="M695">IFERROR(IF($A695="","",IF(G695="","",_xlfn.XLOOKUP($C695&amp;"_"&amp;$AG695,符文权重!$A:$A&amp;"_"&amp;符文权重!$C:$C,符文权重!$D:$D)*$X695/SUMIFS($X:$X,G:G,G695,$C:$C,$C695,$AG:$AG,$AG695)/SUMIF(符文权重!$A:$A,$C695,符文权重!$D:$D))),"")</f>
        <v/>
      </c>
      <c r="N695" s="39" t="str" cm="1">
        <f t="array" ref="N695">IFERROR(IF($A695="","",IF(H695="","",_xlfn.XLOOKUP($C695&amp;"_"&amp;$AG695,符文权重!$A:$A&amp;"_"&amp;符文权重!$C:$C,符文权重!$D:$D)*$X695/SUMIFS($X:$X,H:H,H695,$C:$C,$C695,$AG:$AG,$AG695)/SUMIF(符文权重!$A:$A,$C695,符文权重!$D:$D))),"")</f>
        <v/>
      </c>
      <c r="O695" s="39" t="str" cm="1">
        <f t="array" ref="O695">IFERROR(IF($A695="","",IF(I695="","",_xlfn.XLOOKUP($C695&amp;"_"&amp;$AG695,符文权重!$A:$A&amp;"_"&amp;符文权重!$C:$C,符文权重!$D:$D)*$X695/SUMIFS($X:$X,I:I,I695,$C:$C,$C695,$AG:$AG,$AG695)/SUMIF(符文权重!$A:$A,$C695,符文权重!$D:$D))),"")</f>
        <v/>
      </c>
      <c r="P695" s="39" t="str" cm="1">
        <f t="array" ref="P695">IFERROR(IF($A695="","",IF(J695="","",_xlfn.XLOOKUP($C695&amp;"_"&amp;$AG695,符文权重!$A:$A&amp;"_"&amp;符文权重!$C:$C,符文权重!$D:$D)*$X695/SUMIFS($X:$X,J:J,J695,$C:$C,$C695,$AG:$AG,$AG695)/SUMIF(符文权重!$A:$A,$C695,符文权重!$D:$D))),"")</f>
        <v/>
      </c>
      <c r="Q695" s="39" t="str" cm="1">
        <f t="array" ref="Q695">IFERROR(IF($A695="","",IF(K695="","",_xlfn.XLOOKUP($C695&amp;"_"&amp;$AG695,符文权重!$A:$A&amp;"_"&amp;符文权重!$C:$C,符文权重!$D:$D)*$X695/SUMIFS($X:$X,K:K,K695,$C:$C,$C695,$AG:$AG,$AG695)/SUMIF(符文权重!$A:$A,$C695,符文权重!$D:$D))),"")</f>
        <v/>
      </c>
      <c r="R695" s="25" t="s">
        <v>330</v>
      </c>
      <c r="S695" s="25" t="s">
        <v>782</v>
      </c>
      <c r="T695" s="25" t="s">
        <v>397</v>
      </c>
      <c r="U695" s="25" t="s">
        <v>810</v>
      </c>
      <c r="W695" s="25" t="s">
        <v>763</v>
      </c>
      <c r="X695" s="25">
        <v>100</v>
      </c>
      <c r="Z695" s="25" t="s">
        <v>180</v>
      </c>
      <c r="AA695" s="32" t="str">
        <f t="shared" si="288"/>
        <v>镭射眼暴击时，大招的冷却降低1.2秒</v>
      </c>
      <c r="AB695" s="32"/>
      <c r="AC695" s="32" t="s">
        <v>166</v>
      </c>
      <c r="AD695" s="32">
        <f t="shared" si="286"/>
        <v>1690</v>
      </c>
      <c r="AE695" s="25">
        <v>5301263</v>
      </c>
      <c r="AF695" s="25" t="s">
        <v>811</v>
      </c>
      <c r="AG695" s="25">
        <v>4</v>
      </c>
      <c r="AJ695" s="25">
        <v>1</v>
      </c>
      <c r="AK695" s="26"/>
      <c r="AL695" s="25" t="s">
        <v>812</v>
      </c>
      <c r="AM695" s="26"/>
      <c r="AN695" s="25">
        <v>4</v>
      </c>
      <c r="AO695" s="25" t="s">
        <v>32</v>
      </c>
      <c r="AP695" s="20">
        <f t="shared" si="287"/>
        <v>690</v>
      </c>
    </row>
    <row r="696" s="20" customFormat="1" customHeight="1" spans="1:42">
      <c r="A696" s="25">
        <v>5510374</v>
      </c>
      <c r="B696" s="25">
        <v>5301265</v>
      </c>
      <c r="C696" s="26">
        <v>4</v>
      </c>
      <c r="D696" s="26"/>
      <c r="E696" s="25" t="s">
        <v>375</v>
      </c>
      <c r="F696" s="26" t="str">
        <f t="shared" si="285"/>
        <v/>
      </c>
      <c r="G696" s="26" t="str">
        <f>IFERROR(IF(--MID($E696,2*COUNTIF($F696:F696,"&gt;"&amp;0)+2,1)=G$1,G$1,""),"")</f>
        <v/>
      </c>
      <c r="H696" s="26" t="str">
        <f>IFERROR(IF(--MID($E696,2*COUNTIF($F696:G696,"&gt;"&amp;0)+2,1)=H$1,H$1,""),"")</f>
        <v/>
      </c>
      <c r="I696" s="26">
        <f>IFERROR(IF(--MID($E696,2*COUNTIF($F696:H696,"&gt;"&amp;0)+2,1)=I$1,I$1,""),"")</f>
        <v>4</v>
      </c>
      <c r="J696" s="26" t="str">
        <f>IFERROR(IF(--MID($E696,2*COUNTIF($F696:I696,"&gt;"&amp;0)+2,1)=J$1,J$1,""),"")</f>
        <v/>
      </c>
      <c r="K696" s="26" t="str">
        <f>IFERROR(IF(--MID($E696,2*COUNTIF($F696:J696,"&gt;"&amp;0)+2,1)=K$1,K$1,""),"")</f>
        <v/>
      </c>
      <c r="L696" s="39" t="str" cm="1">
        <f t="array" ref="L696">IFERROR(IF($A696="","",IF(F696="","",_xlfn.XLOOKUP($C696&amp;"_"&amp;$AG696,符文权重!$A:$A&amp;"_"&amp;符文权重!$C:$C,符文权重!$D:$D)*$X696/SUMIFS($X:$X,F:F,F696,$C:$C,$C696,$AG:$AG,$AG696)/SUMIF(符文权重!$A:$A,$C696,符文权重!$D:$D))),"")</f>
        <v/>
      </c>
      <c r="M696" s="39" t="str" cm="1">
        <f t="array" ref="M696">IFERROR(IF($A696="","",IF(G696="","",_xlfn.XLOOKUP($C696&amp;"_"&amp;$AG696,符文权重!$A:$A&amp;"_"&amp;符文权重!$C:$C,符文权重!$D:$D)*$X696/SUMIFS($X:$X,G:G,G696,$C:$C,$C696,$AG:$AG,$AG696)/SUMIF(符文权重!$A:$A,$C696,符文权重!$D:$D))),"")</f>
        <v/>
      </c>
      <c r="N696" s="39" t="str" cm="1">
        <f t="array" ref="N696">IFERROR(IF($A696="","",IF(H696="","",_xlfn.XLOOKUP($C696&amp;"_"&amp;$AG696,符文权重!$A:$A&amp;"_"&amp;符文权重!$C:$C,符文权重!$D:$D)*$X696/SUMIFS($X:$X,H:H,H696,$C:$C,$C696,$AG:$AG,$AG696)/SUMIF(符文权重!$A:$A,$C696,符文权重!$D:$D))),"")</f>
        <v/>
      </c>
      <c r="O696" s="39" cm="1">
        <f t="array" ref="O696">IFERROR(IF($A696="","",IF(I696="","",_xlfn.XLOOKUP($C696&amp;"_"&amp;$AG696,符文权重!$A:$A&amp;"_"&amp;符文权重!$C:$C,符文权重!$D:$D)*$X696/SUMIFS($X:$X,I:I,I696,$C:$C,$C696,$AG:$AG,$AG696)/SUMIF(符文权重!$A:$A,$C696,符文权重!$D:$D))),"")</f>
        <v>0.0025</v>
      </c>
      <c r="P696" s="39" t="str" cm="1">
        <f t="array" ref="P696">IFERROR(IF($A696="","",IF(J696="","",_xlfn.XLOOKUP($C696&amp;"_"&amp;$AG696,符文权重!$A:$A&amp;"_"&amp;符文权重!$C:$C,符文权重!$D:$D)*$X696/SUMIFS($X:$X,J:J,J696,$C:$C,$C696,$AG:$AG,$AG696)/SUMIF(符文权重!$A:$A,$C696,符文权重!$D:$D))),"")</f>
        <v/>
      </c>
      <c r="Q696" s="39" t="str" cm="1">
        <f t="array" ref="Q696">IFERROR(IF($A696="","",IF(K696="","",_xlfn.XLOOKUP($C696&amp;"_"&amp;$AG696,符文权重!$A:$A&amp;"_"&amp;符文权重!$C:$C,符文权重!$D:$D)*$X696/SUMIFS($X:$X,K:K,K696,$C:$C,$C696,$AG:$AG,$AG696)/SUMIF(符文权重!$A:$A,$C696,符文权重!$D:$D))),"")</f>
        <v/>
      </c>
      <c r="R696" s="26" t="s">
        <v>330</v>
      </c>
      <c r="S696" s="26" t="s">
        <v>813</v>
      </c>
      <c r="T696" s="26" t="s">
        <v>388</v>
      </c>
      <c r="U696" s="20" t="s">
        <v>814</v>
      </c>
      <c r="V696" s="26"/>
      <c r="W696" s="25" t="s">
        <v>540</v>
      </c>
      <c r="X696" s="25">
        <v>100</v>
      </c>
      <c r="Y696" s="25"/>
      <c r="Z696" s="26" t="s">
        <v>174</v>
      </c>
      <c r="AA696" s="32" t="str">
        <f t="shared" si="288"/>
        <v>被神灯王子复活的梦灵，免疫所有伤害1秒（最多生效4次）</v>
      </c>
      <c r="AB696" s="32"/>
      <c r="AC696" s="32" t="s">
        <v>166</v>
      </c>
      <c r="AD696" s="32">
        <f t="shared" si="286"/>
        <v>1691</v>
      </c>
      <c r="AE696" s="25">
        <v>5301265</v>
      </c>
      <c r="AF696" s="26" t="s">
        <v>191</v>
      </c>
      <c r="AG696" s="26">
        <v>8</v>
      </c>
      <c r="AH696" s="26"/>
      <c r="AI696" s="26"/>
      <c r="AJ696" s="26">
        <v>1</v>
      </c>
      <c r="AK696" s="26"/>
      <c r="AL696" s="26" t="s">
        <v>815</v>
      </c>
      <c r="AM696" s="26"/>
      <c r="AN696" s="25">
        <v>4</v>
      </c>
      <c r="AO696" s="25" t="s">
        <v>28</v>
      </c>
      <c r="AP696" s="20">
        <f t="shared" si="287"/>
        <v>691</v>
      </c>
    </row>
    <row r="697" s="20" customFormat="1" customHeight="1" spans="1:42">
      <c r="A697" s="25">
        <v>5510375</v>
      </c>
      <c r="B697" s="25">
        <v>5301265</v>
      </c>
      <c r="C697" s="25">
        <v>5</v>
      </c>
      <c r="D697" s="25"/>
      <c r="E697" s="25" t="s">
        <v>375</v>
      </c>
      <c r="F697" s="26" t="str">
        <f t="shared" si="285"/>
        <v/>
      </c>
      <c r="G697" s="26" t="str">
        <f>IFERROR(IF(--MID($E697,2*COUNTIF($F697:F697,"&gt;"&amp;0)+2,1)=G$1,G$1,""),"")</f>
        <v/>
      </c>
      <c r="H697" s="26" t="str">
        <f>IFERROR(IF(--MID($E697,2*COUNTIF($F697:G697,"&gt;"&amp;0)+2,1)=H$1,H$1,""),"")</f>
        <v/>
      </c>
      <c r="I697" s="26">
        <f>IFERROR(IF(--MID($E697,2*COUNTIF($F697:H697,"&gt;"&amp;0)+2,1)=I$1,I$1,""),"")</f>
        <v>4</v>
      </c>
      <c r="J697" s="26" t="str">
        <f>IFERROR(IF(--MID($E697,2*COUNTIF($F697:I697,"&gt;"&amp;0)+2,1)=J$1,J$1,""),"")</f>
        <v/>
      </c>
      <c r="K697" s="26" t="str">
        <f>IFERROR(IF(--MID($E697,2*COUNTIF($F697:J697,"&gt;"&amp;0)+2,1)=K$1,K$1,""),"")</f>
        <v/>
      </c>
      <c r="L697" s="39" t="str" cm="1">
        <f t="array" ref="L697">IFERROR(IF($A697="","",IF(F697="","",_xlfn.XLOOKUP($C697&amp;"_"&amp;$AG697,符文权重!$A:$A&amp;"_"&amp;符文权重!$C:$C,符文权重!$D:$D)*$X697/SUMIFS($X:$X,F:F,F697,$C:$C,$C697,$AG:$AG,$AG697)/SUMIF(符文权重!$A:$A,$C697,符文权重!$D:$D))),"")</f>
        <v/>
      </c>
      <c r="M697" s="39" t="str" cm="1">
        <f t="array" ref="M697">IFERROR(IF($A697="","",IF(G697="","",_xlfn.XLOOKUP($C697&amp;"_"&amp;$AG697,符文权重!$A:$A&amp;"_"&amp;符文权重!$C:$C,符文权重!$D:$D)*$X697/SUMIFS($X:$X,G:G,G697,$C:$C,$C697,$AG:$AG,$AG697)/SUMIF(符文权重!$A:$A,$C697,符文权重!$D:$D))),"")</f>
        <v/>
      </c>
      <c r="N697" s="39" t="str" cm="1">
        <f t="array" ref="N697">IFERROR(IF($A697="","",IF(H697="","",_xlfn.XLOOKUP($C697&amp;"_"&amp;$AG697,符文权重!$A:$A&amp;"_"&amp;符文权重!$C:$C,符文权重!$D:$D)*$X697/SUMIFS($X:$X,H:H,H697,$C:$C,$C697,$AG:$AG,$AG697)/SUMIF(符文权重!$A:$A,$C697,符文权重!$D:$D))),"")</f>
        <v/>
      </c>
      <c r="O697" s="39" cm="1">
        <f t="array" ref="O697">IFERROR(IF($A697="","",IF(I697="","",_xlfn.XLOOKUP($C697&amp;"_"&amp;$AG697,符文权重!$A:$A&amp;"_"&amp;符文权重!$C:$C,符文权重!$D:$D)*$X697/SUMIFS($X:$X,I:I,I697,$C:$C,$C697,$AG:$AG,$AG697)/SUMIF(符文权重!$A:$A,$C697,符文权重!$D:$D))),"")</f>
        <v>0.009375</v>
      </c>
      <c r="P697" s="39" t="str" cm="1">
        <f t="array" ref="P697">IFERROR(IF($A697="","",IF(J697="","",_xlfn.XLOOKUP($C697&amp;"_"&amp;$AG697,符文权重!$A:$A&amp;"_"&amp;符文权重!$C:$C,符文权重!$D:$D)*$X697/SUMIFS($X:$X,J:J,J697,$C:$C,$C697,$AG:$AG,$AG697)/SUMIF(符文权重!$A:$A,$C697,符文权重!$D:$D))),"")</f>
        <v/>
      </c>
      <c r="Q697" s="39" t="str" cm="1">
        <f t="array" ref="Q697">IFERROR(IF($A697="","",IF(K697="","",_xlfn.XLOOKUP($C697&amp;"_"&amp;$AG697,符文权重!$A:$A&amp;"_"&amp;符文权重!$C:$C,符文权重!$D:$D)*$X697/SUMIFS($X:$X,K:K,K697,$C:$C,$C697,$AG:$AG,$AG697)/SUMIF(符文权重!$A:$A,$C697,符文权重!$D:$D))),"")</f>
        <v/>
      </c>
      <c r="R697" s="25" t="s">
        <v>330</v>
      </c>
      <c r="S697" s="25" t="s">
        <v>813</v>
      </c>
      <c r="T697" s="25" t="s">
        <v>391</v>
      </c>
      <c r="U697" s="25" t="s">
        <v>816</v>
      </c>
      <c r="W697" s="25" t="s">
        <v>728</v>
      </c>
      <c r="X697" s="25">
        <v>100</v>
      </c>
      <c r="Z697" s="25" t="s">
        <v>176</v>
      </c>
      <c r="AA697" s="32" t="str">
        <f t="shared" si="288"/>
        <v>被神灯王子复活的梦灵，免疫所有伤害3秒（最多生效4次）</v>
      </c>
      <c r="AB697" s="32"/>
      <c r="AC697" s="32" t="s">
        <v>166</v>
      </c>
      <c r="AD697" s="32">
        <f t="shared" si="286"/>
        <v>1692</v>
      </c>
      <c r="AE697" s="25">
        <v>5301265</v>
      </c>
      <c r="AF697" s="25" t="s">
        <v>182</v>
      </c>
      <c r="AG697" s="25">
        <v>4</v>
      </c>
      <c r="AJ697" s="25">
        <v>1</v>
      </c>
      <c r="AK697" s="26"/>
      <c r="AL697" s="25" t="s">
        <v>817</v>
      </c>
      <c r="AM697" s="26"/>
      <c r="AN697" s="25">
        <v>4</v>
      </c>
      <c r="AO697" s="25" t="s">
        <v>28</v>
      </c>
      <c r="AP697" s="20">
        <f t="shared" si="287"/>
        <v>692</v>
      </c>
    </row>
    <row r="698" s="20" customFormat="1" customHeight="1" spans="1:42">
      <c r="A698" s="25">
        <v>5510376</v>
      </c>
      <c r="B698" s="25">
        <v>5301265</v>
      </c>
      <c r="C698" s="25">
        <v>6</v>
      </c>
      <c r="D698" s="25"/>
      <c r="E698" s="25" t="s">
        <v>375</v>
      </c>
      <c r="F698" s="26" t="str">
        <f t="shared" si="285"/>
        <v/>
      </c>
      <c r="G698" s="26" t="str">
        <f>IFERROR(IF(--MID($E698,2*COUNTIF($F698:F698,"&gt;"&amp;0)+2,1)=G$1,G$1,""),"")</f>
        <v/>
      </c>
      <c r="H698" s="26" t="str">
        <f>IFERROR(IF(--MID($E698,2*COUNTIF($F698:G698,"&gt;"&amp;0)+2,1)=H$1,H$1,""),"")</f>
        <v/>
      </c>
      <c r="I698" s="26">
        <f>IFERROR(IF(--MID($E698,2*COUNTIF($F698:H698,"&gt;"&amp;0)+2,1)=I$1,I$1,""),"")</f>
        <v>4</v>
      </c>
      <c r="J698" s="26" t="str">
        <f>IFERROR(IF(--MID($E698,2*COUNTIF($F698:I698,"&gt;"&amp;0)+2,1)=J$1,J$1,""),"")</f>
        <v/>
      </c>
      <c r="K698" s="26" t="str">
        <f>IFERROR(IF(--MID($E698,2*COUNTIF($F698:J698,"&gt;"&amp;0)+2,1)=K$1,K$1,""),"")</f>
        <v/>
      </c>
      <c r="L698" s="39" t="str" cm="1">
        <f t="array" ref="L698">IFERROR(IF($A698="","",IF(F698="","",_xlfn.XLOOKUP($C698&amp;"_"&amp;$AG698,符文权重!$A:$A&amp;"_"&amp;符文权重!$C:$C,符文权重!$D:$D)*$X698/SUMIFS($X:$X,F:F,F698,$C:$C,$C698,$AG:$AG,$AG698)/SUMIF(符文权重!$A:$A,$C698,符文权重!$D:$D))),"")</f>
        <v/>
      </c>
      <c r="M698" s="39" t="str" cm="1">
        <f t="array" ref="M698">IFERROR(IF($A698="","",IF(G698="","",_xlfn.XLOOKUP($C698&amp;"_"&amp;$AG698,符文权重!$A:$A&amp;"_"&amp;符文权重!$C:$C,符文权重!$D:$D)*$X698/SUMIFS($X:$X,G:G,G698,$C:$C,$C698,$AG:$AG,$AG698)/SUMIF(符文权重!$A:$A,$C698,符文权重!$D:$D))),"")</f>
        <v/>
      </c>
      <c r="N698" s="39" t="str" cm="1">
        <f t="array" ref="N698">IFERROR(IF($A698="","",IF(H698="","",_xlfn.XLOOKUP($C698&amp;"_"&amp;$AG698,符文权重!$A:$A&amp;"_"&amp;符文权重!$C:$C,符文权重!$D:$D)*$X698/SUMIFS($X:$X,H:H,H698,$C:$C,$C698,$AG:$AG,$AG698)/SUMIF(符文权重!$A:$A,$C698,符文权重!$D:$D))),"")</f>
        <v/>
      </c>
      <c r="O698" s="39" cm="1">
        <f t="array" ref="O698">IFERROR(IF($A698="","",IF(I698="","",_xlfn.XLOOKUP($C698&amp;"_"&amp;$AG698,符文权重!$A:$A&amp;"_"&amp;符文权重!$C:$C,符文权重!$D:$D)*$X698/SUMIFS($X:$X,I:I,I698,$C:$C,$C698,$AG:$AG,$AG698)/SUMIF(符文权重!$A:$A,$C698,符文权重!$D:$D))),"")</f>
        <v>0.009375</v>
      </c>
      <c r="P698" s="39" t="str" cm="1">
        <f t="array" ref="P698">IFERROR(IF($A698="","",IF(J698="","",_xlfn.XLOOKUP($C698&amp;"_"&amp;$AG698,符文权重!$A:$A&amp;"_"&amp;符文权重!$C:$C,符文权重!$D:$D)*$X698/SUMIFS($X:$X,J:J,J698,$C:$C,$C698,$AG:$AG,$AG698)/SUMIF(符文权重!$A:$A,$C698,符文权重!$D:$D))),"")</f>
        <v/>
      </c>
      <c r="Q698" s="39" t="str" cm="1">
        <f t="array" ref="Q698">IFERROR(IF($A698="","",IF(K698="","",_xlfn.XLOOKUP($C698&amp;"_"&amp;$AG698,符文权重!$A:$A&amp;"_"&amp;符文权重!$C:$C,符文权重!$D:$D)*$X698/SUMIFS($X:$X,K:K,K698,$C:$C,$C698,$AG:$AG,$AG698)/SUMIF(符文权重!$A:$A,$C698,符文权重!$D:$D))),"")</f>
        <v/>
      </c>
      <c r="R698" s="25" t="s">
        <v>330</v>
      </c>
      <c r="S698" s="25" t="s">
        <v>813</v>
      </c>
      <c r="T698" s="25" t="s">
        <v>394</v>
      </c>
      <c r="U698" s="25" t="s">
        <v>818</v>
      </c>
      <c r="W698" s="25" t="s">
        <v>599</v>
      </c>
      <c r="X698" s="25">
        <v>100</v>
      </c>
      <c r="Z698" s="25" t="s">
        <v>178</v>
      </c>
      <c r="AA698" s="32" t="str">
        <f t="shared" si="288"/>
        <v>被神灯王子复活的梦灵，免疫所有伤害5秒（最多生效4次）</v>
      </c>
      <c r="AB698" s="32"/>
      <c r="AC698" s="32" t="s">
        <v>166</v>
      </c>
      <c r="AD698" s="32">
        <f t="shared" si="286"/>
        <v>1693</v>
      </c>
      <c r="AE698" s="25">
        <v>5301265</v>
      </c>
      <c r="AF698" s="25" t="s">
        <v>218</v>
      </c>
      <c r="AG698" s="25">
        <v>4</v>
      </c>
      <c r="AJ698" s="25">
        <v>1</v>
      </c>
      <c r="AL698" s="25" t="s">
        <v>819</v>
      </c>
      <c r="AN698" s="25">
        <v>4</v>
      </c>
      <c r="AO698" s="25" t="s">
        <v>28</v>
      </c>
      <c r="AP698" s="20">
        <f t="shared" si="287"/>
        <v>693</v>
      </c>
    </row>
    <row r="699" s="20" customFormat="1" customHeight="1" spans="1:42">
      <c r="A699" s="25">
        <v>5510377</v>
      </c>
      <c r="B699" s="25">
        <v>5301265</v>
      </c>
      <c r="C699" s="25">
        <v>7</v>
      </c>
      <c r="D699" s="25"/>
      <c r="E699" s="25" t="s">
        <v>375</v>
      </c>
      <c r="F699" s="26" t="str">
        <f t="shared" si="285"/>
        <v/>
      </c>
      <c r="G699" s="26" t="str">
        <f>IFERROR(IF(--MID($E699,2*COUNTIF($F699:F699,"&gt;"&amp;0)+2,1)=G$1,G$1,""),"")</f>
        <v/>
      </c>
      <c r="H699" s="26" t="str">
        <f>IFERROR(IF(--MID($E699,2*COUNTIF($F699:G699,"&gt;"&amp;0)+2,1)=H$1,H$1,""),"")</f>
        <v/>
      </c>
      <c r="I699" s="26">
        <f>IFERROR(IF(--MID($E699,2*COUNTIF($F699:H699,"&gt;"&amp;0)+2,1)=I$1,I$1,""),"")</f>
        <v>4</v>
      </c>
      <c r="J699" s="26" t="str">
        <f>IFERROR(IF(--MID($E699,2*COUNTIF($F699:I699,"&gt;"&amp;0)+2,1)=J$1,J$1,""),"")</f>
        <v/>
      </c>
      <c r="K699" s="26" t="str">
        <f>IFERROR(IF(--MID($E699,2*COUNTIF($F699:J699,"&gt;"&amp;0)+2,1)=K$1,K$1,""),"")</f>
        <v/>
      </c>
      <c r="L699" s="39" t="str" cm="1">
        <f t="array" ref="L699">IFERROR(IF($A699="","",IF(F699="","",_xlfn.XLOOKUP($C699&amp;"_"&amp;$AG699,符文权重!$A:$A&amp;"_"&amp;符文权重!$C:$C,符文权重!$D:$D)*$X699/SUMIFS($X:$X,F:F,F699,$C:$C,$C699,$AG:$AG,$AG699)/SUMIF(符文权重!$A:$A,$C699,符文权重!$D:$D))),"")</f>
        <v/>
      </c>
      <c r="M699" s="39" t="str" cm="1">
        <f t="array" ref="M699">IFERROR(IF($A699="","",IF(G699="","",_xlfn.XLOOKUP($C699&amp;"_"&amp;$AG699,符文权重!$A:$A&amp;"_"&amp;符文权重!$C:$C,符文权重!$D:$D)*$X699/SUMIFS($X:$X,G:G,G699,$C:$C,$C699,$AG:$AG,$AG699)/SUMIF(符文权重!$A:$A,$C699,符文权重!$D:$D))),"")</f>
        <v/>
      </c>
      <c r="N699" s="39" t="str" cm="1">
        <f t="array" ref="N699">IFERROR(IF($A699="","",IF(H699="","",_xlfn.XLOOKUP($C699&amp;"_"&amp;$AG699,符文权重!$A:$A&amp;"_"&amp;符文权重!$C:$C,符文权重!$D:$D)*$X699/SUMIFS($X:$X,H:H,H699,$C:$C,$C699,$AG:$AG,$AG699)/SUMIF(符文权重!$A:$A,$C699,符文权重!$D:$D))),"")</f>
        <v/>
      </c>
      <c r="O699" s="39" cm="1">
        <f t="array" ref="O699">IFERROR(IF($A699="","",IF(I699="","",_xlfn.XLOOKUP($C699&amp;"_"&amp;$AG699,符文权重!$A:$A&amp;"_"&amp;符文权重!$C:$C,符文权重!$D:$D)*$X699/SUMIFS($X:$X,I:I,I699,$C:$C,$C699,$AG:$AG,$AG699)/SUMIF(符文权重!$A:$A,$C699,符文权重!$D:$D))),"")</f>
        <v>0.009375</v>
      </c>
      <c r="P699" s="39" t="str" cm="1">
        <f t="array" ref="P699">IFERROR(IF($A699="","",IF(J699="","",_xlfn.XLOOKUP($C699&amp;"_"&amp;$AG699,符文权重!$A:$A&amp;"_"&amp;符文权重!$C:$C,符文权重!$D:$D)*$X699/SUMIFS($X:$X,J:J,J699,$C:$C,$C699,$AG:$AG,$AG699)/SUMIF(符文权重!$A:$A,$C699,符文权重!$D:$D))),"")</f>
        <v/>
      </c>
      <c r="Q699" s="39" t="str" cm="1">
        <f t="array" ref="Q699">IFERROR(IF($A699="","",IF(K699="","",_xlfn.XLOOKUP($C699&amp;"_"&amp;$AG699,符文权重!$A:$A&amp;"_"&amp;符文权重!$C:$C,符文权重!$D:$D)*$X699/SUMIFS($X:$X,K:K,K699,$C:$C,$C699,$AG:$AG,$AG699)/SUMIF(符文权重!$A:$A,$C699,符文权重!$D:$D))),"")</f>
        <v/>
      </c>
      <c r="R699" s="25" t="s">
        <v>330</v>
      </c>
      <c r="S699" s="25" t="s">
        <v>813</v>
      </c>
      <c r="T699" s="25" t="s">
        <v>397</v>
      </c>
      <c r="U699" s="25" t="s">
        <v>820</v>
      </c>
      <c r="W699" s="25" t="s">
        <v>733</v>
      </c>
      <c r="X699" s="25">
        <v>100</v>
      </c>
      <c r="Z699" s="25" t="s">
        <v>180</v>
      </c>
      <c r="AA699" s="32" t="str">
        <f t="shared" si="288"/>
        <v>被神灯王子复活的梦灵，免疫所有伤害7秒（最多生效4次）</v>
      </c>
      <c r="AB699" s="32"/>
      <c r="AC699" s="32" t="s">
        <v>166</v>
      </c>
      <c r="AD699" s="32">
        <f t="shared" si="286"/>
        <v>1694</v>
      </c>
      <c r="AE699" s="25">
        <v>5301265</v>
      </c>
      <c r="AF699" s="25" t="s">
        <v>227</v>
      </c>
      <c r="AG699" s="25">
        <v>4</v>
      </c>
      <c r="AJ699" s="25">
        <v>1</v>
      </c>
      <c r="AK699" s="26"/>
      <c r="AL699" s="25" t="s">
        <v>821</v>
      </c>
      <c r="AM699" s="26"/>
      <c r="AN699" s="25">
        <v>4</v>
      </c>
      <c r="AO699" s="25" t="s">
        <v>28</v>
      </c>
      <c r="AP699" s="20">
        <f t="shared" si="287"/>
        <v>694</v>
      </c>
    </row>
    <row r="700" s="20" customFormat="1" customHeight="1" spans="1:42">
      <c r="A700" s="25">
        <v>5510384</v>
      </c>
      <c r="B700" s="25">
        <v>5301266</v>
      </c>
      <c r="C700" s="26">
        <v>4</v>
      </c>
      <c r="D700" s="26"/>
      <c r="E700" s="25" t="s">
        <v>218</v>
      </c>
      <c r="F700" s="26" t="str">
        <f t="shared" si="285"/>
        <v/>
      </c>
      <c r="G700" s="26" t="str">
        <f>IFERROR(IF(--MID($E700,2*COUNTIF($F700:F700,"&gt;"&amp;0)+2,1)=G$1,G$1,""),"")</f>
        <v/>
      </c>
      <c r="H700" s="26" t="str">
        <f>IFERROR(IF(--MID($E700,2*COUNTIF($F700:G700,"&gt;"&amp;0)+2,1)=H$1,H$1,""),"")</f>
        <v/>
      </c>
      <c r="I700" s="26" t="str">
        <f>IFERROR(IF(--MID($E700,2*COUNTIF($F700:H700,"&gt;"&amp;0)+2,1)=I$1,I$1,""),"")</f>
        <v/>
      </c>
      <c r="J700" s="26">
        <f>IFERROR(IF(--MID($E700,2*COUNTIF($F700:I700,"&gt;"&amp;0)+2,1)=J$1,J$1,""),"")</f>
        <v>5</v>
      </c>
      <c r="K700" s="26" t="str">
        <f>IFERROR(IF(--MID($E700,2*COUNTIF($F700:J700,"&gt;"&amp;0)+2,1)=K$1,K$1,""),"")</f>
        <v/>
      </c>
      <c r="L700" s="39" t="str" cm="1">
        <f t="array" ref="L700">IFERROR(IF($A700="","",IF(F700="","",_xlfn.XLOOKUP($C700&amp;"_"&amp;$AG700,符文权重!$A:$A&amp;"_"&amp;符文权重!$C:$C,符文权重!$D:$D)*$X700/SUMIFS($X:$X,F:F,F700,$C:$C,$C700,$AG:$AG,$AG700)/SUMIF(符文权重!$A:$A,$C700,符文权重!$D:$D))),"")</f>
        <v/>
      </c>
      <c r="M700" s="39" t="str" cm="1">
        <f t="array" ref="M700">IFERROR(IF($A700="","",IF(G700="","",_xlfn.XLOOKUP($C700&amp;"_"&amp;$AG700,符文权重!$A:$A&amp;"_"&amp;符文权重!$C:$C,符文权重!$D:$D)*$X700/SUMIFS($X:$X,G:G,G700,$C:$C,$C700,$AG:$AG,$AG700)/SUMIF(符文权重!$A:$A,$C700,符文权重!$D:$D))),"")</f>
        <v/>
      </c>
      <c r="N700" s="39" t="str" cm="1">
        <f t="array" ref="N700">IFERROR(IF($A700="","",IF(H700="","",_xlfn.XLOOKUP($C700&amp;"_"&amp;$AG700,符文权重!$A:$A&amp;"_"&amp;符文权重!$C:$C,符文权重!$D:$D)*$X700/SUMIFS($X:$X,H:H,H700,$C:$C,$C700,$AG:$AG,$AG700)/SUMIF(符文权重!$A:$A,$C700,符文权重!$D:$D))),"")</f>
        <v/>
      </c>
      <c r="O700" s="39" t="str" cm="1">
        <f t="array" ref="O700">IFERROR(IF($A700="","",IF(I700="","",_xlfn.XLOOKUP($C700&amp;"_"&amp;$AG700,符文权重!$A:$A&amp;"_"&amp;符文权重!$C:$C,符文权重!$D:$D)*$X700/SUMIFS($X:$X,I:I,I700,$C:$C,$C700,$AG:$AG,$AG700)/SUMIF(符文权重!$A:$A,$C700,符文权重!$D:$D))),"")</f>
        <v/>
      </c>
      <c r="P700" s="39" cm="1">
        <f t="array" ref="P700">IFERROR(IF($A700="","",IF(J700="","",_xlfn.XLOOKUP($C700&amp;"_"&amp;$AG700,符文权重!$A:$A&amp;"_"&amp;符文权重!$C:$C,符文权重!$D:$D)*$X700/SUMIFS($X:$X,J:J,J700,$C:$C,$C700,$AG:$AG,$AG700)/SUMIF(符文权重!$A:$A,$C700,符文权重!$D:$D))),"")</f>
        <v>0.0025</v>
      </c>
      <c r="Q700" s="39" t="str" cm="1">
        <f t="array" ref="Q700">IFERROR(IF($A700="","",IF(K700="","",_xlfn.XLOOKUP($C700&amp;"_"&amp;$AG700,符文权重!$A:$A&amp;"_"&amp;符文权重!$C:$C,符文权重!$D:$D)*$X700/SUMIFS($X:$X,K:K,K700,$C:$C,$C700,$AG:$AG,$AG700)/SUMIF(符文权重!$A:$A,$C700,符文权重!$D:$D))),"")</f>
        <v/>
      </c>
      <c r="R700" s="26" t="s">
        <v>330</v>
      </c>
      <c r="S700" s="26" t="s">
        <v>813</v>
      </c>
      <c r="T700" s="26" t="s">
        <v>388</v>
      </c>
      <c r="U700" s="20" t="s">
        <v>822</v>
      </c>
      <c r="V700" s="26"/>
      <c r="W700" s="25" t="s">
        <v>540</v>
      </c>
      <c r="X700" s="25">
        <v>100</v>
      </c>
      <c r="Y700" s="25"/>
      <c r="Z700" s="26" t="s">
        <v>174</v>
      </c>
      <c r="AA700" s="32" t="str">
        <f t="shared" si="288"/>
        <v>神灯王子【愿能】提供的充能加速效果+15%</v>
      </c>
      <c r="AB700" s="32"/>
      <c r="AC700" s="32" t="s">
        <v>166</v>
      </c>
      <c r="AD700" s="32">
        <f t="shared" si="286"/>
        <v>1695</v>
      </c>
      <c r="AE700" s="25">
        <v>5301266</v>
      </c>
      <c r="AF700" s="26" t="s">
        <v>393</v>
      </c>
      <c r="AG700" s="26">
        <v>8</v>
      </c>
      <c r="AH700" s="26"/>
      <c r="AI700" s="26"/>
      <c r="AJ700" s="26">
        <v>1</v>
      </c>
      <c r="AK700" s="26"/>
      <c r="AL700" s="26" t="s">
        <v>823</v>
      </c>
      <c r="AM700" s="26"/>
      <c r="AN700" s="25">
        <v>4</v>
      </c>
      <c r="AO700" s="25" t="s">
        <v>25</v>
      </c>
      <c r="AP700" s="20">
        <f t="shared" si="287"/>
        <v>695</v>
      </c>
    </row>
    <row r="701" s="20" customFormat="1" customHeight="1" spans="1:42">
      <c r="A701" s="25">
        <v>5510385</v>
      </c>
      <c r="B701" s="25">
        <v>5301266</v>
      </c>
      <c r="C701" s="25">
        <v>5</v>
      </c>
      <c r="D701" s="25"/>
      <c r="E701" s="25" t="s">
        <v>218</v>
      </c>
      <c r="F701" s="26" t="str">
        <f t="shared" si="285"/>
        <v/>
      </c>
      <c r="G701" s="26" t="str">
        <f>IFERROR(IF(--MID($E701,2*COUNTIF($F701:F701,"&gt;"&amp;0)+2,1)=G$1,G$1,""),"")</f>
        <v/>
      </c>
      <c r="H701" s="26" t="str">
        <f>IFERROR(IF(--MID($E701,2*COUNTIF($F701:G701,"&gt;"&amp;0)+2,1)=H$1,H$1,""),"")</f>
        <v/>
      </c>
      <c r="I701" s="26" t="str">
        <f>IFERROR(IF(--MID($E701,2*COUNTIF($F701:H701,"&gt;"&amp;0)+2,1)=I$1,I$1,""),"")</f>
        <v/>
      </c>
      <c r="J701" s="26">
        <f>IFERROR(IF(--MID($E701,2*COUNTIF($F701:I701,"&gt;"&amp;0)+2,1)=J$1,J$1,""),"")</f>
        <v>5</v>
      </c>
      <c r="K701" s="26" t="str">
        <f>IFERROR(IF(--MID($E701,2*COUNTIF($F701:J701,"&gt;"&amp;0)+2,1)=K$1,K$1,""),"")</f>
        <v/>
      </c>
      <c r="L701" s="39" t="str" cm="1">
        <f t="array" ref="L701">IFERROR(IF($A701="","",IF(F701="","",_xlfn.XLOOKUP($C701&amp;"_"&amp;$AG701,符文权重!$A:$A&amp;"_"&amp;符文权重!$C:$C,符文权重!$D:$D)*$X701/SUMIFS($X:$X,F:F,F701,$C:$C,$C701,$AG:$AG,$AG701)/SUMIF(符文权重!$A:$A,$C701,符文权重!$D:$D))),"")</f>
        <v/>
      </c>
      <c r="M701" s="39" t="str" cm="1">
        <f t="array" ref="M701">IFERROR(IF($A701="","",IF(G701="","",_xlfn.XLOOKUP($C701&amp;"_"&amp;$AG701,符文权重!$A:$A&amp;"_"&amp;符文权重!$C:$C,符文权重!$D:$D)*$X701/SUMIFS($X:$X,G:G,G701,$C:$C,$C701,$AG:$AG,$AG701)/SUMIF(符文权重!$A:$A,$C701,符文权重!$D:$D))),"")</f>
        <v/>
      </c>
      <c r="N701" s="39" t="str" cm="1">
        <f t="array" ref="N701">IFERROR(IF($A701="","",IF(H701="","",_xlfn.XLOOKUP($C701&amp;"_"&amp;$AG701,符文权重!$A:$A&amp;"_"&amp;符文权重!$C:$C,符文权重!$D:$D)*$X701/SUMIFS($X:$X,H:H,H701,$C:$C,$C701,$AG:$AG,$AG701)/SUMIF(符文权重!$A:$A,$C701,符文权重!$D:$D))),"")</f>
        <v/>
      </c>
      <c r="O701" s="39" t="str" cm="1">
        <f t="array" ref="O701">IFERROR(IF($A701="","",IF(I701="","",_xlfn.XLOOKUP($C701&amp;"_"&amp;$AG701,符文权重!$A:$A&amp;"_"&amp;符文权重!$C:$C,符文权重!$D:$D)*$X701/SUMIFS($X:$X,I:I,I701,$C:$C,$C701,$AG:$AG,$AG701)/SUMIF(符文权重!$A:$A,$C701,符文权重!$D:$D))),"")</f>
        <v/>
      </c>
      <c r="P701" s="39" cm="1">
        <f t="array" ref="P701">IFERROR(IF($A701="","",IF(J701="","",_xlfn.XLOOKUP($C701&amp;"_"&amp;$AG701,符文权重!$A:$A&amp;"_"&amp;符文权重!$C:$C,符文权重!$D:$D)*$X701/SUMIFS($X:$X,J:J,J701,$C:$C,$C701,$AG:$AG,$AG701)/SUMIF(符文权重!$A:$A,$C701,符文权重!$D:$D))),"")</f>
        <v>0.0107142857142857</v>
      </c>
      <c r="Q701" s="39" t="str" cm="1">
        <f t="array" ref="Q701">IFERROR(IF($A701="","",IF(K701="","",_xlfn.XLOOKUP($C701&amp;"_"&amp;$AG701,符文权重!$A:$A&amp;"_"&amp;符文权重!$C:$C,符文权重!$D:$D)*$X701/SUMIFS($X:$X,K:K,K701,$C:$C,$C701,$AG:$AG,$AG701)/SUMIF(符文权重!$A:$A,$C701,符文权重!$D:$D))),"")</f>
        <v/>
      </c>
      <c r="R701" s="25" t="s">
        <v>330</v>
      </c>
      <c r="S701" s="25" t="s">
        <v>813</v>
      </c>
      <c r="T701" s="25" t="s">
        <v>391</v>
      </c>
      <c r="U701" s="25" t="s">
        <v>824</v>
      </c>
      <c r="W701" s="25" t="s">
        <v>728</v>
      </c>
      <c r="X701" s="25">
        <v>100</v>
      </c>
      <c r="Z701" s="25" t="s">
        <v>176</v>
      </c>
      <c r="AA701" s="32" t="str">
        <f t="shared" si="288"/>
        <v>神灯王子【愿能】提供的充能加速效果+30%</v>
      </c>
      <c r="AB701" s="32"/>
      <c r="AC701" s="32" t="s">
        <v>166</v>
      </c>
      <c r="AD701" s="32">
        <f t="shared" si="286"/>
        <v>1696</v>
      </c>
      <c r="AE701" s="25">
        <v>5301266</v>
      </c>
      <c r="AF701" s="25" t="s">
        <v>449</v>
      </c>
      <c r="AG701" s="25">
        <v>4</v>
      </c>
      <c r="AJ701" s="25">
        <v>1</v>
      </c>
      <c r="AK701" s="26"/>
      <c r="AL701" s="25" t="s">
        <v>825</v>
      </c>
      <c r="AM701" s="26"/>
      <c r="AN701" s="25">
        <v>4</v>
      </c>
      <c r="AO701" s="25" t="s">
        <v>25</v>
      </c>
      <c r="AP701" s="20">
        <f t="shared" si="287"/>
        <v>696</v>
      </c>
    </row>
    <row r="702" s="20" customFormat="1" customHeight="1" spans="1:42">
      <c r="A702" s="25">
        <v>5510386</v>
      </c>
      <c r="B702" s="25">
        <v>5301266</v>
      </c>
      <c r="C702" s="25">
        <v>6</v>
      </c>
      <c r="D702" s="25"/>
      <c r="E702" s="25" t="s">
        <v>218</v>
      </c>
      <c r="F702" s="26" t="str">
        <f t="shared" si="285"/>
        <v/>
      </c>
      <c r="G702" s="26" t="str">
        <f>IFERROR(IF(--MID($E702,2*COUNTIF($F702:F702,"&gt;"&amp;0)+2,1)=G$1,G$1,""),"")</f>
        <v/>
      </c>
      <c r="H702" s="26" t="str">
        <f>IFERROR(IF(--MID($E702,2*COUNTIF($F702:G702,"&gt;"&amp;0)+2,1)=H$1,H$1,""),"")</f>
        <v/>
      </c>
      <c r="I702" s="26" t="str">
        <f>IFERROR(IF(--MID($E702,2*COUNTIF($F702:H702,"&gt;"&amp;0)+2,1)=I$1,I$1,""),"")</f>
        <v/>
      </c>
      <c r="J702" s="26">
        <f>IFERROR(IF(--MID($E702,2*COUNTIF($F702:I702,"&gt;"&amp;0)+2,1)=J$1,J$1,""),"")</f>
        <v>5</v>
      </c>
      <c r="K702" s="26" t="str">
        <f>IFERROR(IF(--MID($E702,2*COUNTIF($F702:J702,"&gt;"&amp;0)+2,1)=K$1,K$1,""),"")</f>
        <v/>
      </c>
      <c r="L702" s="39" t="str" cm="1">
        <f t="array" ref="L702">IFERROR(IF($A702="","",IF(F702="","",_xlfn.XLOOKUP($C702&amp;"_"&amp;$AG702,符文权重!$A:$A&amp;"_"&amp;符文权重!$C:$C,符文权重!$D:$D)*$X702/SUMIFS($X:$X,F:F,F702,$C:$C,$C702,$AG:$AG,$AG702)/SUMIF(符文权重!$A:$A,$C702,符文权重!$D:$D))),"")</f>
        <v/>
      </c>
      <c r="M702" s="39" t="str" cm="1">
        <f t="array" ref="M702">IFERROR(IF($A702="","",IF(G702="","",_xlfn.XLOOKUP($C702&amp;"_"&amp;$AG702,符文权重!$A:$A&amp;"_"&amp;符文权重!$C:$C,符文权重!$D:$D)*$X702/SUMIFS($X:$X,G:G,G702,$C:$C,$C702,$AG:$AG,$AG702)/SUMIF(符文权重!$A:$A,$C702,符文权重!$D:$D))),"")</f>
        <v/>
      </c>
      <c r="N702" s="39" t="str" cm="1">
        <f t="array" ref="N702">IFERROR(IF($A702="","",IF(H702="","",_xlfn.XLOOKUP($C702&amp;"_"&amp;$AG702,符文权重!$A:$A&amp;"_"&amp;符文权重!$C:$C,符文权重!$D:$D)*$X702/SUMIFS($X:$X,H:H,H702,$C:$C,$C702,$AG:$AG,$AG702)/SUMIF(符文权重!$A:$A,$C702,符文权重!$D:$D))),"")</f>
        <v/>
      </c>
      <c r="O702" s="39" t="str" cm="1">
        <f t="array" ref="O702">IFERROR(IF($A702="","",IF(I702="","",_xlfn.XLOOKUP($C702&amp;"_"&amp;$AG702,符文权重!$A:$A&amp;"_"&amp;符文权重!$C:$C,符文权重!$D:$D)*$X702/SUMIFS($X:$X,I:I,I702,$C:$C,$C702,$AG:$AG,$AG702)/SUMIF(符文权重!$A:$A,$C702,符文权重!$D:$D))),"")</f>
        <v/>
      </c>
      <c r="P702" s="39" cm="1">
        <f t="array" ref="P702">IFERROR(IF($A702="","",IF(J702="","",_xlfn.XLOOKUP($C702&amp;"_"&amp;$AG702,符文权重!$A:$A&amp;"_"&amp;符文权重!$C:$C,符文权重!$D:$D)*$X702/SUMIFS($X:$X,J:J,J702,$C:$C,$C702,$AG:$AG,$AG702)/SUMIF(符文权重!$A:$A,$C702,符文权重!$D:$D))),"")</f>
        <v>0.0107142857142857</v>
      </c>
      <c r="Q702" s="39" t="str" cm="1">
        <f t="array" ref="Q702">IFERROR(IF($A702="","",IF(K702="","",_xlfn.XLOOKUP($C702&amp;"_"&amp;$AG702,符文权重!$A:$A&amp;"_"&amp;符文权重!$C:$C,符文权重!$D:$D)*$X702/SUMIFS($X:$X,K:K,K702,$C:$C,$C702,$AG:$AG,$AG702)/SUMIF(符文权重!$A:$A,$C702,符文权重!$D:$D))),"")</f>
        <v/>
      </c>
      <c r="R702" s="25" t="s">
        <v>330</v>
      </c>
      <c r="S702" s="25" t="s">
        <v>813</v>
      </c>
      <c r="T702" s="25" t="s">
        <v>394</v>
      </c>
      <c r="U702" s="25" t="s">
        <v>826</v>
      </c>
      <c r="W702" s="25" t="s">
        <v>599</v>
      </c>
      <c r="X702" s="25">
        <v>100</v>
      </c>
      <c r="Z702" s="25" t="s">
        <v>178</v>
      </c>
      <c r="AA702" s="32" t="str">
        <f t="shared" si="288"/>
        <v>神灯王子【愿能】提供的充能加速效果+45%</v>
      </c>
      <c r="AB702" s="32"/>
      <c r="AC702" s="32" t="s">
        <v>166</v>
      </c>
      <c r="AD702" s="32">
        <f t="shared" si="286"/>
        <v>1697</v>
      </c>
      <c r="AE702" s="25">
        <v>5301266</v>
      </c>
      <c r="AF702" s="25" t="s">
        <v>437</v>
      </c>
      <c r="AG702" s="25">
        <v>4</v>
      </c>
      <c r="AJ702" s="25">
        <v>1</v>
      </c>
      <c r="AK702" s="26"/>
      <c r="AL702" s="25" t="s">
        <v>827</v>
      </c>
      <c r="AM702" s="26"/>
      <c r="AN702" s="25">
        <v>4</v>
      </c>
      <c r="AO702" s="25" t="s">
        <v>25</v>
      </c>
      <c r="AP702" s="20">
        <f t="shared" si="287"/>
        <v>697</v>
      </c>
    </row>
    <row r="703" s="20" customFormat="1" customHeight="1" spans="1:42">
      <c r="A703" s="25">
        <v>5510387</v>
      </c>
      <c r="B703" s="25">
        <v>5301266</v>
      </c>
      <c r="C703" s="25">
        <v>7</v>
      </c>
      <c r="D703" s="25"/>
      <c r="E703" s="25" t="s">
        <v>218</v>
      </c>
      <c r="F703" s="26" t="str">
        <f t="shared" si="285"/>
        <v/>
      </c>
      <c r="G703" s="26" t="str">
        <f>IFERROR(IF(--MID($E703,2*COUNTIF($F703:F703,"&gt;"&amp;0)+2,1)=G$1,G$1,""),"")</f>
        <v/>
      </c>
      <c r="H703" s="26" t="str">
        <f>IFERROR(IF(--MID($E703,2*COUNTIF($F703:G703,"&gt;"&amp;0)+2,1)=H$1,H$1,""),"")</f>
        <v/>
      </c>
      <c r="I703" s="26" t="str">
        <f>IFERROR(IF(--MID($E703,2*COUNTIF($F703:H703,"&gt;"&amp;0)+2,1)=I$1,I$1,""),"")</f>
        <v/>
      </c>
      <c r="J703" s="26">
        <f>IFERROR(IF(--MID($E703,2*COUNTIF($F703:I703,"&gt;"&amp;0)+2,1)=J$1,J$1,""),"")</f>
        <v>5</v>
      </c>
      <c r="K703" s="26" t="str">
        <f>IFERROR(IF(--MID($E703,2*COUNTIF($F703:J703,"&gt;"&amp;0)+2,1)=K$1,K$1,""),"")</f>
        <v/>
      </c>
      <c r="L703" s="39" t="str" cm="1">
        <f t="array" ref="L703">IFERROR(IF($A703="","",IF(F703="","",_xlfn.XLOOKUP($C703&amp;"_"&amp;$AG703,符文权重!$A:$A&amp;"_"&amp;符文权重!$C:$C,符文权重!$D:$D)*$X703/SUMIFS($X:$X,F:F,F703,$C:$C,$C703,$AG:$AG,$AG703)/SUMIF(符文权重!$A:$A,$C703,符文权重!$D:$D))),"")</f>
        <v/>
      </c>
      <c r="M703" s="39" t="str" cm="1">
        <f t="array" ref="M703">IFERROR(IF($A703="","",IF(G703="","",_xlfn.XLOOKUP($C703&amp;"_"&amp;$AG703,符文权重!$A:$A&amp;"_"&amp;符文权重!$C:$C,符文权重!$D:$D)*$X703/SUMIFS($X:$X,G:G,G703,$C:$C,$C703,$AG:$AG,$AG703)/SUMIF(符文权重!$A:$A,$C703,符文权重!$D:$D))),"")</f>
        <v/>
      </c>
      <c r="N703" s="39" t="str" cm="1">
        <f t="array" ref="N703">IFERROR(IF($A703="","",IF(H703="","",_xlfn.XLOOKUP($C703&amp;"_"&amp;$AG703,符文权重!$A:$A&amp;"_"&amp;符文权重!$C:$C,符文权重!$D:$D)*$X703/SUMIFS($X:$X,H:H,H703,$C:$C,$C703,$AG:$AG,$AG703)/SUMIF(符文权重!$A:$A,$C703,符文权重!$D:$D))),"")</f>
        <v/>
      </c>
      <c r="O703" s="39" t="str" cm="1">
        <f t="array" ref="O703">IFERROR(IF($A703="","",IF(I703="","",_xlfn.XLOOKUP($C703&amp;"_"&amp;$AG703,符文权重!$A:$A&amp;"_"&amp;符文权重!$C:$C,符文权重!$D:$D)*$X703/SUMIFS($X:$X,I:I,I703,$C:$C,$C703,$AG:$AG,$AG703)/SUMIF(符文权重!$A:$A,$C703,符文权重!$D:$D))),"")</f>
        <v/>
      </c>
      <c r="P703" s="39" cm="1">
        <f t="array" ref="P703">IFERROR(IF($A703="","",IF(J703="","",_xlfn.XLOOKUP($C703&amp;"_"&amp;$AG703,符文权重!$A:$A&amp;"_"&amp;符文权重!$C:$C,符文权重!$D:$D)*$X703/SUMIFS($X:$X,J:J,J703,$C:$C,$C703,$AG:$AG,$AG703)/SUMIF(符文权重!$A:$A,$C703,符文权重!$D:$D))),"")</f>
        <v>0.0107142857142857</v>
      </c>
      <c r="Q703" s="39" t="str" cm="1">
        <f t="array" ref="Q703">IFERROR(IF($A703="","",IF(K703="","",_xlfn.XLOOKUP($C703&amp;"_"&amp;$AG703,符文权重!$A:$A&amp;"_"&amp;符文权重!$C:$C,符文权重!$D:$D)*$X703/SUMIFS($X:$X,K:K,K703,$C:$C,$C703,$AG:$AG,$AG703)/SUMIF(符文权重!$A:$A,$C703,符文权重!$D:$D))),"")</f>
        <v/>
      </c>
      <c r="R703" s="25" t="s">
        <v>330</v>
      </c>
      <c r="S703" s="25" t="s">
        <v>813</v>
      </c>
      <c r="T703" s="25" t="s">
        <v>397</v>
      </c>
      <c r="U703" s="25" t="s">
        <v>828</v>
      </c>
      <c r="W703" s="25" t="s">
        <v>733</v>
      </c>
      <c r="X703" s="25">
        <v>100</v>
      </c>
      <c r="Z703" s="25" t="s">
        <v>180</v>
      </c>
      <c r="AA703" s="32" t="str">
        <f t="shared" si="288"/>
        <v>神灯王子【愿能】提供的充能加速效果+60%</v>
      </c>
      <c r="AB703" s="32"/>
      <c r="AC703" s="32" t="s">
        <v>166</v>
      </c>
      <c r="AD703" s="32">
        <f t="shared" si="286"/>
        <v>1698</v>
      </c>
      <c r="AE703" s="25">
        <v>5301266</v>
      </c>
      <c r="AF703" s="25" t="s">
        <v>439</v>
      </c>
      <c r="AG703" s="25">
        <v>4</v>
      </c>
      <c r="AJ703" s="25">
        <v>1</v>
      </c>
      <c r="AL703" s="25" t="s">
        <v>829</v>
      </c>
      <c r="AN703" s="25">
        <v>4</v>
      </c>
      <c r="AO703" s="25" t="s">
        <v>25</v>
      </c>
      <c r="AP703" s="20">
        <f t="shared" si="287"/>
        <v>698</v>
      </c>
    </row>
    <row r="704" s="20" customFormat="1" customHeight="1" spans="1:42">
      <c r="A704" s="25">
        <v>5510394</v>
      </c>
      <c r="B704" s="25">
        <v>5301267</v>
      </c>
      <c r="C704" s="26">
        <v>4</v>
      </c>
      <c r="D704" s="26"/>
      <c r="E704" s="25" t="s">
        <v>209</v>
      </c>
      <c r="F704" s="26" t="str">
        <f t="shared" si="285"/>
        <v/>
      </c>
      <c r="G704" s="26" t="str">
        <f>IFERROR(IF(--MID($E704,2*COUNTIF($F704:F704,"&gt;"&amp;0)+2,1)=G$1,G$1,""),"")</f>
        <v/>
      </c>
      <c r="H704" s="26" t="str">
        <f>IFERROR(IF(--MID($E704,2*COUNTIF($F704:G704,"&gt;"&amp;0)+2,1)=H$1,H$1,""),"")</f>
        <v/>
      </c>
      <c r="I704" s="26" t="str">
        <f>IFERROR(IF(--MID($E704,2*COUNTIF($F704:H704,"&gt;"&amp;0)+2,1)=I$1,I$1,""),"")</f>
        <v/>
      </c>
      <c r="J704" s="26" t="str">
        <f>IFERROR(IF(--MID($E704,2*COUNTIF($F704:I704,"&gt;"&amp;0)+2,1)=J$1,J$1,""),"")</f>
        <v/>
      </c>
      <c r="K704" s="26">
        <f>IFERROR(IF(--MID($E704,2*COUNTIF($F704:J704,"&gt;"&amp;0)+2,1)=K$1,K$1,""),"")</f>
        <v>6</v>
      </c>
      <c r="L704" s="39" t="str" cm="1">
        <f t="array" ref="L704">IFERROR(IF($A704="","",IF(F704="","",_xlfn.XLOOKUP($C704&amp;"_"&amp;$AG704,符文权重!$A:$A&amp;"_"&amp;符文权重!$C:$C,符文权重!$D:$D)*$X704/SUMIFS($X:$X,F:F,F704,$C:$C,$C704,$AG:$AG,$AG704)/SUMIF(符文权重!$A:$A,$C704,符文权重!$D:$D))),"")</f>
        <v/>
      </c>
      <c r="M704" s="39" t="str" cm="1">
        <f t="array" ref="M704">IFERROR(IF($A704="","",IF(G704="","",_xlfn.XLOOKUP($C704&amp;"_"&amp;$AG704,符文权重!$A:$A&amp;"_"&amp;符文权重!$C:$C,符文权重!$D:$D)*$X704/SUMIFS($X:$X,G:G,G704,$C:$C,$C704,$AG:$AG,$AG704)/SUMIF(符文权重!$A:$A,$C704,符文权重!$D:$D))),"")</f>
        <v/>
      </c>
      <c r="N704" s="39" t="str" cm="1">
        <f t="array" ref="N704">IFERROR(IF($A704="","",IF(H704="","",_xlfn.XLOOKUP($C704&amp;"_"&amp;$AG704,符文权重!$A:$A&amp;"_"&amp;符文权重!$C:$C,符文权重!$D:$D)*$X704/SUMIFS($X:$X,H:H,H704,$C:$C,$C704,$AG:$AG,$AG704)/SUMIF(符文权重!$A:$A,$C704,符文权重!$D:$D))),"")</f>
        <v/>
      </c>
      <c r="O704" s="39" t="str" cm="1">
        <f t="array" ref="O704">IFERROR(IF($A704="","",IF(I704="","",_xlfn.XLOOKUP($C704&amp;"_"&amp;$AG704,符文权重!$A:$A&amp;"_"&amp;符文权重!$C:$C,符文权重!$D:$D)*$X704/SUMIFS($X:$X,I:I,I704,$C:$C,$C704,$AG:$AG,$AG704)/SUMIF(符文权重!$A:$A,$C704,符文权重!$D:$D))),"")</f>
        <v/>
      </c>
      <c r="P704" s="39" t="str" cm="1">
        <f t="array" ref="P704">IFERROR(IF($A704="","",IF(J704="","",_xlfn.XLOOKUP($C704&amp;"_"&amp;$AG704,符文权重!$A:$A&amp;"_"&amp;符文权重!$C:$C,符文权重!$D:$D)*$X704/SUMIFS($X:$X,J:J,J704,$C:$C,$C704,$AG:$AG,$AG704)/SUMIF(符文权重!$A:$A,$C704,符文权重!$D:$D))),"")</f>
        <v/>
      </c>
      <c r="Q704" s="39" cm="1">
        <f t="array" ref="Q704">IFERROR(IF($A704="","",IF(K704="","",_xlfn.XLOOKUP($C704&amp;"_"&amp;$AG704,符文权重!$A:$A&amp;"_"&amp;符文权重!$C:$C,符文权重!$D:$D)*$X704/SUMIFS($X:$X,K:K,K704,$C:$C,$C704,$AG:$AG,$AG704)/SUMIF(符文权重!$A:$A,$C704,符文权重!$D:$D))),"")</f>
        <v>0.0025</v>
      </c>
      <c r="R704" s="26" t="s">
        <v>330</v>
      </c>
      <c r="S704" s="26" t="s">
        <v>813</v>
      </c>
      <c r="T704" s="26" t="s">
        <v>388</v>
      </c>
      <c r="U704" s="20" t="s">
        <v>830</v>
      </c>
      <c r="V704" s="26"/>
      <c r="W704" s="25" t="s">
        <v>540</v>
      </c>
      <c r="X704" s="25">
        <v>100</v>
      </c>
      <c r="Y704" s="25"/>
      <c r="Z704" s="26" t="s">
        <v>174</v>
      </c>
      <c r="AA704" s="32" t="str">
        <f t="shared" si="288"/>
        <v>神灯王子攻击有10%概率使全体梦灵获得：下次充能加速+50%</v>
      </c>
      <c r="AB704" s="32"/>
      <c r="AC704" s="32" t="s">
        <v>166</v>
      </c>
      <c r="AD704" s="32">
        <f t="shared" si="286"/>
        <v>1699</v>
      </c>
      <c r="AE704" s="25">
        <v>53012671</v>
      </c>
      <c r="AF704" s="26" t="s">
        <v>541</v>
      </c>
      <c r="AG704" s="26">
        <v>8</v>
      </c>
      <c r="AH704" s="26"/>
      <c r="AI704" s="26"/>
      <c r="AJ704" s="26">
        <v>1</v>
      </c>
      <c r="AK704" s="26"/>
      <c r="AL704" s="26" t="s">
        <v>831</v>
      </c>
      <c r="AM704" s="26"/>
      <c r="AN704" s="25">
        <v>4</v>
      </c>
      <c r="AO704" s="25" t="s">
        <v>25</v>
      </c>
      <c r="AP704" s="20">
        <f t="shared" si="287"/>
        <v>699</v>
      </c>
    </row>
    <row r="705" s="20" customFormat="1" customHeight="1" spans="1:42">
      <c r="A705" s="25">
        <v>5510395</v>
      </c>
      <c r="B705" s="25">
        <v>5301267</v>
      </c>
      <c r="C705" s="25">
        <v>5</v>
      </c>
      <c r="D705" s="25"/>
      <c r="E705" s="25" t="s">
        <v>209</v>
      </c>
      <c r="F705" s="26" t="str">
        <f t="shared" si="285"/>
        <v/>
      </c>
      <c r="G705" s="26" t="str">
        <f>IFERROR(IF(--MID($E705,2*COUNTIF($F705:F705,"&gt;"&amp;0)+2,1)=G$1,G$1,""),"")</f>
        <v/>
      </c>
      <c r="H705" s="26" t="str">
        <f>IFERROR(IF(--MID($E705,2*COUNTIF($F705:G705,"&gt;"&amp;0)+2,1)=H$1,H$1,""),"")</f>
        <v/>
      </c>
      <c r="I705" s="26" t="str">
        <f>IFERROR(IF(--MID($E705,2*COUNTIF($F705:H705,"&gt;"&amp;0)+2,1)=I$1,I$1,""),"")</f>
        <v/>
      </c>
      <c r="J705" s="26" t="str">
        <f>IFERROR(IF(--MID($E705,2*COUNTIF($F705:I705,"&gt;"&amp;0)+2,1)=J$1,J$1,""),"")</f>
        <v/>
      </c>
      <c r="K705" s="26">
        <f>IFERROR(IF(--MID($E705,2*COUNTIF($F705:J705,"&gt;"&amp;0)+2,1)=K$1,K$1,""),"")</f>
        <v>6</v>
      </c>
      <c r="L705" s="39" t="str" cm="1">
        <f t="array" ref="L705">IFERROR(IF($A705="","",IF(F705="","",_xlfn.XLOOKUP($C705&amp;"_"&amp;$AG705,符文权重!$A:$A&amp;"_"&amp;符文权重!$C:$C,符文权重!$D:$D)*$X705/SUMIFS($X:$X,F:F,F705,$C:$C,$C705,$AG:$AG,$AG705)/SUMIF(符文权重!$A:$A,$C705,符文权重!$D:$D))),"")</f>
        <v/>
      </c>
      <c r="M705" s="39" t="str" cm="1">
        <f t="array" ref="M705">IFERROR(IF($A705="","",IF(G705="","",_xlfn.XLOOKUP($C705&amp;"_"&amp;$AG705,符文权重!$A:$A&amp;"_"&amp;符文权重!$C:$C,符文权重!$D:$D)*$X705/SUMIFS($X:$X,G:G,G705,$C:$C,$C705,$AG:$AG,$AG705)/SUMIF(符文权重!$A:$A,$C705,符文权重!$D:$D))),"")</f>
        <v/>
      </c>
      <c r="N705" s="39" t="str" cm="1">
        <f t="array" ref="N705">IFERROR(IF($A705="","",IF(H705="","",_xlfn.XLOOKUP($C705&amp;"_"&amp;$AG705,符文权重!$A:$A&amp;"_"&amp;符文权重!$C:$C,符文权重!$D:$D)*$X705/SUMIFS($X:$X,H:H,H705,$C:$C,$C705,$AG:$AG,$AG705)/SUMIF(符文权重!$A:$A,$C705,符文权重!$D:$D))),"")</f>
        <v/>
      </c>
      <c r="O705" s="39" t="str" cm="1">
        <f t="array" ref="O705">IFERROR(IF($A705="","",IF(I705="","",_xlfn.XLOOKUP($C705&amp;"_"&amp;$AG705,符文权重!$A:$A&amp;"_"&amp;符文权重!$C:$C,符文权重!$D:$D)*$X705/SUMIFS($X:$X,I:I,I705,$C:$C,$C705,$AG:$AG,$AG705)/SUMIF(符文权重!$A:$A,$C705,符文权重!$D:$D))),"")</f>
        <v/>
      </c>
      <c r="P705" s="39" t="str" cm="1">
        <f t="array" ref="P705">IFERROR(IF($A705="","",IF(J705="","",_xlfn.XLOOKUP($C705&amp;"_"&amp;$AG705,符文权重!$A:$A&amp;"_"&amp;符文权重!$C:$C,符文权重!$D:$D)*$X705/SUMIFS($X:$X,J:J,J705,$C:$C,$C705,$AG:$AG,$AG705)/SUMIF(符文权重!$A:$A,$C705,符文权重!$D:$D))),"")</f>
        <v/>
      </c>
      <c r="Q705" s="39" cm="1">
        <f t="array" ref="Q705">IFERROR(IF($A705="","",IF(K705="","",_xlfn.XLOOKUP($C705&amp;"_"&amp;$AG705,符文权重!$A:$A&amp;"_"&amp;符文权重!$C:$C,符文权重!$D:$D)*$X705/SUMIFS($X:$X,K:K,K705,$C:$C,$C705,$AG:$AG,$AG705)/SUMIF(符文权重!$A:$A,$C705,符文权重!$D:$D))),"")</f>
        <v>0.009375</v>
      </c>
      <c r="R705" s="25" t="s">
        <v>330</v>
      </c>
      <c r="S705" s="25" t="s">
        <v>813</v>
      </c>
      <c r="T705" s="25" t="s">
        <v>391</v>
      </c>
      <c r="U705" s="25" t="s">
        <v>832</v>
      </c>
      <c r="W705" s="25" t="s">
        <v>728</v>
      </c>
      <c r="X705" s="25">
        <v>100</v>
      </c>
      <c r="Z705" s="25" t="s">
        <v>176</v>
      </c>
      <c r="AA705" s="32" t="str">
        <f t="shared" si="288"/>
        <v>神灯王子攻击有15%概率使全体梦灵获得：下次充能加速+100%</v>
      </c>
      <c r="AB705" s="32"/>
      <c r="AC705" s="32" t="s">
        <v>166</v>
      </c>
      <c r="AD705" s="32">
        <f t="shared" si="286"/>
        <v>1700</v>
      </c>
      <c r="AE705" s="25">
        <v>53012672</v>
      </c>
      <c r="AF705" s="25" t="s">
        <v>833</v>
      </c>
      <c r="AG705" s="25">
        <v>4</v>
      </c>
      <c r="AJ705" s="25">
        <v>1</v>
      </c>
      <c r="AK705" s="26"/>
      <c r="AL705" s="25" t="s">
        <v>834</v>
      </c>
      <c r="AM705" s="26"/>
      <c r="AN705" s="25">
        <v>4</v>
      </c>
      <c r="AO705" s="25" t="s">
        <v>25</v>
      </c>
      <c r="AP705" s="20">
        <f t="shared" si="287"/>
        <v>700</v>
      </c>
    </row>
    <row r="706" s="20" customFormat="1" customHeight="1" spans="1:42">
      <c r="A706" s="25">
        <v>5510396</v>
      </c>
      <c r="B706" s="25">
        <v>5301267</v>
      </c>
      <c r="C706" s="25">
        <v>6</v>
      </c>
      <c r="D706" s="25"/>
      <c r="E706" s="25" t="s">
        <v>209</v>
      </c>
      <c r="F706" s="26" t="str">
        <f t="shared" si="285"/>
        <v/>
      </c>
      <c r="G706" s="26" t="str">
        <f>IFERROR(IF(--MID($E706,2*COUNTIF($F706:F706,"&gt;"&amp;0)+2,1)=G$1,G$1,""),"")</f>
        <v/>
      </c>
      <c r="H706" s="26" t="str">
        <f>IFERROR(IF(--MID($E706,2*COUNTIF($F706:G706,"&gt;"&amp;0)+2,1)=H$1,H$1,""),"")</f>
        <v/>
      </c>
      <c r="I706" s="26" t="str">
        <f>IFERROR(IF(--MID($E706,2*COUNTIF($F706:H706,"&gt;"&amp;0)+2,1)=I$1,I$1,""),"")</f>
        <v/>
      </c>
      <c r="J706" s="26" t="str">
        <f>IFERROR(IF(--MID($E706,2*COUNTIF($F706:I706,"&gt;"&amp;0)+2,1)=J$1,J$1,""),"")</f>
        <v/>
      </c>
      <c r="K706" s="26">
        <f>IFERROR(IF(--MID($E706,2*COUNTIF($F706:J706,"&gt;"&amp;0)+2,1)=K$1,K$1,""),"")</f>
        <v>6</v>
      </c>
      <c r="L706" s="39" t="str" cm="1">
        <f t="array" ref="L706">IFERROR(IF($A706="","",IF(F706="","",_xlfn.XLOOKUP($C706&amp;"_"&amp;$AG706,符文权重!$A:$A&amp;"_"&amp;符文权重!$C:$C,符文权重!$D:$D)*$X706/SUMIFS($X:$X,F:F,F706,$C:$C,$C706,$AG:$AG,$AG706)/SUMIF(符文权重!$A:$A,$C706,符文权重!$D:$D))),"")</f>
        <v/>
      </c>
      <c r="M706" s="39" t="str" cm="1">
        <f t="array" ref="M706">IFERROR(IF($A706="","",IF(G706="","",_xlfn.XLOOKUP($C706&amp;"_"&amp;$AG706,符文权重!$A:$A&amp;"_"&amp;符文权重!$C:$C,符文权重!$D:$D)*$X706/SUMIFS($X:$X,G:G,G706,$C:$C,$C706,$AG:$AG,$AG706)/SUMIF(符文权重!$A:$A,$C706,符文权重!$D:$D))),"")</f>
        <v/>
      </c>
      <c r="N706" s="39" t="str" cm="1">
        <f t="array" ref="N706">IFERROR(IF($A706="","",IF(H706="","",_xlfn.XLOOKUP($C706&amp;"_"&amp;$AG706,符文权重!$A:$A&amp;"_"&amp;符文权重!$C:$C,符文权重!$D:$D)*$X706/SUMIFS($X:$X,H:H,H706,$C:$C,$C706,$AG:$AG,$AG706)/SUMIF(符文权重!$A:$A,$C706,符文权重!$D:$D))),"")</f>
        <v/>
      </c>
      <c r="O706" s="39" t="str" cm="1">
        <f t="array" ref="O706">IFERROR(IF($A706="","",IF(I706="","",_xlfn.XLOOKUP($C706&amp;"_"&amp;$AG706,符文权重!$A:$A&amp;"_"&amp;符文权重!$C:$C,符文权重!$D:$D)*$X706/SUMIFS($X:$X,I:I,I706,$C:$C,$C706,$AG:$AG,$AG706)/SUMIF(符文权重!$A:$A,$C706,符文权重!$D:$D))),"")</f>
        <v/>
      </c>
      <c r="P706" s="39" t="str" cm="1">
        <f t="array" ref="P706">IFERROR(IF($A706="","",IF(J706="","",_xlfn.XLOOKUP($C706&amp;"_"&amp;$AG706,符文权重!$A:$A&amp;"_"&amp;符文权重!$C:$C,符文权重!$D:$D)*$X706/SUMIFS($X:$X,J:J,J706,$C:$C,$C706,$AG:$AG,$AG706)/SUMIF(符文权重!$A:$A,$C706,符文权重!$D:$D))),"")</f>
        <v/>
      </c>
      <c r="Q706" s="39" cm="1">
        <f t="array" ref="Q706">IFERROR(IF($A706="","",IF(K706="","",_xlfn.XLOOKUP($C706&amp;"_"&amp;$AG706,符文权重!$A:$A&amp;"_"&amp;符文权重!$C:$C,符文权重!$D:$D)*$X706/SUMIFS($X:$X,K:K,K706,$C:$C,$C706,$AG:$AG,$AG706)/SUMIF(符文权重!$A:$A,$C706,符文权重!$D:$D))),"")</f>
        <v>0.009375</v>
      </c>
      <c r="R706" s="25" t="s">
        <v>330</v>
      </c>
      <c r="S706" s="25" t="s">
        <v>813</v>
      </c>
      <c r="T706" s="25" t="s">
        <v>394</v>
      </c>
      <c r="U706" s="25" t="s">
        <v>835</v>
      </c>
      <c r="W706" s="25" t="s">
        <v>599</v>
      </c>
      <c r="X706" s="25">
        <v>100</v>
      </c>
      <c r="Z706" s="25" t="s">
        <v>178</v>
      </c>
      <c r="AA706" s="32" t="str">
        <f t="shared" si="288"/>
        <v>神灯王子攻击有15%概率使全体梦灵获得：下次充能加速+200%</v>
      </c>
      <c r="AB706" s="32"/>
      <c r="AC706" s="32" t="s">
        <v>166</v>
      </c>
      <c r="AD706" s="32">
        <f t="shared" si="286"/>
        <v>1701</v>
      </c>
      <c r="AE706" s="25">
        <v>53012672</v>
      </c>
      <c r="AF706" s="25" t="s">
        <v>425</v>
      </c>
      <c r="AG706" s="25">
        <v>4</v>
      </c>
      <c r="AJ706" s="25">
        <v>1</v>
      </c>
      <c r="AK706" s="26"/>
      <c r="AL706" s="25" t="s">
        <v>836</v>
      </c>
      <c r="AM706" s="26"/>
      <c r="AN706" s="25">
        <v>4</v>
      </c>
      <c r="AO706" s="25" t="s">
        <v>25</v>
      </c>
      <c r="AP706" s="20">
        <f t="shared" si="287"/>
        <v>701</v>
      </c>
    </row>
    <row r="707" s="20" customFormat="1" customHeight="1" spans="1:42">
      <c r="A707" s="25">
        <v>5510397</v>
      </c>
      <c r="B707" s="25">
        <v>5301267</v>
      </c>
      <c r="C707" s="25">
        <v>7</v>
      </c>
      <c r="D707" s="25"/>
      <c r="E707" s="25" t="s">
        <v>209</v>
      </c>
      <c r="F707" s="26" t="str">
        <f t="shared" si="285"/>
        <v/>
      </c>
      <c r="G707" s="26" t="str">
        <f>IFERROR(IF(--MID($E707,2*COUNTIF($F707:F707,"&gt;"&amp;0)+2,1)=G$1,G$1,""),"")</f>
        <v/>
      </c>
      <c r="H707" s="26" t="str">
        <f>IFERROR(IF(--MID($E707,2*COUNTIF($F707:G707,"&gt;"&amp;0)+2,1)=H$1,H$1,""),"")</f>
        <v/>
      </c>
      <c r="I707" s="26" t="str">
        <f>IFERROR(IF(--MID($E707,2*COUNTIF($F707:H707,"&gt;"&amp;0)+2,1)=I$1,I$1,""),"")</f>
        <v/>
      </c>
      <c r="J707" s="26" t="str">
        <f>IFERROR(IF(--MID($E707,2*COUNTIF($F707:I707,"&gt;"&amp;0)+2,1)=J$1,J$1,""),"")</f>
        <v/>
      </c>
      <c r="K707" s="26">
        <f>IFERROR(IF(--MID($E707,2*COUNTIF($F707:J707,"&gt;"&amp;0)+2,1)=K$1,K$1,""),"")</f>
        <v>6</v>
      </c>
      <c r="L707" s="39" t="str" cm="1">
        <f t="array" ref="L707">IFERROR(IF($A707="","",IF(F707="","",_xlfn.XLOOKUP($C707&amp;"_"&amp;$AG707,符文权重!$A:$A&amp;"_"&amp;符文权重!$C:$C,符文权重!$D:$D)*$X707/SUMIFS($X:$X,F:F,F707,$C:$C,$C707,$AG:$AG,$AG707)/SUMIF(符文权重!$A:$A,$C707,符文权重!$D:$D))),"")</f>
        <v/>
      </c>
      <c r="M707" s="39" t="str" cm="1">
        <f t="array" ref="M707">IFERROR(IF($A707="","",IF(G707="","",_xlfn.XLOOKUP($C707&amp;"_"&amp;$AG707,符文权重!$A:$A&amp;"_"&amp;符文权重!$C:$C,符文权重!$D:$D)*$X707/SUMIFS($X:$X,G:G,G707,$C:$C,$C707,$AG:$AG,$AG707)/SUMIF(符文权重!$A:$A,$C707,符文权重!$D:$D))),"")</f>
        <v/>
      </c>
      <c r="N707" s="39" t="str" cm="1">
        <f t="array" ref="N707">IFERROR(IF($A707="","",IF(H707="","",_xlfn.XLOOKUP($C707&amp;"_"&amp;$AG707,符文权重!$A:$A&amp;"_"&amp;符文权重!$C:$C,符文权重!$D:$D)*$X707/SUMIFS($X:$X,H:H,H707,$C:$C,$C707,$AG:$AG,$AG707)/SUMIF(符文权重!$A:$A,$C707,符文权重!$D:$D))),"")</f>
        <v/>
      </c>
      <c r="O707" s="39" t="str" cm="1">
        <f t="array" ref="O707">IFERROR(IF($A707="","",IF(I707="","",_xlfn.XLOOKUP($C707&amp;"_"&amp;$AG707,符文权重!$A:$A&amp;"_"&amp;符文权重!$C:$C,符文权重!$D:$D)*$X707/SUMIFS($X:$X,I:I,I707,$C:$C,$C707,$AG:$AG,$AG707)/SUMIF(符文权重!$A:$A,$C707,符文权重!$D:$D))),"")</f>
        <v/>
      </c>
      <c r="P707" s="39" t="str" cm="1">
        <f t="array" ref="P707">IFERROR(IF($A707="","",IF(J707="","",_xlfn.XLOOKUP($C707&amp;"_"&amp;$AG707,符文权重!$A:$A&amp;"_"&amp;符文权重!$C:$C,符文权重!$D:$D)*$X707/SUMIFS($X:$X,J:J,J707,$C:$C,$C707,$AG:$AG,$AG707)/SUMIF(符文权重!$A:$A,$C707,符文权重!$D:$D))),"")</f>
        <v/>
      </c>
      <c r="Q707" s="39" cm="1">
        <f t="array" ref="Q707">IFERROR(IF($A707="","",IF(K707="","",_xlfn.XLOOKUP($C707&amp;"_"&amp;$AG707,符文权重!$A:$A&amp;"_"&amp;符文权重!$C:$C,符文权重!$D:$D)*$X707/SUMIFS($X:$X,K:K,K707,$C:$C,$C707,$AG:$AG,$AG707)/SUMIF(符文权重!$A:$A,$C707,符文权重!$D:$D))),"")</f>
        <v>0.009375</v>
      </c>
      <c r="R707" s="25" t="s">
        <v>330</v>
      </c>
      <c r="S707" s="25" t="s">
        <v>813</v>
      </c>
      <c r="T707" s="25" t="s">
        <v>397</v>
      </c>
      <c r="U707" s="25" t="s">
        <v>837</v>
      </c>
      <c r="W707" s="25" t="s">
        <v>733</v>
      </c>
      <c r="X707" s="25">
        <v>100</v>
      </c>
      <c r="Z707" s="25" t="s">
        <v>180</v>
      </c>
      <c r="AA707" s="32" t="str">
        <f t="shared" si="288"/>
        <v>神灯王子攻击有15%概率使全体梦灵获得：下次充能加速+300%</v>
      </c>
      <c r="AB707" s="32"/>
      <c r="AC707" s="32" t="s">
        <v>166</v>
      </c>
      <c r="AD707" s="32">
        <f t="shared" si="286"/>
        <v>1702</v>
      </c>
      <c r="AE707" s="25">
        <v>53012672</v>
      </c>
      <c r="AF707" s="25" t="s">
        <v>838</v>
      </c>
      <c r="AG707" s="25">
        <v>4</v>
      </c>
      <c r="AJ707" s="25">
        <v>1</v>
      </c>
      <c r="AK707" s="26"/>
      <c r="AL707" s="25" t="s">
        <v>839</v>
      </c>
      <c r="AM707" s="26"/>
      <c r="AN707" s="25">
        <v>4</v>
      </c>
      <c r="AO707" s="25" t="s">
        <v>25</v>
      </c>
      <c r="AP707" s="20">
        <f t="shared" si="287"/>
        <v>702</v>
      </c>
    </row>
    <row r="708" s="20" customFormat="1" customHeight="1" spans="1:42">
      <c r="A708" s="25">
        <v>5510404</v>
      </c>
      <c r="B708" s="25">
        <v>5301269</v>
      </c>
      <c r="C708" s="26">
        <v>4</v>
      </c>
      <c r="D708" s="26"/>
      <c r="E708" s="25" t="s">
        <v>200</v>
      </c>
      <c r="F708" s="26" t="str">
        <f t="shared" si="285"/>
        <v/>
      </c>
      <c r="G708" s="26">
        <f>IFERROR(IF(--MID($E708,2*COUNTIF($F708:F708,"&gt;"&amp;0)+2,1)=G$1,G$1,""),"")</f>
        <v>2</v>
      </c>
      <c r="H708" s="26" t="str">
        <f>IFERROR(IF(--MID($E708,2*COUNTIF($F708:G708,"&gt;"&amp;0)+2,1)=H$1,H$1,""),"")</f>
        <v/>
      </c>
      <c r="I708" s="26" t="str">
        <f>IFERROR(IF(--MID($E708,2*COUNTIF($F708:H708,"&gt;"&amp;0)+2,1)=I$1,I$1,""),"")</f>
        <v/>
      </c>
      <c r="J708" s="26" t="str">
        <f>IFERROR(IF(--MID($E708,2*COUNTIF($F708:I708,"&gt;"&amp;0)+2,1)=J$1,J$1,""),"")</f>
        <v/>
      </c>
      <c r="K708" s="26" t="str">
        <f>IFERROR(IF(--MID($E708,2*COUNTIF($F708:J708,"&gt;"&amp;0)+2,1)=K$1,K$1,""),"")</f>
        <v/>
      </c>
      <c r="L708" s="39" t="str" cm="1">
        <f t="array" ref="L708">IFERROR(IF($A708="","",IF(F708="","",_xlfn.XLOOKUP($C708&amp;"_"&amp;$AG708,符文权重!$A:$A&amp;"_"&amp;符文权重!$C:$C,符文权重!$D:$D)*$X708/SUMIFS($X:$X,F:F,F708,$C:$C,$C708,$AG:$AG,$AG708)/SUMIF(符文权重!$A:$A,$C708,符文权重!$D:$D))),"")</f>
        <v/>
      </c>
      <c r="M708" s="39" cm="1">
        <f t="array" ref="M708">IFERROR(IF($A708="","",IF(G708="","",_xlfn.XLOOKUP($C708&amp;"_"&amp;$AG708,符文权重!$A:$A&amp;"_"&amp;符文权重!$C:$C,符文权重!$D:$D)*$X708/SUMIFS($X:$X,G:G,G708,$C:$C,$C708,$AG:$AG,$AG708)/SUMIF(符文权重!$A:$A,$C708,符文权重!$D:$D))),"")</f>
        <v>0.00333333333333333</v>
      </c>
      <c r="N708" s="39" t="str" cm="1">
        <f t="array" ref="N708">IFERROR(IF($A708="","",IF(H708="","",_xlfn.XLOOKUP($C708&amp;"_"&amp;$AG708,符文权重!$A:$A&amp;"_"&amp;符文权重!$C:$C,符文权重!$D:$D)*$X708/SUMIFS($X:$X,H:H,H708,$C:$C,$C708,$AG:$AG,$AG708)/SUMIF(符文权重!$A:$A,$C708,符文权重!$D:$D))),"")</f>
        <v/>
      </c>
      <c r="O708" s="39" t="str" cm="1">
        <f t="array" ref="O708">IFERROR(IF($A708="","",IF(I708="","",_xlfn.XLOOKUP($C708&amp;"_"&amp;$AG708,符文权重!$A:$A&amp;"_"&amp;符文权重!$C:$C,符文权重!$D:$D)*$X708/SUMIFS($X:$X,I:I,I708,$C:$C,$C708,$AG:$AG,$AG708)/SUMIF(符文权重!$A:$A,$C708,符文权重!$D:$D))),"")</f>
        <v/>
      </c>
      <c r="P708" s="39" t="str" cm="1">
        <f t="array" ref="P708">IFERROR(IF($A708="","",IF(J708="","",_xlfn.XLOOKUP($C708&amp;"_"&amp;$AG708,符文权重!$A:$A&amp;"_"&amp;符文权重!$C:$C,符文权重!$D:$D)*$X708/SUMIFS($X:$X,J:J,J708,$C:$C,$C708,$AG:$AG,$AG708)/SUMIF(符文权重!$A:$A,$C708,符文权重!$D:$D))),"")</f>
        <v/>
      </c>
      <c r="Q708" s="39" t="str" cm="1">
        <f t="array" ref="Q708">IFERROR(IF($A708="","",IF(K708="","",_xlfn.XLOOKUP($C708&amp;"_"&amp;$AG708,符文权重!$A:$A&amp;"_"&amp;符文权重!$C:$C,符文权重!$D:$D)*$X708/SUMIFS($X:$X,K:K,K708,$C:$C,$C708,$AG:$AG,$AG708)/SUMIF(符文权重!$A:$A,$C708,符文权重!$D:$D))),"")</f>
        <v/>
      </c>
      <c r="R708" s="26" t="s">
        <v>330</v>
      </c>
      <c r="S708" s="26" t="s">
        <v>840</v>
      </c>
      <c r="T708" s="26" t="s">
        <v>388</v>
      </c>
      <c r="U708" s="20" t="s">
        <v>841</v>
      </c>
      <c r="V708" s="26"/>
      <c r="W708" s="25" t="s">
        <v>540</v>
      </c>
      <c r="X708" s="25">
        <v>100</v>
      </c>
      <c r="Y708" s="25"/>
      <c r="Z708" s="26" t="s">
        <v>174</v>
      </c>
      <c r="AA708" s="32" t="str">
        <f t="shared" si="288"/>
        <v>唐小僧[符咒]消失时爆炸，造成20%伤害</v>
      </c>
      <c r="AB708" s="32"/>
      <c r="AC708" s="32" t="s">
        <v>166</v>
      </c>
      <c r="AD708" s="32">
        <f t="shared" si="286"/>
        <v>1703</v>
      </c>
      <c r="AE708" s="25">
        <v>5301269</v>
      </c>
      <c r="AF708" s="26" t="s">
        <v>396</v>
      </c>
      <c r="AG708" s="26">
        <v>8</v>
      </c>
      <c r="AH708" s="26"/>
      <c r="AI708" s="26"/>
      <c r="AJ708" s="26">
        <v>1</v>
      </c>
      <c r="AL708" s="26" t="s">
        <v>842</v>
      </c>
      <c r="AN708" s="25">
        <v>4</v>
      </c>
      <c r="AO708" s="25" t="s">
        <v>32</v>
      </c>
      <c r="AP708" s="20">
        <f t="shared" si="287"/>
        <v>703</v>
      </c>
    </row>
    <row r="709" s="20" customFormat="1" customHeight="1" spans="1:42">
      <c r="A709" s="25">
        <v>5510405</v>
      </c>
      <c r="B709" s="25">
        <v>5301269</v>
      </c>
      <c r="C709" s="25">
        <v>5</v>
      </c>
      <c r="D709" s="25"/>
      <c r="E709" s="25" t="s">
        <v>200</v>
      </c>
      <c r="F709" s="26" t="str">
        <f t="shared" si="285"/>
        <v/>
      </c>
      <c r="G709" s="26">
        <f>IFERROR(IF(--MID($E709,2*COUNTIF($F709:F709,"&gt;"&amp;0)+2,1)=G$1,G$1,""),"")</f>
        <v>2</v>
      </c>
      <c r="H709" s="26" t="str">
        <f>IFERROR(IF(--MID($E709,2*COUNTIF($F709:G709,"&gt;"&amp;0)+2,1)=H$1,H$1,""),"")</f>
        <v/>
      </c>
      <c r="I709" s="26" t="str">
        <f>IFERROR(IF(--MID($E709,2*COUNTIF($F709:H709,"&gt;"&amp;0)+2,1)=I$1,I$1,""),"")</f>
        <v/>
      </c>
      <c r="J709" s="26" t="str">
        <f>IFERROR(IF(--MID($E709,2*COUNTIF($F709:I709,"&gt;"&amp;0)+2,1)=J$1,J$1,""),"")</f>
        <v/>
      </c>
      <c r="K709" s="26" t="str">
        <f>IFERROR(IF(--MID($E709,2*COUNTIF($F709:J709,"&gt;"&amp;0)+2,1)=K$1,K$1,""),"")</f>
        <v/>
      </c>
      <c r="L709" s="39" t="str" cm="1">
        <f t="array" ref="L709">IFERROR(IF($A709="","",IF(F709="","",_xlfn.XLOOKUP($C709&amp;"_"&amp;$AG709,符文权重!$A:$A&amp;"_"&amp;符文权重!$C:$C,符文权重!$D:$D)*$X709/SUMIFS($X:$X,F:F,F709,$C:$C,$C709,$AG:$AG,$AG709)/SUMIF(符文权重!$A:$A,$C709,符文权重!$D:$D))),"")</f>
        <v/>
      </c>
      <c r="M709" s="39" cm="1">
        <f t="array" ref="M709">IFERROR(IF($A709="","",IF(G709="","",_xlfn.XLOOKUP($C709&amp;"_"&amp;$AG709,符文权重!$A:$A&amp;"_"&amp;符文权重!$C:$C,符文权重!$D:$D)*$X709/SUMIFS($X:$X,G:G,G709,$C:$C,$C709,$AG:$AG,$AG709)/SUMIF(符文权重!$A:$A,$C709,符文权重!$D:$D))),"")</f>
        <v>0.0125</v>
      </c>
      <c r="N709" s="39" t="str" cm="1">
        <f t="array" ref="N709">IFERROR(IF($A709="","",IF(H709="","",_xlfn.XLOOKUP($C709&amp;"_"&amp;$AG709,符文权重!$A:$A&amp;"_"&amp;符文权重!$C:$C,符文权重!$D:$D)*$X709/SUMIFS($X:$X,H:H,H709,$C:$C,$C709,$AG:$AG,$AG709)/SUMIF(符文权重!$A:$A,$C709,符文权重!$D:$D))),"")</f>
        <v/>
      </c>
      <c r="O709" s="39" t="str" cm="1">
        <f t="array" ref="O709">IFERROR(IF($A709="","",IF(I709="","",_xlfn.XLOOKUP($C709&amp;"_"&amp;$AG709,符文权重!$A:$A&amp;"_"&amp;符文权重!$C:$C,符文权重!$D:$D)*$X709/SUMIFS($X:$X,I:I,I709,$C:$C,$C709,$AG:$AG,$AG709)/SUMIF(符文权重!$A:$A,$C709,符文权重!$D:$D))),"")</f>
        <v/>
      </c>
      <c r="P709" s="39" t="str" cm="1">
        <f t="array" ref="P709">IFERROR(IF($A709="","",IF(J709="","",_xlfn.XLOOKUP($C709&amp;"_"&amp;$AG709,符文权重!$A:$A&amp;"_"&amp;符文权重!$C:$C,符文权重!$D:$D)*$X709/SUMIFS($X:$X,J:J,J709,$C:$C,$C709,$AG:$AG,$AG709)/SUMIF(符文权重!$A:$A,$C709,符文权重!$D:$D))),"")</f>
        <v/>
      </c>
      <c r="Q709" s="39" t="str" cm="1">
        <f t="array" ref="Q709">IFERROR(IF($A709="","",IF(K709="","",_xlfn.XLOOKUP($C709&amp;"_"&amp;$AG709,符文权重!$A:$A&amp;"_"&amp;符文权重!$C:$C,符文权重!$D:$D)*$X709/SUMIFS($X:$X,K:K,K709,$C:$C,$C709,$AG:$AG,$AG709)/SUMIF(符文权重!$A:$A,$C709,符文权重!$D:$D))),"")</f>
        <v/>
      </c>
      <c r="R709" s="25" t="s">
        <v>330</v>
      </c>
      <c r="S709" s="25" t="s">
        <v>840</v>
      </c>
      <c r="T709" s="25" t="s">
        <v>391</v>
      </c>
      <c r="U709" s="25" t="s">
        <v>843</v>
      </c>
      <c r="W709" s="25" t="s">
        <v>728</v>
      </c>
      <c r="X709" s="25">
        <v>100</v>
      </c>
      <c r="Z709" s="25" t="s">
        <v>176</v>
      </c>
      <c r="AA709" s="32" t="str">
        <f t="shared" si="288"/>
        <v>唐小僧[符咒]消失时爆炸，造成28%伤害</v>
      </c>
      <c r="AB709" s="32"/>
      <c r="AC709" s="32" t="s">
        <v>166</v>
      </c>
      <c r="AD709" s="32">
        <f t="shared" si="286"/>
        <v>1704</v>
      </c>
      <c r="AE709" s="25">
        <v>5301269</v>
      </c>
      <c r="AF709" s="25" t="s">
        <v>746</v>
      </c>
      <c r="AG709" s="25">
        <v>4</v>
      </c>
      <c r="AJ709" s="25">
        <v>1</v>
      </c>
      <c r="AK709" s="26"/>
      <c r="AL709" s="25" t="s">
        <v>844</v>
      </c>
      <c r="AM709" s="26"/>
      <c r="AN709" s="25">
        <v>4</v>
      </c>
      <c r="AO709" s="25" t="s">
        <v>32</v>
      </c>
      <c r="AP709" s="20">
        <f t="shared" si="287"/>
        <v>704</v>
      </c>
    </row>
    <row r="710" s="20" customFormat="1" customHeight="1" spans="1:42">
      <c r="A710" s="25">
        <v>5510406</v>
      </c>
      <c r="B710" s="25">
        <v>5301269</v>
      </c>
      <c r="C710" s="25">
        <v>6</v>
      </c>
      <c r="D710" s="25"/>
      <c r="E710" s="25" t="s">
        <v>200</v>
      </c>
      <c r="F710" s="26" t="str">
        <f t="shared" si="285"/>
        <v/>
      </c>
      <c r="G710" s="26">
        <f>IFERROR(IF(--MID($E710,2*COUNTIF($F710:F710,"&gt;"&amp;0)+2,1)=G$1,G$1,""),"")</f>
        <v>2</v>
      </c>
      <c r="H710" s="26" t="str">
        <f>IFERROR(IF(--MID($E710,2*COUNTIF($F710:G710,"&gt;"&amp;0)+2,1)=H$1,H$1,""),"")</f>
        <v/>
      </c>
      <c r="I710" s="26" t="str">
        <f>IFERROR(IF(--MID($E710,2*COUNTIF($F710:H710,"&gt;"&amp;0)+2,1)=I$1,I$1,""),"")</f>
        <v/>
      </c>
      <c r="J710" s="26" t="str">
        <f>IFERROR(IF(--MID($E710,2*COUNTIF($F710:I710,"&gt;"&amp;0)+2,1)=J$1,J$1,""),"")</f>
        <v/>
      </c>
      <c r="K710" s="26" t="str">
        <f>IFERROR(IF(--MID($E710,2*COUNTIF($F710:J710,"&gt;"&amp;0)+2,1)=K$1,K$1,""),"")</f>
        <v/>
      </c>
      <c r="L710" s="39" t="str" cm="1">
        <f t="array" ref="L710">IFERROR(IF($A710="","",IF(F710="","",_xlfn.XLOOKUP($C710&amp;"_"&amp;$AG710,符文权重!$A:$A&amp;"_"&amp;符文权重!$C:$C,符文权重!$D:$D)*$X710/SUMIFS($X:$X,F:F,F710,$C:$C,$C710,$AG:$AG,$AG710)/SUMIF(符文权重!$A:$A,$C710,符文权重!$D:$D))),"")</f>
        <v/>
      </c>
      <c r="M710" s="39" cm="1">
        <f t="array" ref="M710">IFERROR(IF($A710="","",IF(G710="","",_xlfn.XLOOKUP($C710&amp;"_"&amp;$AG710,符文权重!$A:$A&amp;"_"&amp;符文权重!$C:$C,符文权重!$D:$D)*$X710/SUMIFS($X:$X,G:G,G710,$C:$C,$C710,$AG:$AG,$AG710)/SUMIF(符文权重!$A:$A,$C710,符文权重!$D:$D))),"")</f>
        <v>0.0125</v>
      </c>
      <c r="N710" s="39" t="str" cm="1">
        <f t="array" ref="N710">IFERROR(IF($A710="","",IF(H710="","",_xlfn.XLOOKUP($C710&amp;"_"&amp;$AG710,符文权重!$A:$A&amp;"_"&amp;符文权重!$C:$C,符文权重!$D:$D)*$X710/SUMIFS($X:$X,H:H,H710,$C:$C,$C710,$AG:$AG,$AG710)/SUMIF(符文权重!$A:$A,$C710,符文权重!$D:$D))),"")</f>
        <v/>
      </c>
      <c r="O710" s="39" t="str" cm="1">
        <f t="array" ref="O710">IFERROR(IF($A710="","",IF(I710="","",_xlfn.XLOOKUP($C710&amp;"_"&amp;$AG710,符文权重!$A:$A&amp;"_"&amp;符文权重!$C:$C,符文权重!$D:$D)*$X710/SUMIFS($X:$X,I:I,I710,$C:$C,$C710,$AG:$AG,$AG710)/SUMIF(符文权重!$A:$A,$C710,符文权重!$D:$D))),"")</f>
        <v/>
      </c>
      <c r="P710" s="39" t="str" cm="1">
        <f t="array" ref="P710">IFERROR(IF($A710="","",IF(J710="","",_xlfn.XLOOKUP($C710&amp;"_"&amp;$AG710,符文权重!$A:$A&amp;"_"&amp;符文权重!$C:$C,符文权重!$D:$D)*$X710/SUMIFS($X:$X,J:J,J710,$C:$C,$C710,$AG:$AG,$AG710)/SUMIF(符文权重!$A:$A,$C710,符文权重!$D:$D))),"")</f>
        <v/>
      </c>
      <c r="Q710" s="39" t="str" cm="1">
        <f t="array" ref="Q710">IFERROR(IF($A710="","",IF(K710="","",_xlfn.XLOOKUP($C710&amp;"_"&amp;$AG710,符文权重!$A:$A&amp;"_"&amp;符文权重!$C:$C,符文权重!$D:$D)*$X710/SUMIFS($X:$X,K:K,K710,$C:$C,$C710,$AG:$AG,$AG710)/SUMIF(符文权重!$A:$A,$C710,符文权重!$D:$D))),"")</f>
        <v/>
      </c>
      <c r="R710" s="25" t="s">
        <v>330</v>
      </c>
      <c r="S710" s="25" t="s">
        <v>840</v>
      </c>
      <c r="T710" s="25" t="s">
        <v>394</v>
      </c>
      <c r="U710" s="25" t="s">
        <v>845</v>
      </c>
      <c r="W710" s="25" t="s">
        <v>599</v>
      </c>
      <c r="X710" s="25">
        <v>100</v>
      </c>
      <c r="Z710" s="25" t="s">
        <v>178</v>
      </c>
      <c r="AA710" s="32" t="str">
        <f t="shared" si="288"/>
        <v>唐小僧[符咒]消失时爆炸，造成36%伤害</v>
      </c>
      <c r="AB710" s="32"/>
      <c r="AC710" s="32" t="s">
        <v>166</v>
      </c>
      <c r="AD710" s="32">
        <f t="shared" si="286"/>
        <v>1705</v>
      </c>
      <c r="AE710" s="25">
        <v>5301269</v>
      </c>
      <c r="AF710" s="25" t="s">
        <v>603</v>
      </c>
      <c r="AG710" s="25">
        <v>4</v>
      </c>
      <c r="AJ710" s="25">
        <v>1</v>
      </c>
      <c r="AK710" s="26"/>
      <c r="AL710" s="25" t="s">
        <v>846</v>
      </c>
      <c r="AM710" s="26"/>
      <c r="AN710" s="25">
        <v>4</v>
      </c>
      <c r="AO710" s="25" t="s">
        <v>32</v>
      </c>
      <c r="AP710" s="20">
        <f t="shared" si="287"/>
        <v>705</v>
      </c>
    </row>
    <row r="711" s="20" customFormat="1" customHeight="1" spans="1:42">
      <c r="A711" s="25">
        <v>5510407</v>
      </c>
      <c r="B711" s="25">
        <v>5301269</v>
      </c>
      <c r="C711" s="25">
        <v>7</v>
      </c>
      <c r="D711" s="25"/>
      <c r="E711" s="25" t="s">
        <v>200</v>
      </c>
      <c r="F711" s="26" t="str">
        <f t="shared" ref="F711:F774" si="289">IF(LEFT(E711,2)="[1",1,"")</f>
        <v/>
      </c>
      <c r="G711" s="26">
        <f>IFERROR(IF(--MID($E711,2*COUNTIF($F711:F711,"&gt;"&amp;0)+2,1)=G$1,G$1,""),"")</f>
        <v>2</v>
      </c>
      <c r="H711" s="26" t="str">
        <f>IFERROR(IF(--MID($E711,2*COUNTIF($F711:G711,"&gt;"&amp;0)+2,1)=H$1,H$1,""),"")</f>
        <v/>
      </c>
      <c r="I711" s="26" t="str">
        <f>IFERROR(IF(--MID($E711,2*COUNTIF($F711:H711,"&gt;"&amp;0)+2,1)=I$1,I$1,""),"")</f>
        <v/>
      </c>
      <c r="J711" s="26" t="str">
        <f>IFERROR(IF(--MID($E711,2*COUNTIF($F711:I711,"&gt;"&amp;0)+2,1)=J$1,J$1,""),"")</f>
        <v/>
      </c>
      <c r="K711" s="26" t="str">
        <f>IFERROR(IF(--MID($E711,2*COUNTIF($F711:J711,"&gt;"&amp;0)+2,1)=K$1,K$1,""),"")</f>
        <v/>
      </c>
      <c r="L711" s="39" t="str" cm="1">
        <f t="array" ref="L711">IFERROR(IF($A711="","",IF(F711="","",_xlfn.XLOOKUP($C711&amp;"_"&amp;$AG711,符文权重!$A:$A&amp;"_"&amp;符文权重!$C:$C,符文权重!$D:$D)*$X711/SUMIFS($X:$X,F:F,F711,$C:$C,$C711,$AG:$AG,$AG711)/SUMIF(符文权重!$A:$A,$C711,符文权重!$D:$D))),"")</f>
        <v/>
      </c>
      <c r="M711" s="39" cm="1">
        <f t="array" ref="M711">IFERROR(IF($A711="","",IF(G711="","",_xlfn.XLOOKUP($C711&amp;"_"&amp;$AG711,符文权重!$A:$A&amp;"_"&amp;符文权重!$C:$C,符文权重!$D:$D)*$X711/SUMIFS($X:$X,G:G,G711,$C:$C,$C711,$AG:$AG,$AG711)/SUMIF(符文权重!$A:$A,$C711,符文权重!$D:$D))),"")</f>
        <v>0.0125</v>
      </c>
      <c r="N711" s="39" t="str" cm="1">
        <f t="array" ref="N711">IFERROR(IF($A711="","",IF(H711="","",_xlfn.XLOOKUP($C711&amp;"_"&amp;$AG711,符文权重!$A:$A&amp;"_"&amp;符文权重!$C:$C,符文权重!$D:$D)*$X711/SUMIFS($X:$X,H:H,H711,$C:$C,$C711,$AG:$AG,$AG711)/SUMIF(符文权重!$A:$A,$C711,符文权重!$D:$D))),"")</f>
        <v/>
      </c>
      <c r="O711" s="39" t="str" cm="1">
        <f t="array" ref="O711">IFERROR(IF($A711="","",IF(I711="","",_xlfn.XLOOKUP($C711&amp;"_"&amp;$AG711,符文权重!$A:$A&amp;"_"&amp;符文权重!$C:$C,符文权重!$D:$D)*$X711/SUMIFS($X:$X,I:I,I711,$C:$C,$C711,$AG:$AG,$AG711)/SUMIF(符文权重!$A:$A,$C711,符文权重!$D:$D))),"")</f>
        <v/>
      </c>
      <c r="P711" s="39" t="str" cm="1">
        <f t="array" ref="P711">IFERROR(IF($A711="","",IF(J711="","",_xlfn.XLOOKUP($C711&amp;"_"&amp;$AG711,符文权重!$A:$A&amp;"_"&amp;符文权重!$C:$C,符文权重!$D:$D)*$X711/SUMIFS($X:$X,J:J,J711,$C:$C,$C711,$AG:$AG,$AG711)/SUMIF(符文权重!$A:$A,$C711,符文权重!$D:$D))),"")</f>
        <v/>
      </c>
      <c r="Q711" s="39" t="str" cm="1">
        <f t="array" ref="Q711">IFERROR(IF($A711="","",IF(K711="","",_xlfn.XLOOKUP($C711&amp;"_"&amp;$AG711,符文权重!$A:$A&amp;"_"&amp;符文权重!$C:$C,符文权重!$D:$D)*$X711/SUMIFS($X:$X,K:K,K711,$C:$C,$C711,$AG:$AG,$AG711)/SUMIF(符文权重!$A:$A,$C711,符文权重!$D:$D))),"")</f>
        <v/>
      </c>
      <c r="R711" s="25" t="s">
        <v>330</v>
      </c>
      <c r="S711" s="25" t="s">
        <v>840</v>
      </c>
      <c r="T711" s="25" t="s">
        <v>397</v>
      </c>
      <c r="U711" s="25" t="s">
        <v>847</v>
      </c>
      <c r="W711" s="25" t="s">
        <v>733</v>
      </c>
      <c r="X711" s="25">
        <v>100</v>
      </c>
      <c r="Z711" s="25" t="s">
        <v>180</v>
      </c>
      <c r="AA711" s="32" t="str">
        <f t="shared" si="288"/>
        <v>唐小僧[符咒]消失时爆炸，造成45%伤害</v>
      </c>
      <c r="AB711" s="32"/>
      <c r="AC711" s="32" t="s">
        <v>166</v>
      </c>
      <c r="AD711" s="32">
        <f t="shared" si="286"/>
        <v>1706</v>
      </c>
      <c r="AE711" s="25">
        <v>5301269</v>
      </c>
      <c r="AF711" s="25" t="s">
        <v>437</v>
      </c>
      <c r="AG711" s="25">
        <v>4</v>
      </c>
      <c r="AJ711" s="25">
        <v>1</v>
      </c>
      <c r="AK711" s="26"/>
      <c r="AL711" s="25" t="s">
        <v>848</v>
      </c>
      <c r="AM711" s="26"/>
      <c r="AN711" s="25">
        <v>4</v>
      </c>
      <c r="AO711" s="25" t="s">
        <v>32</v>
      </c>
      <c r="AP711" s="20">
        <f t="shared" si="287"/>
        <v>706</v>
      </c>
    </row>
    <row r="712" s="20" customFormat="1" customHeight="1" spans="1:42">
      <c r="A712" s="25">
        <v>5510414</v>
      </c>
      <c r="B712" s="25">
        <v>5301270</v>
      </c>
      <c r="C712" s="26">
        <v>4</v>
      </c>
      <c r="D712" s="26"/>
      <c r="E712" s="25" t="s">
        <v>182</v>
      </c>
      <c r="F712" s="26" t="str">
        <f t="shared" si="289"/>
        <v/>
      </c>
      <c r="G712" s="26" t="str">
        <f>IFERROR(IF(--MID($E712,2*COUNTIF($F712:F712,"&gt;"&amp;0)+2,1)=G$1,G$1,""),"")</f>
        <v/>
      </c>
      <c r="H712" s="26">
        <f>IFERROR(IF(--MID($E712,2*COUNTIF($F712:G712,"&gt;"&amp;0)+2,1)=H$1,H$1,""),"")</f>
        <v>3</v>
      </c>
      <c r="I712" s="26" t="str">
        <f>IFERROR(IF(--MID($E712,2*COUNTIF($F712:H712,"&gt;"&amp;0)+2,1)=I$1,I$1,""),"")</f>
        <v/>
      </c>
      <c r="J712" s="26" t="str">
        <f>IFERROR(IF(--MID($E712,2*COUNTIF($F712:I712,"&gt;"&amp;0)+2,1)=J$1,J$1,""),"")</f>
        <v/>
      </c>
      <c r="K712" s="26" t="str">
        <f>IFERROR(IF(--MID($E712,2*COUNTIF($F712:J712,"&gt;"&amp;0)+2,1)=K$1,K$1,""),"")</f>
        <v/>
      </c>
      <c r="L712" s="39" t="str" cm="1">
        <f t="array" ref="L712">IFERROR(IF($A712="","",IF(F712="","",_xlfn.XLOOKUP($C712&amp;"_"&amp;$AG712,符文权重!$A:$A&amp;"_"&amp;符文权重!$C:$C,符文权重!$D:$D)*$X712/SUMIFS($X:$X,F:F,F712,$C:$C,$C712,$AG:$AG,$AG712)/SUMIF(符文权重!$A:$A,$C712,符文权重!$D:$D))),"")</f>
        <v/>
      </c>
      <c r="M712" s="39" t="str" cm="1">
        <f t="array" ref="M712">IFERROR(IF($A712="","",IF(G712="","",_xlfn.XLOOKUP($C712&amp;"_"&amp;$AG712,符文权重!$A:$A&amp;"_"&amp;符文权重!$C:$C,符文权重!$D:$D)*$X712/SUMIFS($X:$X,G:G,G712,$C:$C,$C712,$AG:$AG,$AG712)/SUMIF(符文权重!$A:$A,$C712,符文权重!$D:$D))),"")</f>
        <v/>
      </c>
      <c r="N712" s="39" cm="1">
        <f t="array" ref="N712">IFERROR(IF($A712="","",IF(H712="","",_xlfn.XLOOKUP($C712&amp;"_"&amp;$AG712,符文权重!$A:$A&amp;"_"&amp;符文权重!$C:$C,符文权重!$D:$D)*$X712/SUMIFS($X:$X,H:H,H712,$C:$C,$C712,$AG:$AG,$AG712)/SUMIF(符文权重!$A:$A,$C712,符文权重!$D:$D))),"")</f>
        <v>0.00333333333333333</v>
      </c>
      <c r="O712" s="39" t="str" cm="1">
        <f t="array" ref="O712">IFERROR(IF($A712="","",IF(I712="","",_xlfn.XLOOKUP($C712&amp;"_"&amp;$AG712,符文权重!$A:$A&amp;"_"&amp;符文权重!$C:$C,符文权重!$D:$D)*$X712/SUMIFS($X:$X,I:I,I712,$C:$C,$C712,$AG:$AG,$AG712)/SUMIF(符文权重!$A:$A,$C712,符文权重!$D:$D))),"")</f>
        <v/>
      </c>
      <c r="P712" s="39" t="str" cm="1">
        <f t="array" ref="P712">IFERROR(IF($A712="","",IF(J712="","",_xlfn.XLOOKUP($C712&amp;"_"&amp;$AG712,符文权重!$A:$A&amp;"_"&amp;符文权重!$C:$C,符文权重!$D:$D)*$X712/SUMIFS($X:$X,J:J,J712,$C:$C,$C712,$AG:$AG,$AG712)/SUMIF(符文权重!$A:$A,$C712,符文权重!$D:$D))),"")</f>
        <v/>
      </c>
      <c r="Q712" s="39" t="str" cm="1">
        <f t="array" ref="Q712">IFERROR(IF($A712="","",IF(K712="","",_xlfn.XLOOKUP($C712&amp;"_"&amp;$AG712,符文权重!$A:$A&amp;"_"&amp;符文权重!$C:$C,符文权重!$D:$D)*$X712/SUMIFS($X:$X,K:K,K712,$C:$C,$C712,$AG:$AG,$AG712)/SUMIF(符文权重!$A:$A,$C712,符文权重!$D:$D))),"")</f>
        <v/>
      </c>
      <c r="R712" s="26" t="s">
        <v>330</v>
      </c>
      <c r="S712" s="26" t="s">
        <v>840</v>
      </c>
      <c r="T712" s="26" t="s">
        <v>388</v>
      </c>
      <c r="U712" s="20" t="s">
        <v>849</v>
      </c>
      <c r="V712" s="26"/>
      <c r="W712" s="25" t="s">
        <v>540</v>
      </c>
      <c r="X712" s="25">
        <v>100</v>
      </c>
      <c r="Y712" s="25"/>
      <c r="Z712" s="26" t="s">
        <v>174</v>
      </c>
      <c r="AA712" s="32" t="str">
        <f t="shared" si="288"/>
        <v>唐小僧攻击被[控制]的目标时，暴击率+8%</v>
      </c>
      <c r="AB712" s="32"/>
      <c r="AC712" s="32" t="s">
        <v>166</v>
      </c>
      <c r="AD712" s="32">
        <f t="shared" ref="AD712:AD775" si="290">AD711+1</f>
        <v>1707</v>
      </c>
      <c r="AE712" s="25">
        <v>5301270</v>
      </c>
      <c r="AF712" s="26" t="s">
        <v>387</v>
      </c>
      <c r="AG712" s="26">
        <v>8</v>
      </c>
      <c r="AH712" s="26"/>
      <c r="AI712" s="26"/>
      <c r="AJ712" s="26">
        <v>1</v>
      </c>
      <c r="AK712" s="26"/>
      <c r="AL712" s="26" t="s">
        <v>850</v>
      </c>
      <c r="AM712" s="26"/>
      <c r="AN712" s="25">
        <v>4</v>
      </c>
      <c r="AO712" s="25" t="s">
        <v>32</v>
      </c>
      <c r="AP712" s="20">
        <f t="shared" ref="AP712:AP775" si="291">AP711+1</f>
        <v>707</v>
      </c>
    </row>
    <row r="713" s="20" customFormat="1" customHeight="1" spans="1:42">
      <c r="A713" s="25">
        <v>5510415</v>
      </c>
      <c r="B713" s="25">
        <v>5301270</v>
      </c>
      <c r="C713" s="25">
        <v>5</v>
      </c>
      <c r="D713" s="25"/>
      <c r="E713" s="25" t="s">
        <v>182</v>
      </c>
      <c r="F713" s="26" t="str">
        <f t="shared" si="289"/>
        <v/>
      </c>
      <c r="G713" s="26" t="str">
        <f>IFERROR(IF(--MID($E713,2*COUNTIF($F713:F713,"&gt;"&amp;0)+2,1)=G$1,G$1,""),"")</f>
        <v/>
      </c>
      <c r="H713" s="26">
        <f>IFERROR(IF(--MID($E713,2*COUNTIF($F713:G713,"&gt;"&amp;0)+2,1)=H$1,H$1,""),"")</f>
        <v>3</v>
      </c>
      <c r="I713" s="26" t="str">
        <f>IFERROR(IF(--MID($E713,2*COUNTIF($F713:H713,"&gt;"&amp;0)+2,1)=I$1,I$1,""),"")</f>
        <v/>
      </c>
      <c r="J713" s="26" t="str">
        <f>IFERROR(IF(--MID($E713,2*COUNTIF($F713:I713,"&gt;"&amp;0)+2,1)=J$1,J$1,""),"")</f>
        <v/>
      </c>
      <c r="K713" s="26" t="str">
        <f>IFERROR(IF(--MID($E713,2*COUNTIF($F713:J713,"&gt;"&amp;0)+2,1)=K$1,K$1,""),"")</f>
        <v/>
      </c>
      <c r="L713" s="39" t="str" cm="1">
        <f t="array" ref="L713">IFERROR(IF($A713="","",IF(F713="","",_xlfn.XLOOKUP($C713&amp;"_"&amp;$AG713,符文权重!$A:$A&amp;"_"&amp;符文权重!$C:$C,符文权重!$D:$D)*$X713/SUMIFS($X:$X,F:F,F713,$C:$C,$C713,$AG:$AG,$AG713)/SUMIF(符文权重!$A:$A,$C713,符文权重!$D:$D))),"")</f>
        <v/>
      </c>
      <c r="M713" s="39" t="str" cm="1">
        <f t="array" ref="M713">IFERROR(IF($A713="","",IF(G713="","",_xlfn.XLOOKUP($C713&amp;"_"&amp;$AG713,符文权重!$A:$A&amp;"_"&amp;符文权重!$C:$C,符文权重!$D:$D)*$X713/SUMIFS($X:$X,G:G,G713,$C:$C,$C713,$AG:$AG,$AG713)/SUMIF(符文权重!$A:$A,$C713,符文权重!$D:$D))),"")</f>
        <v/>
      </c>
      <c r="N713" s="39" cm="1">
        <f t="array" ref="N713">IFERROR(IF($A713="","",IF(H713="","",_xlfn.XLOOKUP($C713&amp;"_"&amp;$AG713,符文权重!$A:$A&amp;"_"&amp;符文权重!$C:$C,符文权重!$D:$D)*$X713/SUMIFS($X:$X,H:H,H713,$C:$C,$C713,$AG:$AG,$AG713)/SUMIF(符文权重!$A:$A,$C713,符文权重!$D:$D))),"")</f>
        <v>0.0115384615384615</v>
      </c>
      <c r="O713" s="39" t="str" cm="1">
        <f t="array" ref="O713">IFERROR(IF($A713="","",IF(I713="","",_xlfn.XLOOKUP($C713&amp;"_"&amp;$AG713,符文权重!$A:$A&amp;"_"&amp;符文权重!$C:$C,符文权重!$D:$D)*$X713/SUMIFS($X:$X,I:I,I713,$C:$C,$C713,$AG:$AG,$AG713)/SUMIF(符文权重!$A:$A,$C713,符文权重!$D:$D))),"")</f>
        <v/>
      </c>
      <c r="P713" s="39" t="str" cm="1">
        <f t="array" ref="P713">IFERROR(IF($A713="","",IF(J713="","",_xlfn.XLOOKUP($C713&amp;"_"&amp;$AG713,符文权重!$A:$A&amp;"_"&amp;符文权重!$C:$C,符文权重!$D:$D)*$X713/SUMIFS($X:$X,J:J,J713,$C:$C,$C713,$AG:$AG,$AG713)/SUMIF(符文权重!$A:$A,$C713,符文权重!$D:$D))),"")</f>
        <v/>
      </c>
      <c r="Q713" s="39" t="str" cm="1">
        <f t="array" ref="Q713">IFERROR(IF($A713="","",IF(K713="","",_xlfn.XLOOKUP($C713&amp;"_"&amp;$AG713,符文权重!$A:$A&amp;"_"&amp;符文权重!$C:$C,符文权重!$D:$D)*$X713/SUMIFS($X:$X,K:K,K713,$C:$C,$C713,$AG:$AG,$AG713)/SUMIF(符文权重!$A:$A,$C713,符文权重!$D:$D))),"")</f>
        <v/>
      </c>
      <c r="R713" s="25" t="s">
        <v>330</v>
      </c>
      <c r="S713" s="25" t="s">
        <v>840</v>
      </c>
      <c r="T713" s="25" t="s">
        <v>391</v>
      </c>
      <c r="U713" s="25" t="s">
        <v>851</v>
      </c>
      <c r="W713" s="25" t="s">
        <v>728</v>
      </c>
      <c r="X713" s="25">
        <v>100</v>
      </c>
      <c r="Z713" s="25" t="s">
        <v>176</v>
      </c>
      <c r="AA713" s="32" t="str">
        <f t="shared" si="288"/>
        <v>唐小僧攻击被[控制]的目标时，暴击率+10%</v>
      </c>
      <c r="AB713" s="32"/>
      <c r="AC713" s="32" t="s">
        <v>166</v>
      </c>
      <c r="AD713" s="32">
        <f t="shared" si="290"/>
        <v>1708</v>
      </c>
      <c r="AE713" s="25">
        <v>5301270</v>
      </c>
      <c r="AF713" s="25" t="s">
        <v>390</v>
      </c>
      <c r="AG713" s="25">
        <v>4</v>
      </c>
      <c r="AJ713" s="25">
        <v>1</v>
      </c>
      <c r="AK713" s="26"/>
      <c r="AL713" s="25" t="s">
        <v>852</v>
      </c>
      <c r="AM713" s="26"/>
      <c r="AN713" s="25">
        <v>4</v>
      </c>
      <c r="AO713" s="25" t="s">
        <v>32</v>
      </c>
      <c r="AP713" s="20">
        <f t="shared" si="291"/>
        <v>708</v>
      </c>
    </row>
    <row r="714" s="20" customFormat="1" customHeight="1" spans="1:42">
      <c r="A714" s="25">
        <v>5510416</v>
      </c>
      <c r="B714" s="25">
        <v>5301270</v>
      </c>
      <c r="C714" s="25">
        <v>6</v>
      </c>
      <c r="D714" s="25"/>
      <c r="E714" s="25" t="s">
        <v>182</v>
      </c>
      <c r="F714" s="26" t="str">
        <f t="shared" si="289"/>
        <v/>
      </c>
      <c r="G714" s="26" t="str">
        <f>IFERROR(IF(--MID($E714,2*COUNTIF($F714:F714,"&gt;"&amp;0)+2,1)=G$1,G$1,""),"")</f>
        <v/>
      </c>
      <c r="H714" s="26">
        <f>IFERROR(IF(--MID($E714,2*COUNTIF($F714:G714,"&gt;"&amp;0)+2,1)=H$1,H$1,""),"")</f>
        <v>3</v>
      </c>
      <c r="I714" s="26" t="str">
        <f>IFERROR(IF(--MID($E714,2*COUNTIF($F714:H714,"&gt;"&amp;0)+2,1)=I$1,I$1,""),"")</f>
        <v/>
      </c>
      <c r="J714" s="26" t="str">
        <f>IFERROR(IF(--MID($E714,2*COUNTIF($F714:I714,"&gt;"&amp;0)+2,1)=J$1,J$1,""),"")</f>
        <v/>
      </c>
      <c r="K714" s="26" t="str">
        <f>IFERROR(IF(--MID($E714,2*COUNTIF($F714:J714,"&gt;"&amp;0)+2,1)=K$1,K$1,""),"")</f>
        <v/>
      </c>
      <c r="L714" s="39" t="str" cm="1">
        <f t="array" ref="L714">IFERROR(IF($A714="","",IF(F714="","",_xlfn.XLOOKUP($C714&amp;"_"&amp;$AG714,符文权重!$A:$A&amp;"_"&amp;符文权重!$C:$C,符文权重!$D:$D)*$X714/SUMIFS($X:$X,F:F,F714,$C:$C,$C714,$AG:$AG,$AG714)/SUMIF(符文权重!$A:$A,$C714,符文权重!$D:$D))),"")</f>
        <v/>
      </c>
      <c r="M714" s="39" t="str" cm="1">
        <f t="array" ref="M714">IFERROR(IF($A714="","",IF(G714="","",_xlfn.XLOOKUP($C714&amp;"_"&amp;$AG714,符文权重!$A:$A&amp;"_"&amp;符文权重!$C:$C,符文权重!$D:$D)*$X714/SUMIFS($X:$X,G:G,G714,$C:$C,$C714,$AG:$AG,$AG714)/SUMIF(符文权重!$A:$A,$C714,符文权重!$D:$D))),"")</f>
        <v/>
      </c>
      <c r="N714" s="39" cm="1">
        <f t="array" ref="N714">IFERROR(IF($A714="","",IF(H714="","",_xlfn.XLOOKUP($C714&amp;"_"&amp;$AG714,符文权重!$A:$A&amp;"_"&amp;符文权重!$C:$C,符文权重!$D:$D)*$X714/SUMIFS($X:$X,H:H,H714,$C:$C,$C714,$AG:$AG,$AG714)/SUMIF(符文权重!$A:$A,$C714,符文权重!$D:$D))),"")</f>
        <v>0.0115384615384615</v>
      </c>
      <c r="O714" s="39" t="str" cm="1">
        <f t="array" ref="O714">IFERROR(IF($A714="","",IF(I714="","",_xlfn.XLOOKUP($C714&amp;"_"&amp;$AG714,符文权重!$A:$A&amp;"_"&amp;符文权重!$C:$C,符文权重!$D:$D)*$X714/SUMIFS($X:$X,I:I,I714,$C:$C,$C714,$AG:$AG,$AG714)/SUMIF(符文权重!$A:$A,$C714,符文权重!$D:$D))),"")</f>
        <v/>
      </c>
      <c r="P714" s="39" t="str" cm="1">
        <f t="array" ref="P714">IFERROR(IF($A714="","",IF(J714="","",_xlfn.XLOOKUP($C714&amp;"_"&amp;$AG714,符文权重!$A:$A&amp;"_"&amp;符文权重!$C:$C,符文权重!$D:$D)*$X714/SUMIFS($X:$X,J:J,J714,$C:$C,$C714,$AG:$AG,$AG714)/SUMIF(符文权重!$A:$A,$C714,符文权重!$D:$D))),"")</f>
        <v/>
      </c>
      <c r="Q714" s="39" t="str" cm="1">
        <f t="array" ref="Q714">IFERROR(IF($A714="","",IF(K714="","",_xlfn.XLOOKUP($C714&amp;"_"&amp;$AG714,符文权重!$A:$A&amp;"_"&amp;符文权重!$C:$C,符文权重!$D:$D)*$X714/SUMIFS($X:$X,K:K,K714,$C:$C,$C714,$AG:$AG,$AG714)/SUMIF(符文权重!$A:$A,$C714,符文权重!$D:$D))),"")</f>
        <v/>
      </c>
      <c r="R714" s="25" t="s">
        <v>330</v>
      </c>
      <c r="S714" s="25" t="s">
        <v>840</v>
      </c>
      <c r="T714" s="25" t="s">
        <v>394</v>
      </c>
      <c r="U714" s="25" t="s">
        <v>853</v>
      </c>
      <c r="W714" s="25" t="s">
        <v>599</v>
      </c>
      <c r="X714" s="25">
        <v>100</v>
      </c>
      <c r="Z714" s="25" t="s">
        <v>178</v>
      </c>
      <c r="AA714" s="32" t="str">
        <f t="shared" si="288"/>
        <v>唐小僧攻击被[控制]的目标时，暴击率+12%</v>
      </c>
      <c r="AB714" s="32"/>
      <c r="AC714" s="32" t="s">
        <v>166</v>
      </c>
      <c r="AD714" s="32">
        <f t="shared" si="290"/>
        <v>1709</v>
      </c>
      <c r="AE714" s="25">
        <v>5301270</v>
      </c>
      <c r="AF714" s="25" t="s">
        <v>454</v>
      </c>
      <c r="AG714" s="25">
        <v>4</v>
      </c>
      <c r="AJ714" s="25">
        <v>1</v>
      </c>
      <c r="AL714" s="25" t="s">
        <v>854</v>
      </c>
      <c r="AN714" s="25">
        <v>4</v>
      </c>
      <c r="AO714" s="25" t="s">
        <v>32</v>
      </c>
      <c r="AP714" s="20">
        <f t="shared" si="291"/>
        <v>709</v>
      </c>
    </row>
    <row r="715" s="20" customFormat="1" customHeight="1" spans="1:42">
      <c r="A715" s="25">
        <v>5510417</v>
      </c>
      <c r="B715" s="25">
        <v>5301270</v>
      </c>
      <c r="C715" s="25">
        <v>7</v>
      </c>
      <c r="D715" s="25"/>
      <c r="E715" s="25" t="s">
        <v>182</v>
      </c>
      <c r="F715" s="26" t="str">
        <f t="shared" si="289"/>
        <v/>
      </c>
      <c r="G715" s="26" t="str">
        <f>IFERROR(IF(--MID($E715,2*COUNTIF($F715:F715,"&gt;"&amp;0)+2,1)=G$1,G$1,""),"")</f>
        <v/>
      </c>
      <c r="H715" s="26">
        <f>IFERROR(IF(--MID($E715,2*COUNTIF($F715:G715,"&gt;"&amp;0)+2,1)=H$1,H$1,""),"")</f>
        <v>3</v>
      </c>
      <c r="I715" s="26" t="str">
        <f>IFERROR(IF(--MID($E715,2*COUNTIF($F715:H715,"&gt;"&amp;0)+2,1)=I$1,I$1,""),"")</f>
        <v/>
      </c>
      <c r="J715" s="26" t="str">
        <f>IFERROR(IF(--MID($E715,2*COUNTIF($F715:I715,"&gt;"&amp;0)+2,1)=J$1,J$1,""),"")</f>
        <v/>
      </c>
      <c r="K715" s="26" t="str">
        <f>IFERROR(IF(--MID($E715,2*COUNTIF($F715:J715,"&gt;"&amp;0)+2,1)=K$1,K$1,""),"")</f>
        <v/>
      </c>
      <c r="L715" s="39" t="str" cm="1">
        <f t="array" ref="L715">IFERROR(IF($A715="","",IF(F715="","",_xlfn.XLOOKUP($C715&amp;"_"&amp;$AG715,符文权重!$A:$A&amp;"_"&amp;符文权重!$C:$C,符文权重!$D:$D)*$X715/SUMIFS($X:$X,F:F,F715,$C:$C,$C715,$AG:$AG,$AG715)/SUMIF(符文权重!$A:$A,$C715,符文权重!$D:$D))),"")</f>
        <v/>
      </c>
      <c r="M715" s="39" t="str" cm="1">
        <f t="array" ref="M715">IFERROR(IF($A715="","",IF(G715="","",_xlfn.XLOOKUP($C715&amp;"_"&amp;$AG715,符文权重!$A:$A&amp;"_"&amp;符文权重!$C:$C,符文权重!$D:$D)*$X715/SUMIFS($X:$X,G:G,G715,$C:$C,$C715,$AG:$AG,$AG715)/SUMIF(符文权重!$A:$A,$C715,符文权重!$D:$D))),"")</f>
        <v/>
      </c>
      <c r="N715" s="39" cm="1">
        <f t="array" ref="N715">IFERROR(IF($A715="","",IF(H715="","",_xlfn.XLOOKUP($C715&amp;"_"&amp;$AG715,符文权重!$A:$A&amp;"_"&amp;符文权重!$C:$C,符文权重!$D:$D)*$X715/SUMIFS($X:$X,H:H,H715,$C:$C,$C715,$AG:$AG,$AG715)/SUMIF(符文权重!$A:$A,$C715,符文权重!$D:$D))),"")</f>
        <v>0.0115384615384615</v>
      </c>
      <c r="O715" s="39" t="str" cm="1">
        <f t="array" ref="O715">IFERROR(IF($A715="","",IF(I715="","",_xlfn.XLOOKUP($C715&amp;"_"&amp;$AG715,符文权重!$A:$A&amp;"_"&amp;符文权重!$C:$C,符文权重!$D:$D)*$X715/SUMIFS($X:$X,I:I,I715,$C:$C,$C715,$AG:$AG,$AG715)/SUMIF(符文权重!$A:$A,$C715,符文权重!$D:$D))),"")</f>
        <v/>
      </c>
      <c r="P715" s="39" t="str" cm="1">
        <f t="array" ref="P715">IFERROR(IF($A715="","",IF(J715="","",_xlfn.XLOOKUP($C715&amp;"_"&amp;$AG715,符文权重!$A:$A&amp;"_"&amp;符文权重!$C:$C,符文权重!$D:$D)*$X715/SUMIFS($X:$X,J:J,J715,$C:$C,$C715,$AG:$AG,$AG715)/SUMIF(符文权重!$A:$A,$C715,符文权重!$D:$D))),"")</f>
        <v/>
      </c>
      <c r="Q715" s="39" t="str" cm="1">
        <f t="array" ref="Q715">IFERROR(IF($A715="","",IF(K715="","",_xlfn.XLOOKUP($C715&amp;"_"&amp;$AG715,符文权重!$A:$A&amp;"_"&amp;符文权重!$C:$C,符文权重!$D:$D)*$X715/SUMIFS($X:$X,K:K,K715,$C:$C,$C715,$AG:$AG,$AG715)/SUMIF(符文权重!$A:$A,$C715,符文权重!$D:$D))),"")</f>
        <v/>
      </c>
      <c r="R715" s="25" t="s">
        <v>330</v>
      </c>
      <c r="S715" s="25" t="s">
        <v>840</v>
      </c>
      <c r="T715" s="25" t="s">
        <v>397</v>
      </c>
      <c r="U715" s="25" t="s">
        <v>855</v>
      </c>
      <c r="W715" s="25" t="s">
        <v>733</v>
      </c>
      <c r="X715" s="25">
        <v>100</v>
      </c>
      <c r="Z715" s="25" t="s">
        <v>180</v>
      </c>
      <c r="AA715" s="32" t="str">
        <f t="shared" si="288"/>
        <v>唐小僧攻击被[控制]的目标时，暴击率+14%</v>
      </c>
      <c r="AB715" s="32"/>
      <c r="AC715" s="32" t="s">
        <v>166</v>
      </c>
      <c r="AD715" s="32">
        <f t="shared" si="290"/>
        <v>1710</v>
      </c>
      <c r="AE715" s="25">
        <v>5301270</v>
      </c>
      <c r="AF715" s="25" t="s">
        <v>790</v>
      </c>
      <c r="AG715" s="25">
        <v>4</v>
      </c>
      <c r="AJ715" s="25">
        <v>1</v>
      </c>
      <c r="AK715" s="26"/>
      <c r="AL715" s="25" t="s">
        <v>856</v>
      </c>
      <c r="AM715" s="26"/>
      <c r="AN715" s="25">
        <v>4</v>
      </c>
      <c r="AO715" s="25" t="s">
        <v>32</v>
      </c>
      <c r="AP715" s="20">
        <f t="shared" si="291"/>
        <v>710</v>
      </c>
    </row>
    <row r="716" s="20" customFormat="1" customHeight="1" spans="1:42">
      <c r="A716" s="25">
        <v>5510424</v>
      </c>
      <c r="B716" s="25">
        <v>5301271</v>
      </c>
      <c r="C716" s="26">
        <v>4</v>
      </c>
      <c r="D716" s="26"/>
      <c r="E716" s="25" t="s">
        <v>375</v>
      </c>
      <c r="F716" s="26" t="str">
        <f t="shared" si="289"/>
        <v/>
      </c>
      <c r="G716" s="26" t="str">
        <f>IFERROR(IF(--MID($E716,2*COUNTIF($F716:F716,"&gt;"&amp;0)+2,1)=G$1,G$1,""),"")</f>
        <v/>
      </c>
      <c r="H716" s="26" t="str">
        <f>IFERROR(IF(--MID($E716,2*COUNTIF($F716:G716,"&gt;"&amp;0)+2,1)=H$1,H$1,""),"")</f>
        <v/>
      </c>
      <c r="I716" s="26">
        <f>IFERROR(IF(--MID($E716,2*COUNTIF($F716:H716,"&gt;"&amp;0)+2,1)=I$1,I$1,""),"")</f>
        <v>4</v>
      </c>
      <c r="J716" s="26" t="str">
        <f>IFERROR(IF(--MID($E716,2*COUNTIF($F716:I716,"&gt;"&amp;0)+2,1)=J$1,J$1,""),"")</f>
        <v/>
      </c>
      <c r="K716" s="26" t="str">
        <f>IFERROR(IF(--MID($E716,2*COUNTIF($F716:J716,"&gt;"&amp;0)+2,1)=K$1,K$1,""),"")</f>
        <v/>
      </c>
      <c r="L716" s="39" t="str" cm="1">
        <f t="array" ref="L716">IFERROR(IF($A716="","",IF(F716="","",_xlfn.XLOOKUP($C716&amp;"_"&amp;$AG716,符文权重!$A:$A&amp;"_"&amp;符文权重!$C:$C,符文权重!$D:$D)*$X716/SUMIFS($X:$X,F:F,F716,$C:$C,$C716,$AG:$AG,$AG716)/SUMIF(符文权重!$A:$A,$C716,符文权重!$D:$D))),"")</f>
        <v/>
      </c>
      <c r="M716" s="39" t="str" cm="1">
        <f t="array" ref="M716">IFERROR(IF($A716="","",IF(G716="","",_xlfn.XLOOKUP($C716&amp;"_"&amp;$AG716,符文权重!$A:$A&amp;"_"&amp;符文权重!$C:$C,符文权重!$D:$D)*$X716/SUMIFS($X:$X,G:G,G716,$C:$C,$C716,$AG:$AG,$AG716)/SUMIF(符文权重!$A:$A,$C716,符文权重!$D:$D))),"")</f>
        <v/>
      </c>
      <c r="N716" s="39" t="str" cm="1">
        <f t="array" ref="N716">IFERROR(IF($A716="","",IF(H716="","",_xlfn.XLOOKUP($C716&amp;"_"&amp;$AG716,符文权重!$A:$A&amp;"_"&amp;符文权重!$C:$C,符文权重!$D:$D)*$X716/SUMIFS($X:$X,H:H,H716,$C:$C,$C716,$AG:$AG,$AG716)/SUMIF(符文权重!$A:$A,$C716,符文权重!$D:$D))),"")</f>
        <v/>
      </c>
      <c r="O716" s="39" cm="1">
        <f t="array" ref="O716">IFERROR(IF($A716="","",IF(I716="","",_xlfn.XLOOKUP($C716&amp;"_"&amp;$AG716,符文权重!$A:$A&amp;"_"&amp;符文权重!$C:$C,符文权重!$D:$D)*$X716/SUMIFS($X:$X,I:I,I716,$C:$C,$C716,$AG:$AG,$AG716)/SUMIF(符文权重!$A:$A,$C716,符文权重!$D:$D))),"")</f>
        <v>0.0025</v>
      </c>
      <c r="P716" s="39" t="str" cm="1">
        <f t="array" ref="P716">IFERROR(IF($A716="","",IF(J716="","",_xlfn.XLOOKUP($C716&amp;"_"&amp;$AG716,符文权重!$A:$A&amp;"_"&amp;符文权重!$C:$C,符文权重!$D:$D)*$X716/SUMIFS($X:$X,J:J,J716,$C:$C,$C716,$AG:$AG,$AG716)/SUMIF(符文权重!$A:$A,$C716,符文权重!$D:$D))),"")</f>
        <v/>
      </c>
      <c r="Q716" s="39" t="str" cm="1">
        <f t="array" ref="Q716">IFERROR(IF($A716="","",IF(K716="","",_xlfn.XLOOKUP($C716&amp;"_"&amp;$AG716,符文权重!$A:$A&amp;"_"&amp;符文权重!$C:$C,符文权重!$D:$D)*$X716/SUMIFS($X:$X,K:K,K716,$C:$C,$C716,$AG:$AG,$AG716)/SUMIF(符文权重!$A:$A,$C716,符文权重!$D:$D))),"")</f>
        <v/>
      </c>
      <c r="R716" s="26" t="s">
        <v>330</v>
      </c>
      <c r="S716" s="26" t="s">
        <v>840</v>
      </c>
      <c r="T716" s="26" t="s">
        <v>388</v>
      </c>
      <c r="U716" s="20" t="s">
        <v>857</v>
      </c>
      <c r="V716" s="26"/>
      <c r="W716" s="25" t="s">
        <v>540</v>
      </c>
      <c r="X716" s="25">
        <v>100</v>
      </c>
      <c r="Y716" s="25"/>
      <c r="Z716" s="26" t="s">
        <v>174</v>
      </c>
      <c r="AA716" s="32" t="str">
        <f t="shared" si="288"/>
        <v>唐小僧[木鱼]释放时20%几率数量+1</v>
      </c>
      <c r="AB716" s="32"/>
      <c r="AC716" s="32" t="s">
        <v>166</v>
      </c>
      <c r="AD716" s="32">
        <f t="shared" si="290"/>
        <v>1711</v>
      </c>
      <c r="AE716" s="25">
        <v>5301271</v>
      </c>
      <c r="AF716" s="26" t="s">
        <v>396</v>
      </c>
      <c r="AG716" s="26">
        <v>8</v>
      </c>
      <c r="AH716" s="26"/>
      <c r="AI716" s="26"/>
      <c r="AJ716" s="26">
        <v>1</v>
      </c>
      <c r="AK716" s="26"/>
      <c r="AL716" s="26" t="s">
        <v>858</v>
      </c>
      <c r="AM716" s="26"/>
      <c r="AN716" s="25">
        <v>4</v>
      </c>
      <c r="AO716" s="25" t="s">
        <v>25</v>
      </c>
      <c r="AP716" s="20">
        <f t="shared" si="291"/>
        <v>711</v>
      </c>
    </row>
    <row r="717" s="20" customFormat="1" customHeight="1" spans="1:42">
      <c r="A717" s="25">
        <v>5510425</v>
      </c>
      <c r="B717" s="25">
        <v>5301271</v>
      </c>
      <c r="C717" s="25">
        <v>5</v>
      </c>
      <c r="D717" s="25"/>
      <c r="E717" s="25" t="s">
        <v>375</v>
      </c>
      <c r="F717" s="26" t="str">
        <f t="shared" si="289"/>
        <v/>
      </c>
      <c r="G717" s="26" t="str">
        <f>IFERROR(IF(--MID($E717,2*COUNTIF($F717:F717,"&gt;"&amp;0)+2,1)=G$1,G$1,""),"")</f>
        <v/>
      </c>
      <c r="H717" s="26" t="str">
        <f>IFERROR(IF(--MID($E717,2*COUNTIF($F717:G717,"&gt;"&amp;0)+2,1)=H$1,H$1,""),"")</f>
        <v/>
      </c>
      <c r="I717" s="26">
        <f>IFERROR(IF(--MID($E717,2*COUNTIF($F717:H717,"&gt;"&amp;0)+2,1)=I$1,I$1,""),"")</f>
        <v>4</v>
      </c>
      <c r="J717" s="26" t="str">
        <f>IFERROR(IF(--MID($E717,2*COUNTIF($F717:I717,"&gt;"&amp;0)+2,1)=J$1,J$1,""),"")</f>
        <v/>
      </c>
      <c r="K717" s="26" t="str">
        <f>IFERROR(IF(--MID($E717,2*COUNTIF($F717:J717,"&gt;"&amp;0)+2,1)=K$1,K$1,""),"")</f>
        <v/>
      </c>
      <c r="L717" s="39" t="str" cm="1">
        <f t="array" ref="L717">IFERROR(IF($A717="","",IF(F717="","",_xlfn.XLOOKUP($C717&amp;"_"&amp;$AG717,符文权重!$A:$A&amp;"_"&amp;符文权重!$C:$C,符文权重!$D:$D)*$X717/SUMIFS($X:$X,F:F,F717,$C:$C,$C717,$AG:$AG,$AG717)/SUMIF(符文权重!$A:$A,$C717,符文权重!$D:$D))),"")</f>
        <v/>
      </c>
      <c r="M717" s="39" t="str" cm="1">
        <f t="array" ref="M717">IFERROR(IF($A717="","",IF(G717="","",_xlfn.XLOOKUP($C717&amp;"_"&amp;$AG717,符文权重!$A:$A&amp;"_"&amp;符文权重!$C:$C,符文权重!$D:$D)*$X717/SUMIFS($X:$X,G:G,G717,$C:$C,$C717,$AG:$AG,$AG717)/SUMIF(符文权重!$A:$A,$C717,符文权重!$D:$D))),"")</f>
        <v/>
      </c>
      <c r="N717" s="39" t="str" cm="1">
        <f t="array" ref="N717">IFERROR(IF($A717="","",IF(H717="","",_xlfn.XLOOKUP($C717&amp;"_"&amp;$AG717,符文权重!$A:$A&amp;"_"&amp;符文权重!$C:$C,符文权重!$D:$D)*$X717/SUMIFS($X:$X,H:H,H717,$C:$C,$C717,$AG:$AG,$AG717)/SUMIF(符文权重!$A:$A,$C717,符文权重!$D:$D))),"")</f>
        <v/>
      </c>
      <c r="O717" s="39" cm="1">
        <f t="array" ref="O717">IFERROR(IF($A717="","",IF(I717="","",_xlfn.XLOOKUP($C717&amp;"_"&amp;$AG717,符文权重!$A:$A&amp;"_"&amp;符文权重!$C:$C,符文权重!$D:$D)*$X717/SUMIFS($X:$X,I:I,I717,$C:$C,$C717,$AG:$AG,$AG717)/SUMIF(符文权重!$A:$A,$C717,符文权重!$D:$D))),"")</f>
        <v>0.009375</v>
      </c>
      <c r="P717" s="39" t="str" cm="1">
        <f t="array" ref="P717">IFERROR(IF($A717="","",IF(J717="","",_xlfn.XLOOKUP($C717&amp;"_"&amp;$AG717,符文权重!$A:$A&amp;"_"&amp;符文权重!$C:$C,符文权重!$D:$D)*$X717/SUMIFS($X:$X,J:J,J717,$C:$C,$C717,$AG:$AG,$AG717)/SUMIF(符文权重!$A:$A,$C717,符文权重!$D:$D))),"")</f>
        <v/>
      </c>
      <c r="Q717" s="39" t="str" cm="1">
        <f t="array" ref="Q717">IFERROR(IF($A717="","",IF(K717="","",_xlfn.XLOOKUP($C717&amp;"_"&amp;$AG717,符文权重!$A:$A&amp;"_"&amp;符文权重!$C:$C,符文权重!$D:$D)*$X717/SUMIFS($X:$X,K:K,K717,$C:$C,$C717,$AG:$AG,$AG717)/SUMIF(符文权重!$A:$A,$C717,符文权重!$D:$D))),"")</f>
        <v/>
      </c>
      <c r="R717" s="25" t="s">
        <v>330</v>
      </c>
      <c r="S717" s="25" t="s">
        <v>840</v>
      </c>
      <c r="T717" s="25" t="s">
        <v>391</v>
      </c>
      <c r="U717" s="25" t="s">
        <v>859</v>
      </c>
      <c r="W717" s="25" t="s">
        <v>728</v>
      </c>
      <c r="X717" s="25">
        <v>100</v>
      </c>
      <c r="Z717" s="25" t="s">
        <v>176</v>
      </c>
      <c r="AA717" s="32" t="str">
        <f t="shared" si="288"/>
        <v>唐小僧[木鱼]释放时28%几率数量+1</v>
      </c>
      <c r="AB717" s="32"/>
      <c r="AC717" s="32" t="s">
        <v>166</v>
      </c>
      <c r="AD717" s="32">
        <f t="shared" si="290"/>
        <v>1712</v>
      </c>
      <c r="AE717" s="25">
        <v>5301271</v>
      </c>
      <c r="AF717" s="25" t="s">
        <v>746</v>
      </c>
      <c r="AG717" s="25">
        <v>4</v>
      </c>
      <c r="AJ717" s="25">
        <v>1</v>
      </c>
      <c r="AK717" s="26"/>
      <c r="AL717" s="25" t="s">
        <v>860</v>
      </c>
      <c r="AM717" s="26"/>
      <c r="AN717" s="25">
        <v>4</v>
      </c>
      <c r="AO717" s="25" t="s">
        <v>25</v>
      </c>
      <c r="AP717" s="20">
        <f t="shared" si="291"/>
        <v>712</v>
      </c>
    </row>
    <row r="718" s="20" customFormat="1" customHeight="1" spans="1:42">
      <c r="A718" s="25">
        <v>5510426</v>
      </c>
      <c r="B718" s="25">
        <v>5301271</v>
      </c>
      <c r="C718" s="25">
        <v>6</v>
      </c>
      <c r="D718" s="25"/>
      <c r="E718" s="25" t="s">
        <v>375</v>
      </c>
      <c r="F718" s="26" t="str">
        <f t="shared" si="289"/>
        <v/>
      </c>
      <c r="G718" s="26" t="str">
        <f>IFERROR(IF(--MID($E718,2*COUNTIF($F718:F718,"&gt;"&amp;0)+2,1)=G$1,G$1,""),"")</f>
        <v/>
      </c>
      <c r="H718" s="26" t="str">
        <f>IFERROR(IF(--MID($E718,2*COUNTIF($F718:G718,"&gt;"&amp;0)+2,1)=H$1,H$1,""),"")</f>
        <v/>
      </c>
      <c r="I718" s="26">
        <f>IFERROR(IF(--MID($E718,2*COUNTIF($F718:H718,"&gt;"&amp;0)+2,1)=I$1,I$1,""),"")</f>
        <v>4</v>
      </c>
      <c r="J718" s="26" t="str">
        <f>IFERROR(IF(--MID($E718,2*COUNTIF($F718:I718,"&gt;"&amp;0)+2,1)=J$1,J$1,""),"")</f>
        <v/>
      </c>
      <c r="K718" s="26" t="str">
        <f>IFERROR(IF(--MID($E718,2*COUNTIF($F718:J718,"&gt;"&amp;0)+2,1)=K$1,K$1,""),"")</f>
        <v/>
      </c>
      <c r="L718" s="39" t="str" cm="1">
        <f t="array" ref="L718">IFERROR(IF($A718="","",IF(F718="","",_xlfn.XLOOKUP($C718&amp;"_"&amp;$AG718,符文权重!$A:$A&amp;"_"&amp;符文权重!$C:$C,符文权重!$D:$D)*$X718/SUMIFS($X:$X,F:F,F718,$C:$C,$C718,$AG:$AG,$AG718)/SUMIF(符文权重!$A:$A,$C718,符文权重!$D:$D))),"")</f>
        <v/>
      </c>
      <c r="M718" s="39" t="str" cm="1">
        <f t="array" ref="M718">IFERROR(IF($A718="","",IF(G718="","",_xlfn.XLOOKUP($C718&amp;"_"&amp;$AG718,符文权重!$A:$A&amp;"_"&amp;符文权重!$C:$C,符文权重!$D:$D)*$X718/SUMIFS($X:$X,G:G,G718,$C:$C,$C718,$AG:$AG,$AG718)/SUMIF(符文权重!$A:$A,$C718,符文权重!$D:$D))),"")</f>
        <v/>
      </c>
      <c r="N718" s="39" t="str" cm="1">
        <f t="array" ref="N718">IFERROR(IF($A718="","",IF(H718="","",_xlfn.XLOOKUP($C718&amp;"_"&amp;$AG718,符文权重!$A:$A&amp;"_"&amp;符文权重!$C:$C,符文权重!$D:$D)*$X718/SUMIFS($X:$X,H:H,H718,$C:$C,$C718,$AG:$AG,$AG718)/SUMIF(符文权重!$A:$A,$C718,符文权重!$D:$D))),"")</f>
        <v/>
      </c>
      <c r="O718" s="39" cm="1">
        <f t="array" ref="O718">IFERROR(IF($A718="","",IF(I718="","",_xlfn.XLOOKUP($C718&amp;"_"&amp;$AG718,符文权重!$A:$A&amp;"_"&amp;符文权重!$C:$C,符文权重!$D:$D)*$X718/SUMIFS($X:$X,I:I,I718,$C:$C,$C718,$AG:$AG,$AG718)/SUMIF(符文权重!$A:$A,$C718,符文权重!$D:$D))),"")</f>
        <v>0.009375</v>
      </c>
      <c r="P718" s="39" t="str" cm="1">
        <f t="array" ref="P718">IFERROR(IF($A718="","",IF(J718="","",_xlfn.XLOOKUP($C718&amp;"_"&amp;$AG718,符文权重!$A:$A&amp;"_"&amp;符文权重!$C:$C,符文权重!$D:$D)*$X718/SUMIFS($X:$X,J:J,J718,$C:$C,$C718,$AG:$AG,$AG718)/SUMIF(符文权重!$A:$A,$C718,符文权重!$D:$D))),"")</f>
        <v/>
      </c>
      <c r="Q718" s="39" t="str" cm="1">
        <f t="array" ref="Q718">IFERROR(IF($A718="","",IF(K718="","",_xlfn.XLOOKUP($C718&amp;"_"&amp;$AG718,符文权重!$A:$A&amp;"_"&amp;符文权重!$C:$C,符文权重!$D:$D)*$X718/SUMIFS($X:$X,K:K,K718,$C:$C,$C718,$AG:$AG,$AG718)/SUMIF(符文权重!$A:$A,$C718,符文权重!$D:$D))),"")</f>
        <v/>
      </c>
      <c r="R718" s="25" t="s">
        <v>330</v>
      </c>
      <c r="S718" s="25" t="s">
        <v>840</v>
      </c>
      <c r="T718" s="25" t="s">
        <v>394</v>
      </c>
      <c r="U718" s="25" t="s">
        <v>861</v>
      </c>
      <c r="W718" s="25" t="s">
        <v>599</v>
      </c>
      <c r="X718" s="25">
        <v>100</v>
      </c>
      <c r="Z718" s="25" t="s">
        <v>178</v>
      </c>
      <c r="AA718" s="32" t="str">
        <f t="shared" si="288"/>
        <v>唐小僧[木鱼]释放时35%几率数量+1</v>
      </c>
      <c r="AB718" s="32"/>
      <c r="AC718" s="32" t="s">
        <v>166</v>
      </c>
      <c r="AD718" s="32">
        <f t="shared" si="290"/>
        <v>1713</v>
      </c>
      <c r="AE718" s="25">
        <v>5301271</v>
      </c>
      <c r="AF718" s="25" t="s">
        <v>411</v>
      </c>
      <c r="AG718" s="25">
        <v>4</v>
      </c>
      <c r="AJ718" s="25">
        <v>1</v>
      </c>
      <c r="AK718" s="26"/>
      <c r="AL718" s="25" t="s">
        <v>862</v>
      </c>
      <c r="AM718" s="26"/>
      <c r="AN718" s="25">
        <v>4</v>
      </c>
      <c r="AO718" s="25" t="s">
        <v>25</v>
      </c>
      <c r="AP718" s="20">
        <f t="shared" si="291"/>
        <v>713</v>
      </c>
    </row>
    <row r="719" s="20" customFormat="1" customHeight="1" spans="1:42">
      <c r="A719" s="25">
        <v>5510427</v>
      </c>
      <c r="B719" s="25">
        <v>5301271</v>
      </c>
      <c r="C719" s="25">
        <v>7</v>
      </c>
      <c r="D719" s="25"/>
      <c r="E719" s="25" t="s">
        <v>375</v>
      </c>
      <c r="F719" s="26" t="str">
        <f t="shared" si="289"/>
        <v/>
      </c>
      <c r="G719" s="26" t="str">
        <f>IFERROR(IF(--MID($E719,2*COUNTIF($F719:F719,"&gt;"&amp;0)+2,1)=G$1,G$1,""),"")</f>
        <v/>
      </c>
      <c r="H719" s="26" t="str">
        <f>IFERROR(IF(--MID($E719,2*COUNTIF($F719:G719,"&gt;"&amp;0)+2,1)=H$1,H$1,""),"")</f>
        <v/>
      </c>
      <c r="I719" s="26">
        <f>IFERROR(IF(--MID($E719,2*COUNTIF($F719:H719,"&gt;"&amp;0)+2,1)=I$1,I$1,""),"")</f>
        <v>4</v>
      </c>
      <c r="J719" s="26" t="str">
        <f>IFERROR(IF(--MID($E719,2*COUNTIF($F719:I719,"&gt;"&amp;0)+2,1)=J$1,J$1,""),"")</f>
        <v/>
      </c>
      <c r="K719" s="26" t="str">
        <f>IFERROR(IF(--MID($E719,2*COUNTIF($F719:J719,"&gt;"&amp;0)+2,1)=K$1,K$1,""),"")</f>
        <v/>
      </c>
      <c r="L719" s="39" t="str" cm="1">
        <f t="array" ref="L719">IFERROR(IF($A719="","",IF(F719="","",_xlfn.XLOOKUP($C719&amp;"_"&amp;$AG719,符文权重!$A:$A&amp;"_"&amp;符文权重!$C:$C,符文权重!$D:$D)*$X719/SUMIFS($X:$X,F:F,F719,$C:$C,$C719,$AG:$AG,$AG719)/SUMIF(符文权重!$A:$A,$C719,符文权重!$D:$D))),"")</f>
        <v/>
      </c>
      <c r="M719" s="39" t="str" cm="1">
        <f t="array" ref="M719">IFERROR(IF($A719="","",IF(G719="","",_xlfn.XLOOKUP($C719&amp;"_"&amp;$AG719,符文权重!$A:$A&amp;"_"&amp;符文权重!$C:$C,符文权重!$D:$D)*$X719/SUMIFS($X:$X,G:G,G719,$C:$C,$C719,$AG:$AG,$AG719)/SUMIF(符文权重!$A:$A,$C719,符文权重!$D:$D))),"")</f>
        <v/>
      </c>
      <c r="N719" s="39" t="str" cm="1">
        <f t="array" ref="N719">IFERROR(IF($A719="","",IF(H719="","",_xlfn.XLOOKUP($C719&amp;"_"&amp;$AG719,符文权重!$A:$A&amp;"_"&amp;符文权重!$C:$C,符文权重!$D:$D)*$X719/SUMIFS($X:$X,H:H,H719,$C:$C,$C719,$AG:$AG,$AG719)/SUMIF(符文权重!$A:$A,$C719,符文权重!$D:$D))),"")</f>
        <v/>
      </c>
      <c r="O719" s="39" cm="1">
        <f t="array" ref="O719">IFERROR(IF($A719="","",IF(I719="","",_xlfn.XLOOKUP($C719&amp;"_"&amp;$AG719,符文权重!$A:$A&amp;"_"&amp;符文权重!$C:$C,符文权重!$D:$D)*$X719/SUMIFS($X:$X,I:I,I719,$C:$C,$C719,$AG:$AG,$AG719)/SUMIF(符文权重!$A:$A,$C719,符文权重!$D:$D))),"")</f>
        <v>0.009375</v>
      </c>
      <c r="P719" s="39" t="str" cm="1">
        <f t="array" ref="P719">IFERROR(IF($A719="","",IF(J719="","",_xlfn.XLOOKUP($C719&amp;"_"&amp;$AG719,符文权重!$A:$A&amp;"_"&amp;符文权重!$C:$C,符文权重!$D:$D)*$X719/SUMIFS($X:$X,J:J,J719,$C:$C,$C719,$AG:$AG,$AG719)/SUMIF(符文权重!$A:$A,$C719,符文权重!$D:$D))),"")</f>
        <v/>
      </c>
      <c r="Q719" s="39" t="str" cm="1">
        <f t="array" ref="Q719">IFERROR(IF($A719="","",IF(K719="","",_xlfn.XLOOKUP($C719&amp;"_"&amp;$AG719,符文权重!$A:$A&amp;"_"&amp;符文权重!$C:$C,符文权重!$D:$D)*$X719/SUMIFS($X:$X,K:K,K719,$C:$C,$C719,$AG:$AG,$AG719)/SUMIF(符文权重!$A:$A,$C719,符文权重!$D:$D))),"")</f>
        <v/>
      </c>
      <c r="R719" s="25" t="s">
        <v>330</v>
      </c>
      <c r="S719" s="25" t="s">
        <v>840</v>
      </c>
      <c r="T719" s="25" t="s">
        <v>397</v>
      </c>
      <c r="U719" s="25" t="s">
        <v>863</v>
      </c>
      <c r="W719" s="25" t="s">
        <v>733</v>
      </c>
      <c r="X719" s="25">
        <v>100</v>
      </c>
      <c r="Z719" s="25" t="s">
        <v>180</v>
      </c>
      <c r="AA719" s="32" t="str">
        <f t="shared" si="288"/>
        <v>唐小僧[木鱼]释放时45%几率数量+1</v>
      </c>
      <c r="AB719" s="32"/>
      <c r="AC719" s="32" t="s">
        <v>166</v>
      </c>
      <c r="AD719" s="32">
        <f t="shared" si="290"/>
        <v>1714</v>
      </c>
      <c r="AE719" s="25">
        <v>5301271</v>
      </c>
      <c r="AF719" s="25" t="s">
        <v>437</v>
      </c>
      <c r="AG719" s="25">
        <v>4</v>
      </c>
      <c r="AJ719" s="25">
        <v>1</v>
      </c>
      <c r="AL719" s="25" t="s">
        <v>864</v>
      </c>
      <c r="AN719" s="25">
        <v>4</v>
      </c>
      <c r="AO719" s="25" t="s">
        <v>25</v>
      </c>
      <c r="AP719" s="20">
        <f t="shared" si="291"/>
        <v>714</v>
      </c>
    </row>
    <row r="720" s="20" customFormat="1" customHeight="1" spans="1:42">
      <c r="A720" s="25">
        <v>5510434</v>
      </c>
      <c r="B720" s="25">
        <v>5301273</v>
      </c>
      <c r="C720" s="26">
        <v>4</v>
      </c>
      <c r="D720" s="26"/>
      <c r="E720" s="25" t="s">
        <v>209</v>
      </c>
      <c r="F720" s="26" t="str">
        <f t="shared" si="289"/>
        <v/>
      </c>
      <c r="G720" s="26" t="str">
        <f>IFERROR(IF(--MID($E720,2*COUNTIF($F720:F720,"&gt;"&amp;0)+2,1)=G$1,G$1,""),"")</f>
        <v/>
      </c>
      <c r="H720" s="26" t="str">
        <f>IFERROR(IF(--MID($E720,2*COUNTIF($F720:G720,"&gt;"&amp;0)+2,1)=H$1,H$1,""),"")</f>
        <v/>
      </c>
      <c r="I720" s="26" t="str">
        <f>IFERROR(IF(--MID($E720,2*COUNTIF($F720:H720,"&gt;"&amp;0)+2,1)=I$1,I$1,""),"")</f>
        <v/>
      </c>
      <c r="J720" s="26" t="str">
        <f>IFERROR(IF(--MID($E720,2*COUNTIF($F720:I720,"&gt;"&amp;0)+2,1)=J$1,J$1,""),"")</f>
        <v/>
      </c>
      <c r="K720" s="26">
        <f>IFERROR(IF(--MID($E720,2*COUNTIF($F720:J720,"&gt;"&amp;0)+2,1)=K$1,K$1,""),"")</f>
        <v>6</v>
      </c>
      <c r="L720" s="39" t="str" cm="1">
        <f t="array" ref="L720">IFERROR(IF($A720="","",IF(F720="","",_xlfn.XLOOKUP($C720&amp;"_"&amp;$AG720,符文权重!$A:$A&amp;"_"&amp;符文权重!$C:$C,符文权重!$D:$D)*$X720/SUMIFS($X:$X,F:F,F720,$C:$C,$C720,$AG:$AG,$AG720)/SUMIF(符文权重!$A:$A,$C720,符文权重!$D:$D))),"")</f>
        <v/>
      </c>
      <c r="M720" s="39" t="str" cm="1">
        <f t="array" ref="M720">IFERROR(IF($A720="","",IF(G720="","",_xlfn.XLOOKUP($C720&amp;"_"&amp;$AG720,符文权重!$A:$A&amp;"_"&amp;符文权重!$C:$C,符文权重!$D:$D)*$X720/SUMIFS($X:$X,G:G,G720,$C:$C,$C720,$AG:$AG,$AG720)/SUMIF(符文权重!$A:$A,$C720,符文权重!$D:$D))),"")</f>
        <v/>
      </c>
      <c r="N720" s="39" t="str" cm="1">
        <f t="array" ref="N720">IFERROR(IF($A720="","",IF(H720="","",_xlfn.XLOOKUP($C720&amp;"_"&amp;$AG720,符文权重!$A:$A&amp;"_"&amp;符文权重!$C:$C,符文权重!$D:$D)*$X720/SUMIFS($X:$X,H:H,H720,$C:$C,$C720,$AG:$AG,$AG720)/SUMIF(符文权重!$A:$A,$C720,符文权重!$D:$D))),"")</f>
        <v/>
      </c>
      <c r="O720" s="39" t="str" cm="1">
        <f t="array" ref="O720">IFERROR(IF($A720="","",IF(I720="","",_xlfn.XLOOKUP($C720&amp;"_"&amp;$AG720,符文权重!$A:$A&amp;"_"&amp;符文权重!$C:$C,符文权重!$D:$D)*$X720/SUMIFS($X:$X,I:I,I720,$C:$C,$C720,$AG:$AG,$AG720)/SUMIF(符文权重!$A:$A,$C720,符文权重!$D:$D))),"")</f>
        <v/>
      </c>
      <c r="P720" s="39" t="str" cm="1">
        <f t="array" ref="P720">IFERROR(IF($A720="","",IF(J720="","",_xlfn.XLOOKUP($C720&amp;"_"&amp;$AG720,符文权重!$A:$A&amp;"_"&amp;符文权重!$C:$C,符文权重!$D:$D)*$X720/SUMIFS($X:$X,J:J,J720,$C:$C,$C720,$AG:$AG,$AG720)/SUMIF(符文权重!$A:$A,$C720,符文权重!$D:$D))),"")</f>
        <v/>
      </c>
      <c r="Q720" s="39" cm="1">
        <f t="array" ref="Q720">IFERROR(IF($A720="","",IF(K720="","",_xlfn.XLOOKUP($C720&amp;"_"&amp;$AG720,符文权重!$A:$A&amp;"_"&amp;符文权重!$C:$C,符文权重!$D:$D)*$X720/SUMIFS($X:$X,K:K,K720,$C:$C,$C720,$AG:$AG,$AG720)/SUMIF(符文权重!$A:$A,$C720,符文权重!$D:$D))),"")</f>
        <v>0.0025</v>
      </c>
      <c r="R720" s="26" t="s">
        <v>330</v>
      </c>
      <c r="S720" s="26" t="s">
        <v>865</v>
      </c>
      <c r="T720" s="26" t="s">
        <v>388</v>
      </c>
      <c r="U720" s="20" t="s">
        <v>866</v>
      </c>
      <c r="V720" s="26"/>
      <c r="W720" s="25" t="s">
        <v>754</v>
      </c>
      <c r="X720" s="25">
        <v>100</v>
      </c>
      <c r="Y720" s="25"/>
      <c r="Z720" s="26" t="s">
        <v>174</v>
      </c>
      <c r="AA720" s="32" t="str">
        <f t="shared" si="288"/>
        <v>蜘蛛女皇的地刺叠加1层中毒</v>
      </c>
      <c r="AB720" s="32"/>
      <c r="AC720" s="32" t="s">
        <v>166</v>
      </c>
      <c r="AD720" s="32">
        <f t="shared" si="290"/>
        <v>1715</v>
      </c>
      <c r="AE720" s="25">
        <v>5301273</v>
      </c>
      <c r="AF720" s="26" t="s">
        <v>396</v>
      </c>
      <c r="AG720" s="26">
        <v>8</v>
      </c>
      <c r="AH720" s="26"/>
      <c r="AI720" s="26"/>
      <c r="AJ720" s="26">
        <v>1</v>
      </c>
      <c r="AK720" s="26"/>
      <c r="AL720" s="26" t="s">
        <v>867</v>
      </c>
      <c r="AM720" s="26"/>
      <c r="AN720" s="25">
        <v>4</v>
      </c>
      <c r="AO720" s="25" t="s">
        <v>32</v>
      </c>
      <c r="AP720" s="20">
        <f t="shared" si="291"/>
        <v>715</v>
      </c>
    </row>
    <row r="721" s="20" customFormat="1" customHeight="1" spans="1:42">
      <c r="A721" s="25">
        <v>5510435</v>
      </c>
      <c r="B721" s="25">
        <v>5301273</v>
      </c>
      <c r="C721" s="25">
        <v>5</v>
      </c>
      <c r="D721" s="25"/>
      <c r="E721" s="25" t="s">
        <v>209</v>
      </c>
      <c r="F721" s="26" t="str">
        <f t="shared" si="289"/>
        <v/>
      </c>
      <c r="G721" s="26" t="str">
        <f>IFERROR(IF(--MID($E721,2*COUNTIF($F721:F721,"&gt;"&amp;0)+2,1)=G$1,G$1,""),"")</f>
        <v/>
      </c>
      <c r="H721" s="26" t="str">
        <f>IFERROR(IF(--MID($E721,2*COUNTIF($F721:G721,"&gt;"&amp;0)+2,1)=H$1,H$1,""),"")</f>
        <v/>
      </c>
      <c r="I721" s="26" t="str">
        <f>IFERROR(IF(--MID($E721,2*COUNTIF($F721:H721,"&gt;"&amp;0)+2,1)=I$1,I$1,""),"")</f>
        <v/>
      </c>
      <c r="J721" s="26" t="str">
        <f>IFERROR(IF(--MID($E721,2*COUNTIF($F721:I721,"&gt;"&amp;0)+2,1)=J$1,J$1,""),"")</f>
        <v/>
      </c>
      <c r="K721" s="26">
        <f>IFERROR(IF(--MID($E721,2*COUNTIF($F721:J721,"&gt;"&amp;0)+2,1)=K$1,K$1,""),"")</f>
        <v>6</v>
      </c>
      <c r="L721" s="39" t="str" cm="1">
        <f t="array" ref="L721">IFERROR(IF($A721="","",IF(F721="","",_xlfn.XLOOKUP($C721&amp;"_"&amp;$AG721,符文权重!$A:$A&amp;"_"&amp;符文权重!$C:$C,符文权重!$D:$D)*$X721/SUMIFS($X:$X,F:F,F721,$C:$C,$C721,$AG:$AG,$AG721)/SUMIF(符文权重!$A:$A,$C721,符文权重!$D:$D))),"")</f>
        <v/>
      </c>
      <c r="M721" s="39" t="str" cm="1">
        <f t="array" ref="M721">IFERROR(IF($A721="","",IF(G721="","",_xlfn.XLOOKUP($C721&amp;"_"&amp;$AG721,符文权重!$A:$A&amp;"_"&amp;符文权重!$C:$C,符文权重!$D:$D)*$X721/SUMIFS($X:$X,G:G,G721,$C:$C,$C721,$AG:$AG,$AG721)/SUMIF(符文权重!$A:$A,$C721,符文权重!$D:$D))),"")</f>
        <v/>
      </c>
      <c r="N721" s="39" t="str" cm="1">
        <f t="array" ref="N721">IFERROR(IF($A721="","",IF(H721="","",_xlfn.XLOOKUP($C721&amp;"_"&amp;$AG721,符文权重!$A:$A&amp;"_"&amp;符文权重!$C:$C,符文权重!$D:$D)*$X721/SUMIFS($X:$X,H:H,H721,$C:$C,$C721,$AG:$AG,$AG721)/SUMIF(符文权重!$A:$A,$C721,符文权重!$D:$D))),"")</f>
        <v/>
      </c>
      <c r="O721" s="39" t="str" cm="1">
        <f t="array" ref="O721">IFERROR(IF($A721="","",IF(I721="","",_xlfn.XLOOKUP($C721&amp;"_"&amp;$AG721,符文权重!$A:$A&amp;"_"&amp;符文权重!$C:$C,符文权重!$D:$D)*$X721/SUMIFS($X:$X,I:I,I721,$C:$C,$C721,$AG:$AG,$AG721)/SUMIF(符文权重!$A:$A,$C721,符文权重!$D:$D))),"")</f>
        <v/>
      </c>
      <c r="P721" s="39" t="str" cm="1">
        <f t="array" ref="P721">IFERROR(IF($A721="","",IF(J721="","",_xlfn.XLOOKUP($C721&amp;"_"&amp;$AG721,符文权重!$A:$A&amp;"_"&amp;符文权重!$C:$C,符文权重!$D:$D)*$X721/SUMIFS($X:$X,J:J,J721,$C:$C,$C721,$AG:$AG,$AG721)/SUMIF(符文权重!$A:$A,$C721,符文权重!$D:$D))),"")</f>
        <v/>
      </c>
      <c r="Q721" s="39" cm="1">
        <f t="array" ref="Q721">IFERROR(IF($A721="","",IF(K721="","",_xlfn.XLOOKUP($C721&amp;"_"&amp;$AG721,符文权重!$A:$A&amp;"_"&amp;符文权重!$C:$C,符文权重!$D:$D)*$X721/SUMIFS($X:$X,K:K,K721,$C:$C,$C721,$AG:$AG,$AG721)/SUMIF(符文权重!$A:$A,$C721,符文权重!$D:$D))),"")</f>
        <v>0.009375</v>
      </c>
      <c r="R721" s="25" t="s">
        <v>330</v>
      </c>
      <c r="S721" s="25" t="s">
        <v>865</v>
      </c>
      <c r="T721" s="25" t="s">
        <v>391</v>
      </c>
      <c r="U721" s="25" t="s">
        <v>868</v>
      </c>
      <c r="W721" s="25" t="s">
        <v>757</v>
      </c>
      <c r="X721" s="25">
        <v>100</v>
      </c>
      <c r="Z721" s="25" t="s">
        <v>176</v>
      </c>
      <c r="AA721" s="32" t="str">
        <f t="shared" si="288"/>
        <v>蜘蛛女皇的地刺叠加1层中毒（40%概率2层）</v>
      </c>
      <c r="AB721" s="32"/>
      <c r="AC721" s="32" t="s">
        <v>166</v>
      </c>
      <c r="AD721" s="32">
        <f t="shared" si="290"/>
        <v>1716</v>
      </c>
      <c r="AE721" s="25">
        <v>53012731</v>
      </c>
      <c r="AF721" s="25" t="s">
        <v>449</v>
      </c>
      <c r="AG721" s="25">
        <v>4</v>
      </c>
      <c r="AJ721" s="25">
        <v>1</v>
      </c>
      <c r="AK721" s="26"/>
      <c r="AL721" s="25" t="s">
        <v>869</v>
      </c>
      <c r="AM721" s="26"/>
      <c r="AN721" s="25">
        <v>4</v>
      </c>
      <c r="AO721" s="25" t="s">
        <v>32</v>
      </c>
      <c r="AP721" s="20">
        <f t="shared" si="291"/>
        <v>716</v>
      </c>
    </row>
    <row r="722" s="20" customFormat="1" customHeight="1" spans="1:42">
      <c r="A722" s="25">
        <v>5510436</v>
      </c>
      <c r="B722" s="25">
        <v>5301273</v>
      </c>
      <c r="C722" s="25">
        <v>6</v>
      </c>
      <c r="D722" s="25"/>
      <c r="E722" s="25" t="s">
        <v>209</v>
      </c>
      <c r="F722" s="26" t="str">
        <f t="shared" si="289"/>
        <v/>
      </c>
      <c r="G722" s="26" t="str">
        <f>IFERROR(IF(--MID($E722,2*COUNTIF($F722:F722,"&gt;"&amp;0)+2,1)=G$1,G$1,""),"")</f>
        <v/>
      </c>
      <c r="H722" s="26" t="str">
        <f>IFERROR(IF(--MID($E722,2*COUNTIF($F722:G722,"&gt;"&amp;0)+2,1)=H$1,H$1,""),"")</f>
        <v/>
      </c>
      <c r="I722" s="26" t="str">
        <f>IFERROR(IF(--MID($E722,2*COUNTIF($F722:H722,"&gt;"&amp;0)+2,1)=I$1,I$1,""),"")</f>
        <v/>
      </c>
      <c r="J722" s="26" t="str">
        <f>IFERROR(IF(--MID($E722,2*COUNTIF($F722:I722,"&gt;"&amp;0)+2,1)=J$1,J$1,""),"")</f>
        <v/>
      </c>
      <c r="K722" s="26">
        <f>IFERROR(IF(--MID($E722,2*COUNTIF($F722:J722,"&gt;"&amp;0)+2,1)=K$1,K$1,""),"")</f>
        <v>6</v>
      </c>
      <c r="L722" s="39" t="str" cm="1">
        <f t="array" ref="L722">IFERROR(IF($A722="","",IF(F722="","",_xlfn.XLOOKUP($C722&amp;"_"&amp;$AG722,符文权重!$A:$A&amp;"_"&amp;符文权重!$C:$C,符文权重!$D:$D)*$X722/SUMIFS($X:$X,F:F,F722,$C:$C,$C722,$AG:$AG,$AG722)/SUMIF(符文权重!$A:$A,$C722,符文权重!$D:$D))),"")</f>
        <v/>
      </c>
      <c r="M722" s="39" t="str" cm="1">
        <f t="array" ref="M722">IFERROR(IF($A722="","",IF(G722="","",_xlfn.XLOOKUP($C722&amp;"_"&amp;$AG722,符文权重!$A:$A&amp;"_"&amp;符文权重!$C:$C,符文权重!$D:$D)*$X722/SUMIFS($X:$X,G:G,G722,$C:$C,$C722,$AG:$AG,$AG722)/SUMIF(符文权重!$A:$A,$C722,符文权重!$D:$D))),"")</f>
        <v/>
      </c>
      <c r="N722" s="39" t="str" cm="1">
        <f t="array" ref="N722">IFERROR(IF($A722="","",IF(H722="","",_xlfn.XLOOKUP($C722&amp;"_"&amp;$AG722,符文权重!$A:$A&amp;"_"&amp;符文权重!$C:$C,符文权重!$D:$D)*$X722/SUMIFS($X:$X,H:H,H722,$C:$C,$C722,$AG:$AG,$AG722)/SUMIF(符文权重!$A:$A,$C722,符文权重!$D:$D))),"")</f>
        <v/>
      </c>
      <c r="O722" s="39" t="str" cm="1">
        <f t="array" ref="O722">IFERROR(IF($A722="","",IF(I722="","",_xlfn.XLOOKUP($C722&amp;"_"&amp;$AG722,符文权重!$A:$A&amp;"_"&amp;符文权重!$C:$C,符文权重!$D:$D)*$X722/SUMIFS($X:$X,I:I,I722,$C:$C,$C722,$AG:$AG,$AG722)/SUMIF(符文权重!$A:$A,$C722,符文权重!$D:$D))),"")</f>
        <v/>
      </c>
      <c r="P722" s="39" t="str" cm="1">
        <f t="array" ref="P722">IFERROR(IF($A722="","",IF(J722="","",_xlfn.XLOOKUP($C722&amp;"_"&amp;$AG722,符文权重!$A:$A&amp;"_"&amp;符文权重!$C:$C,符文权重!$D:$D)*$X722/SUMIFS($X:$X,J:J,J722,$C:$C,$C722,$AG:$AG,$AG722)/SUMIF(符文权重!$A:$A,$C722,符文权重!$D:$D))),"")</f>
        <v/>
      </c>
      <c r="Q722" s="39" cm="1">
        <f t="array" ref="Q722">IFERROR(IF($A722="","",IF(K722="","",_xlfn.XLOOKUP($C722&amp;"_"&amp;$AG722,符文权重!$A:$A&amp;"_"&amp;符文权重!$C:$C,符文权重!$D:$D)*$X722/SUMIFS($X:$X,K:K,K722,$C:$C,$C722,$AG:$AG,$AG722)/SUMIF(符文权重!$A:$A,$C722,符文权重!$D:$D))),"")</f>
        <v>0.009375</v>
      </c>
      <c r="R722" s="25" t="s">
        <v>330</v>
      </c>
      <c r="S722" s="25" t="s">
        <v>865</v>
      </c>
      <c r="T722" s="25" t="s">
        <v>394</v>
      </c>
      <c r="U722" s="25" t="s">
        <v>870</v>
      </c>
      <c r="W722" s="25" t="s">
        <v>760</v>
      </c>
      <c r="X722" s="25">
        <v>100</v>
      </c>
      <c r="Z722" s="25" t="s">
        <v>178</v>
      </c>
      <c r="AA722" s="32" t="str">
        <f t="shared" ref="AA722:AA785" si="292">SUBSTITUTE(SUBSTITUTE(SUBSTITUTE(SUBSTITUTE(AL722,"%s",AM722),"&lt;color=#54b76b&gt;",""),"&lt;/color&gt; ",""),"&lt;/color&gt;","")</f>
        <v>蜘蛛女皇的地刺叠加1层中毒（70%概率2层）</v>
      </c>
      <c r="AB722" s="32"/>
      <c r="AC722" s="32" t="s">
        <v>166</v>
      </c>
      <c r="AD722" s="32">
        <f t="shared" si="290"/>
        <v>1717</v>
      </c>
      <c r="AE722" s="25">
        <v>53012732</v>
      </c>
      <c r="AF722" s="25" t="s">
        <v>411</v>
      </c>
      <c r="AG722" s="25">
        <v>4</v>
      </c>
      <c r="AJ722" s="25">
        <v>1</v>
      </c>
      <c r="AK722" s="26"/>
      <c r="AL722" s="25" t="s">
        <v>871</v>
      </c>
      <c r="AM722" s="26"/>
      <c r="AN722" s="25">
        <v>4</v>
      </c>
      <c r="AO722" s="25" t="s">
        <v>32</v>
      </c>
      <c r="AP722" s="20">
        <f t="shared" si="291"/>
        <v>717</v>
      </c>
    </row>
    <row r="723" s="20" customFormat="1" customHeight="1" spans="1:42">
      <c r="A723" s="25">
        <v>5510437</v>
      </c>
      <c r="B723" s="25">
        <v>5301273</v>
      </c>
      <c r="C723" s="25">
        <v>7</v>
      </c>
      <c r="D723" s="25"/>
      <c r="E723" s="25" t="s">
        <v>209</v>
      </c>
      <c r="F723" s="26" t="str">
        <f t="shared" si="289"/>
        <v/>
      </c>
      <c r="G723" s="26" t="str">
        <f>IFERROR(IF(--MID($E723,2*COUNTIF($F723:F723,"&gt;"&amp;0)+2,1)=G$1,G$1,""),"")</f>
        <v/>
      </c>
      <c r="H723" s="26" t="str">
        <f>IFERROR(IF(--MID($E723,2*COUNTIF($F723:G723,"&gt;"&amp;0)+2,1)=H$1,H$1,""),"")</f>
        <v/>
      </c>
      <c r="I723" s="26" t="str">
        <f>IFERROR(IF(--MID($E723,2*COUNTIF($F723:H723,"&gt;"&amp;0)+2,1)=I$1,I$1,""),"")</f>
        <v/>
      </c>
      <c r="J723" s="26" t="str">
        <f>IFERROR(IF(--MID($E723,2*COUNTIF($F723:I723,"&gt;"&amp;0)+2,1)=J$1,J$1,""),"")</f>
        <v/>
      </c>
      <c r="K723" s="26">
        <f>IFERROR(IF(--MID($E723,2*COUNTIF($F723:J723,"&gt;"&amp;0)+2,1)=K$1,K$1,""),"")</f>
        <v>6</v>
      </c>
      <c r="L723" s="39" t="str" cm="1">
        <f t="array" ref="L723">IFERROR(IF($A723="","",IF(F723="","",_xlfn.XLOOKUP($C723&amp;"_"&amp;$AG723,符文权重!$A:$A&amp;"_"&amp;符文权重!$C:$C,符文权重!$D:$D)*$X723/SUMIFS($X:$X,F:F,F723,$C:$C,$C723,$AG:$AG,$AG723)/SUMIF(符文权重!$A:$A,$C723,符文权重!$D:$D))),"")</f>
        <v/>
      </c>
      <c r="M723" s="39" t="str" cm="1">
        <f t="array" ref="M723">IFERROR(IF($A723="","",IF(G723="","",_xlfn.XLOOKUP($C723&amp;"_"&amp;$AG723,符文权重!$A:$A&amp;"_"&amp;符文权重!$C:$C,符文权重!$D:$D)*$X723/SUMIFS($X:$X,G:G,G723,$C:$C,$C723,$AG:$AG,$AG723)/SUMIF(符文权重!$A:$A,$C723,符文权重!$D:$D))),"")</f>
        <v/>
      </c>
      <c r="N723" s="39" t="str" cm="1">
        <f t="array" ref="N723">IFERROR(IF($A723="","",IF(H723="","",_xlfn.XLOOKUP($C723&amp;"_"&amp;$AG723,符文权重!$A:$A&amp;"_"&amp;符文权重!$C:$C,符文权重!$D:$D)*$X723/SUMIFS($X:$X,H:H,H723,$C:$C,$C723,$AG:$AG,$AG723)/SUMIF(符文权重!$A:$A,$C723,符文权重!$D:$D))),"")</f>
        <v/>
      </c>
      <c r="O723" s="39" t="str" cm="1">
        <f t="array" ref="O723">IFERROR(IF($A723="","",IF(I723="","",_xlfn.XLOOKUP($C723&amp;"_"&amp;$AG723,符文权重!$A:$A&amp;"_"&amp;符文权重!$C:$C,符文权重!$D:$D)*$X723/SUMIFS($X:$X,I:I,I723,$C:$C,$C723,$AG:$AG,$AG723)/SUMIF(符文权重!$A:$A,$C723,符文权重!$D:$D))),"")</f>
        <v/>
      </c>
      <c r="P723" s="39" t="str" cm="1">
        <f t="array" ref="P723">IFERROR(IF($A723="","",IF(J723="","",_xlfn.XLOOKUP($C723&amp;"_"&amp;$AG723,符文权重!$A:$A&amp;"_"&amp;符文权重!$C:$C,符文权重!$D:$D)*$X723/SUMIFS($X:$X,J:J,J723,$C:$C,$C723,$AG:$AG,$AG723)/SUMIF(符文权重!$A:$A,$C723,符文权重!$D:$D))),"")</f>
        <v/>
      </c>
      <c r="Q723" s="39" cm="1">
        <f t="array" ref="Q723">IFERROR(IF($A723="","",IF(K723="","",_xlfn.XLOOKUP($C723&amp;"_"&amp;$AG723,符文权重!$A:$A&amp;"_"&amp;符文权重!$C:$C,符文权重!$D:$D)*$X723/SUMIFS($X:$X,K:K,K723,$C:$C,$C723,$AG:$AG,$AG723)/SUMIF(符文权重!$A:$A,$C723,符文权重!$D:$D))),"")</f>
        <v>0.009375</v>
      </c>
      <c r="R723" s="25" t="s">
        <v>330</v>
      </c>
      <c r="S723" s="25" t="s">
        <v>865</v>
      </c>
      <c r="T723" s="25" t="s">
        <v>397</v>
      </c>
      <c r="U723" s="25" t="s">
        <v>872</v>
      </c>
      <c r="W723" s="25" t="s">
        <v>763</v>
      </c>
      <c r="X723" s="25">
        <v>100</v>
      </c>
      <c r="Z723" s="25" t="s">
        <v>180</v>
      </c>
      <c r="AA723" s="32" t="str">
        <f t="shared" si="292"/>
        <v>蜘蛛女皇的地刺叠加2层中毒</v>
      </c>
      <c r="AB723" s="32"/>
      <c r="AC723" s="32" t="s">
        <v>166</v>
      </c>
      <c r="AD723" s="32">
        <f t="shared" si="290"/>
        <v>1718</v>
      </c>
      <c r="AE723" s="25">
        <v>53012733</v>
      </c>
      <c r="AF723" s="25" t="s">
        <v>459</v>
      </c>
      <c r="AG723" s="25">
        <v>4</v>
      </c>
      <c r="AJ723" s="25">
        <v>1</v>
      </c>
      <c r="AK723" s="26"/>
      <c r="AL723" s="25" t="s">
        <v>873</v>
      </c>
      <c r="AM723" s="26"/>
      <c r="AN723" s="25">
        <v>4</v>
      </c>
      <c r="AO723" s="25" t="s">
        <v>32</v>
      </c>
      <c r="AP723" s="20">
        <f t="shared" si="291"/>
        <v>718</v>
      </c>
    </row>
    <row r="724" s="20" customFormat="1" customHeight="1" spans="1:42">
      <c r="A724" s="25">
        <v>5510444</v>
      </c>
      <c r="B724" s="25">
        <v>5301274</v>
      </c>
      <c r="C724" s="26">
        <v>4</v>
      </c>
      <c r="D724" s="26"/>
      <c r="E724" s="25" t="s">
        <v>191</v>
      </c>
      <c r="F724" s="26">
        <f t="shared" si="289"/>
        <v>1</v>
      </c>
      <c r="G724" s="26" t="str">
        <f>IFERROR(IF(--MID($E724,2*COUNTIF($F724:F724,"&gt;"&amp;0)+2,1)=G$1,G$1,""),"")</f>
        <v/>
      </c>
      <c r="H724" s="26" t="str">
        <f>IFERROR(IF(--MID($E724,2*COUNTIF($F724:G724,"&gt;"&amp;0)+2,1)=H$1,H$1,""),"")</f>
        <v/>
      </c>
      <c r="I724" s="26" t="str">
        <f>IFERROR(IF(--MID($E724,2*COUNTIF($F724:H724,"&gt;"&amp;0)+2,1)=I$1,I$1,""),"")</f>
        <v/>
      </c>
      <c r="J724" s="26" t="str">
        <f>IFERROR(IF(--MID($E724,2*COUNTIF($F724:I724,"&gt;"&amp;0)+2,1)=J$1,J$1,""),"")</f>
        <v/>
      </c>
      <c r="K724" s="26" t="str">
        <f>IFERROR(IF(--MID($E724,2*COUNTIF($F724:J724,"&gt;"&amp;0)+2,1)=K$1,K$1,""),"")</f>
        <v/>
      </c>
      <c r="L724" s="39" cm="1">
        <f t="array" ref="L724">IFERROR(IF($A724="","",IF(F724="","",_xlfn.XLOOKUP($C724&amp;"_"&amp;$AG724,符文权重!$A:$A&amp;"_"&amp;符文权重!$C:$C,符文权重!$D:$D)*$X724/SUMIFS($X:$X,F:F,F724,$C:$C,$C724,$AG:$AG,$AG724)/SUMIF(符文权重!$A:$A,$C724,符文权重!$D:$D))),"")</f>
        <v>0.00333333333333333</v>
      </c>
      <c r="M724" s="39" t="str" cm="1">
        <f t="array" ref="M724">IFERROR(IF($A724="","",IF(G724="","",_xlfn.XLOOKUP($C724&amp;"_"&amp;$AG724,符文权重!$A:$A&amp;"_"&amp;符文权重!$C:$C,符文权重!$D:$D)*$X724/SUMIFS($X:$X,G:G,G724,$C:$C,$C724,$AG:$AG,$AG724)/SUMIF(符文权重!$A:$A,$C724,符文权重!$D:$D))),"")</f>
        <v/>
      </c>
      <c r="N724" s="39" t="str" cm="1">
        <f t="array" ref="N724">IFERROR(IF($A724="","",IF(H724="","",_xlfn.XLOOKUP($C724&amp;"_"&amp;$AG724,符文权重!$A:$A&amp;"_"&amp;符文权重!$C:$C,符文权重!$D:$D)*$X724/SUMIFS($X:$X,H:H,H724,$C:$C,$C724,$AG:$AG,$AG724)/SUMIF(符文权重!$A:$A,$C724,符文权重!$D:$D))),"")</f>
        <v/>
      </c>
      <c r="O724" s="39" t="str" cm="1">
        <f t="array" ref="O724">IFERROR(IF($A724="","",IF(I724="","",_xlfn.XLOOKUP($C724&amp;"_"&amp;$AG724,符文权重!$A:$A&amp;"_"&amp;符文权重!$C:$C,符文权重!$D:$D)*$X724/SUMIFS($X:$X,I:I,I724,$C:$C,$C724,$AG:$AG,$AG724)/SUMIF(符文权重!$A:$A,$C724,符文权重!$D:$D))),"")</f>
        <v/>
      </c>
      <c r="P724" s="39" t="str" cm="1">
        <f t="array" ref="P724">IFERROR(IF($A724="","",IF(J724="","",_xlfn.XLOOKUP($C724&amp;"_"&amp;$AG724,符文权重!$A:$A&amp;"_"&amp;符文权重!$C:$C,符文权重!$D:$D)*$X724/SUMIFS($X:$X,J:J,J724,$C:$C,$C724,$AG:$AG,$AG724)/SUMIF(符文权重!$A:$A,$C724,符文权重!$D:$D))),"")</f>
        <v/>
      </c>
      <c r="Q724" s="39" t="str" cm="1">
        <f t="array" ref="Q724">IFERROR(IF($A724="","",IF(K724="","",_xlfn.XLOOKUP($C724&amp;"_"&amp;$AG724,符文权重!$A:$A&amp;"_"&amp;符文权重!$C:$C,符文权重!$D:$D)*$X724/SUMIFS($X:$X,K:K,K724,$C:$C,$C724,$AG:$AG,$AG724)/SUMIF(符文权重!$A:$A,$C724,符文权重!$D:$D))),"")</f>
        <v/>
      </c>
      <c r="R724" s="26" t="s">
        <v>330</v>
      </c>
      <c r="S724" s="26" t="s">
        <v>865</v>
      </c>
      <c r="T724" s="26" t="s">
        <v>388</v>
      </c>
      <c r="U724" s="20" t="s">
        <v>874</v>
      </c>
      <c r="V724" s="26"/>
      <c r="W724" s="25" t="s">
        <v>754</v>
      </c>
      <c r="X724" s="25">
        <v>100</v>
      </c>
      <c r="Y724" s="25"/>
      <c r="Z724" s="26" t="s">
        <v>174</v>
      </c>
      <c r="AA724" s="32" t="str">
        <f t="shared" si="292"/>
        <v>蜘蛛女皇对目标有30%几率释放蜘蛛网，减速30%，2秒</v>
      </c>
      <c r="AB724" s="32"/>
      <c r="AC724" s="32" t="s">
        <v>166</v>
      </c>
      <c r="AD724" s="32">
        <f t="shared" si="290"/>
        <v>1719</v>
      </c>
      <c r="AE724" s="25">
        <v>5301274</v>
      </c>
      <c r="AF724" s="26" t="s">
        <v>449</v>
      </c>
      <c r="AG724" s="26">
        <v>8</v>
      </c>
      <c r="AH724" s="26"/>
      <c r="AI724" s="26"/>
      <c r="AJ724" s="26">
        <v>1</v>
      </c>
      <c r="AL724" s="26" t="s">
        <v>875</v>
      </c>
      <c r="AN724" s="25">
        <v>4</v>
      </c>
      <c r="AO724" s="25" t="s">
        <v>32</v>
      </c>
      <c r="AP724" s="20">
        <f t="shared" si="291"/>
        <v>719</v>
      </c>
    </row>
    <row r="725" s="20" customFormat="1" customHeight="1" spans="1:42">
      <c r="A725" s="25">
        <v>5510445</v>
      </c>
      <c r="B725" s="25">
        <v>5301274</v>
      </c>
      <c r="C725" s="25">
        <v>5</v>
      </c>
      <c r="D725" s="25"/>
      <c r="E725" s="25" t="s">
        <v>191</v>
      </c>
      <c r="F725" s="26">
        <f t="shared" si="289"/>
        <v>1</v>
      </c>
      <c r="G725" s="26" t="str">
        <f>IFERROR(IF(--MID($E725,2*COUNTIF($F725:F725,"&gt;"&amp;0)+2,1)=G$1,G$1,""),"")</f>
        <v/>
      </c>
      <c r="H725" s="26" t="str">
        <f>IFERROR(IF(--MID($E725,2*COUNTIF($F725:G725,"&gt;"&amp;0)+2,1)=H$1,H$1,""),"")</f>
        <v/>
      </c>
      <c r="I725" s="26" t="str">
        <f>IFERROR(IF(--MID($E725,2*COUNTIF($F725:H725,"&gt;"&amp;0)+2,1)=I$1,I$1,""),"")</f>
        <v/>
      </c>
      <c r="J725" s="26" t="str">
        <f>IFERROR(IF(--MID($E725,2*COUNTIF($F725:I725,"&gt;"&amp;0)+2,1)=J$1,J$1,""),"")</f>
        <v/>
      </c>
      <c r="K725" s="26" t="str">
        <f>IFERROR(IF(--MID($E725,2*COUNTIF($F725:J725,"&gt;"&amp;0)+2,1)=K$1,K$1,""),"")</f>
        <v/>
      </c>
      <c r="L725" s="39" cm="1">
        <f t="array" ref="L725">IFERROR(IF($A725="","",IF(F725="","",_xlfn.XLOOKUP($C725&amp;"_"&amp;$AG725,符文权重!$A:$A&amp;"_"&amp;符文权重!$C:$C,符文权重!$D:$D)*$X725/SUMIFS($X:$X,F:F,F725,$C:$C,$C725,$AG:$AG,$AG725)/SUMIF(符文权重!$A:$A,$C725,符文权重!$D:$D))),"")</f>
        <v>0.0115384615384615</v>
      </c>
      <c r="M725" s="39" t="str" cm="1">
        <f t="array" ref="M725">IFERROR(IF($A725="","",IF(G725="","",_xlfn.XLOOKUP($C725&amp;"_"&amp;$AG725,符文权重!$A:$A&amp;"_"&amp;符文权重!$C:$C,符文权重!$D:$D)*$X725/SUMIFS($X:$X,G:G,G725,$C:$C,$C725,$AG:$AG,$AG725)/SUMIF(符文权重!$A:$A,$C725,符文权重!$D:$D))),"")</f>
        <v/>
      </c>
      <c r="N725" s="39" t="str" cm="1">
        <f t="array" ref="N725">IFERROR(IF($A725="","",IF(H725="","",_xlfn.XLOOKUP($C725&amp;"_"&amp;$AG725,符文权重!$A:$A&amp;"_"&amp;符文权重!$C:$C,符文权重!$D:$D)*$X725/SUMIFS($X:$X,H:H,H725,$C:$C,$C725,$AG:$AG,$AG725)/SUMIF(符文权重!$A:$A,$C725,符文权重!$D:$D))),"")</f>
        <v/>
      </c>
      <c r="O725" s="39" t="str" cm="1">
        <f t="array" ref="O725">IFERROR(IF($A725="","",IF(I725="","",_xlfn.XLOOKUP($C725&amp;"_"&amp;$AG725,符文权重!$A:$A&amp;"_"&amp;符文权重!$C:$C,符文权重!$D:$D)*$X725/SUMIFS($X:$X,I:I,I725,$C:$C,$C725,$AG:$AG,$AG725)/SUMIF(符文权重!$A:$A,$C725,符文权重!$D:$D))),"")</f>
        <v/>
      </c>
      <c r="P725" s="39" t="str" cm="1">
        <f t="array" ref="P725">IFERROR(IF($A725="","",IF(J725="","",_xlfn.XLOOKUP($C725&amp;"_"&amp;$AG725,符文权重!$A:$A&amp;"_"&amp;符文权重!$C:$C,符文权重!$D:$D)*$X725/SUMIFS($X:$X,J:J,J725,$C:$C,$C725,$AG:$AG,$AG725)/SUMIF(符文权重!$A:$A,$C725,符文权重!$D:$D))),"")</f>
        <v/>
      </c>
      <c r="Q725" s="39" t="str" cm="1">
        <f t="array" ref="Q725">IFERROR(IF($A725="","",IF(K725="","",_xlfn.XLOOKUP($C725&amp;"_"&amp;$AG725,符文权重!$A:$A&amp;"_"&amp;符文权重!$C:$C,符文权重!$D:$D)*$X725/SUMIFS($X:$X,K:K,K725,$C:$C,$C725,$AG:$AG,$AG725)/SUMIF(符文权重!$A:$A,$C725,符文权重!$D:$D))),"")</f>
        <v/>
      </c>
      <c r="R725" s="25" t="s">
        <v>330</v>
      </c>
      <c r="S725" s="25" t="s">
        <v>865</v>
      </c>
      <c r="T725" s="25" t="s">
        <v>391</v>
      </c>
      <c r="U725" s="25" t="s">
        <v>876</v>
      </c>
      <c r="W725" s="25" t="s">
        <v>757</v>
      </c>
      <c r="X725" s="25">
        <v>100</v>
      </c>
      <c r="Z725" s="25" t="s">
        <v>176</v>
      </c>
      <c r="AA725" s="32" t="str">
        <f t="shared" si="292"/>
        <v>蜘蛛女皇对目标有30%几率释放蜘蛛网，减速40%，2秒</v>
      </c>
      <c r="AB725" s="32"/>
      <c r="AC725" s="32" t="s">
        <v>166</v>
      </c>
      <c r="AD725" s="32">
        <f t="shared" si="290"/>
        <v>1720</v>
      </c>
      <c r="AE725" s="25">
        <v>5301274</v>
      </c>
      <c r="AF725" s="25" t="s">
        <v>459</v>
      </c>
      <c r="AG725" s="25">
        <v>4</v>
      </c>
      <c r="AJ725" s="25">
        <v>1</v>
      </c>
      <c r="AK725" s="26"/>
      <c r="AL725" s="25" t="s">
        <v>877</v>
      </c>
      <c r="AM725" s="26"/>
      <c r="AN725" s="25">
        <v>4</v>
      </c>
      <c r="AO725" s="25" t="s">
        <v>32</v>
      </c>
      <c r="AP725" s="20">
        <f t="shared" si="291"/>
        <v>720</v>
      </c>
    </row>
    <row r="726" s="20" customFormat="1" customHeight="1" spans="1:42">
      <c r="A726" s="25">
        <v>5510446</v>
      </c>
      <c r="B726" s="25">
        <v>5301274</v>
      </c>
      <c r="C726" s="25">
        <v>6</v>
      </c>
      <c r="D726" s="25"/>
      <c r="E726" s="25" t="s">
        <v>191</v>
      </c>
      <c r="F726" s="26">
        <f t="shared" si="289"/>
        <v>1</v>
      </c>
      <c r="G726" s="26" t="str">
        <f>IFERROR(IF(--MID($E726,2*COUNTIF($F726:F726,"&gt;"&amp;0)+2,1)=G$1,G$1,""),"")</f>
        <v/>
      </c>
      <c r="H726" s="26" t="str">
        <f>IFERROR(IF(--MID($E726,2*COUNTIF($F726:G726,"&gt;"&amp;0)+2,1)=H$1,H$1,""),"")</f>
        <v/>
      </c>
      <c r="I726" s="26" t="str">
        <f>IFERROR(IF(--MID($E726,2*COUNTIF($F726:H726,"&gt;"&amp;0)+2,1)=I$1,I$1,""),"")</f>
        <v/>
      </c>
      <c r="J726" s="26" t="str">
        <f>IFERROR(IF(--MID($E726,2*COUNTIF($F726:I726,"&gt;"&amp;0)+2,1)=J$1,J$1,""),"")</f>
        <v/>
      </c>
      <c r="K726" s="26" t="str">
        <f>IFERROR(IF(--MID($E726,2*COUNTIF($F726:J726,"&gt;"&amp;0)+2,1)=K$1,K$1,""),"")</f>
        <v/>
      </c>
      <c r="L726" s="39" cm="1">
        <f t="array" ref="L726">IFERROR(IF($A726="","",IF(F726="","",_xlfn.XLOOKUP($C726&amp;"_"&amp;$AG726,符文权重!$A:$A&amp;"_"&amp;符文权重!$C:$C,符文权重!$D:$D)*$X726/SUMIFS($X:$X,F:F,F726,$C:$C,$C726,$AG:$AG,$AG726)/SUMIF(符文权重!$A:$A,$C726,符文权重!$D:$D))),"")</f>
        <v>0.0115384615384615</v>
      </c>
      <c r="M726" s="39" t="str" cm="1">
        <f t="array" ref="M726">IFERROR(IF($A726="","",IF(G726="","",_xlfn.XLOOKUP($C726&amp;"_"&amp;$AG726,符文权重!$A:$A&amp;"_"&amp;符文权重!$C:$C,符文权重!$D:$D)*$X726/SUMIFS($X:$X,G:G,G726,$C:$C,$C726,$AG:$AG,$AG726)/SUMIF(符文权重!$A:$A,$C726,符文权重!$D:$D))),"")</f>
        <v/>
      </c>
      <c r="N726" s="39" t="str" cm="1">
        <f t="array" ref="N726">IFERROR(IF($A726="","",IF(H726="","",_xlfn.XLOOKUP($C726&amp;"_"&amp;$AG726,符文权重!$A:$A&amp;"_"&amp;符文权重!$C:$C,符文权重!$D:$D)*$X726/SUMIFS($X:$X,H:H,H726,$C:$C,$C726,$AG:$AG,$AG726)/SUMIF(符文权重!$A:$A,$C726,符文权重!$D:$D))),"")</f>
        <v/>
      </c>
      <c r="O726" s="39" t="str" cm="1">
        <f t="array" ref="O726">IFERROR(IF($A726="","",IF(I726="","",_xlfn.XLOOKUP($C726&amp;"_"&amp;$AG726,符文权重!$A:$A&amp;"_"&amp;符文权重!$C:$C,符文权重!$D:$D)*$X726/SUMIFS($X:$X,I:I,I726,$C:$C,$C726,$AG:$AG,$AG726)/SUMIF(符文权重!$A:$A,$C726,符文权重!$D:$D))),"")</f>
        <v/>
      </c>
      <c r="P726" s="39" t="str" cm="1">
        <f t="array" ref="P726">IFERROR(IF($A726="","",IF(J726="","",_xlfn.XLOOKUP($C726&amp;"_"&amp;$AG726,符文权重!$A:$A&amp;"_"&amp;符文权重!$C:$C,符文权重!$D:$D)*$X726/SUMIFS($X:$X,J:J,J726,$C:$C,$C726,$AG:$AG,$AG726)/SUMIF(符文权重!$A:$A,$C726,符文权重!$D:$D))),"")</f>
        <v/>
      </c>
      <c r="Q726" s="39" t="str" cm="1">
        <f t="array" ref="Q726">IFERROR(IF($A726="","",IF(K726="","",_xlfn.XLOOKUP($C726&amp;"_"&amp;$AG726,符文权重!$A:$A&amp;"_"&amp;符文权重!$C:$C,符文权重!$D:$D)*$X726/SUMIFS($X:$X,K:K,K726,$C:$C,$C726,$AG:$AG,$AG726)/SUMIF(符文权重!$A:$A,$C726,符文权重!$D:$D))),"")</f>
        <v/>
      </c>
      <c r="R726" s="25" t="s">
        <v>330</v>
      </c>
      <c r="S726" s="25" t="s">
        <v>865</v>
      </c>
      <c r="T726" s="25" t="s">
        <v>394</v>
      </c>
      <c r="U726" s="25" t="s">
        <v>878</v>
      </c>
      <c r="W726" s="25" t="s">
        <v>760</v>
      </c>
      <c r="X726" s="25">
        <v>100</v>
      </c>
      <c r="Z726" s="25" t="s">
        <v>178</v>
      </c>
      <c r="AA726" s="32" t="str">
        <f t="shared" si="292"/>
        <v>蜘蛛女皇对目标有30%几率释放蜘蛛网，减速50%，2秒</v>
      </c>
      <c r="AB726" s="32"/>
      <c r="AC726" s="32" t="s">
        <v>166</v>
      </c>
      <c r="AD726" s="32">
        <f t="shared" si="290"/>
        <v>1721</v>
      </c>
      <c r="AE726" s="25">
        <v>5301274</v>
      </c>
      <c r="AF726" s="25" t="s">
        <v>541</v>
      </c>
      <c r="AG726" s="25">
        <v>4</v>
      </c>
      <c r="AJ726" s="25">
        <v>1</v>
      </c>
      <c r="AK726" s="26"/>
      <c r="AL726" s="25" t="s">
        <v>879</v>
      </c>
      <c r="AM726" s="26"/>
      <c r="AN726" s="25">
        <v>4</v>
      </c>
      <c r="AO726" s="25" t="s">
        <v>32</v>
      </c>
      <c r="AP726" s="20">
        <f t="shared" si="291"/>
        <v>721</v>
      </c>
    </row>
    <row r="727" s="20" customFormat="1" customHeight="1" spans="1:42">
      <c r="A727" s="25">
        <v>5510447</v>
      </c>
      <c r="B727" s="25">
        <v>5301274</v>
      </c>
      <c r="C727" s="25">
        <v>7</v>
      </c>
      <c r="D727" s="25"/>
      <c r="E727" s="25" t="s">
        <v>191</v>
      </c>
      <c r="F727" s="26">
        <f t="shared" si="289"/>
        <v>1</v>
      </c>
      <c r="G727" s="26" t="str">
        <f>IFERROR(IF(--MID($E727,2*COUNTIF($F727:F727,"&gt;"&amp;0)+2,1)=G$1,G$1,""),"")</f>
        <v/>
      </c>
      <c r="H727" s="26" t="str">
        <f>IFERROR(IF(--MID($E727,2*COUNTIF($F727:G727,"&gt;"&amp;0)+2,1)=H$1,H$1,""),"")</f>
        <v/>
      </c>
      <c r="I727" s="26" t="str">
        <f>IFERROR(IF(--MID($E727,2*COUNTIF($F727:H727,"&gt;"&amp;0)+2,1)=I$1,I$1,""),"")</f>
        <v/>
      </c>
      <c r="J727" s="26" t="str">
        <f>IFERROR(IF(--MID($E727,2*COUNTIF($F727:I727,"&gt;"&amp;0)+2,1)=J$1,J$1,""),"")</f>
        <v/>
      </c>
      <c r="K727" s="26" t="str">
        <f>IFERROR(IF(--MID($E727,2*COUNTIF($F727:J727,"&gt;"&amp;0)+2,1)=K$1,K$1,""),"")</f>
        <v/>
      </c>
      <c r="L727" s="39" cm="1">
        <f t="array" ref="L727">IFERROR(IF($A727="","",IF(F727="","",_xlfn.XLOOKUP($C727&amp;"_"&amp;$AG727,符文权重!$A:$A&amp;"_"&amp;符文权重!$C:$C,符文权重!$D:$D)*$X727/SUMIFS($X:$X,F:F,F727,$C:$C,$C727,$AG:$AG,$AG727)/SUMIF(符文权重!$A:$A,$C727,符文权重!$D:$D))),"")</f>
        <v>0.0115384615384615</v>
      </c>
      <c r="M727" s="39" t="str" cm="1">
        <f t="array" ref="M727">IFERROR(IF($A727="","",IF(G727="","",_xlfn.XLOOKUP($C727&amp;"_"&amp;$AG727,符文权重!$A:$A&amp;"_"&amp;符文权重!$C:$C,符文权重!$D:$D)*$X727/SUMIFS($X:$X,G:G,G727,$C:$C,$C727,$AG:$AG,$AG727)/SUMIF(符文权重!$A:$A,$C727,符文权重!$D:$D))),"")</f>
        <v/>
      </c>
      <c r="N727" s="39" t="str" cm="1">
        <f t="array" ref="N727">IFERROR(IF($A727="","",IF(H727="","",_xlfn.XLOOKUP($C727&amp;"_"&amp;$AG727,符文权重!$A:$A&amp;"_"&amp;符文权重!$C:$C,符文权重!$D:$D)*$X727/SUMIFS($X:$X,H:H,H727,$C:$C,$C727,$AG:$AG,$AG727)/SUMIF(符文权重!$A:$A,$C727,符文权重!$D:$D))),"")</f>
        <v/>
      </c>
      <c r="O727" s="39" t="str" cm="1">
        <f t="array" ref="O727">IFERROR(IF($A727="","",IF(I727="","",_xlfn.XLOOKUP($C727&amp;"_"&amp;$AG727,符文权重!$A:$A&amp;"_"&amp;符文权重!$C:$C,符文权重!$D:$D)*$X727/SUMIFS($X:$X,I:I,I727,$C:$C,$C727,$AG:$AG,$AG727)/SUMIF(符文权重!$A:$A,$C727,符文权重!$D:$D))),"")</f>
        <v/>
      </c>
      <c r="P727" s="39" t="str" cm="1">
        <f t="array" ref="P727">IFERROR(IF($A727="","",IF(J727="","",_xlfn.XLOOKUP($C727&amp;"_"&amp;$AG727,符文权重!$A:$A&amp;"_"&amp;符文权重!$C:$C,符文权重!$D:$D)*$X727/SUMIFS($X:$X,J:J,J727,$C:$C,$C727,$AG:$AG,$AG727)/SUMIF(符文权重!$A:$A,$C727,符文权重!$D:$D))),"")</f>
        <v/>
      </c>
      <c r="Q727" s="39" t="str" cm="1">
        <f t="array" ref="Q727">IFERROR(IF($A727="","",IF(K727="","",_xlfn.XLOOKUP($C727&amp;"_"&amp;$AG727,符文权重!$A:$A&amp;"_"&amp;符文权重!$C:$C,符文权重!$D:$D)*$X727/SUMIFS($X:$X,K:K,K727,$C:$C,$C727,$AG:$AG,$AG727)/SUMIF(符文权重!$A:$A,$C727,符文权重!$D:$D))),"")</f>
        <v/>
      </c>
      <c r="R727" s="25" t="s">
        <v>330</v>
      </c>
      <c r="S727" s="25" t="s">
        <v>865</v>
      </c>
      <c r="T727" s="25" t="s">
        <v>397</v>
      </c>
      <c r="U727" s="25" t="s">
        <v>880</v>
      </c>
      <c r="W727" s="25" t="s">
        <v>763</v>
      </c>
      <c r="X727" s="25">
        <v>100</v>
      </c>
      <c r="Z727" s="25" t="s">
        <v>180</v>
      </c>
      <c r="AA727" s="32" t="str">
        <f t="shared" si="292"/>
        <v>蜘蛛女皇对目标有30%几率释放蜘蛛网，减速60%，2秒</v>
      </c>
      <c r="AB727" s="32"/>
      <c r="AC727" s="32" t="s">
        <v>166</v>
      </c>
      <c r="AD727" s="32">
        <f t="shared" si="290"/>
        <v>1722</v>
      </c>
      <c r="AE727" s="25">
        <v>5301274</v>
      </c>
      <c r="AF727" s="25" t="s">
        <v>439</v>
      </c>
      <c r="AG727" s="25">
        <v>4</v>
      </c>
      <c r="AJ727" s="25">
        <v>1</v>
      </c>
      <c r="AK727" s="26"/>
      <c r="AL727" s="25" t="s">
        <v>881</v>
      </c>
      <c r="AM727" s="26"/>
      <c r="AN727" s="25">
        <v>4</v>
      </c>
      <c r="AO727" s="25" t="s">
        <v>32</v>
      </c>
      <c r="AP727" s="20">
        <f t="shared" si="291"/>
        <v>722</v>
      </c>
    </row>
    <row r="728" s="20" customFormat="1" customHeight="1" spans="1:42">
      <c r="A728" s="25">
        <v>5510454</v>
      </c>
      <c r="B728" s="25">
        <v>5301275</v>
      </c>
      <c r="C728" s="26">
        <v>4</v>
      </c>
      <c r="D728" s="26"/>
      <c r="E728" s="25" t="s">
        <v>200</v>
      </c>
      <c r="F728" s="26" t="str">
        <f t="shared" si="289"/>
        <v/>
      </c>
      <c r="G728" s="26">
        <f>IFERROR(IF(--MID($E728,2*COUNTIF($F728:F728,"&gt;"&amp;0)+2,1)=G$1,G$1,""),"")</f>
        <v>2</v>
      </c>
      <c r="H728" s="26" t="str">
        <f>IFERROR(IF(--MID($E728,2*COUNTIF($F728:G728,"&gt;"&amp;0)+2,1)=H$1,H$1,""),"")</f>
        <v/>
      </c>
      <c r="I728" s="26" t="str">
        <f>IFERROR(IF(--MID($E728,2*COUNTIF($F728:H728,"&gt;"&amp;0)+2,1)=I$1,I$1,""),"")</f>
        <v/>
      </c>
      <c r="J728" s="26" t="str">
        <f>IFERROR(IF(--MID($E728,2*COUNTIF($F728:I728,"&gt;"&amp;0)+2,1)=J$1,J$1,""),"")</f>
        <v/>
      </c>
      <c r="K728" s="26" t="str">
        <f>IFERROR(IF(--MID($E728,2*COUNTIF($F728:J728,"&gt;"&amp;0)+2,1)=K$1,K$1,""),"")</f>
        <v/>
      </c>
      <c r="L728" s="39" t="str" cm="1">
        <f t="array" ref="L728">IFERROR(IF($A728="","",IF(F728="","",_xlfn.XLOOKUP($C728&amp;"_"&amp;$AG728,符文权重!$A:$A&amp;"_"&amp;符文权重!$C:$C,符文权重!$D:$D)*$X728/SUMIFS($X:$X,F:F,F728,$C:$C,$C728,$AG:$AG,$AG728)/SUMIF(符文权重!$A:$A,$C728,符文权重!$D:$D))),"")</f>
        <v/>
      </c>
      <c r="M728" s="39" cm="1">
        <f t="array" ref="M728">IFERROR(IF($A728="","",IF(G728="","",_xlfn.XLOOKUP($C728&amp;"_"&amp;$AG728,符文权重!$A:$A&amp;"_"&amp;符文权重!$C:$C,符文权重!$D:$D)*$X728/SUMIFS($X:$X,G:G,G728,$C:$C,$C728,$AG:$AG,$AG728)/SUMIF(符文权重!$A:$A,$C728,符文权重!$D:$D))),"")</f>
        <v>0.00333333333333333</v>
      </c>
      <c r="N728" s="39" t="str" cm="1">
        <f t="array" ref="N728">IFERROR(IF($A728="","",IF(H728="","",_xlfn.XLOOKUP($C728&amp;"_"&amp;$AG728,符文权重!$A:$A&amp;"_"&amp;符文权重!$C:$C,符文权重!$D:$D)*$X728/SUMIFS($X:$X,H:H,H728,$C:$C,$C728,$AG:$AG,$AG728)/SUMIF(符文权重!$A:$A,$C728,符文权重!$D:$D))),"")</f>
        <v/>
      </c>
      <c r="O728" s="39" t="str" cm="1">
        <f t="array" ref="O728">IFERROR(IF($A728="","",IF(I728="","",_xlfn.XLOOKUP($C728&amp;"_"&amp;$AG728,符文权重!$A:$A&amp;"_"&amp;符文权重!$C:$C,符文权重!$D:$D)*$X728/SUMIFS($X:$X,I:I,I728,$C:$C,$C728,$AG:$AG,$AG728)/SUMIF(符文权重!$A:$A,$C728,符文权重!$D:$D))),"")</f>
        <v/>
      </c>
      <c r="P728" s="39" t="str" cm="1">
        <f t="array" ref="P728">IFERROR(IF($A728="","",IF(J728="","",_xlfn.XLOOKUP($C728&amp;"_"&amp;$AG728,符文权重!$A:$A&amp;"_"&amp;符文权重!$C:$C,符文权重!$D:$D)*$X728/SUMIFS($X:$X,J:J,J728,$C:$C,$C728,$AG:$AG,$AG728)/SUMIF(符文权重!$A:$A,$C728,符文权重!$D:$D))),"")</f>
        <v/>
      </c>
      <c r="Q728" s="39" t="str" cm="1">
        <f t="array" ref="Q728">IFERROR(IF($A728="","",IF(K728="","",_xlfn.XLOOKUP($C728&amp;"_"&amp;$AG728,符文权重!$A:$A&amp;"_"&amp;符文权重!$C:$C,符文权重!$D:$D)*$X728/SUMIFS($X:$X,K:K,K728,$C:$C,$C728,$AG:$AG,$AG728)/SUMIF(符文权重!$A:$A,$C728,符文权重!$D:$D))),"")</f>
        <v/>
      </c>
      <c r="R728" s="26" t="s">
        <v>330</v>
      </c>
      <c r="S728" s="26" t="s">
        <v>865</v>
      </c>
      <c r="T728" s="26" t="s">
        <v>388</v>
      </c>
      <c r="V728" s="26" t="s">
        <v>882</v>
      </c>
      <c r="W728" s="25" t="s">
        <v>754</v>
      </c>
      <c r="X728" s="25">
        <v>100</v>
      </c>
      <c r="Y728" s="25"/>
      <c r="Z728" s="26" t="s">
        <v>174</v>
      </c>
      <c r="AA728" s="32" t="str">
        <f t="shared" si="292"/>
        <v>蜘蛛女皇的中毒伤害+20%，忽视中毒抗性+20%</v>
      </c>
      <c r="AB728" s="32"/>
      <c r="AC728" s="32" t="s">
        <v>166</v>
      </c>
      <c r="AD728" s="32">
        <f t="shared" si="290"/>
        <v>1723</v>
      </c>
      <c r="AE728" s="25">
        <v>5301275</v>
      </c>
      <c r="AF728" s="26" t="s">
        <v>396</v>
      </c>
      <c r="AG728" s="26">
        <v>8</v>
      </c>
      <c r="AH728" s="26"/>
      <c r="AI728" s="26"/>
      <c r="AJ728" s="26">
        <v>1</v>
      </c>
      <c r="AK728" s="26"/>
      <c r="AL728" s="32" t="s">
        <v>883</v>
      </c>
      <c r="AM728" s="26"/>
      <c r="AN728" s="25">
        <v>4</v>
      </c>
      <c r="AO728" s="25" t="s">
        <v>32</v>
      </c>
      <c r="AP728" s="20">
        <f t="shared" si="291"/>
        <v>723</v>
      </c>
    </row>
    <row r="729" s="20" customFormat="1" customHeight="1" spans="1:42">
      <c r="A729" s="25">
        <v>5510455</v>
      </c>
      <c r="B729" s="25">
        <v>5301275</v>
      </c>
      <c r="C729" s="25">
        <v>5</v>
      </c>
      <c r="D729" s="25"/>
      <c r="E729" s="25" t="s">
        <v>200</v>
      </c>
      <c r="F729" s="26" t="str">
        <f t="shared" si="289"/>
        <v/>
      </c>
      <c r="G729" s="26">
        <f>IFERROR(IF(--MID($E729,2*COUNTIF($F729:F729,"&gt;"&amp;0)+2,1)=G$1,G$1,""),"")</f>
        <v>2</v>
      </c>
      <c r="H729" s="26" t="str">
        <f>IFERROR(IF(--MID($E729,2*COUNTIF($F729:G729,"&gt;"&amp;0)+2,1)=H$1,H$1,""),"")</f>
        <v/>
      </c>
      <c r="I729" s="26" t="str">
        <f>IFERROR(IF(--MID($E729,2*COUNTIF($F729:H729,"&gt;"&amp;0)+2,1)=I$1,I$1,""),"")</f>
        <v/>
      </c>
      <c r="J729" s="26" t="str">
        <f>IFERROR(IF(--MID($E729,2*COUNTIF($F729:I729,"&gt;"&amp;0)+2,1)=J$1,J$1,""),"")</f>
        <v/>
      </c>
      <c r="K729" s="26" t="str">
        <f>IFERROR(IF(--MID($E729,2*COUNTIF($F729:J729,"&gt;"&amp;0)+2,1)=K$1,K$1,""),"")</f>
        <v/>
      </c>
      <c r="L729" s="39" t="str" cm="1">
        <f t="array" ref="L729">IFERROR(IF($A729="","",IF(F729="","",_xlfn.XLOOKUP($C729&amp;"_"&amp;$AG729,符文权重!$A:$A&amp;"_"&amp;符文权重!$C:$C,符文权重!$D:$D)*$X729/SUMIFS($X:$X,F:F,F729,$C:$C,$C729,$AG:$AG,$AG729)/SUMIF(符文权重!$A:$A,$C729,符文权重!$D:$D))),"")</f>
        <v/>
      </c>
      <c r="M729" s="39" cm="1">
        <f t="array" ref="M729">IFERROR(IF($A729="","",IF(G729="","",_xlfn.XLOOKUP($C729&amp;"_"&amp;$AG729,符文权重!$A:$A&amp;"_"&amp;符文权重!$C:$C,符文权重!$D:$D)*$X729/SUMIFS($X:$X,G:G,G729,$C:$C,$C729,$AG:$AG,$AG729)/SUMIF(符文权重!$A:$A,$C729,符文权重!$D:$D))),"")</f>
        <v>0.0125</v>
      </c>
      <c r="N729" s="39" t="str" cm="1">
        <f t="array" ref="N729">IFERROR(IF($A729="","",IF(H729="","",_xlfn.XLOOKUP($C729&amp;"_"&amp;$AG729,符文权重!$A:$A&amp;"_"&amp;符文权重!$C:$C,符文权重!$D:$D)*$X729/SUMIFS($X:$X,H:H,H729,$C:$C,$C729,$AG:$AG,$AG729)/SUMIF(符文权重!$A:$A,$C729,符文权重!$D:$D))),"")</f>
        <v/>
      </c>
      <c r="O729" s="39" t="str" cm="1">
        <f t="array" ref="O729">IFERROR(IF($A729="","",IF(I729="","",_xlfn.XLOOKUP($C729&amp;"_"&amp;$AG729,符文权重!$A:$A&amp;"_"&amp;符文权重!$C:$C,符文权重!$D:$D)*$X729/SUMIFS($X:$X,I:I,I729,$C:$C,$C729,$AG:$AG,$AG729)/SUMIF(符文权重!$A:$A,$C729,符文权重!$D:$D))),"")</f>
        <v/>
      </c>
      <c r="P729" s="39" t="str" cm="1">
        <f t="array" ref="P729">IFERROR(IF($A729="","",IF(J729="","",_xlfn.XLOOKUP($C729&amp;"_"&amp;$AG729,符文权重!$A:$A&amp;"_"&amp;符文权重!$C:$C,符文权重!$D:$D)*$X729/SUMIFS($X:$X,J:J,J729,$C:$C,$C729,$AG:$AG,$AG729)/SUMIF(符文权重!$A:$A,$C729,符文权重!$D:$D))),"")</f>
        <v/>
      </c>
      <c r="Q729" s="39" t="str" cm="1">
        <f t="array" ref="Q729">IFERROR(IF($A729="","",IF(K729="","",_xlfn.XLOOKUP($C729&amp;"_"&amp;$AG729,符文权重!$A:$A&amp;"_"&amp;符文权重!$C:$C,符文权重!$D:$D)*$X729/SUMIFS($X:$X,K:K,K729,$C:$C,$C729,$AG:$AG,$AG729)/SUMIF(符文权重!$A:$A,$C729,符文权重!$D:$D))),"")</f>
        <v/>
      </c>
      <c r="R729" s="25" t="s">
        <v>330</v>
      </c>
      <c r="S729" s="25" t="s">
        <v>865</v>
      </c>
      <c r="T729" s="25" t="s">
        <v>391</v>
      </c>
      <c r="U729" s="25"/>
      <c r="V729" s="26" t="s">
        <v>884</v>
      </c>
      <c r="W729" s="25" t="s">
        <v>757</v>
      </c>
      <c r="X729" s="25">
        <v>100</v>
      </c>
      <c r="Y729" s="25"/>
      <c r="Z729" s="25" t="s">
        <v>176</v>
      </c>
      <c r="AA729" s="32" t="str">
        <f t="shared" si="292"/>
        <v>蜘蛛女皇的中毒伤害+28%，忽视中毒抗性+20%</v>
      </c>
      <c r="AB729" s="32"/>
      <c r="AC729" s="32" t="s">
        <v>166</v>
      </c>
      <c r="AD729" s="32">
        <f t="shared" si="290"/>
        <v>1724</v>
      </c>
      <c r="AE729" s="25">
        <v>5301275</v>
      </c>
      <c r="AF729" s="25" t="s">
        <v>746</v>
      </c>
      <c r="AG729" s="25">
        <v>4</v>
      </c>
      <c r="AH729" s="25"/>
      <c r="AI729" s="25"/>
      <c r="AJ729" s="25">
        <v>1</v>
      </c>
      <c r="AK729" s="26"/>
      <c r="AL729" s="25" t="s">
        <v>885</v>
      </c>
      <c r="AM729" s="26"/>
      <c r="AN729" s="25">
        <v>4</v>
      </c>
      <c r="AO729" s="25" t="s">
        <v>32</v>
      </c>
      <c r="AP729" s="20">
        <f t="shared" si="291"/>
        <v>724</v>
      </c>
    </row>
    <row r="730" s="20" customFormat="1" customHeight="1" spans="1:42">
      <c r="A730" s="25">
        <v>5510456</v>
      </c>
      <c r="B730" s="25">
        <v>5301275</v>
      </c>
      <c r="C730" s="25">
        <v>6</v>
      </c>
      <c r="D730" s="25"/>
      <c r="E730" s="25" t="s">
        <v>200</v>
      </c>
      <c r="F730" s="26" t="str">
        <f t="shared" si="289"/>
        <v/>
      </c>
      <c r="G730" s="26">
        <f>IFERROR(IF(--MID($E730,2*COUNTIF($F730:F730,"&gt;"&amp;0)+2,1)=G$1,G$1,""),"")</f>
        <v>2</v>
      </c>
      <c r="H730" s="26" t="str">
        <f>IFERROR(IF(--MID($E730,2*COUNTIF($F730:G730,"&gt;"&amp;0)+2,1)=H$1,H$1,""),"")</f>
        <v/>
      </c>
      <c r="I730" s="26" t="str">
        <f>IFERROR(IF(--MID($E730,2*COUNTIF($F730:H730,"&gt;"&amp;0)+2,1)=I$1,I$1,""),"")</f>
        <v/>
      </c>
      <c r="J730" s="26" t="str">
        <f>IFERROR(IF(--MID($E730,2*COUNTIF($F730:I730,"&gt;"&amp;0)+2,1)=J$1,J$1,""),"")</f>
        <v/>
      </c>
      <c r="K730" s="26" t="str">
        <f>IFERROR(IF(--MID($E730,2*COUNTIF($F730:J730,"&gt;"&amp;0)+2,1)=K$1,K$1,""),"")</f>
        <v/>
      </c>
      <c r="L730" s="39" t="str" cm="1">
        <f t="array" ref="L730">IFERROR(IF($A730="","",IF(F730="","",_xlfn.XLOOKUP($C730&amp;"_"&amp;$AG730,符文权重!$A:$A&amp;"_"&amp;符文权重!$C:$C,符文权重!$D:$D)*$X730/SUMIFS($X:$X,F:F,F730,$C:$C,$C730,$AG:$AG,$AG730)/SUMIF(符文权重!$A:$A,$C730,符文权重!$D:$D))),"")</f>
        <v/>
      </c>
      <c r="M730" s="39" cm="1">
        <f t="array" ref="M730">IFERROR(IF($A730="","",IF(G730="","",_xlfn.XLOOKUP($C730&amp;"_"&amp;$AG730,符文权重!$A:$A&amp;"_"&amp;符文权重!$C:$C,符文权重!$D:$D)*$X730/SUMIFS($X:$X,G:G,G730,$C:$C,$C730,$AG:$AG,$AG730)/SUMIF(符文权重!$A:$A,$C730,符文权重!$D:$D))),"")</f>
        <v>0.0125</v>
      </c>
      <c r="N730" s="39" t="str" cm="1">
        <f t="array" ref="N730">IFERROR(IF($A730="","",IF(H730="","",_xlfn.XLOOKUP($C730&amp;"_"&amp;$AG730,符文权重!$A:$A&amp;"_"&amp;符文权重!$C:$C,符文权重!$D:$D)*$X730/SUMIFS($X:$X,H:H,H730,$C:$C,$C730,$AG:$AG,$AG730)/SUMIF(符文权重!$A:$A,$C730,符文权重!$D:$D))),"")</f>
        <v/>
      </c>
      <c r="O730" s="39" t="str" cm="1">
        <f t="array" ref="O730">IFERROR(IF($A730="","",IF(I730="","",_xlfn.XLOOKUP($C730&amp;"_"&amp;$AG730,符文权重!$A:$A&amp;"_"&amp;符文权重!$C:$C,符文权重!$D:$D)*$X730/SUMIFS($X:$X,I:I,I730,$C:$C,$C730,$AG:$AG,$AG730)/SUMIF(符文权重!$A:$A,$C730,符文权重!$D:$D))),"")</f>
        <v/>
      </c>
      <c r="P730" s="39" t="str" cm="1">
        <f t="array" ref="P730">IFERROR(IF($A730="","",IF(J730="","",_xlfn.XLOOKUP($C730&amp;"_"&amp;$AG730,符文权重!$A:$A&amp;"_"&amp;符文权重!$C:$C,符文权重!$D:$D)*$X730/SUMIFS($X:$X,J:J,J730,$C:$C,$C730,$AG:$AG,$AG730)/SUMIF(符文权重!$A:$A,$C730,符文权重!$D:$D))),"")</f>
        <v/>
      </c>
      <c r="Q730" s="39" t="str" cm="1">
        <f t="array" ref="Q730">IFERROR(IF($A730="","",IF(K730="","",_xlfn.XLOOKUP($C730&amp;"_"&amp;$AG730,符文权重!$A:$A&amp;"_"&amp;符文权重!$C:$C,符文权重!$D:$D)*$X730/SUMIFS($X:$X,K:K,K730,$C:$C,$C730,$AG:$AG,$AG730)/SUMIF(符文权重!$A:$A,$C730,符文权重!$D:$D))),"")</f>
        <v/>
      </c>
      <c r="R730" s="25" t="s">
        <v>330</v>
      </c>
      <c r="S730" s="25" t="s">
        <v>865</v>
      </c>
      <c r="T730" s="25" t="s">
        <v>394</v>
      </c>
      <c r="U730" s="25"/>
      <c r="V730" s="26" t="s">
        <v>886</v>
      </c>
      <c r="W730" s="25" t="s">
        <v>760</v>
      </c>
      <c r="X730" s="25">
        <v>100</v>
      </c>
      <c r="Y730" s="25"/>
      <c r="Z730" s="25" t="s">
        <v>178</v>
      </c>
      <c r="AA730" s="32" t="str">
        <f t="shared" si="292"/>
        <v>蜘蛛女皇的中毒伤害+36%，忽视中毒抗性+20%</v>
      </c>
      <c r="AB730" s="32"/>
      <c r="AC730" s="32" t="s">
        <v>166</v>
      </c>
      <c r="AD730" s="32">
        <f t="shared" si="290"/>
        <v>1725</v>
      </c>
      <c r="AE730" s="25">
        <v>5301275</v>
      </c>
      <c r="AF730" s="25" t="s">
        <v>603</v>
      </c>
      <c r="AG730" s="25">
        <v>4</v>
      </c>
      <c r="AH730" s="25"/>
      <c r="AI730" s="25"/>
      <c r="AJ730" s="25">
        <v>1</v>
      </c>
      <c r="AL730" s="25" t="s">
        <v>887</v>
      </c>
      <c r="AN730" s="25">
        <v>4</v>
      </c>
      <c r="AO730" s="25" t="s">
        <v>32</v>
      </c>
      <c r="AP730" s="20">
        <f t="shared" si="291"/>
        <v>725</v>
      </c>
    </row>
    <row r="731" s="20" customFormat="1" customHeight="1" spans="1:42">
      <c r="A731" s="25">
        <v>5510457</v>
      </c>
      <c r="B731" s="25">
        <v>5301275</v>
      </c>
      <c r="C731" s="25">
        <v>7</v>
      </c>
      <c r="D731" s="25"/>
      <c r="E731" s="25" t="s">
        <v>200</v>
      </c>
      <c r="F731" s="26" t="str">
        <f t="shared" si="289"/>
        <v/>
      </c>
      <c r="G731" s="26">
        <f>IFERROR(IF(--MID($E731,2*COUNTIF($F731:F731,"&gt;"&amp;0)+2,1)=G$1,G$1,""),"")</f>
        <v>2</v>
      </c>
      <c r="H731" s="26" t="str">
        <f>IFERROR(IF(--MID($E731,2*COUNTIF($F731:G731,"&gt;"&amp;0)+2,1)=H$1,H$1,""),"")</f>
        <v/>
      </c>
      <c r="I731" s="26" t="str">
        <f>IFERROR(IF(--MID($E731,2*COUNTIF($F731:H731,"&gt;"&amp;0)+2,1)=I$1,I$1,""),"")</f>
        <v/>
      </c>
      <c r="J731" s="26" t="str">
        <f>IFERROR(IF(--MID($E731,2*COUNTIF($F731:I731,"&gt;"&amp;0)+2,1)=J$1,J$1,""),"")</f>
        <v/>
      </c>
      <c r="K731" s="26" t="str">
        <f>IFERROR(IF(--MID($E731,2*COUNTIF($F731:J731,"&gt;"&amp;0)+2,1)=K$1,K$1,""),"")</f>
        <v/>
      </c>
      <c r="L731" s="39" t="str" cm="1">
        <f t="array" ref="L731">IFERROR(IF($A731="","",IF(F731="","",_xlfn.XLOOKUP($C731&amp;"_"&amp;$AG731,符文权重!$A:$A&amp;"_"&amp;符文权重!$C:$C,符文权重!$D:$D)*$X731/SUMIFS($X:$X,F:F,F731,$C:$C,$C731,$AG:$AG,$AG731)/SUMIF(符文权重!$A:$A,$C731,符文权重!$D:$D))),"")</f>
        <v/>
      </c>
      <c r="M731" s="39" cm="1">
        <f t="array" ref="M731">IFERROR(IF($A731="","",IF(G731="","",_xlfn.XLOOKUP($C731&amp;"_"&amp;$AG731,符文权重!$A:$A&amp;"_"&amp;符文权重!$C:$C,符文权重!$D:$D)*$X731/SUMIFS($X:$X,G:G,G731,$C:$C,$C731,$AG:$AG,$AG731)/SUMIF(符文权重!$A:$A,$C731,符文权重!$D:$D))),"")</f>
        <v>0.0125</v>
      </c>
      <c r="N731" s="39" t="str" cm="1">
        <f t="array" ref="N731">IFERROR(IF($A731="","",IF(H731="","",_xlfn.XLOOKUP($C731&amp;"_"&amp;$AG731,符文权重!$A:$A&amp;"_"&amp;符文权重!$C:$C,符文权重!$D:$D)*$X731/SUMIFS($X:$X,H:H,H731,$C:$C,$C731,$AG:$AG,$AG731)/SUMIF(符文权重!$A:$A,$C731,符文权重!$D:$D))),"")</f>
        <v/>
      </c>
      <c r="O731" s="39" t="str" cm="1">
        <f t="array" ref="O731">IFERROR(IF($A731="","",IF(I731="","",_xlfn.XLOOKUP($C731&amp;"_"&amp;$AG731,符文权重!$A:$A&amp;"_"&amp;符文权重!$C:$C,符文权重!$D:$D)*$X731/SUMIFS($X:$X,I:I,I731,$C:$C,$C731,$AG:$AG,$AG731)/SUMIF(符文权重!$A:$A,$C731,符文权重!$D:$D))),"")</f>
        <v/>
      </c>
      <c r="P731" s="39" t="str" cm="1">
        <f t="array" ref="P731">IFERROR(IF($A731="","",IF(J731="","",_xlfn.XLOOKUP($C731&amp;"_"&amp;$AG731,符文权重!$A:$A&amp;"_"&amp;符文权重!$C:$C,符文权重!$D:$D)*$X731/SUMIFS($X:$X,J:J,J731,$C:$C,$C731,$AG:$AG,$AG731)/SUMIF(符文权重!$A:$A,$C731,符文权重!$D:$D))),"")</f>
        <v/>
      </c>
      <c r="Q731" s="39" t="str" cm="1">
        <f t="array" ref="Q731">IFERROR(IF($A731="","",IF(K731="","",_xlfn.XLOOKUP($C731&amp;"_"&amp;$AG731,符文权重!$A:$A&amp;"_"&amp;符文权重!$C:$C,符文权重!$D:$D)*$X731/SUMIFS($X:$X,K:K,K731,$C:$C,$C731,$AG:$AG,$AG731)/SUMIF(符文权重!$A:$A,$C731,符文权重!$D:$D))),"")</f>
        <v/>
      </c>
      <c r="R731" s="25" t="s">
        <v>330</v>
      </c>
      <c r="S731" s="25" t="s">
        <v>865</v>
      </c>
      <c r="T731" s="25" t="s">
        <v>397</v>
      </c>
      <c r="U731" s="25"/>
      <c r="V731" s="26" t="s">
        <v>888</v>
      </c>
      <c r="W731" s="25" t="s">
        <v>763</v>
      </c>
      <c r="X731" s="25">
        <v>100</v>
      </c>
      <c r="Y731" s="25"/>
      <c r="Z731" s="25" t="s">
        <v>180</v>
      </c>
      <c r="AA731" s="32" t="str">
        <f t="shared" si="292"/>
        <v>蜘蛛女皇的中毒伤害+45%，忽视中毒抗性+20%</v>
      </c>
      <c r="AB731" s="32"/>
      <c r="AC731" s="32" t="s">
        <v>166</v>
      </c>
      <c r="AD731" s="32">
        <f t="shared" si="290"/>
        <v>1726</v>
      </c>
      <c r="AE731" s="25">
        <v>5301275</v>
      </c>
      <c r="AF731" s="25" t="s">
        <v>437</v>
      </c>
      <c r="AG731" s="25">
        <v>4</v>
      </c>
      <c r="AH731" s="25"/>
      <c r="AI731" s="25"/>
      <c r="AJ731" s="25">
        <v>1</v>
      </c>
      <c r="AK731" s="26"/>
      <c r="AL731" s="25" t="s">
        <v>889</v>
      </c>
      <c r="AM731" s="26"/>
      <c r="AN731" s="25">
        <v>4</v>
      </c>
      <c r="AO731" s="25" t="s">
        <v>32</v>
      </c>
      <c r="AP731" s="20">
        <f t="shared" si="291"/>
        <v>726</v>
      </c>
    </row>
    <row r="732" s="20" customFormat="1" customHeight="1" spans="1:42">
      <c r="A732" s="25"/>
      <c r="B732" s="25"/>
      <c r="C732" s="25"/>
      <c r="D732" s="25"/>
      <c r="E732" s="25"/>
      <c r="F732" s="26" t="str">
        <f t="shared" si="289"/>
        <v/>
      </c>
      <c r="G732" s="26" t="str">
        <f>IFERROR(IF(--MID($E732,2*COUNTIF($F732:F732,"&gt;"&amp;0)+2,1)=G$1,G$1,""),"")</f>
        <v/>
      </c>
      <c r="H732" s="26" t="str">
        <f>IFERROR(IF(--MID($E732,2*COUNTIF($F732:G732,"&gt;"&amp;0)+2,1)=H$1,H$1,""),"")</f>
        <v/>
      </c>
      <c r="I732" s="26" t="str">
        <f>IFERROR(IF(--MID($E732,2*COUNTIF($F732:H732,"&gt;"&amp;0)+2,1)=I$1,I$1,""),"")</f>
        <v/>
      </c>
      <c r="J732" s="26" t="str">
        <f>IFERROR(IF(--MID($E732,2*COUNTIF($F732:I732,"&gt;"&amp;0)+2,1)=J$1,J$1,""),"")</f>
        <v/>
      </c>
      <c r="K732" s="26" t="str">
        <f>IFERROR(IF(--MID($E732,2*COUNTIF($F732:J732,"&gt;"&amp;0)+2,1)=K$1,K$1,""),"")</f>
        <v/>
      </c>
      <c r="L732" s="39" t="str" cm="1">
        <f t="array" ref="L732">IFERROR(IF($A732="","",IF(F732="","",_xlfn.XLOOKUP($C732&amp;"_"&amp;$AG732,符文权重!$A:$A&amp;"_"&amp;符文权重!$C:$C,符文权重!$D:$D)*$X732/SUMIFS($X:$X,F:F,F732,$C:$C,$C732,$AG:$AG,$AG732)/SUMIF(符文权重!$A:$A,$C732,符文权重!$D:$D))),"")</f>
        <v/>
      </c>
      <c r="M732" s="39" t="str" cm="1">
        <f t="array" ref="M732">IFERROR(IF($A732="","",IF(G732="","",_xlfn.XLOOKUP($C732&amp;"_"&amp;$AG732,符文权重!$A:$A&amp;"_"&amp;符文权重!$C:$C,符文权重!$D:$D)*$X732/SUMIFS($X:$X,G:G,G732,$C:$C,$C732,$AG:$AG,$AG732)/SUMIF(符文权重!$A:$A,$C732,符文权重!$D:$D))),"")</f>
        <v/>
      </c>
      <c r="N732" s="39" t="str" cm="1">
        <f t="array" ref="N732">IFERROR(IF($A732="","",IF(H732="","",_xlfn.XLOOKUP($C732&amp;"_"&amp;$AG732,符文权重!$A:$A&amp;"_"&amp;符文权重!$C:$C,符文权重!$D:$D)*$X732/SUMIFS($X:$X,H:H,H732,$C:$C,$C732,$AG:$AG,$AG732)/SUMIF(符文权重!$A:$A,$C732,符文权重!$D:$D))),"")</f>
        <v/>
      </c>
      <c r="O732" s="39" t="str" cm="1">
        <f t="array" ref="O732">IFERROR(IF($A732="","",IF(I732="","",_xlfn.XLOOKUP($C732&amp;"_"&amp;$AG732,符文权重!$A:$A&amp;"_"&amp;符文权重!$C:$C,符文权重!$D:$D)*$X732/SUMIFS($X:$X,I:I,I732,$C:$C,$C732,$AG:$AG,$AG732)/SUMIF(符文权重!$A:$A,$C732,符文权重!$D:$D))),"")</f>
        <v/>
      </c>
      <c r="P732" s="39" t="str" cm="1">
        <f t="array" ref="P732">IFERROR(IF($A732="","",IF(J732="","",_xlfn.XLOOKUP($C732&amp;"_"&amp;$AG732,符文权重!$A:$A&amp;"_"&amp;符文权重!$C:$C,符文权重!$D:$D)*$X732/SUMIFS($X:$X,J:J,J732,$C:$C,$C732,$AG:$AG,$AG732)/SUMIF(符文权重!$A:$A,$C732,符文权重!$D:$D))),"")</f>
        <v/>
      </c>
      <c r="Q732" s="39" t="str" cm="1">
        <f t="array" ref="Q732">IFERROR(IF($A732="","",IF(K732="","",_xlfn.XLOOKUP($C732&amp;"_"&amp;$AG732,符文权重!$A:$A&amp;"_"&amp;符文权重!$C:$C,符文权重!$D:$D)*$X732/SUMIFS($X:$X,K:K,K732,$C:$C,$C732,$AG:$AG,$AG732)/SUMIF(符文权重!$A:$A,$C732,符文权重!$D:$D))),"")</f>
        <v/>
      </c>
      <c r="R732" s="25" t="s">
        <v>167</v>
      </c>
      <c r="S732" s="25" t="s">
        <v>167</v>
      </c>
      <c r="T732" s="25" t="s">
        <v>167</v>
      </c>
      <c r="U732" s="25"/>
      <c r="V732" s="26"/>
      <c r="W732" s="25" t="s">
        <v>167</v>
      </c>
      <c r="X732" s="25"/>
      <c r="Y732" s="25"/>
      <c r="Z732" s="25" t="s">
        <v>167</v>
      </c>
      <c r="AA732" s="32" t="str">
        <f t="shared" si="292"/>
        <v/>
      </c>
      <c r="AB732" s="32"/>
      <c r="AC732" s="32" t="s">
        <v>166</v>
      </c>
      <c r="AD732" s="32">
        <f t="shared" si="290"/>
        <v>1727</v>
      </c>
      <c r="AE732" s="25"/>
      <c r="AF732" s="25"/>
      <c r="AG732" s="25" t="s">
        <v>167</v>
      </c>
      <c r="AH732" s="25"/>
      <c r="AI732" s="25"/>
      <c r="AJ732" s="25" t="s">
        <v>167</v>
      </c>
      <c r="AK732" s="26"/>
      <c r="AL732" s="25"/>
      <c r="AM732" s="26"/>
      <c r="AN732" s="25"/>
      <c r="AO732" s="25" t="s">
        <v>32</v>
      </c>
      <c r="AP732" s="20">
        <f t="shared" si="291"/>
        <v>727</v>
      </c>
    </row>
    <row r="733" customHeight="1" spans="1:42">
      <c r="A733" s="25">
        <v>5510464</v>
      </c>
      <c r="B733" s="25">
        <v>5301277</v>
      </c>
      <c r="C733" s="26">
        <v>4</v>
      </c>
      <c r="D733" s="26"/>
      <c r="E733" s="25" t="s">
        <v>375</v>
      </c>
      <c r="F733" s="26" t="str">
        <f t="shared" si="289"/>
        <v/>
      </c>
      <c r="G733" s="26" t="str">
        <f>IFERROR(IF(--MID($E733,2*COUNTIF($F733:F733,"&gt;"&amp;0)+2,1)=G$1,G$1,""),"")</f>
        <v/>
      </c>
      <c r="H733" s="26" t="str">
        <f>IFERROR(IF(--MID($E733,2*COUNTIF($F733:G733,"&gt;"&amp;0)+2,1)=H$1,H$1,""),"")</f>
        <v/>
      </c>
      <c r="I733" s="26">
        <f>IFERROR(IF(--MID($E733,2*COUNTIF($F733:H733,"&gt;"&amp;0)+2,1)=I$1,I$1,""),"")</f>
        <v>4</v>
      </c>
      <c r="J733" s="26" t="str">
        <f>IFERROR(IF(--MID($E733,2*COUNTIF($F733:I733,"&gt;"&amp;0)+2,1)=J$1,J$1,""),"")</f>
        <v/>
      </c>
      <c r="K733" s="26" t="str">
        <f>IFERROR(IF(--MID($E733,2*COUNTIF($F733:J733,"&gt;"&amp;0)+2,1)=K$1,K$1,""),"")</f>
        <v/>
      </c>
      <c r="L733" s="39" t="str" cm="1">
        <f t="array" ref="L733">IFERROR(IF($A733="","",IF(F733="","",_xlfn.XLOOKUP($C733&amp;"_"&amp;$AG733,符文权重!$A:$A&amp;"_"&amp;符文权重!$C:$C,符文权重!$D:$D)*$X733/SUMIFS($X:$X,F:F,F733,$C:$C,$C733,$AG:$AG,$AG733)/SUMIF(符文权重!$A:$A,$C733,符文权重!$D:$D))),"")</f>
        <v/>
      </c>
      <c r="M733" s="39" t="str" cm="1">
        <f t="array" ref="M733">IFERROR(IF($A733="","",IF(G733="","",_xlfn.XLOOKUP($C733&amp;"_"&amp;$AG733,符文权重!$A:$A&amp;"_"&amp;符文权重!$C:$C,符文权重!$D:$D)*$X733/SUMIFS($X:$X,G:G,G733,$C:$C,$C733,$AG:$AG,$AG733)/SUMIF(符文权重!$A:$A,$C733,符文权重!$D:$D))),"")</f>
        <v/>
      </c>
      <c r="N733" s="39" t="str" cm="1">
        <f t="array" ref="N733">IFERROR(IF($A733="","",IF(H733="","",_xlfn.XLOOKUP($C733&amp;"_"&amp;$AG733,符文权重!$A:$A&amp;"_"&amp;符文权重!$C:$C,符文权重!$D:$D)*$X733/SUMIFS($X:$X,H:H,H733,$C:$C,$C733,$AG:$AG,$AG733)/SUMIF(符文权重!$A:$A,$C733,符文权重!$D:$D))),"")</f>
        <v/>
      </c>
      <c r="O733" s="39" t="str" cm="1">
        <f t="array" ref="O733">IFERROR(IF($A733="","",IF(I733="","",_xlfn.XLOOKUP($C733&amp;"_"&amp;$AG733,符文权重!$A:$A&amp;"_"&amp;符文权重!$C:$C,符文权重!$D:$D)*$X733/SUMIFS($X:$X,I:I,I733,$C:$C,$C733,$AG:$AG,$AG733)/SUMIF(符文权重!$A:$A,$C733,符文权重!$D:$D))),"")</f>
        <v/>
      </c>
      <c r="P733" s="39" t="str" cm="1">
        <f t="array" ref="P733">IFERROR(IF($A733="","",IF(J733="","",_xlfn.XLOOKUP($C733&amp;"_"&amp;$AG733,符文权重!$A:$A&amp;"_"&amp;符文权重!$C:$C,符文权重!$D:$D)*$X733/SUMIFS($X:$X,J:J,J733,$C:$C,$C733,$AG:$AG,$AG733)/SUMIF(符文权重!$A:$A,$C733,符文权重!$D:$D))),"")</f>
        <v/>
      </c>
      <c r="Q733" s="39" t="str" cm="1">
        <f t="array" ref="Q733">IFERROR(IF($A733="","",IF(K733="","",_xlfn.XLOOKUP($C733&amp;"_"&amp;$AG733,符文权重!$A:$A&amp;"_"&amp;符文权重!$C:$C,符文权重!$D:$D)*$X733/SUMIFS($X:$X,K:K,K733,$C:$C,$C733,$AG:$AG,$AG733)/SUMIF(符文权重!$A:$A,$C733,符文权重!$D:$D))),"")</f>
        <v/>
      </c>
      <c r="R733" s="26" t="s">
        <v>330</v>
      </c>
      <c r="S733" s="26" t="s">
        <v>890</v>
      </c>
      <c r="T733" s="26" t="s">
        <v>388</v>
      </c>
      <c r="U733" s="20" t="s">
        <v>891</v>
      </c>
      <c r="W733" s="25" t="s">
        <v>754</v>
      </c>
      <c r="X733" s="25">
        <v>100</v>
      </c>
      <c r="Z733" s="26" t="s">
        <v>174</v>
      </c>
      <c r="AA733" s="32" t="str">
        <f t="shared" si="292"/>
        <v>海拉释放奥义后，下次攻击40%概率灵魂+10层</v>
      </c>
      <c r="AB733" s="32"/>
      <c r="AC733" s="32" t="s">
        <v>166</v>
      </c>
      <c r="AD733" s="32">
        <f t="shared" si="290"/>
        <v>1728</v>
      </c>
      <c r="AE733" s="25">
        <v>5301277</v>
      </c>
      <c r="AF733" s="26" t="s">
        <v>459</v>
      </c>
      <c r="AG733" s="26">
        <v>100</v>
      </c>
      <c r="AH733" s="26"/>
      <c r="AI733" s="26">
        <v>1</v>
      </c>
      <c r="AJ733" s="26">
        <v>0</v>
      </c>
      <c r="AK733" s="25"/>
      <c r="AL733" s="26" t="s">
        <v>892</v>
      </c>
      <c r="AN733" s="25">
        <v>8</v>
      </c>
      <c r="AO733" s="25" t="s">
        <v>32</v>
      </c>
      <c r="AP733" s="20">
        <f t="shared" si="291"/>
        <v>728</v>
      </c>
    </row>
    <row r="734" s="20" customFormat="1" customHeight="1" spans="1:42">
      <c r="A734" s="25">
        <v>5510465</v>
      </c>
      <c r="B734" s="25">
        <v>5301277</v>
      </c>
      <c r="C734" s="25">
        <v>5</v>
      </c>
      <c r="D734" s="25"/>
      <c r="E734" s="25" t="s">
        <v>375</v>
      </c>
      <c r="F734" s="26" t="str">
        <f t="shared" si="289"/>
        <v/>
      </c>
      <c r="G734" s="26" t="str">
        <f>IFERROR(IF(--MID($E734,2*COUNTIF($F734:F734,"&gt;"&amp;0)+2,1)=G$1,G$1,""),"")</f>
        <v/>
      </c>
      <c r="H734" s="26" t="str">
        <f>IFERROR(IF(--MID($E734,2*COUNTIF($F734:G734,"&gt;"&amp;0)+2,1)=H$1,H$1,""),"")</f>
        <v/>
      </c>
      <c r="I734" s="26">
        <f>IFERROR(IF(--MID($E734,2*COUNTIF($F734:H734,"&gt;"&amp;0)+2,1)=I$1,I$1,""),"")</f>
        <v>4</v>
      </c>
      <c r="J734" s="26" t="str">
        <f>IFERROR(IF(--MID($E734,2*COUNTIF($F734:I734,"&gt;"&amp;0)+2,1)=J$1,J$1,""),"")</f>
        <v/>
      </c>
      <c r="K734" s="26" t="str">
        <f>IFERROR(IF(--MID($E734,2*COUNTIF($F734:J734,"&gt;"&amp;0)+2,1)=K$1,K$1,""),"")</f>
        <v/>
      </c>
      <c r="L734" s="39" t="str" cm="1">
        <f t="array" ref="L734">IFERROR(IF($A734="","",IF(F734="","",_xlfn.XLOOKUP($C734&amp;"_"&amp;$AG734,符文权重!$A:$A&amp;"_"&amp;符文权重!$C:$C,符文权重!$D:$D)*$X734/SUMIFS($X:$X,F:F,F734,$C:$C,$C734,$AG:$AG,$AG734)/SUMIF(符文权重!$A:$A,$C734,符文权重!$D:$D))),"")</f>
        <v/>
      </c>
      <c r="M734" s="39" t="str" cm="1">
        <f t="array" ref="M734">IFERROR(IF($A734="","",IF(G734="","",_xlfn.XLOOKUP($C734&amp;"_"&amp;$AG734,符文权重!$A:$A&amp;"_"&amp;符文权重!$C:$C,符文权重!$D:$D)*$X734/SUMIFS($X:$X,G:G,G734,$C:$C,$C734,$AG:$AG,$AG734)/SUMIF(符文权重!$A:$A,$C734,符文权重!$D:$D))),"")</f>
        <v/>
      </c>
      <c r="N734" s="39" t="str" cm="1">
        <f t="array" ref="N734">IFERROR(IF($A734="","",IF(H734="","",_xlfn.XLOOKUP($C734&amp;"_"&amp;$AG734,符文权重!$A:$A&amp;"_"&amp;符文权重!$C:$C,符文权重!$D:$D)*$X734/SUMIFS($X:$X,H:H,H734,$C:$C,$C734,$AG:$AG,$AG734)/SUMIF(符文权重!$A:$A,$C734,符文权重!$D:$D))),"")</f>
        <v/>
      </c>
      <c r="O734" s="39" cm="1">
        <f t="array" ref="O734">IFERROR(IF($A734="","",IF(I734="","",_xlfn.XLOOKUP($C734&amp;"_"&amp;$AG734,符文权重!$A:$A&amp;"_"&amp;符文权重!$C:$C,符文权重!$D:$D)*$X734/SUMIFS($X:$X,I:I,I734,$C:$C,$C734,$AG:$AG,$AG734)/SUMIF(符文权重!$A:$A,$C734,符文权重!$D:$D))),"")</f>
        <v>0.00525</v>
      </c>
      <c r="P734" s="39" t="str" cm="1">
        <f t="array" ref="P734">IFERROR(IF($A734="","",IF(J734="","",_xlfn.XLOOKUP($C734&amp;"_"&amp;$AG734,符文权重!$A:$A&amp;"_"&amp;符文权重!$C:$C,符文权重!$D:$D)*$X734/SUMIFS($X:$X,J:J,J734,$C:$C,$C734,$AG:$AG,$AG734)/SUMIF(符文权重!$A:$A,$C734,符文权重!$D:$D))),"")</f>
        <v/>
      </c>
      <c r="Q734" s="39" t="str" cm="1">
        <f t="array" ref="Q734">IFERROR(IF($A734="","",IF(K734="","",_xlfn.XLOOKUP($C734&amp;"_"&amp;$AG734,符文权重!$A:$A&amp;"_"&amp;符文权重!$C:$C,符文权重!$D:$D)*$X734/SUMIFS($X:$X,K:K,K734,$C:$C,$C734,$AG:$AG,$AG734)/SUMIF(符文权重!$A:$A,$C734,符文权重!$D:$D))),"")</f>
        <v/>
      </c>
      <c r="R734" s="25" t="s">
        <v>330</v>
      </c>
      <c r="S734" s="25" t="s">
        <v>890</v>
      </c>
      <c r="T734" s="25" t="s">
        <v>391</v>
      </c>
      <c r="U734" s="25" t="s">
        <v>893</v>
      </c>
      <c r="W734" s="25" t="s">
        <v>757</v>
      </c>
      <c r="X734" s="25">
        <v>100</v>
      </c>
      <c r="Z734" s="25" t="s">
        <v>176</v>
      </c>
      <c r="AA734" s="32" t="str">
        <f t="shared" si="292"/>
        <v>海拉释放强化普攻后，下次普攻有25%概率灵魂+30层灵魂</v>
      </c>
      <c r="AB734" s="32"/>
      <c r="AC734" s="32" t="s">
        <v>166</v>
      </c>
      <c r="AD734" s="32">
        <f t="shared" si="290"/>
        <v>1729</v>
      </c>
      <c r="AE734" s="25">
        <v>5301277</v>
      </c>
      <c r="AF734" s="25" t="s">
        <v>399</v>
      </c>
      <c r="AG734" s="25">
        <v>8</v>
      </c>
      <c r="AJ734" s="25">
        <v>1</v>
      </c>
      <c r="AK734" s="26"/>
      <c r="AL734" s="25" t="s">
        <v>894</v>
      </c>
      <c r="AM734" s="26"/>
      <c r="AN734" s="25">
        <v>8</v>
      </c>
      <c r="AO734" s="25" t="s">
        <v>32</v>
      </c>
      <c r="AP734" s="20">
        <f t="shared" si="291"/>
        <v>729</v>
      </c>
    </row>
    <row r="735" s="20" customFormat="1" customHeight="1" spans="1:42">
      <c r="A735" s="25">
        <v>5510466</v>
      </c>
      <c r="B735" s="25">
        <v>5301277</v>
      </c>
      <c r="C735" s="25">
        <v>6</v>
      </c>
      <c r="D735" s="25"/>
      <c r="E735" s="25" t="s">
        <v>375</v>
      </c>
      <c r="F735" s="26" t="str">
        <f t="shared" si="289"/>
        <v/>
      </c>
      <c r="G735" s="26" t="str">
        <f>IFERROR(IF(--MID($E735,2*COUNTIF($F735:F735,"&gt;"&amp;0)+2,1)=G$1,G$1,""),"")</f>
        <v/>
      </c>
      <c r="H735" s="26" t="str">
        <f>IFERROR(IF(--MID($E735,2*COUNTIF($F735:G735,"&gt;"&amp;0)+2,1)=H$1,H$1,""),"")</f>
        <v/>
      </c>
      <c r="I735" s="26">
        <f>IFERROR(IF(--MID($E735,2*COUNTIF($F735:H735,"&gt;"&amp;0)+2,1)=I$1,I$1,""),"")</f>
        <v>4</v>
      </c>
      <c r="J735" s="26" t="str">
        <f>IFERROR(IF(--MID($E735,2*COUNTIF($F735:I735,"&gt;"&amp;0)+2,1)=J$1,J$1,""),"")</f>
        <v/>
      </c>
      <c r="K735" s="26" t="str">
        <f>IFERROR(IF(--MID($E735,2*COUNTIF($F735:J735,"&gt;"&amp;0)+2,1)=K$1,K$1,""),"")</f>
        <v/>
      </c>
      <c r="L735" s="39" t="str" cm="1">
        <f t="array" ref="L735">IFERROR(IF($A735="","",IF(F735="","",_xlfn.XLOOKUP($C735&amp;"_"&amp;$AG735,符文权重!$A:$A&amp;"_"&amp;符文权重!$C:$C,符文权重!$D:$D)*$X735/SUMIFS($X:$X,F:F,F735,$C:$C,$C735,$AG:$AG,$AG735)/SUMIF(符文权重!$A:$A,$C735,符文权重!$D:$D))),"")</f>
        <v/>
      </c>
      <c r="M735" s="39" t="str" cm="1">
        <f t="array" ref="M735">IFERROR(IF($A735="","",IF(G735="","",_xlfn.XLOOKUP($C735&amp;"_"&amp;$AG735,符文权重!$A:$A&amp;"_"&amp;符文权重!$C:$C,符文权重!$D:$D)*$X735/SUMIFS($X:$X,G:G,G735,$C:$C,$C735,$AG:$AG,$AG735)/SUMIF(符文权重!$A:$A,$C735,符文权重!$D:$D))),"")</f>
        <v/>
      </c>
      <c r="N735" s="39" t="str" cm="1">
        <f t="array" ref="N735">IFERROR(IF($A735="","",IF(H735="","",_xlfn.XLOOKUP($C735&amp;"_"&amp;$AG735,符文权重!$A:$A&amp;"_"&amp;符文权重!$C:$C,符文权重!$D:$D)*$X735/SUMIFS($X:$X,H:H,H735,$C:$C,$C735,$AG:$AG,$AG735)/SUMIF(符文权重!$A:$A,$C735,符文权重!$D:$D))),"")</f>
        <v/>
      </c>
      <c r="O735" s="39" cm="1">
        <f t="array" ref="O735">IFERROR(IF($A735="","",IF(I735="","",_xlfn.XLOOKUP($C735&amp;"_"&amp;$AG735,符文权重!$A:$A&amp;"_"&amp;符文权重!$C:$C,符文权重!$D:$D)*$X735/SUMIFS($X:$X,I:I,I735,$C:$C,$C735,$AG:$AG,$AG735)/SUMIF(符文权重!$A:$A,$C735,符文权重!$D:$D))),"")</f>
        <v>0.00525</v>
      </c>
      <c r="P735" s="39" t="str" cm="1">
        <f t="array" ref="P735">IFERROR(IF($A735="","",IF(J735="","",_xlfn.XLOOKUP($C735&amp;"_"&amp;$AG735,符文权重!$A:$A&amp;"_"&amp;符文权重!$C:$C,符文权重!$D:$D)*$X735/SUMIFS($X:$X,J:J,J735,$C:$C,$C735,$AG:$AG,$AG735)/SUMIF(符文权重!$A:$A,$C735,符文权重!$D:$D))),"")</f>
        <v/>
      </c>
      <c r="Q735" s="39" t="str" cm="1">
        <f t="array" ref="Q735">IFERROR(IF($A735="","",IF(K735="","",_xlfn.XLOOKUP($C735&amp;"_"&amp;$AG735,符文权重!$A:$A&amp;"_"&amp;符文权重!$C:$C,符文权重!$D:$D)*$X735/SUMIFS($X:$X,K:K,K735,$C:$C,$C735,$AG:$AG,$AG735)/SUMIF(符文权重!$A:$A,$C735,符文权重!$D:$D))),"")</f>
        <v/>
      </c>
      <c r="R735" s="25" t="s">
        <v>330</v>
      </c>
      <c r="S735" s="25" t="s">
        <v>890</v>
      </c>
      <c r="T735" s="25" t="s">
        <v>394</v>
      </c>
      <c r="U735" s="25" t="s">
        <v>895</v>
      </c>
      <c r="W735" s="25" t="s">
        <v>760</v>
      </c>
      <c r="X735" s="25">
        <v>100</v>
      </c>
      <c r="Z735" s="25" t="s">
        <v>178</v>
      </c>
      <c r="AA735" s="32" t="str">
        <f t="shared" si="292"/>
        <v>海拉释放强化普攻后，下次普攻有30%概率灵魂+30层灵魂</v>
      </c>
      <c r="AB735" s="32"/>
      <c r="AC735" s="32" t="s">
        <v>166</v>
      </c>
      <c r="AD735" s="32">
        <f t="shared" si="290"/>
        <v>1730</v>
      </c>
      <c r="AE735" s="25">
        <v>5301277</v>
      </c>
      <c r="AF735" s="25" t="s">
        <v>449</v>
      </c>
      <c r="AG735" s="25">
        <v>8</v>
      </c>
      <c r="AJ735" s="25">
        <v>1</v>
      </c>
      <c r="AK735" s="26"/>
      <c r="AL735" s="25" t="s">
        <v>896</v>
      </c>
      <c r="AM735" s="26"/>
      <c r="AN735" s="25">
        <v>8</v>
      </c>
      <c r="AO735" s="25" t="s">
        <v>32</v>
      </c>
      <c r="AP735" s="20">
        <f t="shared" si="291"/>
        <v>730</v>
      </c>
    </row>
    <row r="736" s="20" customFormat="1" customHeight="1" spans="1:42">
      <c r="A736" s="25">
        <v>5510467</v>
      </c>
      <c r="B736" s="25">
        <v>5301277</v>
      </c>
      <c r="C736" s="25">
        <v>7</v>
      </c>
      <c r="D736" s="25"/>
      <c r="E736" s="25" t="s">
        <v>375</v>
      </c>
      <c r="F736" s="26" t="str">
        <f t="shared" si="289"/>
        <v/>
      </c>
      <c r="G736" s="26" t="str">
        <f>IFERROR(IF(--MID($E736,2*COUNTIF($F736:F736,"&gt;"&amp;0)+2,1)=G$1,G$1,""),"")</f>
        <v/>
      </c>
      <c r="H736" s="26" t="str">
        <f>IFERROR(IF(--MID($E736,2*COUNTIF($F736:G736,"&gt;"&amp;0)+2,1)=H$1,H$1,""),"")</f>
        <v/>
      </c>
      <c r="I736" s="26">
        <f>IFERROR(IF(--MID($E736,2*COUNTIF($F736:H736,"&gt;"&amp;0)+2,1)=I$1,I$1,""),"")</f>
        <v>4</v>
      </c>
      <c r="J736" s="26" t="str">
        <f>IFERROR(IF(--MID($E736,2*COUNTIF($F736:I736,"&gt;"&amp;0)+2,1)=J$1,J$1,""),"")</f>
        <v/>
      </c>
      <c r="K736" s="26" t="str">
        <f>IFERROR(IF(--MID($E736,2*COUNTIF($F736:J736,"&gt;"&amp;0)+2,1)=K$1,K$1,""),"")</f>
        <v/>
      </c>
      <c r="L736" s="39" t="str" cm="1">
        <f t="array" ref="L736">IFERROR(IF($A736="","",IF(F736="","",_xlfn.XLOOKUP($C736&amp;"_"&amp;$AG736,符文权重!$A:$A&amp;"_"&amp;符文权重!$C:$C,符文权重!$D:$D)*$X736/SUMIFS($X:$X,F:F,F736,$C:$C,$C736,$AG:$AG,$AG736)/SUMIF(符文权重!$A:$A,$C736,符文权重!$D:$D))),"")</f>
        <v/>
      </c>
      <c r="M736" s="39" t="str" cm="1">
        <f t="array" ref="M736">IFERROR(IF($A736="","",IF(G736="","",_xlfn.XLOOKUP($C736&amp;"_"&amp;$AG736,符文权重!$A:$A&amp;"_"&amp;符文权重!$C:$C,符文权重!$D:$D)*$X736/SUMIFS($X:$X,G:G,G736,$C:$C,$C736,$AG:$AG,$AG736)/SUMIF(符文权重!$A:$A,$C736,符文权重!$D:$D))),"")</f>
        <v/>
      </c>
      <c r="N736" s="39" t="str" cm="1">
        <f t="array" ref="N736">IFERROR(IF($A736="","",IF(H736="","",_xlfn.XLOOKUP($C736&amp;"_"&amp;$AG736,符文权重!$A:$A&amp;"_"&amp;符文权重!$C:$C,符文权重!$D:$D)*$X736/SUMIFS($X:$X,H:H,H736,$C:$C,$C736,$AG:$AG,$AG736)/SUMIF(符文权重!$A:$A,$C736,符文权重!$D:$D))),"")</f>
        <v/>
      </c>
      <c r="O736" s="39" cm="1">
        <f t="array" ref="O736">IFERROR(IF($A736="","",IF(I736="","",_xlfn.XLOOKUP($C736&amp;"_"&amp;$AG736,符文权重!$A:$A&amp;"_"&amp;符文权重!$C:$C,符文权重!$D:$D)*$X736/SUMIFS($X:$X,I:I,I736,$C:$C,$C736,$AG:$AG,$AG736)/SUMIF(符文权重!$A:$A,$C736,符文权重!$D:$D))),"")</f>
        <v>0.00525</v>
      </c>
      <c r="P736" s="39" t="str" cm="1">
        <f t="array" ref="P736">IFERROR(IF($A736="","",IF(J736="","",_xlfn.XLOOKUP($C736&amp;"_"&amp;$AG736,符文权重!$A:$A&amp;"_"&amp;符文权重!$C:$C,符文权重!$D:$D)*$X736/SUMIFS($X:$X,J:J,J736,$C:$C,$C736,$AG:$AG,$AG736)/SUMIF(符文权重!$A:$A,$C736,符文权重!$D:$D))),"")</f>
        <v/>
      </c>
      <c r="Q736" s="39" t="str" cm="1">
        <f t="array" ref="Q736">IFERROR(IF($A736="","",IF(K736="","",_xlfn.XLOOKUP($C736&amp;"_"&amp;$AG736,符文权重!$A:$A&amp;"_"&amp;符文权重!$C:$C,符文权重!$D:$D)*$X736/SUMIFS($X:$X,K:K,K736,$C:$C,$C736,$AG:$AG,$AG736)/SUMIF(符文权重!$A:$A,$C736,符文权重!$D:$D))),"")</f>
        <v/>
      </c>
      <c r="R736" s="25" t="s">
        <v>330</v>
      </c>
      <c r="S736" s="25" t="s">
        <v>890</v>
      </c>
      <c r="T736" s="25" t="s">
        <v>397</v>
      </c>
      <c r="U736" s="25" t="s">
        <v>897</v>
      </c>
      <c r="W736" s="25" t="s">
        <v>763</v>
      </c>
      <c r="X736" s="25">
        <v>100</v>
      </c>
      <c r="Z736" s="25" t="s">
        <v>180</v>
      </c>
      <c r="AA736" s="32" t="str">
        <f t="shared" si="292"/>
        <v>海拉释放强化普攻后，下次普攻有35%概率灵魂+30层灵魂</v>
      </c>
      <c r="AB736" s="32"/>
      <c r="AC736" s="32" t="s">
        <v>166</v>
      </c>
      <c r="AD736" s="32">
        <f t="shared" si="290"/>
        <v>1731</v>
      </c>
      <c r="AE736" s="25">
        <v>5301277</v>
      </c>
      <c r="AF736" s="25" t="s">
        <v>411</v>
      </c>
      <c r="AG736" s="25">
        <v>8</v>
      </c>
      <c r="AJ736" s="25">
        <v>1</v>
      </c>
      <c r="AL736" s="25" t="s">
        <v>898</v>
      </c>
      <c r="AN736" s="25">
        <v>8</v>
      </c>
      <c r="AO736" s="25" t="s">
        <v>32</v>
      </c>
      <c r="AP736" s="20">
        <f t="shared" si="291"/>
        <v>731</v>
      </c>
    </row>
    <row r="737" customHeight="1" spans="1:42">
      <c r="A737" s="25">
        <v>5510474</v>
      </c>
      <c r="B737" s="25">
        <v>5301278</v>
      </c>
      <c r="C737" s="26">
        <v>4</v>
      </c>
      <c r="D737" s="26"/>
      <c r="E737" s="25" t="s">
        <v>218</v>
      </c>
      <c r="F737" s="26" t="str">
        <f t="shared" si="289"/>
        <v/>
      </c>
      <c r="G737" s="26" t="str">
        <f>IFERROR(IF(--MID($E737,2*COUNTIF($F737:F737,"&gt;"&amp;0)+2,1)=G$1,G$1,""),"")</f>
        <v/>
      </c>
      <c r="H737" s="26" t="str">
        <f>IFERROR(IF(--MID($E737,2*COUNTIF($F737:G737,"&gt;"&amp;0)+2,1)=H$1,H$1,""),"")</f>
        <v/>
      </c>
      <c r="I737" s="26" t="str">
        <f>IFERROR(IF(--MID($E737,2*COUNTIF($F737:H737,"&gt;"&amp;0)+2,1)=I$1,I$1,""),"")</f>
        <v/>
      </c>
      <c r="J737" s="26">
        <f>IFERROR(IF(--MID($E737,2*COUNTIF($F737:I737,"&gt;"&amp;0)+2,1)=J$1,J$1,""),"")</f>
        <v>5</v>
      </c>
      <c r="K737" s="26" t="str">
        <f>IFERROR(IF(--MID($E737,2*COUNTIF($F737:J737,"&gt;"&amp;0)+2,1)=K$1,K$1,""),"")</f>
        <v/>
      </c>
      <c r="L737" s="39" t="str" cm="1">
        <f t="array" ref="L737">IFERROR(IF($A737="","",IF(F737="","",_xlfn.XLOOKUP($C737&amp;"_"&amp;$AG737,符文权重!$A:$A&amp;"_"&amp;符文权重!$C:$C,符文权重!$D:$D)*$X737/SUMIFS($X:$X,F:F,F737,$C:$C,$C737,$AG:$AG,$AG737)/SUMIF(符文权重!$A:$A,$C737,符文权重!$D:$D))),"")</f>
        <v/>
      </c>
      <c r="M737" s="39" t="str" cm="1">
        <f t="array" ref="M737">IFERROR(IF($A737="","",IF(G737="","",_xlfn.XLOOKUP($C737&amp;"_"&amp;$AG737,符文权重!$A:$A&amp;"_"&amp;符文权重!$C:$C,符文权重!$D:$D)*$X737/SUMIFS($X:$X,G:G,G737,$C:$C,$C737,$AG:$AG,$AG737)/SUMIF(符文权重!$A:$A,$C737,符文权重!$D:$D))),"")</f>
        <v/>
      </c>
      <c r="N737" s="39" t="str" cm="1">
        <f t="array" ref="N737">IFERROR(IF($A737="","",IF(H737="","",_xlfn.XLOOKUP($C737&amp;"_"&amp;$AG737,符文权重!$A:$A&amp;"_"&amp;符文权重!$C:$C,符文权重!$D:$D)*$X737/SUMIFS($X:$X,H:H,H737,$C:$C,$C737,$AG:$AG,$AG737)/SUMIF(符文权重!$A:$A,$C737,符文权重!$D:$D))),"")</f>
        <v/>
      </c>
      <c r="O737" s="39" t="str" cm="1">
        <f t="array" ref="O737">IFERROR(IF($A737="","",IF(I737="","",_xlfn.XLOOKUP($C737&amp;"_"&amp;$AG737,符文权重!$A:$A&amp;"_"&amp;符文权重!$C:$C,符文权重!$D:$D)*$X737/SUMIFS($X:$X,I:I,I737,$C:$C,$C737,$AG:$AG,$AG737)/SUMIF(符文权重!$A:$A,$C737,符文权重!$D:$D))),"")</f>
        <v/>
      </c>
      <c r="P737" s="39" t="str" cm="1">
        <f t="array" ref="P737">IFERROR(IF($A737="","",IF(J737="","",_xlfn.XLOOKUP($C737&amp;"_"&amp;$AG737,符文权重!$A:$A&amp;"_"&amp;符文权重!$C:$C,符文权重!$D:$D)*$X737/SUMIFS($X:$X,J:J,J737,$C:$C,$C737,$AG:$AG,$AG737)/SUMIF(符文权重!$A:$A,$C737,符文权重!$D:$D))),"")</f>
        <v/>
      </c>
      <c r="Q737" s="39" t="str" cm="1">
        <f t="array" ref="Q737">IFERROR(IF($A737="","",IF(K737="","",_xlfn.XLOOKUP($C737&amp;"_"&amp;$AG737,符文权重!$A:$A&amp;"_"&amp;符文权重!$C:$C,符文权重!$D:$D)*$X737/SUMIFS($X:$X,K:K,K737,$C:$C,$C737,$AG:$AG,$AG737)/SUMIF(符文权重!$A:$A,$C737,符文权重!$D:$D))),"")</f>
        <v/>
      </c>
      <c r="R737" s="26" t="s">
        <v>330</v>
      </c>
      <c r="S737" s="26" t="s">
        <v>890</v>
      </c>
      <c r="T737" s="26" t="s">
        <v>388</v>
      </c>
      <c r="U737" s="20" t="s">
        <v>899</v>
      </c>
      <c r="W737" s="25" t="s">
        <v>754</v>
      </c>
      <c r="X737" s="25">
        <v>100</v>
      </c>
      <c r="Z737" s="26" t="s">
        <v>174</v>
      </c>
      <c r="AA737" s="32" t="str">
        <f t="shared" si="292"/>
        <v>海拉每获得1层灵魂，攻速+3%</v>
      </c>
      <c r="AB737" s="32"/>
      <c r="AC737" s="32" t="s">
        <v>166</v>
      </c>
      <c r="AD737" s="32">
        <f t="shared" si="290"/>
        <v>1732</v>
      </c>
      <c r="AE737" s="25">
        <v>5301278</v>
      </c>
      <c r="AF737" s="26" t="s">
        <v>182</v>
      </c>
      <c r="AG737" s="26">
        <v>100</v>
      </c>
      <c r="AH737" s="26"/>
      <c r="AI737" s="26">
        <v>1</v>
      </c>
      <c r="AJ737" s="26">
        <v>0</v>
      </c>
      <c r="AK737" s="25"/>
      <c r="AL737" s="26" t="s">
        <v>900</v>
      </c>
      <c r="AN737" s="25">
        <v>8</v>
      </c>
      <c r="AO737" s="25" t="s">
        <v>32</v>
      </c>
      <c r="AP737" s="20">
        <f t="shared" si="291"/>
        <v>732</v>
      </c>
    </row>
    <row r="738" s="20" customFormat="1" customHeight="1" spans="1:42">
      <c r="A738" s="25">
        <v>5510475</v>
      </c>
      <c r="B738" s="25">
        <v>5301278</v>
      </c>
      <c r="C738" s="25">
        <v>5</v>
      </c>
      <c r="D738" s="25"/>
      <c r="E738" s="25" t="s">
        <v>218</v>
      </c>
      <c r="F738" s="26" t="str">
        <f t="shared" si="289"/>
        <v/>
      </c>
      <c r="G738" s="26" t="str">
        <f>IFERROR(IF(--MID($E738,2*COUNTIF($F738:F738,"&gt;"&amp;0)+2,1)=G$1,G$1,""),"")</f>
        <v/>
      </c>
      <c r="H738" s="26" t="str">
        <f>IFERROR(IF(--MID($E738,2*COUNTIF($F738:G738,"&gt;"&amp;0)+2,1)=H$1,H$1,""),"")</f>
        <v/>
      </c>
      <c r="I738" s="26" t="str">
        <f>IFERROR(IF(--MID($E738,2*COUNTIF($F738:H738,"&gt;"&amp;0)+2,1)=I$1,I$1,""),"")</f>
        <v/>
      </c>
      <c r="J738" s="26">
        <f>IFERROR(IF(--MID($E738,2*COUNTIF($F738:I738,"&gt;"&amp;0)+2,1)=J$1,J$1,""),"")</f>
        <v>5</v>
      </c>
      <c r="K738" s="26" t="str">
        <f>IFERROR(IF(--MID($E738,2*COUNTIF($F738:J738,"&gt;"&amp;0)+2,1)=K$1,K$1,""),"")</f>
        <v/>
      </c>
      <c r="L738" s="39" t="str" cm="1">
        <f t="array" ref="L738">IFERROR(IF($A738="","",IF(F738="","",_xlfn.XLOOKUP($C738&amp;"_"&amp;$AG738,符文权重!$A:$A&amp;"_"&amp;符文权重!$C:$C,符文权重!$D:$D)*$X738/SUMIFS($X:$X,F:F,F738,$C:$C,$C738,$AG:$AG,$AG738)/SUMIF(符文权重!$A:$A,$C738,符文权重!$D:$D))),"")</f>
        <v/>
      </c>
      <c r="M738" s="39" t="str" cm="1">
        <f t="array" ref="M738">IFERROR(IF($A738="","",IF(G738="","",_xlfn.XLOOKUP($C738&amp;"_"&amp;$AG738,符文权重!$A:$A&amp;"_"&amp;符文权重!$C:$C,符文权重!$D:$D)*$X738/SUMIFS($X:$X,G:G,G738,$C:$C,$C738,$AG:$AG,$AG738)/SUMIF(符文权重!$A:$A,$C738,符文权重!$D:$D))),"")</f>
        <v/>
      </c>
      <c r="N738" s="39" t="str" cm="1">
        <f t="array" ref="N738">IFERROR(IF($A738="","",IF(H738="","",_xlfn.XLOOKUP($C738&amp;"_"&amp;$AG738,符文权重!$A:$A&amp;"_"&amp;符文权重!$C:$C,符文权重!$D:$D)*$X738/SUMIFS($X:$X,H:H,H738,$C:$C,$C738,$AG:$AG,$AG738)/SUMIF(符文权重!$A:$A,$C738,符文权重!$D:$D))),"")</f>
        <v/>
      </c>
      <c r="O738" s="39" t="str" cm="1">
        <f t="array" ref="O738">IFERROR(IF($A738="","",IF(I738="","",_xlfn.XLOOKUP($C738&amp;"_"&amp;$AG738,符文权重!$A:$A&amp;"_"&amp;符文权重!$C:$C,符文权重!$D:$D)*$X738/SUMIFS($X:$X,I:I,I738,$C:$C,$C738,$AG:$AG,$AG738)/SUMIF(符文权重!$A:$A,$C738,符文权重!$D:$D))),"")</f>
        <v/>
      </c>
      <c r="P738" s="39" cm="1">
        <f t="array" ref="P738">IFERROR(IF($A738="","",IF(J738="","",_xlfn.XLOOKUP($C738&amp;"_"&amp;$AG738,符文权重!$A:$A&amp;"_"&amp;符文权重!$C:$C,符文权重!$D:$D)*$X738/SUMIFS($X:$X,J:J,J738,$C:$C,$C738,$AG:$AG,$AG738)/SUMIF(符文权重!$A:$A,$C738,符文权重!$D:$D))),"")</f>
        <v>0.00525</v>
      </c>
      <c r="Q738" s="39" t="str" cm="1">
        <f t="array" ref="Q738">IFERROR(IF($A738="","",IF(K738="","",_xlfn.XLOOKUP($C738&amp;"_"&amp;$AG738,符文权重!$A:$A&amp;"_"&amp;符文权重!$C:$C,符文权重!$D:$D)*$X738/SUMIFS($X:$X,K:K,K738,$C:$C,$C738,$AG:$AG,$AG738)/SUMIF(符文权重!$A:$A,$C738,符文权重!$D:$D))),"")</f>
        <v/>
      </c>
      <c r="R738" s="25" t="s">
        <v>330</v>
      </c>
      <c r="S738" s="25" t="s">
        <v>890</v>
      </c>
      <c r="T738" s="25" t="s">
        <v>391</v>
      </c>
      <c r="U738" s="25" t="s">
        <v>901</v>
      </c>
      <c r="W738" s="25" t="s">
        <v>757</v>
      </c>
      <c r="X738" s="25">
        <v>100</v>
      </c>
      <c r="Z738" s="25" t="s">
        <v>176</v>
      </c>
      <c r="AA738" s="32" t="str">
        <f t="shared" si="292"/>
        <v>海拉每获得1层灵魂，攻速+4%</v>
      </c>
      <c r="AB738" s="32"/>
      <c r="AC738" s="32" t="s">
        <v>166</v>
      </c>
      <c r="AD738" s="32">
        <f t="shared" si="290"/>
        <v>1733</v>
      </c>
      <c r="AE738" s="25">
        <v>5301278</v>
      </c>
      <c r="AF738" s="25" t="s">
        <v>375</v>
      </c>
      <c r="AG738" s="25">
        <v>8</v>
      </c>
      <c r="AJ738" s="25">
        <v>1</v>
      </c>
      <c r="AK738" s="26"/>
      <c r="AL738" s="25" t="s">
        <v>902</v>
      </c>
      <c r="AM738" s="26"/>
      <c r="AN738" s="25">
        <v>8</v>
      </c>
      <c r="AO738" s="25" t="s">
        <v>32</v>
      </c>
      <c r="AP738" s="20">
        <f t="shared" si="291"/>
        <v>733</v>
      </c>
    </row>
    <row r="739" s="20" customFormat="1" customHeight="1" spans="1:42">
      <c r="A739" s="25">
        <v>5510476</v>
      </c>
      <c r="B739" s="25">
        <v>5301278</v>
      </c>
      <c r="C739" s="25">
        <v>6</v>
      </c>
      <c r="D739" s="25"/>
      <c r="E739" s="25" t="s">
        <v>218</v>
      </c>
      <c r="F739" s="26" t="str">
        <f t="shared" si="289"/>
        <v/>
      </c>
      <c r="G739" s="26" t="str">
        <f>IFERROR(IF(--MID($E739,2*COUNTIF($F739:F739,"&gt;"&amp;0)+2,1)=G$1,G$1,""),"")</f>
        <v/>
      </c>
      <c r="H739" s="26" t="str">
        <f>IFERROR(IF(--MID($E739,2*COUNTIF($F739:G739,"&gt;"&amp;0)+2,1)=H$1,H$1,""),"")</f>
        <v/>
      </c>
      <c r="I739" s="26" t="str">
        <f>IFERROR(IF(--MID($E739,2*COUNTIF($F739:H739,"&gt;"&amp;0)+2,1)=I$1,I$1,""),"")</f>
        <v/>
      </c>
      <c r="J739" s="26">
        <f>IFERROR(IF(--MID($E739,2*COUNTIF($F739:I739,"&gt;"&amp;0)+2,1)=J$1,J$1,""),"")</f>
        <v>5</v>
      </c>
      <c r="K739" s="26" t="str">
        <f>IFERROR(IF(--MID($E739,2*COUNTIF($F739:J739,"&gt;"&amp;0)+2,1)=K$1,K$1,""),"")</f>
        <v/>
      </c>
      <c r="L739" s="39" t="str" cm="1">
        <f t="array" ref="L739">IFERROR(IF($A739="","",IF(F739="","",_xlfn.XLOOKUP($C739&amp;"_"&amp;$AG739,符文权重!$A:$A&amp;"_"&amp;符文权重!$C:$C,符文权重!$D:$D)*$X739/SUMIFS($X:$X,F:F,F739,$C:$C,$C739,$AG:$AG,$AG739)/SUMIF(符文权重!$A:$A,$C739,符文权重!$D:$D))),"")</f>
        <v/>
      </c>
      <c r="M739" s="39" t="str" cm="1">
        <f t="array" ref="M739">IFERROR(IF($A739="","",IF(G739="","",_xlfn.XLOOKUP($C739&amp;"_"&amp;$AG739,符文权重!$A:$A&amp;"_"&amp;符文权重!$C:$C,符文权重!$D:$D)*$X739/SUMIFS($X:$X,G:G,G739,$C:$C,$C739,$AG:$AG,$AG739)/SUMIF(符文权重!$A:$A,$C739,符文权重!$D:$D))),"")</f>
        <v/>
      </c>
      <c r="N739" s="39" t="str" cm="1">
        <f t="array" ref="N739">IFERROR(IF($A739="","",IF(H739="","",_xlfn.XLOOKUP($C739&amp;"_"&amp;$AG739,符文权重!$A:$A&amp;"_"&amp;符文权重!$C:$C,符文权重!$D:$D)*$X739/SUMIFS($X:$X,H:H,H739,$C:$C,$C739,$AG:$AG,$AG739)/SUMIF(符文权重!$A:$A,$C739,符文权重!$D:$D))),"")</f>
        <v/>
      </c>
      <c r="O739" s="39" t="str" cm="1">
        <f t="array" ref="O739">IFERROR(IF($A739="","",IF(I739="","",_xlfn.XLOOKUP($C739&amp;"_"&amp;$AG739,符文权重!$A:$A&amp;"_"&amp;符文权重!$C:$C,符文权重!$D:$D)*$X739/SUMIFS($X:$X,I:I,I739,$C:$C,$C739,$AG:$AG,$AG739)/SUMIF(符文权重!$A:$A,$C739,符文权重!$D:$D))),"")</f>
        <v/>
      </c>
      <c r="P739" s="39" cm="1">
        <f t="array" ref="P739">IFERROR(IF($A739="","",IF(J739="","",_xlfn.XLOOKUP($C739&amp;"_"&amp;$AG739,符文权重!$A:$A&amp;"_"&amp;符文权重!$C:$C,符文权重!$D:$D)*$X739/SUMIFS($X:$X,J:J,J739,$C:$C,$C739,$AG:$AG,$AG739)/SUMIF(符文权重!$A:$A,$C739,符文权重!$D:$D))),"")</f>
        <v>0.00525</v>
      </c>
      <c r="Q739" s="39" t="str" cm="1">
        <f t="array" ref="Q739">IFERROR(IF($A739="","",IF(K739="","",_xlfn.XLOOKUP($C739&amp;"_"&amp;$AG739,符文权重!$A:$A&amp;"_"&amp;符文权重!$C:$C,符文权重!$D:$D)*$X739/SUMIFS($X:$X,K:K,K739,$C:$C,$C739,$AG:$AG,$AG739)/SUMIF(符文权重!$A:$A,$C739,符文权重!$D:$D))),"")</f>
        <v/>
      </c>
      <c r="R739" s="25" t="s">
        <v>330</v>
      </c>
      <c r="S739" s="25" t="s">
        <v>890</v>
      </c>
      <c r="T739" s="25" t="s">
        <v>394</v>
      </c>
      <c r="U739" s="25" t="s">
        <v>903</v>
      </c>
      <c r="W739" s="25" t="s">
        <v>760</v>
      </c>
      <c r="X739" s="25">
        <v>100</v>
      </c>
      <c r="Z739" s="25" t="s">
        <v>178</v>
      </c>
      <c r="AA739" s="32" t="str">
        <f t="shared" si="292"/>
        <v>海拉每获得1层灵魂，攻速+6%</v>
      </c>
      <c r="AB739" s="32"/>
      <c r="AC739" s="32" t="s">
        <v>166</v>
      </c>
      <c r="AD739" s="32">
        <f t="shared" si="290"/>
        <v>1734</v>
      </c>
      <c r="AE739" s="25">
        <v>5301278</v>
      </c>
      <c r="AF739" s="25" t="s">
        <v>209</v>
      </c>
      <c r="AG739" s="25">
        <v>8</v>
      </c>
      <c r="AJ739" s="25">
        <v>1</v>
      </c>
      <c r="AK739" s="26"/>
      <c r="AL739" s="25" t="s">
        <v>904</v>
      </c>
      <c r="AM739" s="26"/>
      <c r="AN739" s="25">
        <v>8</v>
      </c>
      <c r="AO739" s="25" t="s">
        <v>32</v>
      </c>
      <c r="AP739" s="20">
        <f t="shared" si="291"/>
        <v>734</v>
      </c>
    </row>
    <row r="740" s="20" customFormat="1" customHeight="1" spans="1:42">
      <c r="A740" s="25">
        <v>5510477</v>
      </c>
      <c r="B740" s="25">
        <v>5301278</v>
      </c>
      <c r="C740" s="25">
        <v>7</v>
      </c>
      <c r="D740" s="25"/>
      <c r="E740" s="25" t="s">
        <v>218</v>
      </c>
      <c r="F740" s="26" t="str">
        <f t="shared" si="289"/>
        <v/>
      </c>
      <c r="G740" s="26" t="str">
        <f>IFERROR(IF(--MID($E740,2*COUNTIF($F740:F740,"&gt;"&amp;0)+2,1)=G$1,G$1,""),"")</f>
        <v/>
      </c>
      <c r="H740" s="26" t="str">
        <f>IFERROR(IF(--MID($E740,2*COUNTIF($F740:G740,"&gt;"&amp;0)+2,1)=H$1,H$1,""),"")</f>
        <v/>
      </c>
      <c r="I740" s="26" t="str">
        <f>IFERROR(IF(--MID($E740,2*COUNTIF($F740:H740,"&gt;"&amp;0)+2,1)=I$1,I$1,""),"")</f>
        <v/>
      </c>
      <c r="J740" s="26">
        <f>IFERROR(IF(--MID($E740,2*COUNTIF($F740:I740,"&gt;"&amp;0)+2,1)=J$1,J$1,""),"")</f>
        <v>5</v>
      </c>
      <c r="K740" s="26" t="str">
        <f>IFERROR(IF(--MID($E740,2*COUNTIF($F740:J740,"&gt;"&amp;0)+2,1)=K$1,K$1,""),"")</f>
        <v/>
      </c>
      <c r="L740" s="39" t="str" cm="1">
        <f t="array" ref="L740">IFERROR(IF($A740="","",IF(F740="","",_xlfn.XLOOKUP($C740&amp;"_"&amp;$AG740,符文权重!$A:$A&amp;"_"&amp;符文权重!$C:$C,符文权重!$D:$D)*$X740/SUMIFS($X:$X,F:F,F740,$C:$C,$C740,$AG:$AG,$AG740)/SUMIF(符文权重!$A:$A,$C740,符文权重!$D:$D))),"")</f>
        <v/>
      </c>
      <c r="M740" s="39" t="str" cm="1">
        <f t="array" ref="M740">IFERROR(IF($A740="","",IF(G740="","",_xlfn.XLOOKUP($C740&amp;"_"&amp;$AG740,符文权重!$A:$A&amp;"_"&amp;符文权重!$C:$C,符文权重!$D:$D)*$X740/SUMIFS($X:$X,G:G,G740,$C:$C,$C740,$AG:$AG,$AG740)/SUMIF(符文权重!$A:$A,$C740,符文权重!$D:$D))),"")</f>
        <v/>
      </c>
      <c r="N740" s="39" t="str" cm="1">
        <f t="array" ref="N740">IFERROR(IF($A740="","",IF(H740="","",_xlfn.XLOOKUP($C740&amp;"_"&amp;$AG740,符文权重!$A:$A&amp;"_"&amp;符文权重!$C:$C,符文权重!$D:$D)*$X740/SUMIFS($X:$X,H:H,H740,$C:$C,$C740,$AG:$AG,$AG740)/SUMIF(符文权重!$A:$A,$C740,符文权重!$D:$D))),"")</f>
        <v/>
      </c>
      <c r="O740" s="39" t="str" cm="1">
        <f t="array" ref="O740">IFERROR(IF($A740="","",IF(I740="","",_xlfn.XLOOKUP($C740&amp;"_"&amp;$AG740,符文权重!$A:$A&amp;"_"&amp;符文权重!$C:$C,符文权重!$D:$D)*$X740/SUMIFS($X:$X,I:I,I740,$C:$C,$C740,$AG:$AG,$AG740)/SUMIF(符文权重!$A:$A,$C740,符文权重!$D:$D))),"")</f>
        <v/>
      </c>
      <c r="P740" s="39" cm="1">
        <f t="array" ref="P740">IFERROR(IF($A740="","",IF(J740="","",_xlfn.XLOOKUP($C740&amp;"_"&amp;$AG740,符文权重!$A:$A&amp;"_"&amp;符文权重!$C:$C,符文权重!$D:$D)*$X740/SUMIFS($X:$X,J:J,J740,$C:$C,$C740,$AG:$AG,$AG740)/SUMIF(符文权重!$A:$A,$C740,符文权重!$D:$D))),"")</f>
        <v>0.00525</v>
      </c>
      <c r="Q740" s="39" t="str" cm="1">
        <f t="array" ref="Q740">IFERROR(IF($A740="","",IF(K740="","",_xlfn.XLOOKUP($C740&amp;"_"&amp;$AG740,符文权重!$A:$A&amp;"_"&amp;符文权重!$C:$C,符文权重!$D:$D)*$X740/SUMIFS($X:$X,K:K,K740,$C:$C,$C740,$AG:$AG,$AG740)/SUMIF(符文权重!$A:$A,$C740,符文权重!$D:$D))),"")</f>
        <v/>
      </c>
      <c r="R740" s="25" t="s">
        <v>330</v>
      </c>
      <c r="S740" s="25" t="s">
        <v>890</v>
      </c>
      <c r="T740" s="25" t="s">
        <v>397</v>
      </c>
      <c r="U740" s="25" t="s">
        <v>905</v>
      </c>
      <c r="W740" s="25" t="s">
        <v>763</v>
      </c>
      <c r="X740" s="25">
        <v>100</v>
      </c>
      <c r="Z740" s="25" t="s">
        <v>180</v>
      </c>
      <c r="AA740" s="32" t="str">
        <f t="shared" si="292"/>
        <v>海拉每获得1层灵魂，攻速+8%</v>
      </c>
      <c r="AB740" s="32"/>
      <c r="AC740" s="32" t="s">
        <v>166</v>
      </c>
      <c r="AD740" s="32">
        <f t="shared" si="290"/>
        <v>1735</v>
      </c>
      <c r="AE740" s="25">
        <v>5301278</v>
      </c>
      <c r="AF740" s="25" t="s">
        <v>387</v>
      </c>
      <c r="AG740" s="25">
        <v>8</v>
      </c>
      <c r="AJ740" s="25">
        <v>1</v>
      </c>
      <c r="AK740" s="26"/>
      <c r="AL740" s="25" t="s">
        <v>906</v>
      </c>
      <c r="AM740" s="26"/>
      <c r="AN740" s="25">
        <v>8</v>
      </c>
      <c r="AO740" s="25" t="s">
        <v>32</v>
      </c>
      <c r="AP740" s="20">
        <f t="shared" si="291"/>
        <v>735</v>
      </c>
    </row>
    <row r="741" customHeight="1" spans="1:42">
      <c r="A741" s="25">
        <v>5510484</v>
      </c>
      <c r="B741" s="25">
        <v>5301279</v>
      </c>
      <c r="C741" s="26">
        <v>4</v>
      </c>
      <c r="D741" s="26"/>
      <c r="E741" s="25" t="s">
        <v>209</v>
      </c>
      <c r="F741" s="26" t="str">
        <f t="shared" si="289"/>
        <v/>
      </c>
      <c r="G741" s="26" t="str">
        <f>IFERROR(IF(--MID($E741,2*COUNTIF($F741:F741,"&gt;"&amp;0)+2,1)=G$1,G$1,""),"")</f>
        <v/>
      </c>
      <c r="H741" s="26" t="str">
        <f>IFERROR(IF(--MID($E741,2*COUNTIF($F741:G741,"&gt;"&amp;0)+2,1)=H$1,H$1,""),"")</f>
        <v/>
      </c>
      <c r="I741" s="26" t="str">
        <f>IFERROR(IF(--MID($E741,2*COUNTIF($F741:H741,"&gt;"&amp;0)+2,1)=I$1,I$1,""),"")</f>
        <v/>
      </c>
      <c r="J741" s="26" t="str">
        <f>IFERROR(IF(--MID($E741,2*COUNTIF($F741:I741,"&gt;"&amp;0)+2,1)=J$1,J$1,""),"")</f>
        <v/>
      </c>
      <c r="K741" s="26">
        <f>IFERROR(IF(--MID($E741,2*COUNTIF($F741:J741,"&gt;"&amp;0)+2,1)=K$1,K$1,""),"")</f>
        <v>6</v>
      </c>
      <c r="L741" s="39" t="str" cm="1">
        <f t="array" ref="L741">IFERROR(IF($A741="","",IF(F741="","",_xlfn.XLOOKUP($C741&amp;"_"&amp;$AG741,符文权重!$A:$A&amp;"_"&amp;符文权重!$C:$C,符文权重!$D:$D)*$X741/SUMIFS($X:$X,F:F,F741,$C:$C,$C741,$AG:$AG,$AG741)/SUMIF(符文权重!$A:$A,$C741,符文权重!$D:$D))),"")</f>
        <v/>
      </c>
      <c r="M741" s="39" t="str" cm="1">
        <f t="array" ref="M741">IFERROR(IF($A741="","",IF(G741="","",_xlfn.XLOOKUP($C741&amp;"_"&amp;$AG741,符文权重!$A:$A&amp;"_"&amp;符文权重!$C:$C,符文权重!$D:$D)*$X741/SUMIFS($X:$X,G:G,G741,$C:$C,$C741,$AG:$AG,$AG741)/SUMIF(符文权重!$A:$A,$C741,符文权重!$D:$D))),"")</f>
        <v/>
      </c>
      <c r="N741" s="39" t="str" cm="1">
        <f t="array" ref="N741">IFERROR(IF($A741="","",IF(H741="","",_xlfn.XLOOKUP($C741&amp;"_"&amp;$AG741,符文权重!$A:$A&amp;"_"&amp;符文权重!$C:$C,符文权重!$D:$D)*$X741/SUMIFS($X:$X,H:H,H741,$C:$C,$C741,$AG:$AG,$AG741)/SUMIF(符文权重!$A:$A,$C741,符文权重!$D:$D))),"")</f>
        <v/>
      </c>
      <c r="O741" s="39" t="str" cm="1">
        <f t="array" ref="O741">IFERROR(IF($A741="","",IF(I741="","",_xlfn.XLOOKUP($C741&amp;"_"&amp;$AG741,符文权重!$A:$A&amp;"_"&amp;符文权重!$C:$C,符文权重!$D:$D)*$X741/SUMIFS($X:$X,I:I,I741,$C:$C,$C741,$AG:$AG,$AG741)/SUMIF(符文权重!$A:$A,$C741,符文权重!$D:$D))),"")</f>
        <v/>
      </c>
      <c r="P741" s="39" t="str" cm="1">
        <f t="array" ref="P741">IFERROR(IF($A741="","",IF(J741="","",_xlfn.XLOOKUP($C741&amp;"_"&amp;$AG741,符文权重!$A:$A&amp;"_"&amp;符文权重!$C:$C,符文权重!$D:$D)*$X741/SUMIFS($X:$X,J:J,J741,$C:$C,$C741,$AG:$AG,$AG741)/SUMIF(符文权重!$A:$A,$C741,符文权重!$D:$D))),"")</f>
        <v/>
      </c>
      <c r="Q741" s="39" t="str" cm="1">
        <f t="array" ref="Q741">IFERROR(IF($A741="","",IF(K741="","",_xlfn.XLOOKUP($C741&amp;"_"&amp;$AG741,符文权重!$A:$A&amp;"_"&amp;符文权重!$C:$C,符文权重!$D:$D)*$X741/SUMIFS($X:$X,K:K,K741,$C:$C,$C741,$AG:$AG,$AG741)/SUMIF(符文权重!$A:$A,$C741,符文权重!$D:$D))),"")</f>
        <v/>
      </c>
      <c r="R741" s="26" t="s">
        <v>330</v>
      </c>
      <c r="S741" s="26" t="s">
        <v>890</v>
      </c>
      <c r="T741" s="26" t="s">
        <v>388</v>
      </c>
      <c r="U741" s="20" t="s">
        <v>907</v>
      </c>
      <c r="W741" s="25" t="s">
        <v>754</v>
      </c>
      <c r="X741" s="25">
        <v>100</v>
      </c>
      <c r="Z741" s="26" t="s">
        <v>174</v>
      </c>
      <c r="AA741" s="32" t="str">
        <f t="shared" si="292"/>
        <v>海拉每层【灵魂】伤害加成效果提升80%</v>
      </c>
      <c r="AB741" s="32"/>
      <c r="AC741" s="32" t="s">
        <v>166</v>
      </c>
      <c r="AD741" s="32">
        <f t="shared" si="290"/>
        <v>1736</v>
      </c>
      <c r="AE741" s="25">
        <v>5301279</v>
      </c>
      <c r="AF741" s="26" t="s">
        <v>421</v>
      </c>
      <c r="AG741" s="26">
        <v>100</v>
      </c>
      <c r="AH741" s="26"/>
      <c r="AI741" s="26">
        <v>1</v>
      </c>
      <c r="AJ741" s="26">
        <v>0</v>
      </c>
      <c r="AK741" s="25"/>
      <c r="AL741" s="26" t="s">
        <v>908</v>
      </c>
      <c r="AN741" s="25">
        <v>8</v>
      </c>
      <c r="AO741" s="25" t="s">
        <v>32</v>
      </c>
      <c r="AP741" s="20">
        <f t="shared" si="291"/>
        <v>736</v>
      </c>
    </row>
    <row r="742" s="20" customFormat="1" customHeight="1" spans="1:42">
      <c r="A742" s="25">
        <v>5510485</v>
      </c>
      <c r="B742" s="25">
        <v>5301279</v>
      </c>
      <c r="C742" s="25">
        <v>5</v>
      </c>
      <c r="D742" s="25"/>
      <c r="E742" s="25" t="s">
        <v>209</v>
      </c>
      <c r="F742" s="26" t="str">
        <f t="shared" si="289"/>
        <v/>
      </c>
      <c r="G742" s="26" t="str">
        <f>IFERROR(IF(--MID($E742,2*COUNTIF($F742:F742,"&gt;"&amp;0)+2,1)=G$1,G$1,""),"")</f>
        <v/>
      </c>
      <c r="H742" s="26" t="str">
        <f>IFERROR(IF(--MID($E742,2*COUNTIF($F742:G742,"&gt;"&amp;0)+2,1)=H$1,H$1,""),"")</f>
        <v/>
      </c>
      <c r="I742" s="26" t="str">
        <f>IFERROR(IF(--MID($E742,2*COUNTIF($F742:H742,"&gt;"&amp;0)+2,1)=I$1,I$1,""),"")</f>
        <v/>
      </c>
      <c r="J742" s="26" t="str">
        <f>IFERROR(IF(--MID($E742,2*COUNTIF($F742:I742,"&gt;"&amp;0)+2,1)=J$1,J$1,""),"")</f>
        <v/>
      </c>
      <c r="K742" s="26">
        <f>IFERROR(IF(--MID($E742,2*COUNTIF($F742:J742,"&gt;"&amp;0)+2,1)=K$1,K$1,""),"")</f>
        <v>6</v>
      </c>
      <c r="L742" s="39" t="str" cm="1">
        <f t="array" ref="L742">IFERROR(IF($A742="","",IF(F742="","",_xlfn.XLOOKUP($C742&amp;"_"&amp;$AG742,符文权重!$A:$A&amp;"_"&amp;符文权重!$C:$C,符文权重!$D:$D)*$X742/SUMIFS($X:$X,F:F,F742,$C:$C,$C742,$AG:$AG,$AG742)/SUMIF(符文权重!$A:$A,$C742,符文权重!$D:$D))),"")</f>
        <v/>
      </c>
      <c r="M742" s="39" t="str" cm="1">
        <f t="array" ref="M742">IFERROR(IF($A742="","",IF(G742="","",_xlfn.XLOOKUP($C742&amp;"_"&amp;$AG742,符文权重!$A:$A&amp;"_"&amp;符文权重!$C:$C,符文权重!$D:$D)*$X742/SUMIFS($X:$X,G:G,G742,$C:$C,$C742,$AG:$AG,$AG742)/SUMIF(符文权重!$A:$A,$C742,符文权重!$D:$D))),"")</f>
        <v/>
      </c>
      <c r="N742" s="39" t="str" cm="1">
        <f t="array" ref="N742">IFERROR(IF($A742="","",IF(H742="","",_xlfn.XLOOKUP($C742&amp;"_"&amp;$AG742,符文权重!$A:$A&amp;"_"&amp;符文权重!$C:$C,符文权重!$D:$D)*$X742/SUMIFS($X:$X,H:H,H742,$C:$C,$C742,$AG:$AG,$AG742)/SUMIF(符文权重!$A:$A,$C742,符文权重!$D:$D))),"")</f>
        <v/>
      </c>
      <c r="O742" s="39" t="str" cm="1">
        <f t="array" ref="O742">IFERROR(IF($A742="","",IF(I742="","",_xlfn.XLOOKUP($C742&amp;"_"&amp;$AG742,符文权重!$A:$A&amp;"_"&amp;符文权重!$C:$C,符文权重!$D:$D)*$X742/SUMIFS($X:$X,I:I,I742,$C:$C,$C742,$AG:$AG,$AG742)/SUMIF(符文权重!$A:$A,$C742,符文权重!$D:$D))),"")</f>
        <v/>
      </c>
      <c r="P742" s="39" t="str" cm="1">
        <f t="array" ref="P742">IFERROR(IF($A742="","",IF(J742="","",_xlfn.XLOOKUP($C742&amp;"_"&amp;$AG742,符文权重!$A:$A&amp;"_"&amp;符文权重!$C:$C,符文权重!$D:$D)*$X742/SUMIFS($X:$X,J:J,J742,$C:$C,$C742,$AG:$AG,$AG742)/SUMIF(符文权重!$A:$A,$C742,符文权重!$D:$D))),"")</f>
        <v/>
      </c>
      <c r="Q742" s="39" cm="1">
        <f t="array" ref="Q742">IFERROR(IF($A742="","",IF(K742="","",_xlfn.XLOOKUP($C742&amp;"_"&amp;$AG742,符文权重!$A:$A&amp;"_"&amp;符文权重!$C:$C,符文权重!$D:$D)*$X742/SUMIFS($X:$X,K:K,K742,$C:$C,$C742,$AG:$AG,$AG742)/SUMIF(符文权重!$A:$A,$C742,符文权重!$D:$D))),"")</f>
        <v>0.0035</v>
      </c>
      <c r="R742" s="25" t="s">
        <v>330</v>
      </c>
      <c r="S742" s="25" t="s">
        <v>890</v>
      </c>
      <c r="T742" s="25" t="s">
        <v>391</v>
      </c>
      <c r="U742" s="25" t="s">
        <v>909</v>
      </c>
      <c r="W742" s="25" t="s">
        <v>757</v>
      </c>
      <c r="X742" s="25">
        <v>100</v>
      </c>
      <c r="Z742" s="25" t="s">
        <v>176</v>
      </c>
      <c r="AA742" s="32" t="str">
        <f t="shared" si="292"/>
        <v>海拉每层[灵魂]使伤害+2%</v>
      </c>
      <c r="AB742" s="32"/>
      <c r="AC742" s="32" t="s">
        <v>166</v>
      </c>
      <c r="AD742" s="32">
        <f t="shared" si="290"/>
        <v>1737</v>
      </c>
      <c r="AE742" s="25">
        <v>5301279</v>
      </c>
      <c r="AF742" s="25" t="s">
        <v>200</v>
      </c>
      <c r="AG742" s="25">
        <v>8</v>
      </c>
      <c r="AJ742" s="25">
        <v>1</v>
      </c>
      <c r="AK742" s="26"/>
      <c r="AL742" s="25" t="s">
        <v>910</v>
      </c>
      <c r="AM742" s="26"/>
      <c r="AN742" s="25">
        <v>8</v>
      </c>
      <c r="AO742" s="25" t="s">
        <v>32</v>
      </c>
      <c r="AP742" s="20">
        <f t="shared" si="291"/>
        <v>737</v>
      </c>
    </row>
    <row r="743" s="20" customFormat="1" customHeight="1" spans="1:42">
      <c r="A743" s="25">
        <v>5510486</v>
      </c>
      <c r="B743" s="25">
        <v>5301279</v>
      </c>
      <c r="C743" s="25">
        <v>6</v>
      </c>
      <c r="D743" s="25"/>
      <c r="E743" s="25" t="s">
        <v>209</v>
      </c>
      <c r="F743" s="26" t="str">
        <f t="shared" si="289"/>
        <v/>
      </c>
      <c r="G743" s="26" t="str">
        <f>IFERROR(IF(--MID($E743,2*COUNTIF($F743:F743,"&gt;"&amp;0)+2,1)=G$1,G$1,""),"")</f>
        <v/>
      </c>
      <c r="H743" s="26" t="str">
        <f>IFERROR(IF(--MID($E743,2*COUNTIF($F743:G743,"&gt;"&amp;0)+2,1)=H$1,H$1,""),"")</f>
        <v/>
      </c>
      <c r="I743" s="26" t="str">
        <f>IFERROR(IF(--MID($E743,2*COUNTIF($F743:H743,"&gt;"&amp;0)+2,1)=I$1,I$1,""),"")</f>
        <v/>
      </c>
      <c r="J743" s="26" t="str">
        <f>IFERROR(IF(--MID($E743,2*COUNTIF($F743:I743,"&gt;"&amp;0)+2,1)=J$1,J$1,""),"")</f>
        <v/>
      </c>
      <c r="K743" s="26">
        <f>IFERROR(IF(--MID($E743,2*COUNTIF($F743:J743,"&gt;"&amp;0)+2,1)=K$1,K$1,""),"")</f>
        <v>6</v>
      </c>
      <c r="L743" s="39" t="str" cm="1">
        <f t="array" ref="L743">IFERROR(IF($A743="","",IF(F743="","",_xlfn.XLOOKUP($C743&amp;"_"&amp;$AG743,符文权重!$A:$A&amp;"_"&amp;符文权重!$C:$C,符文权重!$D:$D)*$X743/SUMIFS($X:$X,F:F,F743,$C:$C,$C743,$AG:$AG,$AG743)/SUMIF(符文权重!$A:$A,$C743,符文权重!$D:$D))),"")</f>
        <v/>
      </c>
      <c r="M743" s="39" t="str" cm="1">
        <f t="array" ref="M743">IFERROR(IF($A743="","",IF(G743="","",_xlfn.XLOOKUP($C743&amp;"_"&amp;$AG743,符文权重!$A:$A&amp;"_"&amp;符文权重!$C:$C,符文权重!$D:$D)*$X743/SUMIFS($X:$X,G:G,G743,$C:$C,$C743,$AG:$AG,$AG743)/SUMIF(符文权重!$A:$A,$C743,符文权重!$D:$D))),"")</f>
        <v/>
      </c>
      <c r="N743" s="39" t="str" cm="1">
        <f t="array" ref="N743">IFERROR(IF($A743="","",IF(H743="","",_xlfn.XLOOKUP($C743&amp;"_"&amp;$AG743,符文权重!$A:$A&amp;"_"&amp;符文权重!$C:$C,符文权重!$D:$D)*$X743/SUMIFS($X:$X,H:H,H743,$C:$C,$C743,$AG:$AG,$AG743)/SUMIF(符文权重!$A:$A,$C743,符文权重!$D:$D))),"")</f>
        <v/>
      </c>
      <c r="O743" s="39" t="str" cm="1">
        <f t="array" ref="O743">IFERROR(IF($A743="","",IF(I743="","",_xlfn.XLOOKUP($C743&amp;"_"&amp;$AG743,符文权重!$A:$A&amp;"_"&amp;符文权重!$C:$C,符文权重!$D:$D)*$X743/SUMIFS($X:$X,I:I,I743,$C:$C,$C743,$AG:$AG,$AG743)/SUMIF(符文权重!$A:$A,$C743,符文权重!$D:$D))),"")</f>
        <v/>
      </c>
      <c r="P743" s="39" t="str" cm="1">
        <f t="array" ref="P743">IFERROR(IF($A743="","",IF(J743="","",_xlfn.XLOOKUP($C743&amp;"_"&amp;$AG743,符文权重!$A:$A&amp;"_"&amp;符文权重!$C:$C,符文权重!$D:$D)*$X743/SUMIFS($X:$X,J:J,J743,$C:$C,$C743,$AG:$AG,$AG743)/SUMIF(符文权重!$A:$A,$C743,符文权重!$D:$D))),"")</f>
        <v/>
      </c>
      <c r="Q743" s="39" cm="1">
        <f t="array" ref="Q743">IFERROR(IF($A743="","",IF(K743="","",_xlfn.XLOOKUP($C743&amp;"_"&amp;$AG743,符文权重!$A:$A&amp;"_"&amp;符文权重!$C:$C,符文权重!$D:$D)*$X743/SUMIFS($X:$X,K:K,K743,$C:$C,$C743,$AG:$AG,$AG743)/SUMIF(符文权重!$A:$A,$C743,符文权重!$D:$D))),"")</f>
        <v>0.0035</v>
      </c>
      <c r="R743" s="25" t="s">
        <v>330</v>
      </c>
      <c r="S743" s="25" t="s">
        <v>890</v>
      </c>
      <c r="T743" s="25" t="s">
        <v>394</v>
      </c>
      <c r="U743" s="25" t="s">
        <v>911</v>
      </c>
      <c r="W743" s="25" t="s">
        <v>760</v>
      </c>
      <c r="X743" s="25">
        <v>100</v>
      </c>
      <c r="Z743" s="25" t="s">
        <v>178</v>
      </c>
      <c r="AA743" s="32" t="str">
        <f t="shared" si="292"/>
        <v>海拉每层[灵魂]使伤害+2.5%</v>
      </c>
      <c r="AB743" s="32"/>
      <c r="AC743" s="32" t="s">
        <v>166</v>
      </c>
      <c r="AD743" s="32">
        <f t="shared" si="290"/>
        <v>1738</v>
      </c>
      <c r="AE743" s="25">
        <v>5301279</v>
      </c>
      <c r="AF743" s="25" t="s">
        <v>912</v>
      </c>
      <c r="AG743" s="25">
        <v>8</v>
      </c>
      <c r="AJ743" s="25">
        <v>1</v>
      </c>
      <c r="AK743" s="26"/>
      <c r="AL743" s="25" t="s">
        <v>913</v>
      </c>
      <c r="AM743" s="26"/>
      <c r="AN743" s="25">
        <v>8</v>
      </c>
      <c r="AO743" s="25" t="s">
        <v>32</v>
      </c>
      <c r="AP743" s="20">
        <f t="shared" si="291"/>
        <v>738</v>
      </c>
    </row>
    <row r="744" s="20" customFormat="1" customHeight="1" spans="1:42">
      <c r="A744" s="25">
        <v>5510487</v>
      </c>
      <c r="B744" s="25">
        <v>5301279</v>
      </c>
      <c r="C744" s="25">
        <v>7</v>
      </c>
      <c r="D744" s="25"/>
      <c r="E744" s="25" t="s">
        <v>209</v>
      </c>
      <c r="F744" s="26" t="str">
        <f t="shared" si="289"/>
        <v/>
      </c>
      <c r="G744" s="26" t="str">
        <f>IFERROR(IF(--MID($E744,2*COUNTIF($F744:F744,"&gt;"&amp;0)+2,1)=G$1,G$1,""),"")</f>
        <v/>
      </c>
      <c r="H744" s="26" t="str">
        <f>IFERROR(IF(--MID($E744,2*COUNTIF($F744:G744,"&gt;"&amp;0)+2,1)=H$1,H$1,""),"")</f>
        <v/>
      </c>
      <c r="I744" s="26" t="str">
        <f>IFERROR(IF(--MID($E744,2*COUNTIF($F744:H744,"&gt;"&amp;0)+2,1)=I$1,I$1,""),"")</f>
        <v/>
      </c>
      <c r="J744" s="26" t="str">
        <f>IFERROR(IF(--MID($E744,2*COUNTIF($F744:I744,"&gt;"&amp;0)+2,1)=J$1,J$1,""),"")</f>
        <v/>
      </c>
      <c r="K744" s="26">
        <f>IFERROR(IF(--MID($E744,2*COUNTIF($F744:J744,"&gt;"&amp;0)+2,1)=K$1,K$1,""),"")</f>
        <v>6</v>
      </c>
      <c r="L744" s="39" t="str" cm="1">
        <f t="array" ref="L744">IFERROR(IF($A744="","",IF(F744="","",_xlfn.XLOOKUP($C744&amp;"_"&amp;$AG744,符文权重!$A:$A&amp;"_"&amp;符文权重!$C:$C,符文权重!$D:$D)*$X744/SUMIFS($X:$X,F:F,F744,$C:$C,$C744,$AG:$AG,$AG744)/SUMIF(符文权重!$A:$A,$C744,符文权重!$D:$D))),"")</f>
        <v/>
      </c>
      <c r="M744" s="39" t="str" cm="1">
        <f t="array" ref="M744">IFERROR(IF($A744="","",IF(G744="","",_xlfn.XLOOKUP($C744&amp;"_"&amp;$AG744,符文权重!$A:$A&amp;"_"&amp;符文权重!$C:$C,符文权重!$D:$D)*$X744/SUMIFS($X:$X,G:G,G744,$C:$C,$C744,$AG:$AG,$AG744)/SUMIF(符文权重!$A:$A,$C744,符文权重!$D:$D))),"")</f>
        <v/>
      </c>
      <c r="N744" s="39" t="str" cm="1">
        <f t="array" ref="N744">IFERROR(IF($A744="","",IF(H744="","",_xlfn.XLOOKUP($C744&amp;"_"&amp;$AG744,符文权重!$A:$A&amp;"_"&amp;符文权重!$C:$C,符文权重!$D:$D)*$X744/SUMIFS($X:$X,H:H,H744,$C:$C,$C744,$AG:$AG,$AG744)/SUMIF(符文权重!$A:$A,$C744,符文权重!$D:$D))),"")</f>
        <v/>
      </c>
      <c r="O744" s="39" t="str" cm="1">
        <f t="array" ref="O744">IFERROR(IF($A744="","",IF(I744="","",_xlfn.XLOOKUP($C744&amp;"_"&amp;$AG744,符文权重!$A:$A&amp;"_"&amp;符文权重!$C:$C,符文权重!$D:$D)*$X744/SUMIFS($X:$X,I:I,I744,$C:$C,$C744,$AG:$AG,$AG744)/SUMIF(符文权重!$A:$A,$C744,符文权重!$D:$D))),"")</f>
        <v/>
      </c>
      <c r="P744" s="39" t="str" cm="1">
        <f t="array" ref="P744">IFERROR(IF($A744="","",IF(J744="","",_xlfn.XLOOKUP($C744&amp;"_"&amp;$AG744,符文权重!$A:$A&amp;"_"&amp;符文权重!$C:$C,符文权重!$D:$D)*$X744/SUMIFS($X:$X,J:J,J744,$C:$C,$C744,$AG:$AG,$AG744)/SUMIF(符文权重!$A:$A,$C744,符文权重!$D:$D))),"")</f>
        <v/>
      </c>
      <c r="Q744" s="39" cm="1">
        <f t="array" ref="Q744">IFERROR(IF($A744="","",IF(K744="","",_xlfn.XLOOKUP($C744&amp;"_"&amp;$AG744,符文权重!$A:$A&amp;"_"&amp;符文权重!$C:$C,符文权重!$D:$D)*$X744/SUMIFS($X:$X,K:K,K744,$C:$C,$C744,$AG:$AG,$AG744)/SUMIF(符文权重!$A:$A,$C744,符文权重!$D:$D))),"")</f>
        <v>0.0035</v>
      </c>
      <c r="R744" s="25" t="s">
        <v>330</v>
      </c>
      <c r="S744" s="25" t="s">
        <v>890</v>
      </c>
      <c r="T744" s="25" t="s">
        <v>397</v>
      </c>
      <c r="U744" s="25" t="s">
        <v>914</v>
      </c>
      <c r="W744" s="25" t="s">
        <v>763</v>
      </c>
      <c r="X744" s="25">
        <v>100</v>
      </c>
      <c r="Z744" s="25" t="s">
        <v>180</v>
      </c>
      <c r="AA744" s="32" t="str">
        <f t="shared" si="292"/>
        <v>海拉每层[灵魂]使伤害+3%</v>
      </c>
      <c r="AB744" s="32"/>
      <c r="AC744" s="32" t="s">
        <v>166</v>
      </c>
      <c r="AD744" s="32">
        <f t="shared" si="290"/>
        <v>1739</v>
      </c>
      <c r="AE744" s="25">
        <v>5301279</v>
      </c>
      <c r="AF744" s="25" t="s">
        <v>182</v>
      </c>
      <c r="AG744" s="25">
        <v>8</v>
      </c>
      <c r="AJ744" s="25">
        <v>1</v>
      </c>
      <c r="AK744" s="26"/>
      <c r="AL744" s="25" t="s">
        <v>915</v>
      </c>
      <c r="AM744" s="26"/>
      <c r="AN744" s="25">
        <v>8</v>
      </c>
      <c r="AO744" s="25" t="s">
        <v>32</v>
      </c>
      <c r="AP744" s="20">
        <f t="shared" si="291"/>
        <v>739</v>
      </c>
    </row>
    <row r="745" customHeight="1" spans="1:42">
      <c r="A745" s="25">
        <v>5510494</v>
      </c>
      <c r="B745" s="25">
        <v>5301281</v>
      </c>
      <c r="C745" s="26">
        <v>4</v>
      </c>
      <c r="D745" s="26"/>
      <c r="E745" s="25" t="s">
        <v>218</v>
      </c>
      <c r="F745" s="26" t="str">
        <f t="shared" si="289"/>
        <v/>
      </c>
      <c r="G745" s="26" t="str">
        <f>IFERROR(IF(--MID($E745,2*COUNTIF($F745:F745,"&gt;"&amp;0)+2,1)=G$1,G$1,""),"")</f>
        <v/>
      </c>
      <c r="H745" s="26" t="str">
        <f>IFERROR(IF(--MID($E745,2*COUNTIF($F745:G745,"&gt;"&amp;0)+2,1)=H$1,H$1,""),"")</f>
        <v/>
      </c>
      <c r="I745" s="26" t="str">
        <f>IFERROR(IF(--MID($E745,2*COUNTIF($F745:H745,"&gt;"&amp;0)+2,1)=I$1,I$1,""),"")</f>
        <v/>
      </c>
      <c r="J745" s="26">
        <f>IFERROR(IF(--MID($E745,2*COUNTIF($F745:I745,"&gt;"&amp;0)+2,1)=J$1,J$1,""),"")</f>
        <v>5</v>
      </c>
      <c r="K745" s="26" t="str">
        <f>IFERROR(IF(--MID($E745,2*COUNTIF($F745:J745,"&gt;"&amp;0)+2,1)=K$1,K$1,""),"")</f>
        <v/>
      </c>
      <c r="L745" s="39" t="str" cm="1">
        <f t="array" ref="L745">IFERROR(IF($A745="","",IF(F745="","",_xlfn.XLOOKUP($C745&amp;"_"&amp;$AG745,符文权重!$A:$A&amp;"_"&amp;符文权重!$C:$C,符文权重!$D:$D)*$X745/SUMIFS($X:$X,F:F,F745,$C:$C,$C745,$AG:$AG,$AG745)/SUMIF(符文权重!$A:$A,$C745,符文权重!$D:$D))),"")</f>
        <v/>
      </c>
      <c r="M745" s="39" t="str" cm="1">
        <f t="array" ref="M745">IFERROR(IF($A745="","",IF(G745="","",_xlfn.XLOOKUP($C745&amp;"_"&amp;$AG745,符文权重!$A:$A&amp;"_"&amp;符文权重!$C:$C,符文权重!$D:$D)*$X745/SUMIFS($X:$X,G:G,G745,$C:$C,$C745,$AG:$AG,$AG745)/SUMIF(符文权重!$A:$A,$C745,符文权重!$D:$D))),"")</f>
        <v/>
      </c>
      <c r="N745" s="39" t="str" cm="1">
        <f t="array" ref="N745">IFERROR(IF($A745="","",IF(H745="","",_xlfn.XLOOKUP($C745&amp;"_"&amp;$AG745,符文权重!$A:$A&amp;"_"&amp;符文权重!$C:$C,符文权重!$D:$D)*$X745/SUMIFS($X:$X,H:H,H745,$C:$C,$C745,$AG:$AG,$AG745)/SUMIF(符文权重!$A:$A,$C745,符文权重!$D:$D))),"")</f>
        <v/>
      </c>
      <c r="O745" s="39" t="str" cm="1">
        <f t="array" ref="O745">IFERROR(IF($A745="","",IF(I745="","",_xlfn.XLOOKUP($C745&amp;"_"&amp;$AG745,符文权重!$A:$A&amp;"_"&amp;符文权重!$C:$C,符文权重!$D:$D)*$X745/SUMIFS($X:$X,I:I,I745,$C:$C,$C745,$AG:$AG,$AG745)/SUMIF(符文权重!$A:$A,$C745,符文权重!$D:$D))),"")</f>
        <v/>
      </c>
      <c r="P745" s="39" t="str" cm="1">
        <f t="array" ref="P745">IFERROR(IF($A745="","",IF(J745="","",_xlfn.XLOOKUP($C745&amp;"_"&amp;$AG745,符文权重!$A:$A&amp;"_"&amp;符文权重!$C:$C,符文权重!$D:$D)*$X745/SUMIFS($X:$X,J:J,J745,$C:$C,$C745,$AG:$AG,$AG745)/SUMIF(符文权重!$A:$A,$C745,符文权重!$D:$D))),"")</f>
        <v/>
      </c>
      <c r="Q745" s="39" t="str" cm="1">
        <f t="array" ref="Q745">IFERROR(IF($A745="","",IF(K745="","",_xlfn.XLOOKUP($C745&amp;"_"&amp;$AG745,符文权重!$A:$A&amp;"_"&amp;符文权重!$C:$C,符文权重!$D:$D)*$X745/SUMIFS($X:$X,K:K,K745,$C:$C,$C745,$AG:$AG,$AG745)/SUMIF(符文权重!$A:$A,$C745,符文权重!$D:$D))),"")</f>
        <v/>
      </c>
      <c r="R745" s="26" t="s">
        <v>330</v>
      </c>
      <c r="S745" s="26" t="s">
        <v>916</v>
      </c>
      <c r="T745" s="26" t="s">
        <v>388</v>
      </c>
      <c r="U745" s="20" t="s">
        <v>917</v>
      </c>
      <c r="W745" s="25" t="s">
        <v>754</v>
      </c>
      <c r="X745" s="25">
        <v>100</v>
      </c>
      <c r="Z745" s="26" t="s">
        <v>174</v>
      </c>
      <c r="AA745" s="32" t="str">
        <f t="shared" si="292"/>
        <v>后羿每次命中敌人有25%几率分出一支射向怪物的箭</v>
      </c>
      <c r="AB745" s="32"/>
      <c r="AC745" s="32" t="s">
        <v>166</v>
      </c>
      <c r="AD745" s="32">
        <f t="shared" si="290"/>
        <v>1740</v>
      </c>
      <c r="AE745" s="25">
        <v>5301281</v>
      </c>
      <c r="AF745" s="26" t="s">
        <v>399</v>
      </c>
      <c r="AG745" s="26">
        <v>100</v>
      </c>
      <c r="AH745" s="26"/>
      <c r="AI745" s="26">
        <v>1</v>
      </c>
      <c r="AJ745" s="26">
        <v>0</v>
      </c>
      <c r="AK745" s="25"/>
      <c r="AL745" s="26" t="s">
        <v>918</v>
      </c>
      <c r="AN745" s="25">
        <v>8</v>
      </c>
      <c r="AO745" s="25" t="s">
        <v>31</v>
      </c>
      <c r="AP745" s="20">
        <f t="shared" si="291"/>
        <v>740</v>
      </c>
    </row>
    <row r="746" s="20" customFormat="1" customHeight="1" spans="1:42">
      <c r="A746" s="25">
        <v>5510495</v>
      </c>
      <c r="B746" s="25">
        <v>5301281</v>
      </c>
      <c r="C746" s="25">
        <v>5</v>
      </c>
      <c r="D746" s="25"/>
      <c r="E746" s="25" t="s">
        <v>218</v>
      </c>
      <c r="F746" s="26" t="str">
        <f t="shared" si="289"/>
        <v/>
      </c>
      <c r="G746" s="26" t="str">
        <f>IFERROR(IF(--MID($E746,2*COUNTIF($F746:F746,"&gt;"&amp;0)+2,1)=G$1,G$1,""),"")</f>
        <v/>
      </c>
      <c r="H746" s="26" t="str">
        <f>IFERROR(IF(--MID($E746,2*COUNTIF($F746:G746,"&gt;"&amp;0)+2,1)=H$1,H$1,""),"")</f>
        <v/>
      </c>
      <c r="I746" s="26" t="str">
        <f>IFERROR(IF(--MID($E746,2*COUNTIF($F746:H746,"&gt;"&amp;0)+2,1)=I$1,I$1,""),"")</f>
        <v/>
      </c>
      <c r="J746" s="26">
        <f>IFERROR(IF(--MID($E746,2*COUNTIF($F746:I746,"&gt;"&amp;0)+2,1)=J$1,J$1,""),"")</f>
        <v>5</v>
      </c>
      <c r="K746" s="26" t="str">
        <f>IFERROR(IF(--MID($E746,2*COUNTIF($F746:J746,"&gt;"&amp;0)+2,1)=K$1,K$1,""),"")</f>
        <v/>
      </c>
      <c r="L746" s="39" t="str" cm="1">
        <f t="array" ref="L746">IFERROR(IF($A746="","",IF(F746="","",_xlfn.XLOOKUP($C746&amp;"_"&amp;$AG746,符文权重!$A:$A&amp;"_"&amp;符文权重!$C:$C,符文权重!$D:$D)*$X746/SUMIFS($X:$X,F:F,F746,$C:$C,$C746,$AG:$AG,$AG746)/SUMIF(符文权重!$A:$A,$C746,符文权重!$D:$D))),"")</f>
        <v/>
      </c>
      <c r="M746" s="39" t="str" cm="1">
        <f t="array" ref="M746">IFERROR(IF($A746="","",IF(G746="","",_xlfn.XLOOKUP($C746&amp;"_"&amp;$AG746,符文权重!$A:$A&amp;"_"&amp;符文权重!$C:$C,符文权重!$D:$D)*$X746/SUMIFS($X:$X,G:G,G746,$C:$C,$C746,$AG:$AG,$AG746)/SUMIF(符文权重!$A:$A,$C746,符文权重!$D:$D))),"")</f>
        <v/>
      </c>
      <c r="N746" s="39" t="str" cm="1">
        <f t="array" ref="N746">IFERROR(IF($A746="","",IF(H746="","",_xlfn.XLOOKUP($C746&amp;"_"&amp;$AG746,符文权重!$A:$A&amp;"_"&amp;符文权重!$C:$C,符文权重!$D:$D)*$X746/SUMIFS($X:$X,H:H,H746,$C:$C,$C746,$AG:$AG,$AG746)/SUMIF(符文权重!$A:$A,$C746,符文权重!$D:$D))),"")</f>
        <v/>
      </c>
      <c r="O746" s="39" t="str" cm="1">
        <f t="array" ref="O746">IFERROR(IF($A746="","",IF(I746="","",_xlfn.XLOOKUP($C746&amp;"_"&amp;$AG746,符文权重!$A:$A&amp;"_"&amp;符文权重!$C:$C,符文权重!$D:$D)*$X746/SUMIFS($X:$X,I:I,I746,$C:$C,$C746,$AG:$AG,$AG746)/SUMIF(符文权重!$A:$A,$C746,符文权重!$D:$D))),"")</f>
        <v/>
      </c>
      <c r="P746" s="39" cm="1">
        <f t="array" ref="P746">IFERROR(IF($A746="","",IF(J746="","",_xlfn.XLOOKUP($C746&amp;"_"&amp;$AG746,符文权重!$A:$A&amp;"_"&amp;符文权重!$C:$C,符文权重!$D:$D)*$X746/SUMIFS($X:$X,J:J,J746,$C:$C,$C746,$AG:$AG,$AG746)/SUMIF(符文权重!$A:$A,$C746,符文权重!$D:$D))),"")</f>
        <v>0.00525</v>
      </c>
      <c r="Q746" s="39" t="str" cm="1">
        <f t="array" ref="Q746">IFERROR(IF($A746="","",IF(K746="","",_xlfn.XLOOKUP($C746&amp;"_"&amp;$AG746,符文权重!$A:$A&amp;"_"&amp;符文权重!$C:$C,符文权重!$D:$D)*$X746/SUMIFS($X:$X,K:K,K746,$C:$C,$C746,$AG:$AG,$AG746)/SUMIF(符文权重!$A:$A,$C746,符文权重!$D:$D))),"")</f>
        <v/>
      </c>
      <c r="R746" s="25" t="s">
        <v>330</v>
      </c>
      <c r="S746" s="25" t="s">
        <v>916</v>
      </c>
      <c r="T746" s="25" t="s">
        <v>391</v>
      </c>
      <c r="U746" s="25" t="s">
        <v>919</v>
      </c>
      <c r="W746" s="25" t="s">
        <v>757</v>
      </c>
      <c r="X746" s="25">
        <v>100</v>
      </c>
      <c r="Z746" s="25" t="s">
        <v>176</v>
      </c>
      <c r="AA746" s="32" t="str">
        <f t="shared" si="292"/>
        <v>后羿每次命中敌人有35%几率分出一支射向怪物的箭</v>
      </c>
      <c r="AB746" s="32"/>
      <c r="AC746" s="32" t="s">
        <v>166</v>
      </c>
      <c r="AD746" s="32">
        <f t="shared" si="290"/>
        <v>1741</v>
      </c>
      <c r="AE746" s="25">
        <v>5301281</v>
      </c>
      <c r="AF746" s="25" t="s">
        <v>411</v>
      </c>
      <c r="AG746" s="25">
        <v>8</v>
      </c>
      <c r="AJ746" s="25">
        <v>1</v>
      </c>
      <c r="AK746" s="26"/>
      <c r="AL746" s="25" t="s">
        <v>920</v>
      </c>
      <c r="AM746" s="26"/>
      <c r="AN746" s="25">
        <v>8</v>
      </c>
      <c r="AO746" s="25" t="s">
        <v>31</v>
      </c>
      <c r="AP746" s="20">
        <f t="shared" si="291"/>
        <v>741</v>
      </c>
    </row>
    <row r="747" s="20" customFormat="1" customHeight="1" spans="1:42">
      <c r="A747" s="25">
        <v>5510496</v>
      </c>
      <c r="B747" s="25">
        <v>5301281</v>
      </c>
      <c r="C747" s="25">
        <v>6</v>
      </c>
      <c r="D747" s="25"/>
      <c r="E747" s="25" t="s">
        <v>218</v>
      </c>
      <c r="F747" s="26" t="str">
        <f t="shared" si="289"/>
        <v/>
      </c>
      <c r="G747" s="26" t="str">
        <f>IFERROR(IF(--MID($E747,2*COUNTIF($F747:F747,"&gt;"&amp;0)+2,1)=G$1,G$1,""),"")</f>
        <v/>
      </c>
      <c r="H747" s="26" t="str">
        <f>IFERROR(IF(--MID($E747,2*COUNTIF($F747:G747,"&gt;"&amp;0)+2,1)=H$1,H$1,""),"")</f>
        <v/>
      </c>
      <c r="I747" s="26" t="str">
        <f>IFERROR(IF(--MID($E747,2*COUNTIF($F747:H747,"&gt;"&amp;0)+2,1)=I$1,I$1,""),"")</f>
        <v/>
      </c>
      <c r="J747" s="26">
        <f>IFERROR(IF(--MID($E747,2*COUNTIF($F747:I747,"&gt;"&amp;0)+2,1)=J$1,J$1,""),"")</f>
        <v>5</v>
      </c>
      <c r="K747" s="26" t="str">
        <f>IFERROR(IF(--MID($E747,2*COUNTIF($F747:J747,"&gt;"&amp;0)+2,1)=K$1,K$1,""),"")</f>
        <v/>
      </c>
      <c r="L747" s="39" t="str" cm="1">
        <f t="array" ref="L747">IFERROR(IF($A747="","",IF(F747="","",_xlfn.XLOOKUP($C747&amp;"_"&amp;$AG747,符文权重!$A:$A&amp;"_"&amp;符文权重!$C:$C,符文权重!$D:$D)*$X747/SUMIFS($X:$X,F:F,F747,$C:$C,$C747,$AG:$AG,$AG747)/SUMIF(符文权重!$A:$A,$C747,符文权重!$D:$D))),"")</f>
        <v/>
      </c>
      <c r="M747" s="39" t="str" cm="1">
        <f t="array" ref="M747">IFERROR(IF($A747="","",IF(G747="","",_xlfn.XLOOKUP($C747&amp;"_"&amp;$AG747,符文权重!$A:$A&amp;"_"&amp;符文权重!$C:$C,符文权重!$D:$D)*$X747/SUMIFS($X:$X,G:G,G747,$C:$C,$C747,$AG:$AG,$AG747)/SUMIF(符文权重!$A:$A,$C747,符文权重!$D:$D))),"")</f>
        <v/>
      </c>
      <c r="N747" s="39" t="str" cm="1">
        <f t="array" ref="N747">IFERROR(IF($A747="","",IF(H747="","",_xlfn.XLOOKUP($C747&amp;"_"&amp;$AG747,符文权重!$A:$A&amp;"_"&amp;符文权重!$C:$C,符文权重!$D:$D)*$X747/SUMIFS($X:$X,H:H,H747,$C:$C,$C747,$AG:$AG,$AG747)/SUMIF(符文权重!$A:$A,$C747,符文权重!$D:$D))),"")</f>
        <v/>
      </c>
      <c r="O747" s="39" t="str" cm="1">
        <f t="array" ref="O747">IFERROR(IF($A747="","",IF(I747="","",_xlfn.XLOOKUP($C747&amp;"_"&amp;$AG747,符文权重!$A:$A&amp;"_"&amp;符文权重!$C:$C,符文权重!$D:$D)*$X747/SUMIFS($X:$X,I:I,I747,$C:$C,$C747,$AG:$AG,$AG747)/SUMIF(符文权重!$A:$A,$C747,符文权重!$D:$D))),"")</f>
        <v/>
      </c>
      <c r="P747" s="39" cm="1">
        <f t="array" ref="P747">IFERROR(IF($A747="","",IF(J747="","",_xlfn.XLOOKUP($C747&amp;"_"&amp;$AG747,符文权重!$A:$A&amp;"_"&amp;符文权重!$C:$C,符文权重!$D:$D)*$X747/SUMIFS($X:$X,J:J,J747,$C:$C,$C747,$AG:$AG,$AG747)/SUMIF(符文权重!$A:$A,$C747,符文权重!$D:$D))),"")</f>
        <v>0.00525</v>
      </c>
      <c r="Q747" s="39" t="str" cm="1">
        <f t="array" ref="Q747">IFERROR(IF($A747="","",IF(K747="","",_xlfn.XLOOKUP($C747&amp;"_"&amp;$AG747,符文权重!$A:$A&amp;"_"&amp;符文权重!$C:$C,符文权重!$D:$D)*$X747/SUMIFS($X:$X,K:K,K747,$C:$C,$C747,$AG:$AG,$AG747)/SUMIF(符文权重!$A:$A,$C747,符文权重!$D:$D))),"")</f>
        <v/>
      </c>
      <c r="R747" s="25" t="s">
        <v>330</v>
      </c>
      <c r="S747" s="25" t="s">
        <v>916</v>
      </c>
      <c r="T747" s="25" t="s">
        <v>394</v>
      </c>
      <c r="U747" s="25" t="s">
        <v>921</v>
      </c>
      <c r="W747" s="25" t="s">
        <v>760</v>
      </c>
      <c r="X747" s="25">
        <v>100</v>
      </c>
      <c r="Z747" s="25" t="s">
        <v>178</v>
      </c>
      <c r="AA747" s="32" t="str">
        <f t="shared" si="292"/>
        <v>后羿每次命中敌人有50%几率分出一支射向怪物的箭</v>
      </c>
      <c r="AB747" s="32"/>
      <c r="AC747" s="32" t="s">
        <v>166</v>
      </c>
      <c r="AD747" s="32">
        <f t="shared" si="290"/>
        <v>1742</v>
      </c>
      <c r="AE747" s="25">
        <v>5301281</v>
      </c>
      <c r="AF747" s="25" t="s">
        <v>541</v>
      </c>
      <c r="AG747" s="25">
        <v>8</v>
      </c>
      <c r="AJ747" s="25">
        <v>1</v>
      </c>
      <c r="AL747" s="25" t="s">
        <v>922</v>
      </c>
      <c r="AN747" s="25">
        <v>8</v>
      </c>
      <c r="AO747" s="25" t="s">
        <v>31</v>
      </c>
      <c r="AP747" s="20">
        <f t="shared" si="291"/>
        <v>742</v>
      </c>
    </row>
    <row r="748" s="20" customFormat="1" customHeight="1" spans="1:42">
      <c r="A748" s="25">
        <v>5510497</v>
      </c>
      <c r="B748" s="25">
        <v>5301281</v>
      </c>
      <c r="C748" s="25">
        <v>7</v>
      </c>
      <c r="D748" s="25"/>
      <c r="E748" s="25" t="s">
        <v>218</v>
      </c>
      <c r="F748" s="26" t="str">
        <f t="shared" si="289"/>
        <v/>
      </c>
      <c r="G748" s="26" t="str">
        <f>IFERROR(IF(--MID($E748,2*COUNTIF($F748:F748,"&gt;"&amp;0)+2,1)=G$1,G$1,""),"")</f>
        <v/>
      </c>
      <c r="H748" s="26" t="str">
        <f>IFERROR(IF(--MID($E748,2*COUNTIF($F748:G748,"&gt;"&amp;0)+2,1)=H$1,H$1,""),"")</f>
        <v/>
      </c>
      <c r="I748" s="26" t="str">
        <f>IFERROR(IF(--MID($E748,2*COUNTIF($F748:H748,"&gt;"&amp;0)+2,1)=I$1,I$1,""),"")</f>
        <v/>
      </c>
      <c r="J748" s="26">
        <f>IFERROR(IF(--MID($E748,2*COUNTIF($F748:I748,"&gt;"&amp;0)+2,1)=J$1,J$1,""),"")</f>
        <v>5</v>
      </c>
      <c r="K748" s="26" t="str">
        <f>IFERROR(IF(--MID($E748,2*COUNTIF($F748:J748,"&gt;"&amp;0)+2,1)=K$1,K$1,""),"")</f>
        <v/>
      </c>
      <c r="L748" s="39" t="str" cm="1">
        <f t="array" ref="L748">IFERROR(IF($A748="","",IF(F748="","",_xlfn.XLOOKUP($C748&amp;"_"&amp;$AG748,符文权重!$A:$A&amp;"_"&amp;符文权重!$C:$C,符文权重!$D:$D)*$X748/SUMIFS($X:$X,F:F,F748,$C:$C,$C748,$AG:$AG,$AG748)/SUMIF(符文权重!$A:$A,$C748,符文权重!$D:$D))),"")</f>
        <v/>
      </c>
      <c r="M748" s="39" t="str" cm="1">
        <f t="array" ref="M748">IFERROR(IF($A748="","",IF(G748="","",_xlfn.XLOOKUP($C748&amp;"_"&amp;$AG748,符文权重!$A:$A&amp;"_"&amp;符文权重!$C:$C,符文权重!$D:$D)*$X748/SUMIFS($X:$X,G:G,G748,$C:$C,$C748,$AG:$AG,$AG748)/SUMIF(符文权重!$A:$A,$C748,符文权重!$D:$D))),"")</f>
        <v/>
      </c>
      <c r="N748" s="39" t="str" cm="1">
        <f t="array" ref="N748">IFERROR(IF($A748="","",IF(H748="","",_xlfn.XLOOKUP($C748&amp;"_"&amp;$AG748,符文权重!$A:$A&amp;"_"&amp;符文权重!$C:$C,符文权重!$D:$D)*$X748/SUMIFS($X:$X,H:H,H748,$C:$C,$C748,$AG:$AG,$AG748)/SUMIF(符文权重!$A:$A,$C748,符文权重!$D:$D))),"")</f>
        <v/>
      </c>
      <c r="O748" s="39" t="str" cm="1">
        <f t="array" ref="O748">IFERROR(IF($A748="","",IF(I748="","",_xlfn.XLOOKUP($C748&amp;"_"&amp;$AG748,符文权重!$A:$A&amp;"_"&amp;符文权重!$C:$C,符文权重!$D:$D)*$X748/SUMIFS($X:$X,I:I,I748,$C:$C,$C748,$AG:$AG,$AG748)/SUMIF(符文权重!$A:$A,$C748,符文权重!$D:$D))),"")</f>
        <v/>
      </c>
      <c r="P748" s="39" cm="1">
        <f t="array" ref="P748">IFERROR(IF($A748="","",IF(J748="","",_xlfn.XLOOKUP($C748&amp;"_"&amp;$AG748,符文权重!$A:$A&amp;"_"&amp;符文权重!$C:$C,符文权重!$D:$D)*$X748/SUMIFS($X:$X,J:J,J748,$C:$C,$C748,$AG:$AG,$AG748)/SUMIF(符文权重!$A:$A,$C748,符文权重!$D:$D))),"")</f>
        <v>0.00525</v>
      </c>
      <c r="Q748" s="39" t="str" cm="1">
        <f t="array" ref="Q748">IFERROR(IF($A748="","",IF(K748="","",_xlfn.XLOOKUP($C748&amp;"_"&amp;$AG748,符文权重!$A:$A&amp;"_"&amp;符文权重!$C:$C,符文权重!$D:$D)*$X748/SUMIFS($X:$X,K:K,K748,$C:$C,$C748,$AG:$AG,$AG748)/SUMIF(符文权重!$A:$A,$C748,符文权重!$D:$D))),"")</f>
        <v/>
      </c>
      <c r="R748" s="25" t="s">
        <v>330</v>
      </c>
      <c r="S748" s="25" t="s">
        <v>916</v>
      </c>
      <c r="T748" s="25" t="s">
        <v>397</v>
      </c>
      <c r="U748" s="25" t="s">
        <v>923</v>
      </c>
      <c r="W748" s="25" t="s">
        <v>763</v>
      </c>
      <c r="X748" s="25">
        <v>100</v>
      </c>
      <c r="Z748" s="25" t="s">
        <v>180</v>
      </c>
      <c r="AA748" s="32" t="str">
        <f t="shared" si="292"/>
        <v>后羿每次命中敌人有75%几率分出一支射向怪物的箭</v>
      </c>
      <c r="AB748" s="32"/>
      <c r="AC748" s="32" t="s">
        <v>166</v>
      </c>
      <c r="AD748" s="32">
        <f t="shared" si="290"/>
        <v>1743</v>
      </c>
      <c r="AE748" s="25">
        <v>5301281</v>
      </c>
      <c r="AF748" s="25" t="s">
        <v>462</v>
      </c>
      <c r="AG748" s="25">
        <v>8</v>
      </c>
      <c r="AJ748" s="25">
        <v>1</v>
      </c>
      <c r="AK748" s="26"/>
      <c r="AL748" s="25" t="s">
        <v>924</v>
      </c>
      <c r="AM748" s="26"/>
      <c r="AN748" s="25">
        <v>8</v>
      </c>
      <c r="AO748" s="25" t="s">
        <v>31</v>
      </c>
      <c r="AP748" s="20">
        <f t="shared" si="291"/>
        <v>743</v>
      </c>
    </row>
    <row r="749" customHeight="1" spans="1:42">
      <c r="A749" s="25">
        <v>5510504</v>
      </c>
      <c r="B749" s="25">
        <v>5301282</v>
      </c>
      <c r="C749" s="26">
        <v>4</v>
      </c>
      <c r="D749" s="26"/>
      <c r="E749" s="25" t="s">
        <v>209</v>
      </c>
      <c r="F749" s="26" t="str">
        <f t="shared" si="289"/>
        <v/>
      </c>
      <c r="G749" s="26" t="str">
        <f>IFERROR(IF(--MID($E749,2*COUNTIF($F749:F749,"&gt;"&amp;0)+2,1)=G$1,G$1,""),"")</f>
        <v/>
      </c>
      <c r="H749" s="26" t="str">
        <f>IFERROR(IF(--MID($E749,2*COUNTIF($F749:G749,"&gt;"&amp;0)+2,1)=H$1,H$1,""),"")</f>
        <v/>
      </c>
      <c r="I749" s="26" t="str">
        <f>IFERROR(IF(--MID($E749,2*COUNTIF($F749:H749,"&gt;"&amp;0)+2,1)=I$1,I$1,""),"")</f>
        <v/>
      </c>
      <c r="J749" s="26" t="str">
        <f>IFERROR(IF(--MID($E749,2*COUNTIF($F749:I749,"&gt;"&amp;0)+2,1)=J$1,J$1,""),"")</f>
        <v/>
      </c>
      <c r="K749" s="26">
        <f>IFERROR(IF(--MID($E749,2*COUNTIF($F749:J749,"&gt;"&amp;0)+2,1)=K$1,K$1,""),"")</f>
        <v>6</v>
      </c>
      <c r="L749" s="39" t="str" cm="1">
        <f t="array" ref="L749">IFERROR(IF($A749="","",IF(F749="","",_xlfn.XLOOKUP($C749&amp;"_"&amp;$AG749,符文权重!$A:$A&amp;"_"&amp;符文权重!$C:$C,符文权重!$D:$D)*$X749/SUMIFS($X:$X,F:F,F749,$C:$C,$C749,$AG:$AG,$AG749)/SUMIF(符文权重!$A:$A,$C749,符文权重!$D:$D))),"")</f>
        <v/>
      </c>
      <c r="M749" s="39" t="str" cm="1">
        <f t="array" ref="M749">IFERROR(IF($A749="","",IF(G749="","",_xlfn.XLOOKUP($C749&amp;"_"&amp;$AG749,符文权重!$A:$A&amp;"_"&amp;符文权重!$C:$C,符文权重!$D:$D)*$X749/SUMIFS($X:$X,G:G,G749,$C:$C,$C749,$AG:$AG,$AG749)/SUMIF(符文权重!$A:$A,$C749,符文权重!$D:$D))),"")</f>
        <v/>
      </c>
      <c r="N749" s="39" t="str" cm="1">
        <f t="array" ref="N749">IFERROR(IF($A749="","",IF(H749="","",_xlfn.XLOOKUP($C749&amp;"_"&amp;$AG749,符文权重!$A:$A&amp;"_"&amp;符文权重!$C:$C,符文权重!$D:$D)*$X749/SUMIFS($X:$X,H:H,H749,$C:$C,$C749,$AG:$AG,$AG749)/SUMIF(符文权重!$A:$A,$C749,符文权重!$D:$D))),"")</f>
        <v/>
      </c>
      <c r="O749" s="39" t="str" cm="1">
        <f t="array" ref="O749">IFERROR(IF($A749="","",IF(I749="","",_xlfn.XLOOKUP($C749&amp;"_"&amp;$AG749,符文权重!$A:$A&amp;"_"&amp;符文权重!$C:$C,符文权重!$D:$D)*$X749/SUMIFS($X:$X,I:I,I749,$C:$C,$C749,$AG:$AG,$AG749)/SUMIF(符文权重!$A:$A,$C749,符文权重!$D:$D))),"")</f>
        <v/>
      </c>
      <c r="P749" s="39" t="str" cm="1">
        <f t="array" ref="P749">IFERROR(IF($A749="","",IF(J749="","",_xlfn.XLOOKUP($C749&amp;"_"&amp;$AG749,符文权重!$A:$A&amp;"_"&amp;符文权重!$C:$C,符文权重!$D:$D)*$X749/SUMIFS($X:$X,J:J,J749,$C:$C,$C749,$AG:$AG,$AG749)/SUMIF(符文权重!$A:$A,$C749,符文权重!$D:$D))),"")</f>
        <v/>
      </c>
      <c r="Q749" s="39" t="str" cm="1">
        <f t="array" ref="Q749">IFERROR(IF($A749="","",IF(K749="","",_xlfn.XLOOKUP($C749&amp;"_"&amp;$AG749,符文权重!$A:$A&amp;"_"&amp;符文权重!$C:$C,符文权重!$D:$D)*$X749/SUMIFS($X:$X,K:K,K749,$C:$C,$C749,$AG:$AG,$AG749)/SUMIF(符文权重!$A:$A,$C749,符文权重!$D:$D))),"")</f>
        <v/>
      </c>
      <c r="R749" s="26" t="s">
        <v>330</v>
      </c>
      <c r="S749" s="26" t="s">
        <v>916</v>
      </c>
      <c r="T749" s="26" t="s">
        <v>388</v>
      </c>
      <c r="U749" s="20" t="s">
        <v>925</v>
      </c>
      <c r="W749" s="25" t="s">
        <v>754</v>
      </c>
      <c r="X749" s="25">
        <v>100</v>
      </c>
      <c r="Z749" s="26" t="s">
        <v>174</v>
      </c>
      <c r="AA749" s="32" t="str">
        <f t="shared" si="292"/>
        <v>后羿充能后提高250%攻速，持续3s</v>
      </c>
      <c r="AB749" s="32"/>
      <c r="AC749" s="32" t="s">
        <v>166</v>
      </c>
      <c r="AD749" s="32">
        <f t="shared" si="290"/>
        <v>1744</v>
      </c>
      <c r="AE749" s="25">
        <v>5301282</v>
      </c>
      <c r="AF749" s="26" t="s">
        <v>926</v>
      </c>
      <c r="AG749" s="26">
        <v>100</v>
      </c>
      <c r="AH749" s="26"/>
      <c r="AI749" s="26">
        <v>1</v>
      </c>
      <c r="AJ749" s="26">
        <v>0</v>
      </c>
      <c r="AK749" s="25"/>
      <c r="AL749" s="26" t="s">
        <v>927</v>
      </c>
      <c r="AN749" s="25">
        <v>8</v>
      </c>
      <c r="AO749" s="25" t="s">
        <v>31</v>
      </c>
      <c r="AP749" s="20">
        <f t="shared" si="291"/>
        <v>744</v>
      </c>
    </row>
    <row r="750" s="20" customFormat="1" customHeight="1" spans="1:42">
      <c r="A750" s="25">
        <v>5510505</v>
      </c>
      <c r="B750" s="25">
        <v>5301282</v>
      </c>
      <c r="C750" s="25">
        <v>5</v>
      </c>
      <c r="D750" s="25"/>
      <c r="E750" s="25" t="s">
        <v>209</v>
      </c>
      <c r="F750" s="26" t="str">
        <f t="shared" si="289"/>
        <v/>
      </c>
      <c r="G750" s="26" t="str">
        <f>IFERROR(IF(--MID($E750,2*COUNTIF($F750:F750,"&gt;"&amp;0)+2,1)=G$1,G$1,""),"")</f>
        <v/>
      </c>
      <c r="H750" s="26" t="str">
        <f>IFERROR(IF(--MID($E750,2*COUNTIF($F750:G750,"&gt;"&amp;0)+2,1)=H$1,H$1,""),"")</f>
        <v/>
      </c>
      <c r="I750" s="26" t="str">
        <f>IFERROR(IF(--MID($E750,2*COUNTIF($F750:H750,"&gt;"&amp;0)+2,1)=I$1,I$1,""),"")</f>
        <v/>
      </c>
      <c r="J750" s="26" t="str">
        <f>IFERROR(IF(--MID($E750,2*COUNTIF($F750:I750,"&gt;"&amp;0)+2,1)=J$1,J$1,""),"")</f>
        <v/>
      </c>
      <c r="K750" s="26">
        <f>IFERROR(IF(--MID($E750,2*COUNTIF($F750:J750,"&gt;"&amp;0)+2,1)=K$1,K$1,""),"")</f>
        <v>6</v>
      </c>
      <c r="L750" s="39" t="str" cm="1">
        <f t="array" ref="L750">IFERROR(IF($A750="","",IF(F750="","",_xlfn.XLOOKUP($C750&amp;"_"&amp;$AG750,符文权重!$A:$A&amp;"_"&amp;符文权重!$C:$C,符文权重!$D:$D)*$X750/SUMIFS($X:$X,F:F,F750,$C:$C,$C750,$AG:$AG,$AG750)/SUMIF(符文权重!$A:$A,$C750,符文权重!$D:$D))),"")</f>
        <v/>
      </c>
      <c r="M750" s="39" t="str" cm="1">
        <f t="array" ref="M750">IFERROR(IF($A750="","",IF(G750="","",_xlfn.XLOOKUP($C750&amp;"_"&amp;$AG750,符文权重!$A:$A&amp;"_"&amp;符文权重!$C:$C,符文权重!$D:$D)*$X750/SUMIFS($X:$X,G:G,G750,$C:$C,$C750,$AG:$AG,$AG750)/SUMIF(符文权重!$A:$A,$C750,符文权重!$D:$D))),"")</f>
        <v/>
      </c>
      <c r="N750" s="39" t="str" cm="1">
        <f t="array" ref="N750">IFERROR(IF($A750="","",IF(H750="","",_xlfn.XLOOKUP($C750&amp;"_"&amp;$AG750,符文权重!$A:$A&amp;"_"&amp;符文权重!$C:$C,符文权重!$D:$D)*$X750/SUMIFS($X:$X,H:H,H750,$C:$C,$C750,$AG:$AG,$AG750)/SUMIF(符文权重!$A:$A,$C750,符文权重!$D:$D))),"")</f>
        <v/>
      </c>
      <c r="O750" s="39" t="str" cm="1">
        <f t="array" ref="O750">IFERROR(IF($A750="","",IF(I750="","",_xlfn.XLOOKUP($C750&amp;"_"&amp;$AG750,符文权重!$A:$A&amp;"_"&amp;符文权重!$C:$C,符文权重!$D:$D)*$X750/SUMIFS($X:$X,I:I,I750,$C:$C,$C750,$AG:$AG,$AG750)/SUMIF(符文权重!$A:$A,$C750,符文权重!$D:$D))),"")</f>
        <v/>
      </c>
      <c r="P750" s="39" t="str" cm="1">
        <f t="array" ref="P750">IFERROR(IF($A750="","",IF(J750="","",_xlfn.XLOOKUP($C750&amp;"_"&amp;$AG750,符文权重!$A:$A&amp;"_"&amp;符文权重!$C:$C,符文权重!$D:$D)*$X750/SUMIFS($X:$X,J:J,J750,$C:$C,$C750,$AG:$AG,$AG750)/SUMIF(符文权重!$A:$A,$C750,符文权重!$D:$D))),"")</f>
        <v/>
      </c>
      <c r="Q750" s="39" cm="1">
        <f t="array" ref="Q750">IFERROR(IF($A750="","",IF(K750="","",_xlfn.XLOOKUP($C750&amp;"_"&amp;$AG750,符文权重!$A:$A&amp;"_"&amp;符文权重!$C:$C,符文权重!$D:$D)*$X750/SUMIFS($X:$X,K:K,K750,$C:$C,$C750,$AG:$AG,$AG750)/SUMIF(符文权重!$A:$A,$C750,符文权重!$D:$D))),"")</f>
        <v>0.0035</v>
      </c>
      <c r="R750" s="25" t="s">
        <v>330</v>
      </c>
      <c r="S750" s="25" t="s">
        <v>916</v>
      </c>
      <c r="T750" s="25" t="s">
        <v>391</v>
      </c>
      <c r="U750" s="25" t="s">
        <v>928</v>
      </c>
      <c r="W750" s="25" t="s">
        <v>757</v>
      </c>
      <c r="X750" s="25">
        <v>100</v>
      </c>
      <c r="Z750" s="25" t="s">
        <v>176</v>
      </c>
      <c r="AA750" s="32" t="str">
        <f t="shared" si="292"/>
        <v>后羿充能后提高350%攻速，持续3s</v>
      </c>
      <c r="AB750" s="32"/>
      <c r="AC750" s="32" t="s">
        <v>166</v>
      </c>
      <c r="AD750" s="32">
        <f t="shared" si="290"/>
        <v>1745</v>
      </c>
      <c r="AE750" s="25">
        <v>5301282</v>
      </c>
      <c r="AF750" s="25" t="s">
        <v>929</v>
      </c>
      <c r="AG750" s="25">
        <v>8</v>
      </c>
      <c r="AJ750" s="25">
        <v>1</v>
      </c>
      <c r="AK750" s="26"/>
      <c r="AL750" s="25" t="s">
        <v>930</v>
      </c>
      <c r="AM750" s="26"/>
      <c r="AN750" s="25">
        <v>8</v>
      </c>
      <c r="AO750" s="25" t="s">
        <v>31</v>
      </c>
      <c r="AP750" s="20">
        <f t="shared" si="291"/>
        <v>745</v>
      </c>
    </row>
    <row r="751" s="20" customFormat="1" customHeight="1" spans="1:42">
      <c r="A751" s="25">
        <v>5510506</v>
      </c>
      <c r="B751" s="25">
        <v>5301282</v>
      </c>
      <c r="C751" s="25">
        <v>6</v>
      </c>
      <c r="D751" s="25"/>
      <c r="E751" s="25" t="s">
        <v>209</v>
      </c>
      <c r="F751" s="26" t="str">
        <f t="shared" si="289"/>
        <v/>
      </c>
      <c r="G751" s="26" t="str">
        <f>IFERROR(IF(--MID($E751,2*COUNTIF($F751:F751,"&gt;"&amp;0)+2,1)=G$1,G$1,""),"")</f>
        <v/>
      </c>
      <c r="H751" s="26" t="str">
        <f>IFERROR(IF(--MID($E751,2*COUNTIF($F751:G751,"&gt;"&amp;0)+2,1)=H$1,H$1,""),"")</f>
        <v/>
      </c>
      <c r="I751" s="26" t="str">
        <f>IFERROR(IF(--MID($E751,2*COUNTIF($F751:H751,"&gt;"&amp;0)+2,1)=I$1,I$1,""),"")</f>
        <v/>
      </c>
      <c r="J751" s="26" t="str">
        <f>IFERROR(IF(--MID($E751,2*COUNTIF($F751:I751,"&gt;"&amp;0)+2,1)=J$1,J$1,""),"")</f>
        <v/>
      </c>
      <c r="K751" s="26">
        <f>IFERROR(IF(--MID($E751,2*COUNTIF($F751:J751,"&gt;"&amp;0)+2,1)=K$1,K$1,""),"")</f>
        <v>6</v>
      </c>
      <c r="L751" s="39" t="str" cm="1">
        <f t="array" ref="L751">IFERROR(IF($A751="","",IF(F751="","",_xlfn.XLOOKUP($C751&amp;"_"&amp;$AG751,符文权重!$A:$A&amp;"_"&amp;符文权重!$C:$C,符文权重!$D:$D)*$X751/SUMIFS($X:$X,F:F,F751,$C:$C,$C751,$AG:$AG,$AG751)/SUMIF(符文权重!$A:$A,$C751,符文权重!$D:$D))),"")</f>
        <v/>
      </c>
      <c r="M751" s="39" t="str" cm="1">
        <f t="array" ref="M751">IFERROR(IF($A751="","",IF(G751="","",_xlfn.XLOOKUP($C751&amp;"_"&amp;$AG751,符文权重!$A:$A&amp;"_"&amp;符文权重!$C:$C,符文权重!$D:$D)*$X751/SUMIFS($X:$X,G:G,G751,$C:$C,$C751,$AG:$AG,$AG751)/SUMIF(符文权重!$A:$A,$C751,符文权重!$D:$D))),"")</f>
        <v/>
      </c>
      <c r="N751" s="39" t="str" cm="1">
        <f t="array" ref="N751">IFERROR(IF($A751="","",IF(H751="","",_xlfn.XLOOKUP($C751&amp;"_"&amp;$AG751,符文权重!$A:$A&amp;"_"&amp;符文权重!$C:$C,符文权重!$D:$D)*$X751/SUMIFS($X:$X,H:H,H751,$C:$C,$C751,$AG:$AG,$AG751)/SUMIF(符文权重!$A:$A,$C751,符文权重!$D:$D))),"")</f>
        <v/>
      </c>
      <c r="O751" s="39" t="str" cm="1">
        <f t="array" ref="O751">IFERROR(IF($A751="","",IF(I751="","",_xlfn.XLOOKUP($C751&amp;"_"&amp;$AG751,符文权重!$A:$A&amp;"_"&amp;符文权重!$C:$C,符文权重!$D:$D)*$X751/SUMIFS($X:$X,I:I,I751,$C:$C,$C751,$AG:$AG,$AG751)/SUMIF(符文权重!$A:$A,$C751,符文权重!$D:$D))),"")</f>
        <v/>
      </c>
      <c r="P751" s="39" t="str" cm="1">
        <f t="array" ref="P751">IFERROR(IF($A751="","",IF(J751="","",_xlfn.XLOOKUP($C751&amp;"_"&amp;$AG751,符文权重!$A:$A&amp;"_"&amp;符文权重!$C:$C,符文权重!$D:$D)*$X751/SUMIFS($X:$X,J:J,J751,$C:$C,$C751,$AG:$AG,$AG751)/SUMIF(符文权重!$A:$A,$C751,符文权重!$D:$D))),"")</f>
        <v/>
      </c>
      <c r="Q751" s="39" cm="1">
        <f t="array" ref="Q751">IFERROR(IF($A751="","",IF(K751="","",_xlfn.XLOOKUP($C751&amp;"_"&amp;$AG751,符文权重!$A:$A&amp;"_"&amp;符文权重!$C:$C,符文权重!$D:$D)*$X751/SUMIFS($X:$X,K:K,K751,$C:$C,$C751,$AG:$AG,$AG751)/SUMIF(符文权重!$A:$A,$C751,符文权重!$D:$D))),"")</f>
        <v>0.0035</v>
      </c>
      <c r="R751" s="25" t="s">
        <v>330</v>
      </c>
      <c r="S751" s="25" t="s">
        <v>916</v>
      </c>
      <c r="T751" s="25" t="s">
        <v>394</v>
      </c>
      <c r="U751" s="25" t="s">
        <v>931</v>
      </c>
      <c r="W751" s="25" t="s">
        <v>760</v>
      </c>
      <c r="X751" s="25">
        <v>100</v>
      </c>
      <c r="Z751" s="25" t="s">
        <v>178</v>
      </c>
      <c r="AA751" s="32" t="str">
        <f t="shared" si="292"/>
        <v>后羿充能后提高450%攻速，持续3s</v>
      </c>
      <c r="AB751" s="32"/>
      <c r="AC751" s="32" t="s">
        <v>166</v>
      </c>
      <c r="AD751" s="32">
        <f t="shared" si="290"/>
        <v>1746</v>
      </c>
      <c r="AE751" s="25">
        <v>5301282</v>
      </c>
      <c r="AF751" s="25" t="s">
        <v>932</v>
      </c>
      <c r="AG751" s="25">
        <v>8</v>
      </c>
      <c r="AJ751" s="25">
        <v>1</v>
      </c>
      <c r="AK751" s="26"/>
      <c r="AL751" s="25" t="s">
        <v>933</v>
      </c>
      <c r="AM751" s="26"/>
      <c r="AN751" s="25">
        <v>8</v>
      </c>
      <c r="AO751" s="25" t="s">
        <v>31</v>
      </c>
      <c r="AP751" s="20">
        <f t="shared" si="291"/>
        <v>746</v>
      </c>
    </row>
    <row r="752" s="20" customFormat="1" customHeight="1" spans="1:42">
      <c r="A752" s="25">
        <v>5510507</v>
      </c>
      <c r="B752" s="25">
        <v>5301282</v>
      </c>
      <c r="C752" s="25">
        <v>7</v>
      </c>
      <c r="D752" s="25"/>
      <c r="E752" s="25" t="s">
        <v>209</v>
      </c>
      <c r="F752" s="26" t="str">
        <f t="shared" si="289"/>
        <v/>
      </c>
      <c r="G752" s="26" t="str">
        <f>IFERROR(IF(--MID($E752,2*COUNTIF($F752:F752,"&gt;"&amp;0)+2,1)=G$1,G$1,""),"")</f>
        <v/>
      </c>
      <c r="H752" s="26" t="str">
        <f>IFERROR(IF(--MID($E752,2*COUNTIF($F752:G752,"&gt;"&amp;0)+2,1)=H$1,H$1,""),"")</f>
        <v/>
      </c>
      <c r="I752" s="26" t="str">
        <f>IFERROR(IF(--MID($E752,2*COUNTIF($F752:H752,"&gt;"&amp;0)+2,1)=I$1,I$1,""),"")</f>
        <v/>
      </c>
      <c r="J752" s="26" t="str">
        <f>IFERROR(IF(--MID($E752,2*COUNTIF($F752:I752,"&gt;"&amp;0)+2,1)=J$1,J$1,""),"")</f>
        <v/>
      </c>
      <c r="K752" s="26">
        <f>IFERROR(IF(--MID($E752,2*COUNTIF($F752:J752,"&gt;"&amp;0)+2,1)=K$1,K$1,""),"")</f>
        <v>6</v>
      </c>
      <c r="L752" s="39" t="str" cm="1">
        <f t="array" ref="L752">IFERROR(IF($A752="","",IF(F752="","",_xlfn.XLOOKUP($C752&amp;"_"&amp;$AG752,符文权重!$A:$A&amp;"_"&amp;符文权重!$C:$C,符文权重!$D:$D)*$X752/SUMIFS($X:$X,F:F,F752,$C:$C,$C752,$AG:$AG,$AG752)/SUMIF(符文权重!$A:$A,$C752,符文权重!$D:$D))),"")</f>
        <v/>
      </c>
      <c r="M752" s="39" t="str" cm="1">
        <f t="array" ref="M752">IFERROR(IF($A752="","",IF(G752="","",_xlfn.XLOOKUP($C752&amp;"_"&amp;$AG752,符文权重!$A:$A&amp;"_"&amp;符文权重!$C:$C,符文权重!$D:$D)*$X752/SUMIFS($X:$X,G:G,G752,$C:$C,$C752,$AG:$AG,$AG752)/SUMIF(符文权重!$A:$A,$C752,符文权重!$D:$D))),"")</f>
        <v/>
      </c>
      <c r="N752" s="39" t="str" cm="1">
        <f t="array" ref="N752">IFERROR(IF($A752="","",IF(H752="","",_xlfn.XLOOKUP($C752&amp;"_"&amp;$AG752,符文权重!$A:$A&amp;"_"&amp;符文权重!$C:$C,符文权重!$D:$D)*$X752/SUMIFS($X:$X,H:H,H752,$C:$C,$C752,$AG:$AG,$AG752)/SUMIF(符文权重!$A:$A,$C752,符文权重!$D:$D))),"")</f>
        <v/>
      </c>
      <c r="O752" s="39" t="str" cm="1">
        <f t="array" ref="O752">IFERROR(IF($A752="","",IF(I752="","",_xlfn.XLOOKUP($C752&amp;"_"&amp;$AG752,符文权重!$A:$A&amp;"_"&amp;符文权重!$C:$C,符文权重!$D:$D)*$X752/SUMIFS($X:$X,I:I,I752,$C:$C,$C752,$AG:$AG,$AG752)/SUMIF(符文权重!$A:$A,$C752,符文权重!$D:$D))),"")</f>
        <v/>
      </c>
      <c r="P752" s="39" t="str" cm="1">
        <f t="array" ref="P752">IFERROR(IF($A752="","",IF(J752="","",_xlfn.XLOOKUP($C752&amp;"_"&amp;$AG752,符文权重!$A:$A&amp;"_"&amp;符文权重!$C:$C,符文权重!$D:$D)*$X752/SUMIFS($X:$X,J:J,J752,$C:$C,$C752,$AG:$AG,$AG752)/SUMIF(符文权重!$A:$A,$C752,符文权重!$D:$D))),"")</f>
        <v/>
      </c>
      <c r="Q752" s="39" cm="1">
        <f t="array" ref="Q752">IFERROR(IF($A752="","",IF(K752="","",_xlfn.XLOOKUP($C752&amp;"_"&amp;$AG752,符文权重!$A:$A&amp;"_"&amp;符文权重!$C:$C,符文权重!$D:$D)*$X752/SUMIFS($X:$X,K:K,K752,$C:$C,$C752,$AG:$AG,$AG752)/SUMIF(符文权重!$A:$A,$C752,符文权重!$D:$D))),"")</f>
        <v>0.0035</v>
      </c>
      <c r="R752" s="25" t="s">
        <v>330</v>
      </c>
      <c r="S752" s="25" t="s">
        <v>916</v>
      </c>
      <c r="T752" s="25" t="s">
        <v>397</v>
      </c>
      <c r="U752" s="25" t="s">
        <v>934</v>
      </c>
      <c r="W752" s="25" t="s">
        <v>763</v>
      </c>
      <c r="X752" s="25">
        <v>100</v>
      </c>
      <c r="Z752" s="25" t="s">
        <v>180</v>
      </c>
      <c r="AA752" s="32" t="str">
        <f t="shared" si="292"/>
        <v>后羿充能后提高550%攻速，持续3s</v>
      </c>
      <c r="AB752" s="32"/>
      <c r="AC752" s="32" t="s">
        <v>166</v>
      </c>
      <c r="AD752" s="32">
        <f t="shared" si="290"/>
        <v>1747</v>
      </c>
      <c r="AE752" s="25">
        <v>5301282</v>
      </c>
      <c r="AF752" s="25" t="s">
        <v>935</v>
      </c>
      <c r="AG752" s="25">
        <v>8</v>
      </c>
      <c r="AJ752" s="25">
        <v>1</v>
      </c>
      <c r="AL752" s="25" t="s">
        <v>936</v>
      </c>
      <c r="AN752" s="25">
        <v>8</v>
      </c>
      <c r="AO752" s="25" t="s">
        <v>31</v>
      </c>
      <c r="AP752" s="20">
        <f t="shared" si="291"/>
        <v>747</v>
      </c>
    </row>
    <row r="753" customHeight="1" spans="1:42">
      <c r="A753" s="25">
        <v>5510514</v>
      </c>
      <c r="B753" s="25">
        <v>5301283</v>
      </c>
      <c r="C753" s="26">
        <v>4</v>
      </c>
      <c r="D753" s="26"/>
      <c r="E753" s="25" t="s">
        <v>191</v>
      </c>
      <c r="F753" s="26">
        <f t="shared" si="289"/>
        <v>1</v>
      </c>
      <c r="G753" s="26" t="str">
        <f>IFERROR(IF(--MID($E753,2*COUNTIF($F753:F753,"&gt;"&amp;0)+2,1)=G$1,G$1,""),"")</f>
        <v/>
      </c>
      <c r="H753" s="26" t="str">
        <f>IFERROR(IF(--MID($E753,2*COUNTIF($F753:G753,"&gt;"&amp;0)+2,1)=H$1,H$1,""),"")</f>
        <v/>
      </c>
      <c r="I753" s="26" t="str">
        <f>IFERROR(IF(--MID($E753,2*COUNTIF($F753:H753,"&gt;"&amp;0)+2,1)=I$1,I$1,""),"")</f>
        <v/>
      </c>
      <c r="J753" s="26" t="str">
        <f>IFERROR(IF(--MID($E753,2*COUNTIF($F753:I753,"&gt;"&amp;0)+2,1)=J$1,J$1,""),"")</f>
        <v/>
      </c>
      <c r="K753" s="26" t="str">
        <f>IFERROR(IF(--MID($E753,2*COUNTIF($F753:J753,"&gt;"&amp;0)+2,1)=K$1,K$1,""),"")</f>
        <v/>
      </c>
      <c r="L753" s="39" t="str" cm="1">
        <f t="array" ref="L753">IFERROR(IF($A753="","",IF(F753="","",_xlfn.XLOOKUP($C753&amp;"_"&amp;$AG753,符文权重!$A:$A&amp;"_"&amp;符文权重!$C:$C,符文权重!$D:$D)*$X753/SUMIFS($X:$X,F:F,F753,$C:$C,$C753,$AG:$AG,$AG753)/SUMIF(符文权重!$A:$A,$C753,符文权重!$D:$D))),"")</f>
        <v/>
      </c>
      <c r="M753" s="39" t="str" cm="1">
        <f t="array" ref="M753">IFERROR(IF($A753="","",IF(G753="","",_xlfn.XLOOKUP($C753&amp;"_"&amp;$AG753,符文权重!$A:$A&amp;"_"&amp;符文权重!$C:$C,符文权重!$D:$D)*$X753/SUMIFS($X:$X,G:G,G753,$C:$C,$C753,$AG:$AG,$AG753)/SUMIF(符文权重!$A:$A,$C753,符文权重!$D:$D))),"")</f>
        <v/>
      </c>
      <c r="N753" s="39" t="str" cm="1">
        <f t="array" ref="N753">IFERROR(IF($A753="","",IF(H753="","",_xlfn.XLOOKUP($C753&amp;"_"&amp;$AG753,符文权重!$A:$A&amp;"_"&amp;符文权重!$C:$C,符文权重!$D:$D)*$X753/SUMIFS($X:$X,H:H,H753,$C:$C,$C753,$AG:$AG,$AG753)/SUMIF(符文权重!$A:$A,$C753,符文权重!$D:$D))),"")</f>
        <v/>
      </c>
      <c r="O753" s="39" t="str" cm="1">
        <f t="array" ref="O753">IFERROR(IF($A753="","",IF(I753="","",_xlfn.XLOOKUP($C753&amp;"_"&amp;$AG753,符文权重!$A:$A&amp;"_"&amp;符文权重!$C:$C,符文权重!$D:$D)*$X753/SUMIFS($X:$X,I:I,I753,$C:$C,$C753,$AG:$AG,$AG753)/SUMIF(符文权重!$A:$A,$C753,符文权重!$D:$D))),"")</f>
        <v/>
      </c>
      <c r="P753" s="39" t="str" cm="1">
        <f t="array" ref="P753">IFERROR(IF($A753="","",IF(J753="","",_xlfn.XLOOKUP($C753&amp;"_"&amp;$AG753,符文权重!$A:$A&amp;"_"&amp;符文权重!$C:$C,符文权重!$D:$D)*$X753/SUMIFS($X:$X,J:J,J753,$C:$C,$C753,$AG:$AG,$AG753)/SUMIF(符文权重!$A:$A,$C753,符文权重!$D:$D))),"")</f>
        <v/>
      </c>
      <c r="Q753" s="39" t="str" cm="1">
        <f t="array" ref="Q753">IFERROR(IF($A753="","",IF(K753="","",_xlfn.XLOOKUP($C753&amp;"_"&amp;$AG753,符文权重!$A:$A&amp;"_"&amp;符文权重!$C:$C,符文权重!$D:$D)*$X753/SUMIFS($X:$X,K:K,K753,$C:$C,$C753,$AG:$AG,$AG753)/SUMIF(符文权重!$A:$A,$C753,符文权重!$D:$D))),"")</f>
        <v/>
      </c>
      <c r="R753" s="26" t="s">
        <v>330</v>
      </c>
      <c r="S753" s="26" t="s">
        <v>916</v>
      </c>
      <c r="T753" s="26" t="s">
        <v>388</v>
      </c>
      <c r="U753" s="20" t="s">
        <v>937</v>
      </c>
      <c r="W753" s="25" t="s">
        <v>754</v>
      </c>
      <c r="X753" s="25">
        <v>100</v>
      </c>
      <c r="Z753" s="26" t="s">
        <v>174</v>
      </c>
      <c r="AA753" s="32" t="str">
        <f t="shared" si="292"/>
        <v>后羿添加喉咙上火标记时50%几率立即叠满</v>
      </c>
      <c r="AB753" s="32"/>
      <c r="AC753" s="32" t="s">
        <v>166</v>
      </c>
      <c r="AD753" s="32">
        <f t="shared" si="290"/>
        <v>1748</v>
      </c>
      <c r="AE753" s="25">
        <v>5301283</v>
      </c>
      <c r="AF753" s="26" t="s">
        <v>541</v>
      </c>
      <c r="AG753" s="26">
        <v>100</v>
      </c>
      <c r="AH753" s="26"/>
      <c r="AI753" s="26">
        <v>1</v>
      </c>
      <c r="AJ753" s="26">
        <v>0</v>
      </c>
      <c r="AK753" s="25"/>
      <c r="AL753" s="26" t="s">
        <v>938</v>
      </c>
      <c r="AN753" s="25">
        <v>8</v>
      </c>
      <c r="AO753" s="25" t="s">
        <v>31</v>
      </c>
      <c r="AP753" s="20">
        <f t="shared" si="291"/>
        <v>748</v>
      </c>
    </row>
    <row r="754" s="20" customFormat="1" customHeight="1" spans="1:42">
      <c r="A754" s="25">
        <v>5510515</v>
      </c>
      <c r="B754" s="25">
        <v>5301283</v>
      </c>
      <c r="C754" s="25">
        <v>5</v>
      </c>
      <c r="D754" s="25"/>
      <c r="E754" s="25" t="s">
        <v>191</v>
      </c>
      <c r="F754" s="26">
        <f t="shared" si="289"/>
        <v>1</v>
      </c>
      <c r="G754" s="26" t="str">
        <f>IFERROR(IF(--MID($E754,2*COUNTIF($F754:F754,"&gt;"&amp;0)+2,1)=G$1,G$1,""),"")</f>
        <v/>
      </c>
      <c r="H754" s="26" t="str">
        <f>IFERROR(IF(--MID($E754,2*COUNTIF($F754:G754,"&gt;"&amp;0)+2,1)=H$1,H$1,""),"")</f>
        <v/>
      </c>
      <c r="I754" s="26" t="str">
        <f>IFERROR(IF(--MID($E754,2*COUNTIF($F754:H754,"&gt;"&amp;0)+2,1)=I$1,I$1,""),"")</f>
        <v/>
      </c>
      <c r="J754" s="26" t="str">
        <f>IFERROR(IF(--MID($E754,2*COUNTIF($F754:I754,"&gt;"&amp;0)+2,1)=J$1,J$1,""),"")</f>
        <v/>
      </c>
      <c r="K754" s="26" t="str">
        <f>IFERROR(IF(--MID($E754,2*COUNTIF($F754:J754,"&gt;"&amp;0)+2,1)=K$1,K$1,""),"")</f>
        <v/>
      </c>
      <c r="L754" s="39" cm="1">
        <f t="array" ref="L754">IFERROR(IF($A754="","",IF(F754="","",_xlfn.XLOOKUP($C754&amp;"_"&amp;$AG754,符文权重!$A:$A&amp;"_"&amp;符文权重!$C:$C,符文权重!$D:$D)*$X754/SUMIFS($X:$X,F:F,F754,$C:$C,$C754,$AG:$AG,$AG754)/SUMIF(符文权重!$A:$A,$C754,符文权重!$D:$D))),"")</f>
        <v>0.00525</v>
      </c>
      <c r="M754" s="39" t="str" cm="1">
        <f t="array" ref="M754">IFERROR(IF($A754="","",IF(G754="","",_xlfn.XLOOKUP($C754&amp;"_"&amp;$AG754,符文权重!$A:$A&amp;"_"&amp;符文权重!$C:$C,符文权重!$D:$D)*$X754/SUMIFS($X:$X,G:G,G754,$C:$C,$C754,$AG:$AG,$AG754)/SUMIF(符文权重!$A:$A,$C754,符文权重!$D:$D))),"")</f>
        <v/>
      </c>
      <c r="N754" s="39" t="str" cm="1">
        <f t="array" ref="N754">IFERROR(IF($A754="","",IF(H754="","",_xlfn.XLOOKUP($C754&amp;"_"&amp;$AG754,符文权重!$A:$A&amp;"_"&amp;符文权重!$C:$C,符文权重!$D:$D)*$X754/SUMIFS($X:$X,H:H,H754,$C:$C,$C754,$AG:$AG,$AG754)/SUMIF(符文权重!$A:$A,$C754,符文权重!$D:$D))),"")</f>
        <v/>
      </c>
      <c r="O754" s="39" t="str" cm="1">
        <f t="array" ref="O754">IFERROR(IF($A754="","",IF(I754="","",_xlfn.XLOOKUP($C754&amp;"_"&amp;$AG754,符文权重!$A:$A&amp;"_"&amp;符文权重!$C:$C,符文权重!$D:$D)*$X754/SUMIFS($X:$X,I:I,I754,$C:$C,$C754,$AG:$AG,$AG754)/SUMIF(符文权重!$A:$A,$C754,符文权重!$D:$D))),"")</f>
        <v/>
      </c>
      <c r="P754" s="39" t="str" cm="1">
        <f t="array" ref="P754">IFERROR(IF($A754="","",IF(J754="","",_xlfn.XLOOKUP($C754&amp;"_"&amp;$AG754,符文权重!$A:$A&amp;"_"&amp;符文权重!$C:$C,符文权重!$D:$D)*$X754/SUMIFS($X:$X,J:J,J754,$C:$C,$C754,$AG:$AG,$AG754)/SUMIF(符文权重!$A:$A,$C754,符文权重!$D:$D))),"")</f>
        <v/>
      </c>
      <c r="Q754" s="39" t="str" cm="1">
        <f t="array" ref="Q754">IFERROR(IF($A754="","",IF(K754="","",_xlfn.XLOOKUP($C754&amp;"_"&amp;$AG754,符文权重!$A:$A&amp;"_"&amp;符文权重!$C:$C,符文权重!$D:$D)*$X754/SUMIFS($X:$X,K:K,K754,$C:$C,$C754,$AG:$AG,$AG754)/SUMIF(符文权重!$A:$A,$C754,符文权重!$D:$D))),"")</f>
        <v/>
      </c>
      <c r="R754" s="25" t="s">
        <v>330</v>
      </c>
      <c r="S754" s="25" t="s">
        <v>916</v>
      </c>
      <c r="T754" s="25" t="s">
        <v>391</v>
      </c>
      <c r="U754" s="25" t="s">
        <v>939</v>
      </c>
      <c r="W754" s="25" t="s">
        <v>757</v>
      </c>
      <c r="X754" s="25">
        <v>100</v>
      </c>
      <c r="Z754" s="25" t="s">
        <v>176</v>
      </c>
      <c r="AA754" s="32" t="str">
        <f t="shared" si="292"/>
        <v>后羿添加喉咙上火标记时70%几率立即叠满</v>
      </c>
      <c r="AB754" s="32"/>
      <c r="AC754" s="32" t="s">
        <v>166</v>
      </c>
      <c r="AD754" s="32">
        <f t="shared" si="290"/>
        <v>1749</v>
      </c>
      <c r="AE754" s="25">
        <v>5301283</v>
      </c>
      <c r="AF754" s="25" t="s">
        <v>545</v>
      </c>
      <c r="AG754" s="25">
        <v>8</v>
      </c>
      <c r="AJ754" s="25">
        <v>1</v>
      </c>
      <c r="AK754" s="26"/>
      <c r="AL754" s="25" t="s">
        <v>940</v>
      </c>
      <c r="AM754" s="26"/>
      <c r="AN754" s="25">
        <v>8</v>
      </c>
      <c r="AO754" s="25" t="s">
        <v>31</v>
      </c>
      <c r="AP754" s="20">
        <f t="shared" si="291"/>
        <v>749</v>
      </c>
    </row>
    <row r="755" s="20" customFormat="1" customHeight="1" spans="1:42">
      <c r="A755" s="25">
        <v>5510516</v>
      </c>
      <c r="B755" s="25">
        <v>5301283</v>
      </c>
      <c r="C755" s="25">
        <v>6</v>
      </c>
      <c r="D755" s="25"/>
      <c r="E755" s="25" t="s">
        <v>191</v>
      </c>
      <c r="F755" s="26">
        <f t="shared" si="289"/>
        <v>1</v>
      </c>
      <c r="G755" s="26" t="str">
        <f>IFERROR(IF(--MID($E755,2*COUNTIF($F755:F755,"&gt;"&amp;0)+2,1)=G$1,G$1,""),"")</f>
        <v/>
      </c>
      <c r="H755" s="26" t="str">
        <f>IFERROR(IF(--MID($E755,2*COUNTIF($F755:G755,"&gt;"&amp;0)+2,1)=H$1,H$1,""),"")</f>
        <v/>
      </c>
      <c r="I755" s="26" t="str">
        <f>IFERROR(IF(--MID($E755,2*COUNTIF($F755:H755,"&gt;"&amp;0)+2,1)=I$1,I$1,""),"")</f>
        <v/>
      </c>
      <c r="J755" s="26" t="str">
        <f>IFERROR(IF(--MID($E755,2*COUNTIF($F755:I755,"&gt;"&amp;0)+2,1)=J$1,J$1,""),"")</f>
        <v/>
      </c>
      <c r="K755" s="26" t="str">
        <f>IFERROR(IF(--MID($E755,2*COUNTIF($F755:J755,"&gt;"&amp;0)+2,1)=K$1,K$1,""),"")</f>
        <v/>
      </c>
      <c r="L755" s="39" cm="1">
        <f t="array" ref="L755">IFERROR(IF($A755="","",IF(F755="","",_xlfn.XLOOKUP($C755&amp;"_"&amp;$AG755,符文权重!$A:$A&amp;"_"&amp;符文权重!$C:$C,符文权重!$D:$D)*$X755/SUMIFS($X:$X,F:F,F755,$C:$C,$C755,$AG:$AG,$AG755)/SUMIF(符文权重!$A:$A,$C755,符文权重!$D:$D))),"")</f>
        <v>0.00525</v>
      </c>
      <c r="M755" s="39" t="str" cm="1">
        <f t="array" ref="M755">IFERROR(IF($A755="","",IF(G755="","",_xlfn.XLOOKUP($C755&amp;"_"&amp;$AG755,符文权重!$A:$A&amp;"_"&amp;符文权重!$C:$C,符文权重!$D:$D)*$X755/SUMIFS($X:$X,G:G,G755,$C:$C,$C755,$AG:$AG,$AG755)/SUMIF(符文权重!$A:$A,$C755,符文权重!$D:$D))),"")</f>
        <v/>
      </c>
      <c r="N755" s="39" t="str" cm="1">
        <f t="array" ref="N755">IFERROR(IF($A755="","",IF(H755="","",_xlfn.XLOOKUP($C755&amp;"_"&amp;$AG755,符文权重!$A:$A&amp;"_"&amp;符文权重!$C:$C,符文权重!$D:$D)*$X755/SUMIFS($X:$X,H:H,H755,$C:$C,$C755,$AG:$AG,$AG755)/SUMIF(符文权重!$A:$A,$C755,符文权重!$D:$D))),"")</f>
        <v/>
      </c>
      <c r="O755" s="39" t="str" cm="1">
        <f t="array" ref="O755">IFERROR(IF($A755="","",IF(I755="","",_xlfn.XLOOKUP($C755&amp;"_"&amp;$AG755,符文权重!$A:$A&amp;"_"&amp;符文权重!$C:$C,符文权重!$D:$D)*$X755/SUMIFS($X:$X,I:I,I755,$C:$C,$C755,$AG:$AG,$AG755)/SUMIF(符文权重!$A:$A,$C755,符文权重!$D:$D))),"")</f>
        <v/>
      </c>
      <c r="P755" s="39" t="str" cm="1">
        <f t="array" ref="P755">IFERROR(IF($A755="","",IF(J755="","",_xlfn.XLOOKUP($C755&amp;"_"&amp;$AG755,符文权重!$A:$A&amp;"_"&amp;符文权重!$C:$C,符文权重!$D:$D)*$X755/SUMIFS($X:$X,J:J,J755,$C:$C,$C755,$AG:$AG,$AG755)/SUMIF(符文权重!$A:$A,$C755,符文权重!$D:$D))),"")</f>
        <v/>
      </c>
      <c r="Q755" s="39" t="str" cm="1">
        <f t="array" ref="Q755">IFERROR(IF($A755="","",IF(K755="","",_xlfn.XLOOKUP($C755&amp;"_"&amp;$AG755,符文权重!$A:$A&amp;"_"&amp;符文权重!$C:$C,符文权重!$D:$D)*$X755/SUMIFS($X:$X,K:K,K755,$C:$C,$C755,$AG:$AG,$AG755)/SUMIF(符文权重!$A:$A,$C755,符文权重!$D:$D))),"")</f>
        <v/>
      </c>
      <c r="R755" s="25" t="s">
        <v>330</v>
      </c>
      <c r="S755" s="25" t="s">
        <v>916</v>
      </c>
      <c r="T755" s="25" t="s">
        <v>394</v>
      </c>
      <c r="U755" s="25" t="s">
        <v>941</v>
      </c>
      <c r="W755" s="25" t="s">
        <v>760</v>
      </c>
      <c r="X755" s="25">
        <v>100</v>
      </c>
      <c r="Z755" s="25" t="s">
        <v>178</v>
      </c>
      <c r="AA755" s="32" t="str">
        <f t="shared" si="292"/>
        <v>后羿添加喉咙上火标记时85%几率立即叠满</v>
      </c>
      <c r="AB755" s="32"/>
      <c r="AC755" s="32" t="s">
        <v>166</v>
      </c>
      <c r="AD755" s="32">
        <f t="shared" si="290"/>
        <v>1750</v>
      </c>
      <c r="AE755" s="25">
        <v>5301283</v>
      </c>
      <c r="AF755" s="25" t="s">
        <v>942</v>
      </c>
      <c r="AG755" s="25">
        <v>8</v>
      </c>
      <c r="AJ755" s="25">
        <v>1</v>
      </c>
      <c r="AK755" s="26"/>
      <c r="AL755" s="25" t="s">
        <v>943</v>
      </c>
      <c r="AM755" s="26"/>
      <c r="AN755" s="25">
        <v>8</v>
      </c>
      <c r="AO755" s="25" t="s">
        <v>31</v>
      </c>
      <c r="AP755" s="20">
        <f t="shared" si="291"/>
        <v>750</v>
      </c>
    </row>
    <row r="756" s="20" customFormat="1" customHeight="1" spans="1:42">
      <c r="A756" s="25">
        <v>5510517</v>
      </c>
      <c r="B756" s="25">
        <v>5301283</v>
      </c>
      <c r="C756" s="25">
        <v>7</v>
      </c>
      <c r="D756" s="25"/>
      <c r="E756" s="25" t="s">
        <v>191</v>
      </c>
      <c r="F756" s="26">
        <f t="shared" si="289"/>
        <v>1</v>
      </c>
      <c r="G756" s="26" t="str">
        <f>IFERROR(IF(--MID($E756,2*COUNTIF($F756:F756,"&gt;"&amp;0)+2,1)=G$1,G$1,""),"")</f>
        <v/>
      </c>
      <c r="H756" s="26" t="str">
        <f>IFERROR(IF(--MID($E756,2*COUNTIF($F756:G756,"&gt;"&amp;0)+2,1)=H$1,H$1,""),"")</f>
        <v/>
      </c>
      <c r="I756" s="26" t="str">
        <f>IFERROR(IF(--MID($E756,2*COUNTIF($F756:H756,"&gt;"&amp;0)+2,1)=I$1,I$1,""),"")</f>
        <v/>
      </c>
      <c r="J756" s="26" t="str">
        <f>IFERROR(IF(--MID($E756,2*COUNTIF($F756:I756,"&gt;"&amp;0)+2,1)=J$1,J$1,""),"")</f>
        <v/>
      </c>
      <c r="K756" s="26" t="str">
        <f>IFERROR(IF(--MID($E756,2*COUNTIF($F756:J756,"&gt;"&amp;0)+2,1)=K$1,K$1,""),"")</f>
        <v/>
      </c>
      <c r="L756" s="39" cm="1">
        <f t="array" ref="L756">IFERROR(IF($A756="","",IF(F756="","",_xlfn.XLOOKUP($C756&amp;"_"&amp;$AG756,符文权重!$A:$A&amp;"_"&amp;符文权重!$C:$C,符文权重!$D:$D)*$X756/SUMIFS($X:$X,F:F,F756,$C:$C,$C756,$AG:$AG,$AG756)/SUMIF(符文权重!$A:$A,$C756,符文权重!$D:$D))),"")</f>
        <v>0.00525</v>
      </c>
      <c r="M756" s="39" t="str" cm="1">
        <f t="array" ref="M756">IFERROR(IF($A756="","",IF(G756="","",_xlfn.XLOOKUP($C756&amp;"_"&amp;$AG756,符文权重!$A:$A&amp;"_"&amp;符文权重!$C:$C,符文权重!$D:$D)*$X756/SUMIFS($X:$X,G:G,G756,$C:$C,$C756,$AG:$AG,$AG756)/SUMIF(符文权重!$A:$A,$C756,符文权重!$D:$D))),"")</f>
        <v/>
      </c>
      <c r="N756" s="39" t="str" cm="1">
        <f t="array" ref="N756">IFERROR(IF($A756="","",IF(H756="","",_xlfn.XLOOKUP($C756&amp;"_"&amp;$AG756,符文权重!$A:$A&amp;"_"&amp;符文权重!$C:$C,符文权重!$D:$D)*$X756/SUMIFS($X:$X,H:H,H756,$C:$C,$C756,$AG:$AG,$AG756)/SUMIF(符文权重!$A:$A,$C756,符文权重!$D:$D))),"")</f>
        <v/>
      </c>
      <c r="O756" s="39" t="str" cm="1">
        <f t="array" ref="O756">IFERROR(IF($A756="","",IF(I756="","",_xlfn.XLOOKUP($C756&amp;"_"&amp;$AG756,符文权重!$A:$A&amp;"_"&amp;符文权重!$C:$C,符文权重!$D:$D)*$X756/SUMIFS($X:$X,I:I,I756,$C:$C,$C756,$AG:$AG,$AG756)/SUMIF(符文权重!$A:$A,$C756,符文权重!$D:$D))),"")</f>
        <v/>
      </c>
      <c r="P756" s="39" t="str" cm="1">
        <f t="array" ref="P756">IFERROR(IF($A756="","",IF(J756="","",_xlfn.XLOOKUP($C756&amp;"_"&amp;$AG756,符文权重!$A:$A&amp;"_"&amp;符文权重!$C:$C,符文权重!$D:$D)*$X756/SUMIFS($X:$X,J:J,J756,$C:$C,$C756,$AG:$AG,$AG756)/SUMIF(符文权重!$A:$A,$C756,符文权重!$D:$D))),"")</f>
        <v/>
      </c>
      <c r="Q756" s="39" t="str" cm="1">
        <f t="array" ref="Q756">IFERROR(IF($A756="","",IF(K756="","",_xlfn.XLOOKUP($C756&amp;"_"&amp;$AG756,符文权重!$A:$A&amp;"_"&amp;符文权重!$C:$C,符文权重!$D:$D)*$X756/SUMIFS($X:$X,K:K,K756,$C:$C,$C756,$AG:$AG,$AG756)/SUMIF(符文权重!$A:$A,$C756,符文权重!$D:$D))),"")</f>
        <v/>
      </c>
      <c r="R756" s="25" t="s">
        <v>330</v>
      </c>
      <c r="S756" s="25" t="s">
        <v>916</v>
      </c>
      <c r="T756" s="25" t="s">
        <v>397</v>
      </c>
      <c r="U756" s="25" t="s">
        <v>944</v>
      </c>
      <c r="W756" s="25" t="s">
        <v>763</v>
      </c>
      <c r="X756" s="25">
        <v>100</v>
      </c>
      <c r="Z756" s="25" t="s">
        <v>180</v>
      </c>
      <c r="AA756" s="32" t="str">
        <f t="shared" si="292"/>
        <v>后羿添加喉咙上火标记时100%几率立即叠满</v>
      </c>
      <c r="AB756" s="32"/>
      <c r="AC756" s="32" t="s">
        <v>166</v>
      </c>
      <c r="AD756" s="32">
        <f t="shared" si="290"/>
        <v>1751</v>
      </c>
      <c r="AE756" s="25">
        <v>5301283</v>
      </c>
      <c r="AF756" s="25" t="s">
        <v>833</v>
      </c>
      <c r="AG756" s="25">
        <v>8</v>
      </c>
      <c r="AJ756" s="25">
        <v>1</v>
      </c>
      <c r="AK756" s="26"/>
      <c r="AL756" s="25" t="s">
        <v>945</v>
      </c>
      <c r="AM756" s="26"/>
      <c r="AN756" s="25">
        <v>8</v>
      </c>
      <c r="AO756" s="25" t="s">
        <v>31</v>
      </c>
      <c r="AP756" s="20">
        <f t="shared" si="291"/>
        <v>751</v>
      </c>
    </row>
    <row r="757" customHeight="1" spans="1:42">
      <c r="A757" s="25">
        <v>5510524</v>
      </c>
      <c r="B757" s="25">
        <v>5301285</v>
      </c>
      <c r="C757" s="26">
        <v>4</v>
      </c>
      <c r="D757" s="26"/>
      <c r="E757" s="25" t="s">
        <v>209</v>
      </c>
      <c r="F757" s="26" t="str">
        <f t="shared" si="289"/>
        <v/>
      </c>
      <c r="G757" s="26" t="str">
        <f>IFERROR(IF(--MID($E757,2*COUNTIF($F757:F757,"&gt;"&amp;0)+2,1)=G$1,G$1,""),"")</f>
        <v/>
      </c>
      <c r="H757" s="26" t="str">
        <f>IFERROR(IF(--MID($E757,2*COUNTIF($F757:G757,"&gt;"&amp;0)+2,1)=H$1,H$1,""),"")</f>
        <v/>
      </c>
      <c r="I757" s="26" t="str">
        <f>IFERROR(IF(--MID($E757,2*COUNTIF($F757:H757,"&gt;"&amp;0)+2,1)=I$1,I$1,""),"")</f>
        <v/>
      </c>
      <c r="J757" s="26" t="str">
        <f>IFERROR(IF(--MID($E757,2*COUNTIF($F757:I757,"&gt;"&amp;0)+2,1)=J$1,J$1,""),"")</f>
        <v/>
      </c>
      <c r="K757" s="26">
        <f>IFERROR(IF(--MID($E757,2*COUNTIF($F757:J757,"&gt;"&amp;0)+2,1)=K$1,K$1,""),"")</f>
        <v>6</v>
      </c>
      <c r="L757" s="39" t="str" cm="1">
        <f t="array" ref="L757">IFERROR(IF($A757="","",IF(F757="","",_xlfn.XLOOKUP($C757&amp;"_"&amp;$AG757,符文权重!$A:$A&amp;"_"&amp;符文权重!$C:$C,符文权重!$D:$D)*$X757/SUMIFS($X:$X,F:F,F757,$C:$C,$C757,$AG:$AG,$AG757)/SUMIF(符文权重!$A:$A,$C757,符文权重!$D:$D))),"")</f>
        <v/>
      </c>
      <c r="M757" s="39" t="str" cm="1">
        <f t="array" ref="M757">IFERROR(IF($A757="","",IF(G757="","",_xlfn.XLOOKUP($C757&amp;"_"&amp;$AG757,符文权重!$A:$A&amp;"_"&amp;符文权重!$C:$C,符文权重!$D:$D)*$X757/SUMIFS($X:$X,G:G,G757,$C:$C,$C757,$AG:$AG,$AG757)/SUMIF(符文权重!$A:$A,$C757,符文权重!$D:$D))),"")</f>
        <v/>
      </c>
      <c r="N757" s="39" t="str" cm="1">
        <f t="array" ref="N757">IFERROR(IF($A757="","",IF(H757="","",_xlfn.XLOOKUP($C757&amp;"_"&amp;$AG757,符文权重!$A:$A&amp;"_"&amp;符文权重!$C:$C,符文权重!$D:$D)*$X757/SUMIFS($X:$X,H:H,H757,$C:$C,$C757,$AG:$AG,$AG757)/SUMIF(符文权重!$A:$A,$C757,符文权重!$D:$D))),"")</f>
        <v/>
      </c>
      <c r="O757" s="39" t="str" cm="1">
        <f t="array" ref="O757">IFERROR(IF($A757="","",IF(I757="","",_xlfn.XLOOKUP($C757&amp;"_"&amp;$AG757,符文权重!$A:$A&amp;"_"&amp;符文权重!$C:$C,符文权重!$D:$D)*$X757/SUMIFS($X:$X,I:I,I757,$C:$C,$C757,$AG:$AG,$AG757)/SUMIF(符文权重!$A:$A,$C757,符文权重!$D:$D))),"")</f>
        <v/>
      </c>
      <c r="P757" s="39" t="str" cm="1">
        <f t="array" ref="P757">IFERROR(IF($A757="","",IF(J757="","",_xlfn.XLOOKUP($C757&amp;"_"&amp;$AG757,符文权重!$A:$A&amp;"_"&amp;符文权重!$C:$C,符文权重!$D:$D)*$X757/SUMIFS($X:$X,J:J,J757,$C:$C,$C757,$AG:$AG,$AG757)/SUMIF(符文权重!$A:$A,$C757,符文权重!$D:$D))),"")</f>
        <v/>
      </c>
      <c r="Q757" s="39" t="str" cm="1">
        <f t="array" ref="Q757">IFERROR(IF($A757="","",IF(K757="","",_xlfn.XLOOKUP($C757&amp;"_"&amp;$AG757,符文权重!$A:$A&amp;"_"&amp;符文权重!$C:$C,符文权重!$D:$D)*$X757/SUMIFS($X:$X,K:K,K757,$C:$C,$C757,$AG:$AG,$AG757)/SUMIF(符文权重!$A:$A,$C757,符文权重!$D:$D))),"")</f>
        <v/>
      </c>
      <c r="R757" s="26" t="s">
        <v>330</v>
      </c>
      <c r="S757" s="26" t="s">
        <v>946</v>
      </c>
      <c r="T757" s="26" t="s">
        <v>388</v>
      </c>
      <c r="U757" s="20" t="s">
        <v>947</v>
      </c>
      <c r="W757" s="25" t="s">
        <v>754</v>
      </c>
      <c r="X757" s="25">
        <v>100</v>
      </c>
      <c r="Z757" s="26" t="s">
        <v>174</v>
      </c>
      <c r="AA757" s="32" t="str">
        <f t="shared" si="292"/>
        <v>诸葛奥义会对怪物追击最大生命值6%的血量伤害（不超过1200%攻击力）</v>
      </c>
      <c r="AB757" s="32"/>
      <c r="AC757" s="32" t="s">
        <v>166</v>
      </c>
      <c r="AD757" s="32">
        <f t="shared" si="290"/>
        <v>1752</v>
      </c>
      <c r="AE757" s="25">
        <v>53012851</v>
      </c>
      <c r="AF757" s="26" t="s">
        <v>209</v>
      </c>
      <c r="AG757" s="26">
        <v>100</v>
      </c>
      <c r="AH757" s="26"/>
      <c r="AI757" s="26">
        <v>1</v>
      </c>
      <c r="AJ757" s="26">
        <v>0</v>
      </c>
      <c r="AK757" s="25"/>
      <c r="AL757" s="26" t="s">
        <v>948</v>
      </c>
      <c r="AN757" s="25">
        <v>8</v>
      </c>
      <c r="AO757" s="25" t="s">
        <v>32</v>
      </c>
      <c r="AP757" s="20">
        <f t="shared" si="291"/>
        <v>752</v>
      </c>
    </row>
    <row r="758" s="20" customFormat="1" customHeight="1" spans="1:42">
      <c r="A758" s="25">
        <v>5510525</v>
      </c>
      <c r="B758" s="25">
        <v>5301285</v>
      </c>
      <c r="C758" s="25">
        <v>5</v>
      </c>
      <c r="D758" s="25"/>
      <c r="E758" s="25" t="s">
        <v>209</v>
      </c>
      <c r="F758" s="26" t="str">
        <f t="shared" si="289"/>
        <v/>
      </c>
      <c r="G758" s="26" t="str">
        <f>IFERROR(IF(--MID($E758,2*COUNTIF($F758:F758,"&gt;"&amp;0)+2,1)=G$1,G$1,""),"")</f>
        <v/>
      </c>
      <c r="H758" s="26" t="str">
        <f>IFERROR(IF(--MID($E758,2*COUNTIF($F758:G758,"&gt;"&amp;0)+2,1)=H$1,H$1,""),"")</f>
        <v/>
      </c>
      <c r="I758" s="26" t="str">
        <f>IFERROR(IF(--MID($E758,2*COUNTIF($F758:H758,"&gt;"&amp;0)+2,1)=I$1,I$1,""),"")</f>
        <v/>
      </c>
      <c r="J758" s="26" t="str">
        <f>IFERROR(IF(--MID($E758,2*COUNTIF($F758:I758,"&gt;"&amp;0)+2,1)=J$1,J$1,""),"")</f>
        <v/>
      </c>
      <c r="K758" s="26">
        <f>IFERROR(IF(--MID($E758,2*COUNTIF($F758:J758,"&gt;"&amp;0)+2,1)=K$1,K$1,""),"")</f>
        <v>6</v>
      </c>
      <c r="L758" s="39" t="str" cm="1">
        <f t="array" ref="L758">IFERROR(IF($A758="","",IF(F758="","",_xlfn.XLOOKUP($C758&amp;"_"&amp;$AG758,符文权重!$A:$A&amp;"_"&amp;符文权重!$C:$C,符文权重!$D:$D)*$X758/SUMIFS($X:$X,F:F,F758,$C:$C,$C758,$AG:$AG,$AG758)/SUMIF(符文权重!$A:$A,$C758,符文权重!$D:$D))),"")</f>
        <v/>
      </c>
      <c r="M758" s="39" t="str" cm="1">
        <f t="array" ref="M758">IFERROR(IF($A758="","",IF(G758="","",_xlfn.XLOOKUP($C758&amp;"_"&amp;$AG758,符文权重!$A:$A&amp;"_"&amp;符文权重!$C:$C,符文权重!$D:$D)*$X758/SUMIFS($X:$X,G:G,G758,$C:$C,$C758,$AG:$AG,$AG758)/SUMIF(符文权重!$A:$A,$C758,符文权重!$D:$D))),"")</f>
        <v/>
      </c>
      <c r="N758" s="39" t="str" cm="1">
        <f t="array" ref="N758">IFERROR(IF($A758="","",IF(H758="","",_xlfn.XLOOKUP($C758&amp;"_"&amp;$AG758,符文权重!$A:$A&amp;"_"&amp;符文权重!$C:$C,符文权重!$D:$D)*$X758/SUMIFS($X:$X,H:H,H758,$C:$C,$C758,$AG:$AG,$AG758)/SUMIF(符文权重!$A:$A,$C758,符文权重!$D:$D))),"")</f>
        <v/>
      </c>
      <c r="O758" s="39" t="str" cm="1">
        <f t="array" ref="O758">IFERROR(IF($A758="","",IF(I758="","",_xlfn.XLOOKUP($C758&amp;"_"&amp;$AG758,符文权重!$A:$A&amp;"_"&amp;符文权重!$C:$C,符文权重!$D:$D)*$X758/SUMIFS($X:$X,I:I,I758,$C:$C,$C758,$AG:$AG,$AG758)/SUMIF(符文权重!$A:$A,$C758,符文权重!$D:$D))),"")</f>
        <v/>
      </c>
      <c r="P758" s="39" t="str" cm="1">
        <f t="array" ref="P758">IFERROR(IF($A758="","",IF(J758="","",_xlfn.XLOOKUP($C758&amp;"_"&amp;$AG758,符文权重!$A:$A&amp;"_"&amp;符文权重!$C:$C,符文权重!$D:$D)*$X758/SUMIFS($X:$X,J:J,J758,$C:$C,$C758,$AG:$AG,$AG758)/SUMIF(符文权重!$A:$A,$C758,符文权重!$D:$D))),"")</f>
        <v/>
      </c>
      <c r="Q758" s="39" cm="1">
        <f t="array" ref="Q758">IFERROR(IF($A758="","",IF(K758="","",_xlfn.XLOOKUP($C758&amp;"_"&amp;$AG758,符文权重!$A:$A&amp;"_"&amp;符文权重!$C:$C,符文权重!$D:$D)*$X758/SUMIFS($X:$X,K:K,K758,$C:$C,$C758,$AG:$AG,$AG758)/SUMIF(符文权重!$A:$A,$C758,符文权重!$D:$D))),"")</f>
        <v>0.0035</v>
      </c>
      <c r="R758" s="25" t="s">
        <v>330</v>
      </c>
      <c r="S758" s="25" t="s">
        <v>946</v>
      </c>
      <c r="T758" s="25" t="s">
        <v>391</v>
      </c>
      <c r="U758" s="25" t="s">
        <v>949</v>
      </c>
      <c r="W758" s="25" t="s">
        <v>757</v>
      </c>
      <c r="X758" s="25">
        <v>100</v>
      </c>
      <c r="Z758" s="25" t="s">
        <v>176</v>
      </c>
      <c r="AA758" s="32" t="str">
        <f t="shared" si="292"/>
        <v>诸葛奥义会对怪物追击最大生命值8%的血量伤害（不超过1600%攻击力）</v>
      </c>
      <c r="AB758" s="32"/>
      <c r="AC758" s="32" t="s">
        <v>166</v>
      </c>
      <c r="AD758" s="32">
        <f t="shared" si="290"/>
        <v>1753</v>
      </c>
      <c r="AE758" s="25">
        <v>53012852</v>
      </c>
      <c r="AF758" s="25" t="s">
        <v>387</v>
      </c>
      <c r="AG758" s="25">
        <v>8</v>
      </c>
      <c r="AJ758" s="25">
        <v>1</v>
      </c>
      <c r="AK758" s="26"/>
      <c r="AL758" s="25" t="s">
        <v>950</v>
      </c>
      <c r="AM758" s="26"/>
      <c r="AN758" s="25">
        <v>8</v>
      </c>
      <c r="AO758" s="25" t="s">
        <v>32</v>
      </c>
      <c r="AP758" s="20">
        <f t="shared" si="291"/>
        <v>753</v>
      </c>
    </row>
    <row r="759" s="20" customFormat="1" customHeight="1" spans="1:42">
      <c r="A759" s="25">
        <v>5510526</v>
      </c>
      <c r="B759" s="25">
        <v>5301285</v>
      </c>
      <c r="C759" s="25">
        <v>6</v>
      </c>
      <c r="D759" s="25"/>
      <c r="E759" s="25" t="s">
        <v>209</v>
      </c>
      <c r="F759" s="26" t="str">
        <f t="shared" si="289"/>
        <v/>
      </c>
      <c r="G759" s="26" t="str">
        <f>IFERROR(IF(--MID($E759,2*COUNTIF($F759:F759,"&gt;"&amp;0)+2,1)=G$1,G$1,""),"")</f>
        <v/>
      </c>
      <c r="H759" s="26" t="str">
        <f>IFERROR(IF(--MID($E759,2*COUNTIF($F759:G759,"&gt;"&amp;0)+2,1)=H$1,H$1,""),"")</f>
        <v/>
      </c>
      <c r="I759" s="26" t="str">
        <f>IFERROR(IF(--MID($E759,2*COUNTIF($F759:H759,"&gt;"&amp;0)+2,1)=I$1,I$1,""),"")</f>
        <v/>
      </c>
      <c r="J759" s="26" t="str">
        <f>IFERROR(IF(--MID($E759,2*COUNTIF($F759:I759,"&gt;"&amp;0)+2,1)=J$1,J$1,""),"")</f>
        <v/>
      </c>
      <c r="K759" s="26">
        <f>IFERROR(IF(--MID($E759,2*COUNTIF($F759:J759,"&gt;"&amp;0)+2,1)=K$1,K$1,""),"")</f>
        <v>6</v>
      </c>
      <c r="L759" s="39" t="str" cm="1">
        <f t="array" ref="L759">IFERROR(IF($A759="","",IF(F759="","",_xlfn.XLOOKUP($C759&amp;"_"&amp;$AG759,符文权重!$A:$A&amp;"_"&amp;符文权重!$C:$C,符文权重!$D:$D)*$X759/SUMIFS($X:$X,F:F,F759,$C:$C,$C759,$AG:$AG,$AG759)/SUMIF(符文权重!$A:$A,$C759,符文权重!$D:$D))),"")</f>
        <v/>
      </c>
      <c r="M759" s="39" t="str" cm="1">
        <f t="array" ref="M759">IFERROR(IF($A759="","",IF(G759="","",_xlfn.XLOOKUP($C759&amp;"_"&amp;$AG759,符文权重!$A:$A&amp;"_"&amp;符文权重!$C:$C,符文权重!$D:$D)*$X759/SUMIFS($X:$X,G:G,G759,$C:$C,$C759,$AG:$AG,$AG759)/SUMIF(符文权重!$A:$A,$C759,符文权重!$D:$D))),"")</f>
        <v/>
      </c>
      <c r="N759" s="39" t="str" cm="1">
        <f t="array" ref="N759">IFERROR(IF($A759="","",IF(H759="","",_xlfn.XLOOKUP($C759&amp;"_"&amp;$AG759,符文权重!$A:$A&amp;"_"&amp;符文权重!$C:$C,符文权重!$D:$D)*$X759/SUMIFS($X:$X,H:H,H759,$C:$C,$C759,$AG:$AG,$AG759)/SUMIF(符文权重!$A:$A,$C759,符文权重!$D:$D))),"")</f>
        <v/>
      </c>
      <c r="O759" s="39" t="str" cm="1">
        <f t="array" ref="O759">IFERROR(IF($A759="","",IF(I759="","",_xlfn.XLOOKUP($C759&amp;"_"&amp;$AG759,符文权重!$A:$A&amp;"_"&amp;符文权重!$C:$C,符文权重!$D:$D)*$X759/SUMIFS($X:$X,I:I,I759,$C:$C,$C759,$AG:$AG,$AG759)/SUMIF(符文权重!$A:$A,$C759,符文权重!$D:$D))),"")</f>
        <v/>
      </c>
      <c r="P759" s="39" t="str" cm="1">
        <f t="array" ref="P759">IFERROR(IF($A759="","",IF(J759="","",_xlfn.XLOOKUP($C759&amp;"_"&amp;$AG759,符文权重!$A:$A&amp;"_"&amp;符文权重!$C:$C,符文权重!$D:$D)*$X759/SUMIFS($X:$X,J:J,J759,$C:$C,$C759,$AG:$AG,$AG759)/SUMIF(符文权重!$A:$A,$C759,符文权重!$D:$D))),"")</f>
        <v/>
      </c>
      <c r="Q759" s="39" cm="1">
        <f t="array" ref="Q759">IFERROR(IF($A759="","",IF(K759="","",_xlfn.XLOOKUP($C759&amp;"_"&amp;$AG759,符文权重!$A:$A&amp;"_"&amp;符文权重!$C:$C,符文权重!$D:$D)*$X759/SUMIFS($X:$X,K:K,K759,$C:$C,$C759,$AG:$AG,$AG759)/SUMIF(符文权重!$A:$A,$C759,符文权重!$D:$D))),"")</f>
        <v>0.0035</v>
      </c>
      <c r="R759" s="25" t="s">
        <v>330</v>
      </c>
      <c r="S759" s="25" t="s">
        <v>946</v>
      </c>
      <c r="T759" s="25" t="s">
        <v>394</v>
      </c>
      <c r="U759" s="25" t="s">
        <v>951</v>
      </c>
      <c r="W759" s="25" t="s">
        <v>760</v>
      </c>
      <c r="X759" s="25">
        <v>100</v>
      </c>
      <c r="Z759" s="25" t="s">
        <v>178</v>
      </c>
      <c r="AA759" s="32" t="str">
        <f t="shared" si="292"/>
        <v>诸葛奥义会对怪物追击最大生命值10%的血量伤害（不超过2000%攻击力）</v>
      </c>
      <c r="AB759" s="32"/>
      <c r="AC759" s="32" t="s">
        <v>166</v>
      </c>
      <c r="AD759" s="32">
        <f t="shared" si="290"/>
        <v>1754</v>
      </c>
      <c r="AE759" s="25">
        <v>53012853</v>
      </c>
      <c r="AF759" s="25" t="s">
        <v>390</v>
      </c>
      <c r="AG759" s="25">
        <v>8</v>
      </c>
      <c r="AJ759" s="25">
        <v>1</v>
      </c>
      <c r="AK759" s="26"/>
      <c r="AL759" s="25" t="s">
        <v>952</v>
      </c>
      <c r="AM759" s="26"/>
      <c r="AN759" s="25">
        <v>8</v>
      </c>
      <c r="AO759" s="25" t="s">
        <v>32</v>
      </c>
      <c r="AP759" s="20">
        <f t="shared" si="291"/>
        <v>754</v>
      </c>
    </row>
    <row r="760" s="20" customFormat="1" customHeight="1" spans="1:42">
      <c r="A760" s="25">
        <v>5510527</v>
      </c>
      <c r="B760" s="25">
        <v>5301285</v>
      </c>
      <c r="C760" s="25">
        <v>7</v>
      </c>
      <c r="D760" s="25"/>
      <c r="E760" s="25" t="s">
        <v>209</v>
      </c>
      <c r="F760" s="26" t="str">
        <f t="shared" si="289"/>
        <v/>
      </c>
      <c r="G760" s="26" t="str">
        <f>IFERROR(IF(--MID($E760,2*COUNTIF($F760:F760,"&gt;"&amp;0)+2,1)=G$1,G$1,""),"")</f>
        <v/>
      </c>
      <c r="H760" s="26" t="str">
        <f>IFERROR(IF(--MID($E760,2*COUNTIF($F760:G760,"&gt;"&amp;0)+2,1)=H$1,H$1,""),"")</f>
        <v/>
      </c>
      <c r="I760" s="26" t="str">
        <f>IFERROR(IF(--MID($E760,2*COUNTIF($F760:H760,"&gt;"&amp;0)+2,1)=I$1,I$1,""),"")</f>
        <v/>
      </c>
      <c r="J760" s="26" t="str">
        <f>IFERROR(IF(--MID($E760,2*COUNTIF($F760:I760,"&gt;"&amp;0)+2,1)=J$1,J$1,""),"")</f>
        <v/>
      </c>
      <c r="K760" s="26">
        <f>IFERROR(IF(--MID($E760,2*COUNTIF($F760:J760,"&gt;"&amp;0)+2,1)=K$1,K$1,""),"")</f>
        <v>6</v>
      </c>
      <c r="L760" s="39" t="str" cm="1">
        <f t="array" ref="L760">IFERROR(IF($A760="","",IF(F760="","",_xlfn.XLOOKUP($C760&amp;"_"&amp;$AG760,符文权重!$A:$A&amp;"_"&amp;符文权重!$C:$C,符文权重!$D:$D)*$X760/SUMIFS($X:$X,F:F,F760,$C:$C,$C760,$AG:$AG,$AG760)/SUMIF(符文权重!$A:$A,$C760,符文权重!$D:$D))),"")</f>
        <v/>
      </c>
      <c r="M760" s="39" t="str" cm="1">
        <f t="array" ref="M760">IFERROR(IF($A760="","",IF(G760="","",_xlfn.XLOOKUP($C760&amp;"_"&amp;$AG760,符文权重!$A:$A&amp;"_"&amp;符文权重!$C:$C,符文权重!$D:$D)*$X760/SUMIFS($X:$X,G:G,G760,$C:$C,$C760,$AG:$AG,$AG760)/SUMIF(符文权重!$A:$A,$C760,符文权重!$D:$D))),"")</f>
        <v/>
      </c>
      <c r="N760" s="39" t="str" cm="1">
        <f t="array" ref="N760">IFERROR(IF($A760="","",IF(H760="","",_xlfn.XLOOKUP($C760&amp;"_"&amp;$AG760,符文权重!$A:$A&amp;"_"&amp;符文权重!$C:$C,符文权重!$D:$D)*$X760/SUMIFS($X:$X,H:H,H760,$C:$C,$C760,$AG:$AG,$AG760)/SUMIF(符文权重!$A:$A,$C760,符文权重!$D:$D))),"")</f>
        <v/>
      </c>
      <c r="O760" s="39" t="str" cm="1">
        <f t="array" ref="O760">IFERROR(IF($A760="","",IF(I760="","",_xlfn.XLOOKUP($C760&amp;"_"&amp;$AG760,符文权重!$A:$A&amp;"_"&amp;符文权重!$C:$C,符文权重!$D:$D)*$X760/SUMIFS($X:$X,I:I,I760,$C:$C,$C760,$AG:$AG,$AG760)/SUMIF(符文权重!$A:$A,$C760,符文权重!$D:$D))),"")</f>
        <v/>
      </c>
      <c r="P760" s="39" t="str" cm="1">
        <f t="array" ref="P760">IFERROR(IF($A760="","",IF(J760="","",_xlfn.XLOOKUP($C760&amp;"_"&amp;$AG760,符文权重!$A:$A&amp;"_"&amp;符文权重!$C:$C,符文权重!$D:$D)*$X760/SUMIFS($X:$X,J:J,J760,$C:$C,$C760,$AG:$AG,$AG760)/SUMIF(符文权重!$A:$A,$C760,符文权重!$D:$D))),"")</f>
        <v/>
      </c>
      <c r="Q760" s="39" cm="1">
        <f t="array" ref="Q760">IFERROR(IF($A760="","",IF(K760="","",_xlfn.XLOOKUP($C760&amp;"_"&amp;$AG760,符文权重!$A:$A&amp;"_"&amp;符文权重!$C:$C,符文权重!$D:$D)*$X760/SUMIFS($X:$X,K:K,K760,$C:$C,$C760,$AG:$AG,$AG760)/SUMIF(符文权重!$A:$A,$C760,符文权重!$D:$D))),"")</f>
        <v>0.0035</v>
      </c>
      <c r="R760" s="25" t="s">
        <v>330</v>
      </c>
      <c r="S760" s="25" t="s">
        <v>946</v>
      </c>
      <c r="T760" s="25" t="s">
        <v>397</v>
      </c>
      <c r="U760" s="25" t="s">
        <v>953</v>
      </c>
      <c r="W760" s="25" t="s">
        <v>763</v>
      </c>
      <c r="X760" s="25">
        <v>100</v>
      </c>
      <c r="Z760" s="25" t="s">
        <v>180</v>
      </c>
      <c r="AA760" s="32" t="str">
        <f t="shared" si="292"/>
        <v>诸葛奥义会对怪物追击最大生命值12%的血量伤害（不超过2500%攻击力）</v>
      </c>
      <c r="AB760" s="32"/>
      <c r="AC760" s="32" t="s">
        <v>166</v>
      </c>
      <c r="AD760" s="32">
        <f t="shared" si="290"/>
        <v>1755</v>
      </c>
      <c r="AE760" s="25">
        <v>53012854</v>
      </c>
      <c r="AF760" s="25" t="s">
        <v>454</v>
      </c>
      <c r="AG760" s="25">
        <v>8</v>
      </c>
      <c r="AJ760" s="25">
        <v>1</v>
      </c>
      <c r="AK760" s="26"/>
      <c r="AL760" s="25" t="s">
        <v>954</v>
      </c>
      <c r="AM760" s="26"/>
      <c r="AN760" s="25">
        <v>8</v>
      </c>
      <c r="AO760" s="25" t="s">
        <v>32</v>
      </c>
      <c r="AP760" s="20">
        <f t="shared" si="291"/>
        <v>755</v>
      </c>
    </row>
    <row r="761" customHeight="1" spans="1:42">
      <c r="A761" s="25">
        <v>5510534</v>
      </c>
      <c r="B761" s="25">
        <v>5301286</v>
      </c>
      <c r="C761" s="26">
        <v>4</v>
      </c>
      <c r="D761" s="26"/>
      <c r="E761" s="25" t="s">
        <v>191</v>
      </c>
      <c r="F761" s="26">
        <f t="shared" si="289"/>
        <v>1</v>
      </c>
      <c r="G761" s="26" t="str">
        <f>IFERROR(IF(--MID($E761,2*COUNTIF($F761:F761,"&gt;"&amp;0)+2,1)=G$1,G$1,""),"")</f>
        <v/>
      </c>
      <c r="H761" s="26" t="str">
        <f>IFERROR(IF(--MID($E761,2*COUNTIF($F761:G761,"&gt;"&amp;0)+2,1)=H$1,H$1,""),"")</f>
        <v/>
      </c>
      <c r="I761" s="26" t="str">
        <f>IFERROR(IF(--MID($E761,2*COUNTIF($F761:H761,"&gt;"&amp;0)+2,1)=I$1,I$1,""),"")</f>
        <v/>
      </c>
      <c r="J761" s="26" t="str">
        <f>IFERROR(IF(--MID($E761,2*COUNTIF($F761:I761,"&gt;"&amp;0)+2,1)=J$1,J$1,""),"")</f>
        <v/>
      </c>
      <c r="K761" s="26" t="str">
        <f>IFERROR(IF(--MID($E761,2*COUNTIF($F761:J761,"&gt;"&amp;0)+2,1)=K$1,K$1,""),"")</f>
        <v/>
      </c>
      <c r="L761" s="39" t="str" cm="1">
        <f t="array" ref="L761">IFERROR(IF($A761="","",IF(F761="","",_xlfn.XLOOKUP($C761&amp;"_"&amp;$AG761,符文权重!$A:$A&amp;"_"&amp;符文权重!$C:$C,符文权重!$D:$D)*$X761/SUMIFS($X:$X,F:F,F761,$C:$C,$C761,$AG:$AG,$AG761)/SUMIF(符文权重!$A:$A,$C761,符文权重!$D:$D))),"")</f>
        <v/>
      </c>
      <c r="M761" s="39" t="str" cm="1">
        <f t="array" ref="M761">IFERROR(IF($A761="","",IF(G761="","",_xlfn.XLOOKUP($C761&amp;"_"&amp;$AG761,符文权重!$A:$A&amp;"_"&amp;符文权重!$C:$C,符文权重!$D:$D)*$X761/SUMIFS($X:$X,G:G,G761,$C:$C,$C761,$AG:$AG,$AG761)/SUMIF(符文权重!$A:$A,$C761,符文权重!$D:$D))),"")</f>
        <v/>
      </c>
      <c r="N761" s="39" t="str" cm="1">
        <f t="array" ref="N761">IFERROR(IF($A761="","",IF(H761="","",_xlfn.XLOOKUP($C761&amp;"_"&amp;$AG761,符文权重!$A:$A&amp;"_"&amp;符文权重!$C:$C,符文权重!$D:$D)*$X761/SUMIFS($X:$X,H:H,H761,$C:$C,$C761,$AG:$AG,$AG761)/SUMIF(符文权重!$A:$A,$C761,符文权重!$D:$D))),"")</f>
        <v/>
      </c>
      <c r="O761" s="39" t="str" cm="1">
        <f t="array" ref="O761">IFERROR(IF($A761="","",IF(I761="","",_xlfn.XLOOKUP($C761&amp;"_"&amp;$AG761,符文权重!$A:$A&amp;"_"&amp;符文权重!$C:$C,符文权重!$D:$D)*$X761/SUMIFS($X:$X,I:I,I761,$C:$C,$C761,$AG:$AG,$AG761)/SUMIF(符文权重!$A:$A,$C761,符文权重!$D:$D))),"")</f>
        <v/>
      </c>
      <c r="P761" s="39" t="str" cm="1">
        <f t="array" ref="P761">IFERROR(IF($A761="","",IF(J761="","",_xlfn.XLOOKUP($C761&amp;"_"&amp;$AG761,符文权重!$A:$A&amp;"_"&amp;符文权重!$C:$C,符文权重!$D:$D)*$X761/SUMIFS($X:$X,J:J,J761,$C:$C,$C761,$AG:$AG,$AG761)/SUMIF(符文权重!$A:$A,$C761,符文权重!$D:$D))),"")</f>
        <v/>
      </c>
      <c r="Q761" s="39" t="str" cm="1">
        <f t="array" ref="Q761">IFERROR(IF($A761="","",IF(K761="","",_xlfn.XLOOKUP($C761&amp;"_"&amp;$AG761,符文权重!$A:$A&amp;"_"&amp;符文权重!$C:$C,符文权重!$D:$D)*$X761/SUMIFS($X:$X,K:K,K761,$C:$C,$C761,$AG:$AG,$AG761)/SUMIF(符文权重!$A:$A,$C761,符文权重!$D:$D))),"")</f>
        <v/>
      </c>
      <c r="R761" s="26" t="s">
        <v>330</v>
      </c>
      <c r="S761" s="26" t="s">
        <v>946</v>
      </c>
      <c r="T761" s="26" t="s">
        <v>388</v>
      </c>
      <c r="U761" s="20" t="s">
        <v>955</v>
      </c>
      <c r="W761" s="25" t="s">
        <v>754</v>
      </c>
      <c r="X761" s="25">
        <v>100</v>
      </c>
      <c r="Z761" s="26" t="s">
        <v>174</v>
      </c>
      <c r="AA761" s="32" t="str">
        <f t="shared" si="292"/>
        <v>诸葛龙卷的暴击伤害在80%~155%之间波动</v>
      </c>
      <c r="AB761" s="32"/>
      <c r="AC761" s="32" t="s">
        <v>166</v>
      </c>
      <c r="AD761" s="32">
        <f t="shared" si="290"/>
        <v>1756</v>
      </c>
      <c r="AE761" s="25">
        <v>5301286</v>
      </c>
      <c r="AF761" s="26" t="s">
        <v>956</v>
      </c>
      <c r="AG761" s="26">
        <v>100</v>
      </c>
      <c r="AH761" s="26"/>
      <c r="AI761" s="26">
        <v>1</v>
      </c>
      <c r="AJ761" s="26">
        <v>0</v>
      </c>
      <c r="AK761" s="25"/>
      <c r="AL761" s="26" t="s">
        <v>957</v>
      </c>
      <c r="AN761" s="25">
        <v>8</v>
      </c>
      <c r="AO761" s="25" t="s">
        <v>32</v>
      </c>
      <c r="AP761" s="20">
        <f t="shared" si="291"/>
        <v>756</v>
      </c>
    </row>
    <row r="762" customHeight="1" spans="1:42">
      <c r="A762" s="25">
        <v>5510535</v>
      </c>
      <c r="B762" s="25">
        <v>5301286</v>
      </c>
      <c r="C762" s="25">
        <v>5</v>
      </c>
      <c r="D762" s="25"/>
      <c r="E762" s="25" t="s">
        <v>191</v>
      </c>
      <c r="F762" s="26">
        <f t="shared" si="289"/>
        <v>1</v>
      </c>
      <c r="G762" s="26" t="str">
        <f>IFERROR(IF(--MID($E762,2*COUNTIF($F762:F762,"&gt;"&amp;0)+2,1)=G$1,G$1,""),"")</f>
        <v/>
      </c>
      <c r="H762" s="26" t="str">
        <f>IFERROR(IF(--MID($E762,2*COUNTIF($F762:G762,"&gt;"&amp;0)+2,1)=H$1,H$1,""),"")</f>
        <v/>
      </c>
      <c r="I762" s="26" t="str">
        <f>IFERROR(IF(--MID($E762,2*COUNTIF($F762:H762,"&gt;"&amp;0)+2,1)=I$1,I$1,""),"")</f>
        <v/>
      </c>
      <c r="J762" s="26" t="str">
        <f>IFERROR(IF(--MID($E762,2*COUNTIF($F762:I762,"&gt;"&amp;0)+2,1)=J$1,J$1,""),"")</f>
        <v/>
      </c>
      <c r="K762" s="26" t="str">
        <f>IFERROR(IF(--MID($E762,2*COUNTIF($F762:J762,"&gt;"&amp;0)+2,1)=K$1,K$1,""),"")</f>
        <v/>
      </c>
      <c r="L762" s="39" cm="1">
        <f t="array" ref="L762">IFERROR(IF($A762="","",IF(F762="","",_xlfn.XLOOKUP($C762&amp;"_"&amp;$AG762,符文权重!$A:$A&amp;"_"&amp;符文权重!$C:$C,符文权重!$D:$D)*$X762/SUMIFS($X:$X,F:F,F762,$C:$C,$C762,$AG:$AG,$AG762)/SUMIF(符文权重!$A:$A,$C762,符文权重!$D:$D))),"")</f>
        <v>0.00525</v>
      </c>
      <c r="M762" s="39" t="str" cm="1">
        <f t="array" ref="M762">IFERROR(IF($A762="","",IF(G762="","",_xlfn.XLOOKUP($C762&amp;"_"&amp;$AG762,符文权重!$A:$A&amp;"_"&amp;符文权重!$C:$C,符文权重!$D:$D)*$X762/SUMIFS($X:$X,G:G,G762,$C:$C,$C762,$AG:$AG,$AG762)/SUMIF(符文权重!$A:$A,$C762,符文权重!$D:$D))),"")</f>
        <v/>
      </c>
      <c r="N762" s="39" t="str" cm="1">
        <f t="array" ref="N762">IFERROR(IF($A762="","",IF(H762="","",_xlfn.XLOOKUP($C762&amp;"_"&amp;$AG762,符文权重!$A:$A&amp;"_"&amp;符文权重!$C:$C,符文权重!$D:$D)*$X762/SUMIFS($X:$X,H:H,H762,$C:$C,$C762,$AG:$AG,$AG762)/SUMIF(符文权重!$A:$A,$C762,符文权重!$D:$D))),"")</f>
        <v/>
      </c>
      <c r="O762" s="39" t="str" cm="1">
        <f t="array" ref="O762">IFERROR(IF($A762="","",IF(I762="","",_xlfn.XLOOKUP($C762&amp;"_"&amp;$AG762,符文权重!$A:$A&amp;"_"&amp;符文权重!$C:$C,符文权重!$D:$D)*$X762/SUMIFS($X:$X,I:I,I762,$C:$C,$C762,$AG:$AG,$AG762)/SUMIF(符文权重!$A:$A,$C762,符文权重!$D:$D))),"")</f>
        <v/>
      </c>
      <c r="P762" s="39" t="str" cm="1">
        <f t="array" ref="P762">IFERROR(IF($A762="","",IF(J762="","",_xlfn.XLOOKUP($C762&amp;"_"&amp;$AG762,符文权重!$A:$A&amp;"_"&amp;符文权重!$C:$C,符文权重!$D:$D)*$X762/SUMIFS($X:$X,J:J,J762,$C:$C,$C762,$AG:$AG,$AG762)/SUMIF(符文权重!$A:$A,$C762,符文权重!$D:$D))),"")</f>
        <v/>
      </c>
      <c r="Q762" s="39" t="str" cm="1">
        <f t="array" ref="Q762">IFERROR(IF($A762="","",IF(K762="","",_xlfn.XLOOKUP($C762&amp;"_"&amp;$AG762,符文权重!$A:$A&amp;"_"&amp;符文权重!$C:$C,符文权重!$D:$D)*$X762/SUMIFS($X:$X,K:K,K762,$C:$C,$C762,$AG:$AG,$AG762)/SUMIF(符文权重!$A:$A,$C762,符文权重!$D:$D))),"")</f>
        <v/>
      </c>
      <c r="R762" s="25" t="s">
        <v>330</v>
      </c>
      <c r="S762" s="25" t="s">
        <v>946</v>
      </c>
      <c r="T762" s="25" t="s">
        <v>391</v>
      </c>
      <c r="U762" s="25" t="s">
        <v>958</v>
      </c>
      <c r="V762" s="63"/>
      <c r="W762" s="25" t="s">
        <v>757</v>
      </c>
      <c r="X762" s="25">
        <v>100</v>
      </c>
      <c r="Y762" s="63"/>
      <c r="Z762" s="25" t="s">
        <v>176</v>
      </c>
      <c r="AA762" s="32" t="str">
        <f t="shared" si="292"/>
        <v>诸葛龙卷的暴击伤害在80%~165%之间波动</v>
      </c>
      <c r="AB762" s="32"/>
      <c r="AC762" s="32" t="s">
        <v>166</v>
      </c>
      <c r="AD762" s="32">
        <f t="shared" si="290"/>
        <v>1757</v>
      </c>
      <c r="AE762" s="25">
        <v>5301286</v>
      </c>
      <c r="AF762" s="25" t="s">
        <v>959</v>
      </c>
      <c r="AG762" s="25">
        <v>8</v>
      </c>
      <c r="AH762" s="63"/>
      <c r="AI762" s="63"/>
      <c r="AJ762" s="25">
        <v>1</v>
      </c>
      <c r="AK762" s="26"/>
      <c r="AL762" s="25" t="s">
        <v>960</v>
      </c>
      <c r="AM762" s="26"/>
      <c r="AN762" s="25">
        <v>8</v>
      </c>
      <c r="AO762" s="25" t="s">
        <v>32</v>
      </c>
      <c r="AP762" s="20">
        <f t="shared" si="291"/>
        <v>757</v>
      </c>
    </row>
    <row r="763" customHeight="1" spans="1:42">
      <c r="A763" s="25">
        <v>5510536</v>
      </c>
      <c r="B763" s="25">
        <v>5301286</v>
      </c>
      <c r="C763" s="25">
        <v>6</v>
      </c>
      <c r="D763" s="25"/>
      <c r="E763" s="25" t="s">
        <v>191</v>
      </c>
      <c r="F763" s="26">
        <f t="shared" si="289"/>
        <v>1</v>
      </c>
      <c r="G763" s="26" t="str">
        <f>IFERROR(IF(--MID($E763,2*COUNTIF($F763:F763,"&gt;"&amp;0)+2,1)=G$1,G$1,""),"")</f>
        <v/>
      </c>
      <c r="H763" s="26" t="str">
        <f>IFERROR(IF(--MID($E763,2*COUNTIF($F763:G763,"&gt;"&amp;0)+2,1)=H$1,H$1,""),"")</f>
        <v/>
      </c>
      <c r="I763" s="26" t="str">
        <f>IFERROR(IF(--MID($E763,2*COUNTIF($F763:H763,"&gt;"&amp;0)+2,1)=I$1,I$1,""),"")</f>
        <v/>
      </c>
      <c r="J763" s="26" t="str">
        <f>IFERROR(IF(--MID($E763,2*COUNTIF($F763:I763,"&gt;"&amp;0)+2,1)=J$1,J$1,""),"")</f>
        <v/>
      </c>
      <c r="K763" s="26" t="str">
        <f>IFERROR(IF(--MID($E763,2*COUNTIF($F763:J763,"&gt;"&amp;0)+2,1)=K$1,K$1,""),"")</f>
        <v/>
      </c>
      <c r="L763" s="39" cm="1">
        <f t="array" ref="L763">IFERROR(IF($A763="","",IF(F763="","",_xlfn.XLOOKUP($C763&amp;"_"&amp;$AG763,符文权重!$A:$A&amp;"_"&amp;符文权重!$C:$C,符文权重!$D:$D)*$X763/SUMIFS($X:$X,F:F,F763,$C:$C,$C763,$AG:$AG,$AG763)/SUMIF(符文权重!$A:$A,$C763,符文权重!$D:$D))),"")</f>
        <v>0.00525</v>
      </c>
      <c r="M763" s="39" t="str" cm="1">
        <f t="array" ref="M763">IFERROR(IF($A763="","",IF(G763="","",_xlfn.XLOOKUP($C763&amp;"_"&amp;$AG763,符文权重!$A:$A&amp;"_"&amp;符文权重!$C:$C,符文权重!$D:$D)*$X763/SUMIFS($X:$X,G:G,G763,$C:$C,$C763,$AG:$AG,$AG763)/SUMIF(符文权重!$A:$A,$C763,符文权重!$D:$D))),"")</f>
        <v/>
      </c>
      <c r="N763" s="39" t="str" cm="1">
        <f t="array" ref="N763">IFERROR(IF($A763="","",IF(H763="","",_xlfn.XLOOKUP($C763&amp;"_"&amp;$AG763,符文权重!$A:$A&amp;"_"&amp;符文权重!$C:$C,符文权重!$D:$D)*$X763/SUMIFS($X:$X,H:H,H763,$C:$C,$C763,$AG:$AG,$AG763)/SUMIF(符文权重!$A:$A,$C763,符文权重!$D:$D))),"")</f>
        <v/>
      </c>
      <c r="O763" s="39" t="str" cm="1">
        <f t="array" ref="O763">IFERROR(IF($A763="","",IF(I763="","",_xlfn.XLOOKUP($C763&amp;"_"&amp;$AG763,符文权重!$A:$A&amp;"_"&amp;符文权重!$C:$C,符文权重!$D:$D)*$X763/SUMIFS($X:$X,I:I,I763,$C:$C,$C763,$AG:$AG,$AG763)/SUMIF(符文权重!$A:$A,$C763,符文权重!$D:$D))),"")</f>
        <v/>
      </c>
      <c r="P763" s="39" t="str" cm="1">
        <f t="array" ref="P763">IFERROR(IF($A763="","",IF(J763="","",_xlfn.XLOOKUP($C763&amp;"_"&amp;$AG763,符文权重!$A:$A&amp;"_"&amp;符文权重!$C:$C,符文权重!$D:$D)*$X763/SUMIFS($X:$X,J:J,J763,$C:$C,$C763,$AG:$AG,$AG763)/SUMIF(符文权重!$A:$A,$C763,符文权重!$D:$D))),"")</f>
        <v/>
      </c>
      <c r="Q763" s="39" t="str" cm="1">
        <f t="array" ref="Q763">IFERROR(IF($A763="","",IF(K763="","",_xlfn.XLOOKUP($C763&amp;"_"&amp;$AG763,符文权重!$A:$A&amp;"_"&amp;符文权重!$C:$C,符文权重!$D:$D)*$X763/SUMIFS($X:$X,K:K,K763,$C:$C,$C763,$AG:$AG,$AG763)/SUMIF(符文权重!$A:$A,$C763,符文权重!$D:$D))),"")</f>
        <v/>
      </c>
      <c r="R763" s="25" t="s">
        <v>330</v>
      </c>
      <c r="S763" s="25" t="s">
        <v>946</v>
      </c>
      <c r="T763" s="25" t="s">
        <v>394</v>
      </c>
      <c r="U763" s="25" t="s">
        <v>961</v>
      </c>
      <c r="V763" s="25"/>
      <c r="W763" s="25" t="s">
        <v>760</v>
      </c>
      <c r="X763" s="25">
        <v>100</v>
      </c>
      <c r="Z763" s="25" t="s">
        <v>178</v>
      </c>
      <c r="AA763" s="32" t="str">
        <f t="shared" si="292"/>
        <v>诸葛龙卷的暴击伤害在80%~175%之间波动</v>
      </c>
      <c r="AB763" s="32"/>
      <c r="AC763" s="32" t="s">
        <v>166</v>
      </c>
      <c r="AD763" s="32">
        <f t="shared" si="290"/>
        <v>1758</v>
      </c>
      <c r="AE763" s="25">
        <v>5301286</v>
      </c>
      <c r="AF763" s="25" t="s">
        <v>962</v>
      </c>
      <c r="AG763" s="25">
        <v>8</v>
      </c>
      <c r="AJ763" s="25">
        <v>1</v>
      </c>
      <c r="AK763" s="25"/>
      <c r="AL763" s="25" t="s">
        <v>963</v>
      </c>
      <c r="AN763" s="25">
        <v>8</v>
      </c>
      <c r="AO763" s="25" t="s">
        <v>32</v>
      </c>
      <c r="AP763" s="20">
        <f t="shared" si="291"/>
        <v>758</v>
      </c>
    </row>
    <row r="764" customHeight="1" spans="1:42">
      <c r="A764" s="25">
        <v>5510537</v>
      </c>
      <c r="B764" s="25">
        <v>5301286</v>
      </c>
      <c r="C764" s="25">
        <v>7</v>
      </c>
      <c r="D764" s="25"/>
      <c r="E764" s="25" t="s">
        <v>191</v>
      </c>
      <c r="F764" s="26">
        <f t="shared" si="289"/>
        <v>1</v>
      </c>
      <c r="G764" s="26" t="str">
        <f>IFERROR(IF(--MID($E764,2*COUNTIF($F764:F764,"&gt;"&amp;0)+2,1)=G$1,G$1,""),"")</f>
        <v/>
      </c>
      <c r="H764" s="26" t="str">
        <f>IFERROR(IF(--MID($E764,2*COUNTIF($F764:G764,"&gt;"&amp;0)+2,1)=H$1,H$1,""),"")</f>
        <v/>
      </c>
      <c r="I764" s="26" t="str">
        <f>IFERROR(IF(--MID($E764,2*COUNTIF($F764:H764,"&gt;"&amp;0)+2,1)=I$1,I$1,""),"")</f>
        <v/>
      </c>
      <c r="J764" s="26" t="str">
        <f>IFERROR(IF(--MID($E764,2*COUNTIF($F764:I764,"&gt;"&amp;0)+2,1)=J$1,J$1,""),"")</f>
        <v/>
      </c>
      <c r="K764" s="26" t="str">
        <f>IFERROR(IF(--MID($E764,2*COUNTIF($F764:J764,"&gt;"&amp;0)+2,1)=K$1,K$1,""),"")</f>
        <v/>
      </c>
      <c r="L764" s="39" cm="1">
        <f t="array" ref="L764">IFERROR(IF($A764="","",IF(F764="","",_xlfn.XLOOKUP($C764&amp;"_"&amp;$AG764,符文权重!$A:$A&amp;"_"&amp;符文权重!$C:$C,符文权重!$D:$D)*$X764/SUMIFS($X:$X,F:F,F764,$C:$C,$C764,$AG:$AG,$AG764)/SUMIF(符文权重!$A:$A,$C764,符文权重!$D:$D))),"")</f>
        <v>0.00525</v>
      </c>
      <c r="M764" s="39" t="str" cm="1">
        <f t="array" ref="M764">IFERROR(IF($A764="","",IF(G764="","",_xlfn.XLOOKUP($C764&amp;"_"&amp;$AG764,符文权重!$A:$A&amp;"_"&amp;符文权重!$C:$C,符文权重!$D:$D)*$X764/SUMIFS($X:$X,G:G,G764,$C:$C,$C764,$AG:$AG,$AG764)/SUMIF(符文权重!$A:$A,$C764,符文权重!$D:$D))),"")</f>
        <v/>
      </c>
      <c r="N764" s="39" t="str" cm="1">
        <f t="array" ref="N764">IFERROR(IF($A764="","",IF(H764="","",_xlfn.XLOOKUP($C764&amp;"_"&amp;$AG764,符文权重!$A:$A&amp;"_"&amp;符文权重!$C:$C,符文权重!$D:$D)*$X764/SUMIFS($X:$X,H:H,H764,$C:$C,$C764,$AG:$AG,$AG764)/SUMIF(符文权重!$A:$A,$C764,符文权重!$D:$D))),"")</f>
        <v/>
      </c>
      <c r="O764" s="39" t="str" cm="1">
        <f t="array" ref="O764">IFERROR(IF($A764="","",IF(I764="","",_xlfn.XLOOKUP($C764&amp;"_"&amp;$AG764,符文权重!$A:$A&amp;"_"&amp;符文权重!$C:$C,符文权重!$D:$D)*$X764/SUMIFS($X:$X,I:I,I764,$C:$C,$C764,$AG:$AG,$AG764)/SUMIF(符文权重!$A:$A,$C764,符文权重!$D:$D))),"")</f>
        <v/>
      </c>
      <c r="P764" s="39" t="str" cm="1">
        <f t="array" ref="P764">IFERROR(IF($A764="","",IF(J764="","",_xlfn.XLOOKUP($C764&amp;"_"&amp;$AG764,符文权重!$A:$A&amp;"_"&amp;符文权重!$C:$C,符文权重!$D:$D)*$X764/SUMIFS($X:$X,J:J,J764,$C:$C,$C764,$AG:$AG,$AG764)/SUMIF(符文权重!$A:$A,$C764,符文权重!$D:$D))),"")</f>
        <v/>
      </c>
      <c r="Q764" s="39" t="str" cm="1">
        <f t="array" ref="Q764">IFERROR(IF($A764="","",IF(K764="","",_xlfn.XLOOKUP($C764&amp;"_"&amp;$AG764,符文权重!$A:$A&amp;"_"&amp;符文权重!$C:$C,符文权重!$D:$D)*$X764/SUMIFS($X:$X,K:K,K764,$C:$C,$C764,$AG:$AG,$AG764)/SUMIF(符文权重!$A:$A,$C764,符文权重!$D:$D))),"")</f>
        <v/>
      </c>
      <c r="R764" s="25" t="s">
        <v>330</v>
      </c>
      <c r="S764" s="25" t="s">
        <v>946</v>
      </c>
      <c r="T764" s="25" t="s">
        <v>397</v>
      </c>
      <c r="U764" s="25" t="s">
        <v>964</v>
      </c>
      <c r="V764" s="25"/>
      <c r="W764" s="25" t="s">
        <v>763</v>
      </c>
      <c r="X764" s="25">
        <v>100</v>
      </c>
      <c r="Z764" s="25" t="s">
        <v>180</v>
      </c>
      <c r="AA764" s="32" t="str">
        <f t="shared" si="292"/>
        <v>诸葛龙卷的暴击伤害在80%~185%之间波动</v>
      </c>
      <c r="AB764" s="32"/>
      <c r="AC764" s="32" t="s">
        <v>166</v>
      </c>
      <c r="AD764" s="32">
        <f t="shared" si="290"/>
        <v>1759</v>
      </c>
      <c r="AE764" s="25">
        <v>5301286</v>
      </c>
      <c r="AF764" s="25" t="s">
        <v>965</v>
      </c>
      <c r="AG764" s="25">
        <v>8</v>
      </c>
      <c r="AJ764" s="25">
        <v>1</v>
      </c>
      <c r="AK764" s="26"/>
      <c r="AL764" s="25" t="s">
        <v>966</v>
      </c>
      <c r="AM764" s="26"/>
      <c r="AN764" s="25">
        <v>8</v>
      </c>
      <c r="AO764" s="25" t="s">
        <v>32</v>
      </c>
      <c r="AP764" s="20">
        <f t="shared" si="291"/>
        <v>759</v>
      </c>
    </row>
    <row r="765" customHeight="1" spans="1:42">
      <c r="A765" s="25">
        <v>5510544</v>
      </c>
      <c r="B765" s="25">
        <v>5301287</v>
      </c>
      <c r="C765" s="26">
        <v>4</v>
      </c>
      <c r="D765" s="26"/>
      <c r="E765" s="25" t="s">
        <v>200</v>
      </c>
      <c r="F765" s="26" t="str">
        <f t="shared" si="289"/>
        <v/>
      </c>
      <c r="G765" s="26">
        <f>IFERROR(IF(--MID($E765,2*COUNTIF($F765:F765,"&gt;"&amp;0)+2,1)=G$1,G$1,""),"")</f>
        <v>2</v>
      </c>
      <c r="H765" s="26" t="str">
        <f>IFERROR(IF(--MID($E765,2*COUNTIF($F765:G765,"&gt;"&amp;0)+2,1)=H$1,H$1,""),"")</f>
        <v/>
      </c>
      <c r="I765" s="26" t="str">
        <f>IFERROR(IF(--MID($E765,2*COUNTIF($F765:H765,"&gt;"&amp;0)+2,1)=I$1,I$1,""),"")</f>
        <v/>
      </c>
      <c r="J765" s="26" t="str">
        <f>IFERROR(IF(--MID($E765,2*COUNTIF($F765:I765,"&gt;"&amp;0)+2,1)=J$1,J$1,""),"")</f>
        <v/>
      </c>
      <c r="K765" s="26" t="str">
        <f>IFERROR(IF(--MID($E765,2*COUNTIF($F765:J765,"&gt;"&amp;0)+2,1)=K$1,K$1,""),"")</f>
        <v/>
      </c>
      <c r="L765" s="39" t="str" cm="1">
        <f t="array" ref="L765">IFERROR(IF($A765="","",IF(F765="","",_xlfn.XLOOKUP($C765&amp;"_"&amp;$AG765,符文权重!$A:$A&amp;"_"&amp;符文权重!$C:$C,符文权重!$D:$D)*$X765/SUMIFS($X:$X,F:F,F765,$C:$C,$C765,$AG:$AG,$AG765)/SUMIF(符文权重!$A:$A,$C765,符文权重!$D:$D))),"")</f>
        <v/>
      </c>
      <c r="M765" s="39" t="str" cm="1">
        <f t="array" ref="M765">IFERROR(IF($A765="","",IF(G765="","",_xlfn.XLOOKUP($C765&amp;"_"&amp;$AG765,符文权重!$A:$A&amp;"_"&amp;符文权重!$C:$C,符文权重!$D:$D)*$X765/SUMIFS($X:$X,G:G,G765,$C:$C,$C765,$AG:$AG,$AG765)/SUMIF(符文权重!$A:$A,$C765,符文权重!$D:$D))),"")</f>
        <v/>
      </c>
      <c r="N765" s="39" t="str" cm="1">
        <f t="array" ref="N765">IFERROR(IF($A765="","",IF(H765="","",_xlfn.XLOOKUP($C765&amp;"_"&amp;$AG765,符文权重!$A:$A&amp;"_"&amp;符文权重!$C:$C,符文权重!$D:$D)*$X765/SUMIFS($X:$X,H:H,H765,$C:$C,$C765,$AG:$AG,$AG765)/SUMIF(符文权重!$A:$A,$C765,符文权重!$D:$D))),"")</f>
        <v/>
      </c>
      <c r="O765" s="39" t="str" cm="1">
        <f t="array" ref="O765">IFERROR(IF($A765="","",IF(I765="","",_xlfn.XLOOKUP($C765&amp;"_"&amp;$AG765,符文权重!$A:$A&amp;"_"&amp;符文权重!$C:$C,符文权重!$D:$D)*$X765/SUMIFS($X:$X,I:I,I765,$C:$C,$C765,$AG:$AG,$AG765)/SUMIF(符文权重!$A:$A,$C765,符文权重!$D:$D))),"")</f>
        <v/>
      </c>
      <c r="P765" s="39" t="str" cm="1">
        <f t="array" ref="P765">IFERROR(IF($A765="","",IF(J765="","",_xlfn.XLOOKUP($C765&amp;"_"&amp;$AG765,符文权重!$A:$A&amp;"_"&amp;符文权重!$C:$C,符文权重!$D:$D)*$X765/SUMIFS($X:$X,J:J,J765,$C:$C,$C765,$AG:$AG,$AG765)/SUMIF(符文权重!$A:$A,$C765,符文权重!$D:$D))),"")</f>
        <v/>
      </c>
      <c r="Q765" s="39" t="str" cm="1">
        <f t="array" ref="Q765">IFERROR(IF($A765="","",IF(K765="","",_xlfn.XLOOKUP($C765&amp;"_"&amp;$AG765,符文权重!$A:$A&amp;"_"&amp;符文权重!$C:$C,符文权重!$D:$D)*$X765/SUMIFS($X:$X,K:K,K765,$C:$C,$C765,$AG:$AG,$AG765)/SUMIF(符文权重!$A:$A,$C765,符文权重!$D:$D))),"")</f>
        <v/>
      </c>
      <c r="R765" s="26" t="s">
        <v>330</v>
      </c>
      <c r="S765" s="26" t="s">
        <v>946</v>
      </c>
      <c r="T765" s="26" t="s">
        <v>388</v>
      </c>
      <c r="U765" s="20" t="s">
        <v>967</v>
      </c>
      <c r="W765" s="25" t="s">
        <v>754</v>
      </c>
      <c r="X765" s="25">
        <v>100</v>
      </c>
      <c r="Z765" s="26" t="s">
        <v>174</v>
      </c>
      <c r="AA765" s="32" t="str">
        <f t="shared" si="292"/>
        <v>诸葛奥义每击杀1个敌人会延长下次奥义持续时间0.07秒，上限3秒</v>
      </c>
      <c r="AB765" s="32"/>
      <c r="AC765" s="32" t="s">
        <v>166</v>
      </c>
      <c r="AD765" s="32">
        <f t="shared" si="290"/>
        <v>1760</v>
      </c>
      <c r="AE765" s="25">
        <v>53042871</v>
      </c>
      <c r="AF765" s="26" t="s">
        <v>968</v>
      </c>
      <c r="AG765" s="26">
        <v>100</v>
      </c>
      <c r="AH765" s="26"/>
      <c r="AI765" s="26">
        <v>1</v>
      </c>
      <c r="AJ765" s="26">
        <v>0</v>
      </c>
      <c r="AK765" s="25"/>
      <c r="AL765" s="26" t="s">
        <v>969</v>
      </c>
      <c r="AN765" s="25">
        <v>8</v>
      </c>
      <c r="AO765" s="25" t="s">
        <v>32</v>
      </c>
      <c r="AP765" s="20">
        <f t="shared" si="291"/>
        <v>760</v>
      </c>
    </row>
    <row r="766" customHeight="1" spans="1:42">
      <c r="A766" s="25">
        <v>5510545</v>
      </c>
      <c r="B766" s="25">
        <v>5301287</v>
      </c>
      <c r="C766" s="25">
        <v>5</v>
      </c>
      <c r="D766" s="25"/>
      <c r="E766" s="25" t="s">
        <v>200</v>
      </c>
      <c r="F766" s="26" t="str">
        <f t="shared" si="289"/>
        <v/>
      </c>
      <c r="G766" s="26">
        <f>IFERROR(IF(--MID($E766,2*COUNTIF($F766:F766,"&gt;"&amp;0)+2,1)=G$1,G$1,""),"")</f>
        <v>2</v>
      </c>
      <c r="H766" s="26" t="str">
        <f>IFERROR(IF(--MID($E766,2*COUNTIF($F766:G766,"&gt;"&amp;0)+2,1)=H$1,H$1,""),"")</f>
        <v/>
      </c>
      <c r="I766" s="26" t="str">
        <f>IFERROR(IF(--MID($E766,2*COUNTIF($F766:H766,"&gt;"&amp;0)+2,1)=I$1,I$1,""),"")</f>
        <v/>
      </c>
      <c r="J766" s="26" t="str">
        <f>IFERROR(IF(--MID($E766,2*COUNTIF($F766:I766,"&gt;"&amp;0)+2,1)=J$1,J$1,""),"")</f>
        <v/>
      </c>
      <c r="K766" s="26" t="str">
        <f>IFERROR(IF(--MID($E766,2*COUNTIF($F766:J766,"&gt;"&amp;0)+2,1)=K$1,K$1,""),"")</f>
        <v/>
      </c>
      <c r="L766" s="39" t="str" cm="1">
        <f t="array" ref="L766">IFERROR(IF($A766="","",IF(F766="","",_xlfn.XLOOKUP($C766&amp;"_"&amp;$AG766,符文权重!$A:$A&amp;"_"&amp;符文权重!$C:$C,符文权重!$D:$D)*$X766/SUMIFS($X:$X,F:F,F766,$C:$C,$C766,$AG:$AG,$AG766)/SUMIF(符文权重!$A:$A,$C766,符文权重!$D:$D))),"")</f>
        <v/>
      </c>
      <c r="M766" s="39" cm="1">
        <f t="array" ref="M766">IFERROR(IF($A766="","",IF(G766="","",_xlfn.XLOOKUP($C766&amp;"_"&amp;$AG766,符文权重!$A:$A&amp;"_"&amp;符文权重!$C:$C,符文权重!$D:$D)*$X766/SUMIFS($X:$X,G:G,G766,$C:$C,$C766,$AG:$AG,$AG766)/SUMIF(符文权重!$A:$A,$C766,符文权重!$D:$D))),"")</f>
        <v>0.00525</v>
      </c>
      <c r="N766" s="39" t="str" cm="1">
        <f t="array" ref="N766">IFERROR(IF($A766="","",IF(H766="","",_xlfn.XLOOKUP($C766&amp;"_"&amp;$AG766,符文权重!$A:$A&amp;"_"&amp;符文权重!$C:$C,符文权重!$D:$D)*$X766/SUMIFS($X:$X,H:H,H766,$C:$C,$C766,$AG:$AG,$AG766)/SUMIF(符文权重!$A:$A,$C766,符文权重!$D:$D))),"")</f>
        <v/>
      </c>
      <c r="O766" s="39" t="str" cm="1">
        <f t="array" ref="O766">IFERROR(IF($A766="","",IF(I766="","",_xlfn.XLOOKUP($C766&amp;"_"&amp;$AG766,符文权重!$A:$A&amp;"_"&amp;符文权重!$C:$C,符文权重!$D:$D)*$X766/SUMIFS($X:$X,I:I,I766,$C:$C,$C766,$AG:$AG,$AG766)/SUMIF(符文权重!$A:$A,$C766,符文权重!$D:$D))),"")</f>
        <v/>
      </c>
      <c r="P766" s="39" t="str" cm="1">
        <f t="array" ref="P766">IFERROR(IF($A766="","",IF(J766="","",_xlfn.XLOOKUP($C766&amp;"_"&amp;$AG766,符文权重!$A:$A&amp;"_"&amp;符文权重!$C:$C,符文权重!$D:$D)*$X766/SUMIFS($X:$X,J:J,J766,$C:$C,$C766,$AG:$AG,$AG766)/SUMIF(符文权重!$A:$A,$C766,符文权重!$D:$D))),"")</f>
        <v/>
      </c>
      <c r="Q766" s="39" t="str" cm="1">
        <f t="array" ref="Q766">IFERROR(IF($A766="","",IF(K766="","",_xlfn.XLOOKUP($C766&amp;"_"&amp;$AG766,符文权重!$A:$A&amp;"_"&amp;符文权重!$C:$C,符文权重!$D:$D)*$X766/SUMIFS($X:$X,K:K,K766,$C:$C,$C766,$AG:$AG,$AG766)/SUMIF(符文权重!$A:$A,$C766,符文权重!$D:$D))),"")</f>
        <v/>
      </c>
      <c r="R766" s="25" t="s">
        <v>330</v>
      </c>
      <c r="S766" s="25" t="s">
        <v>946</v>
      </c>
      <c r="T766" s="25" t="s">
        <v>391</v>
      </c>
      <c r="U766" s="25" t="s">
        <v>970</v>
      </c>
      <c r="V766" s="25"/>
      <c r="W766" s="25" t="s">
        <v>757</v>
      </c>
      <c r="X766" s="25">
        <v>100</v>
      </c>
      <c r="Z766" s="25" t="s">
        <v>176</v>
      </c>
      <c r="AA766" s="32" t="str">
        <f t="shared" si="292"/>
        <v>诸葛奥义每击杀1个敌人会延长下次奥义持续时间0.1秒，上限3.5秒</v>
      </c>
      <c r="AB766" s="32"/>
      <c r="AC766" s="32" t="s">
        <v>166</v>
      </c>
      <c r="AD766" s="32">
        <f t="shared" si="290"/>
        <v>1761</v>
      </c>
      <c r="AE766" s="25">
        <v>53052872</v>
      </c>
      <c r="AF766" s="25" t="s">
        <v>971</v>
      </c>
      <c r="AG766" s="25">
        <v>8</v>
      </c>
      <c r="AJ766" s="25">
        <v>1</v>
      </c>
      <c r="AK766" s="26"/>
      <c r="AL766" s="25" t="s">
        <v>972</v>
      </c>
      <c r="AM766" s="26"/>
      <c r="AN766" s="25">
        <v>8</v>
      </c>
      <c r="AO766" s="25" t="s">
        <v>32</v>
      </c>
      <c r="AP766" s="20">
        <f t="shared" si="291"/>
        <v>761</v>
      </c>
    </row>
    <row r="767" customHeight="1" spans="1:42">
      <c r="A767" s="25">
        <v>5510546</v>
      </c>
      <c r="B767" s="25">
        <v>5301287</v>
      </c>
      <c r="C767" s="25">
        <v>6</v>
      </c>
      <c r="D767" s="25"/>
      <c r="E767" s="25" t="s">
        <v>200</v>
      </c>
      <c r="F767" s="26" t="str">
        <f t="shared" si="289"/>
        <v/>
      </c>
      <c r="G767" s="26">
        <f>IFERROR(IF(--MID($E767,2*COUNTIF($F767:F767,"&gt;"&amp;0)+2,1)=G$1,G$1,""),"")</f>
        <v>2</v>
      </c>
      <c r="H767" s="26" t="str">
        <f>IFERROR(IF(--MID($E767,2*COUNTIF($F767:G767,"&gt;"&amp;0)+2,1)=H$1,H$1,""),"")</f>
        <v/>
      </c>
      <c r="I767" s="26" t="str">
        <f>IFERROR(IF(--MID($E767,2*COUNTIF($F767:H767,"&gt;"&amp;0)+2,1)=I$1,I$1,""),"")</f>
        <v/>
      </c>
      <c r="J767" s="26" t="str">
        <f>IFERROR(IF(--MID($E767,2*COUNTIF($F767:I767,"&gt;"&amp;0)+2,1)=J$1,J$1,""),"")</f>
        <v/>
      </c>
      <c r="K767" s="26" t="str">
        <f>IFERROR(IF(--MID($E767,2*COUNTIF($F767:J767,"&gt;"&amp;0)+2,1)=K$1,K$1,""),"")</f>
        <v/>
      </c>
      <c r="L767" s="39" t="str" cm="1">
        <f t="array" ref="L767">IFERROR(IF($A767="","",IF(F767="","",_xlfn.XLOOKUP($C767&amp;"_"&amp;$AG767,符文权重!$A:$A&amp;"_"&amp;符文权重!$C:$C,符文权重!$D:$D)*$X767/SUMIFS($X:$X,F:F,F767,$C:$C,$C767,$AG:$AG,$AG767)/SUMIF(符文权重!$A:$A,$C767,符文权重!$D:$D))),"")</f>
        <v/>
      </c>
      <c r="M767" s="39" cm="1">
        <f t="array" ref="M767">IFERROR(IF($A767="","",IF(G767="","",_xlfn.XLOOKUP($C767&amp;"_"&amp;$AG767,符文权重!$A:$A&amp;"_"&amp;符文权重!$C:$C,符文权重!$D:$D)*$X767/SUMIFS($X:$X,G:G,G767,$C:$C,$C767,$AG:$AG,$AG767)/SUMIF(符文权重!$A:$A,$C767,符文权重!$D:$D))),"")</f>
        <v>0.00525</v>
      </c>
      <c r="N767" s="39" t="str" cm="1">
        <f t="array" ref="N767">IFERROR(IF($A767="","",IF(H767="","",_xlfn.XLOOKUP($C767&amp;"_"&amp;$AG767,符文权重!$A:$A&amp;"_"&amp;符文权重!$C:$C,符文权重!$D:$D)*$X767/SUMIFS($X:$X,H:H,H767,$C:$C,$C767,$AG:$AG,$AG767)/SUMIF(符文权重!$A:$A,$C767,符文权重!$D:$D))),"")</f>
        <v/>
      </c>
      <c r="O767" s="39" t="str" cm="1">
        <f t="array" ref="O767">IFERROR(IF($A767="","",IF(I767="","",_xlfn.XLOOKUP($C767&amp;"_"&amp;$AG767,符文权重!$A:$A&amp;"_"&amp;符文权重!$C:$C,符文权重!$D:$D)*$X767/SUMIFS($X:$X,I:I,I767,$C:$C,$C767,$AG:$AG,$AG767)/SUMIF(符文权重!$A:$A,$C767,符文权重!$D:$D))),"")</f>
        <v/>
      </c>
      <c r="P767" s="39" t="str" cm="1">
        <f t="array" ref="P767">IFERROR(IF($A767="","",IF(J767="","",_xlfn.XLOOKUP($C767&amp;"_"&amp;$AG767,符文权重!$A:$A&amp;"_"&amp;符文权重!$C:$C,符文权重!$D:$D)*$X767/SUMIFS($X:$X,J:J,J767,$C:$C,$C767,$AG:$AG,$AG767)/SUMIF(符文权重!$A:$A,$C767,符文权重!$D:$D))),"")</f>
        <v/>
      </c>
      <c r="Q767" s="39" t="str" cm="1">
        <f t="array" ref="Q767">IFERROR(IF($A767="","",IF(K767="","",_xlfn.XLOOKUP($C767&amp;"_"&amp;$AG767,符文权重!$A:$A&amp;"_"&amp;符文权重!$C:$C,符文权重!$D:$D)*$X767/SUMIFS($X:$X,K:K,K767,$C:$C,$C767,$AG:$AG,$AG767)/SUMIF(符文权重!$A:$A,$C767,符文权重!$D:$D))),"")</f>
        <v/>
      </c>
      <c r="R767" s="25" t="s">
        <v>330</v>
      </c>
      <c r="S767" s="25" t="s">
        <v>946</v>
      </c>
      <c r="T767" s="25" t="s">
        <v>394</v>
      </c>
      <c r="U767" s="25" t="s">
        <v>973</v>
      </c>
      <c r="V767" s="63"/>
      <c r="W767" s="25" t="s">
        <v>760</v>
      </c>
      <c r="X767" s="25">
        <v>100</v>
      </c>
      <c r="Y767" s="63"/>
      <c r="Z767" s="25" t="s">
        <v>178</v>
      </c>
      <c r="AA767" s="32" t="str">
        <f t="shared" si="292"/>
        <v>诸葛奥义每击杀1个敌人会延长下次奥义持续时间0.13秒，上限4秒</v>
      </c>
      <c r="AB767" s="32"/>
      <c r="AC767" s="32" t="s">
        <v>166</v>
      </c>
      <c r="AD767" s="32">
        <f t="shared" si="290"/>
        <v>1762</v>
      </c>
      <c r="AE767" s="25">
        <v>53062873</v>
      </c>
      <c r="AF767" s="25" t="s">
        <v>974</v>
      </c>
      <c r="AG767" s="25">
        <v>8</v>
      </c>
      <c r="AH767" s="63"/>
      <c r="AI767" s="63"/>
      <c r="AJ767" s="25">
        <v>1</v>
      </c>
      <c r="AK767" s="26"/>
      <c r="AL767" s="25" t="s">
        <v>975</v>
      </c>
      <c r="AM767" s="26"/>
      <c r="AN767" s="25">
        <v>8</v>
      </c>
      <c r="AO767" s="25" t="s">
        <v>32</v>
      </c>
      <c r="AP767" s="20">
        <f t="shared" si="291"/>
        <v>762</v>
      </c>
    </row>
    <row r="768" customHeight="1" spans="1:42">
      <c r="A768" s="25">
        <v>5510547</v>
      </c>
      <c r="B768" s="25">
        <v>5301287</v>
      </c>
      <c r="C768" s="25">
        <v>7</v>
      </c>
      <c r="D768" s="25"/>
      <c r="E768" s="25" t="s">
        <v>200</v>
      </c>
      <c r="F768" s="26" t="str">
        <f t="shared" si="289"/>
        <v/>
      </c>
      <c r="G768" s="26">
        <f>IFERROR(IF(--MID($E768,2*COUNTIF($F768:F768,"&gt;"&amp;0)+2,1)=G$1,G$1,""),"")</f>
        <v>2</v>
      </c>
      <c r="H768" s="26" t="str">
        <f>IFERROR(IF(--MID($E768,2*COUNTIF($F768:G768,"&gt;"&amp;0)+2,1)=H$1,H$1,""),"")</f>
        <v/>
      </c>
      <c r="I768" s="26" t="str">
        <f>IFERROR(IF(--MID($E768,2*COUNTIF($F768:H768,"&gt;"&amp;0)+2,1)=I$1,I$1,""),"")</f>
        <v/>
      </c>
      <c r="J768" s="26" t="str">
        <f>IFERROR(IF(--MID($E768,2*COUNTIF($F768:I768,"&gt;"&amp;0)+2,1)=J$1,J$1,""),"")</f>
        <v/>
      </c>
      <c r="K768" s="26" t="str">
        <f>IFERROR(IF(--MID($E768,2*COUNTIF($F768:J768,"&gt;"&amp;0)+2,1)=K$1,K$1,""),"")</f>
        <v/>
      </c>
      <c r="L768" s="39" t="str" cm="1">
        <f t="array" ref="L768">IFERROR(IF($A768="","",IF(F768="","",_xlfn.XLOOKUP($C768&amp;"_"&amp;$AG768,符文权重!$A:$A&amp;"_"&amp;符文权重!$C:$C,符文权重!$D:$D)*$X768/SUMIFS($X:$X,F:F,F768,$C:$C,$C768,$AG:$AG,$AG768)/SUMIF(符文权重!$A:$A,$C768,符文权重!$D:$D))),"")</f>
        <v/>
      </c>
      <c r="M768" s="39" cm="1">
        <f t="array" ref="M768">IFERROR(IF($A768="","",IF(G768="","",_xlfn.XLOOKUP($C768&amp;"_"&amp;$AG768,符文权重!$A:$A&amp;"_"&amp;符文权重!$C:$C,符文权重!$D:$D)*$X768/SUMIFS($X:$X,G:G,G768,$C:$C,$C768,$AG:$AG,$AG768)/SUMIF(符文权重!$A:$A,$C768,符文权重!$D:$D))),"")</f>
        <v>0.00525</v>
      </c>
      <c r="N768" s="39" t="str" cm="1">
        <f t="array" ref="N768">IFERROR(IF($A768="","",IF(H768="","",_xlfn.XLOOKUP($C768&amp;"_"&amp;$AG768,符文权重!$A:$A&amp;"_"&amp;符文权重!$C:$C,符文权重!$D:$D)*$X768/SUMIFS($X:$X,H:H,H768,$C:$C,$C768,$AG:$AG,$AG768)/SUMIF(符文权重!$A:$A,$C768,符文权重!$D:$D))),"")</f>
        <v/>
      </c>
      <c r="O768" s="39" t="str" cm="1">
        <f t="array" ref="O768">IFERROR(IF($A768="","",IF(I768="","",_xlfn.XLOOKUP($C768&amp;"_"&amp;$AG768,符文权重!$A:$A&amp;"_"&amp;符文权重!$C:$C,符文权重!$D:$D)*$X768/SUMIFS($X:$X,I:I,I768,$C:$C,$C768,$AG:$AG,$AG768)/SUMIF(符文权重!$A:$A,$C768,符文权重!$D:$D))),"")</f>
        <v/>
      </c>
      <c r="P768" s="39" t="str" cm="1">
        <f t="array" ref="P768">IFERROR(IF($A768="","",IF(J768="","",_xlfn.XLOOKUP($C768&amp;"_"&amp;$AG768,符文权重!$A:$A&amp;"_"&amp;符文权重!$C:$C,符文权重!$D:$D)*$X768/SUMIFS($X:$X,J:J,J768,$C:$C,$C768,$AG:$AG,$AG768)/SUMIF(符文权重!$A:$A,$C768,符文权重!$D:$D))),"")</f>
        <v/>
      </c>
      <c r="Q768" s="39" t="str" cm="1">
        <f t="array" ref="Q768">IFERROR(IF($A768="","",IF(K768="","",_xlfn.XLOOKUP($C768&amp;"_"&amp;$AG768,符文权重!$A:$A&amp;"_"&amp;符文权重!$C:$C,符文权重!$D:$D)*$X768/SUMIFS($X:$X,K:K,K768,$C:$C,$C768,$AG:$AG,$AG768)/SUMIF(符文权重!$A:$A,$C768,符文权重!$D:$D))),"")</f>
        <v/>
      </c>
      <c r="R768" s="25" t="s">
        <v>330</v>
      </c>
      <c r="S768" s="25" t="s">
        <v>946</v>
      </c>
      <c r="T768" s="25" t="s">
        <v>397</v>
      </c>
      <c r="U768" s="25" t="s">
        <v>976</v>
      </c>
      <c r="V768" s="25"/>
      <c r="W768" s="25" t="s">
        <v>763</v>
      </c>
      <c r="X768" s="25">
        <v>100</v>
      </c>
      <c r="Z768" s="25" t="s">
        <v>180</v>
      </c>
      <c r="AA768" s="32" t="str">
        <f t="shared" si="292"/>
        <v>诸葛奥义每击杀1个敌人会延长下次奥义持续时间0.16秒，上限5秒</v>
      </c>
      <c r="AB768" s="32"/>
      <c r="AC768" s="32" t="s">
        <v>166</v>
      </c>
      <c r="AD768" s="32">
        <f t="shared" si="290"/>
        <v>1763</v>
      </c>
      <c r="AE768" s="25">
        <v>53072874</v>
      </c>
      <c r="AF768" s="25" t="s">
        <v>977</v>
      </c>
      <c r="AG768" s="25">
        <v>8</v>
      </c>
      <c r="AJ768" s="25">
        <v>1</v>
      </c>
      <c r="AK768" s="25"/>
      <c r="AL768" s="25" t="s">
        <v>978</v>
      </c>
      <c r="AN768" s="25">
        <v>8</v>
      </c>
      <c r="AO768" s="25" t="s">
        <v>32</v>
      </c>
      <c r="AP768" s="20">
        <f t="shared" si="291"/>
        <v>763</v>
      </c>
    </row>
    <row r="769" customHeight="1" spans="1:42">
      <c r="A769" s="25">
        <v>5510554</v>
      </c>
      <c r="B769" s="25">
        <v>5301294</v>
      </c>
      <c r="C769" s="25">
        <v>4</v>
      </c>
      <c r="D769" s="25"/>
      <c r="E769" s="25" t="s">
        <v>200</v>
      </c>
      <c r="F769" s="26" t="str">
        <f t="shared" si="289"/>
        <v/>
      </c>
      <c r="G769" s="26">
        <f>IFERROR(IF(--MID($E769,2*COUNTIF($F769:F769,"&gt;"&amp;0)+2,1)=G$1,G$1,""),"")</f>
        <v>2</v>
      </c>
      <c r="H769" s="26" t="str">
        <f>IFERROR(IF(--MID($E769,2*COUNTIF($F769:G769,"&gt;"&amp;0)+2,1)=H$1,H$1,""),"")</f>
        <v/>
      </c>
      <c r="I769" s="26" t="str">
        <f>IFERROR(IF(--MID($E769,2*COUNTIF($F769:H769,"&gt;"&amp;0)+2,1)=I$1,I$1,""),"")</f>
        <v/>
      </c>
      <c r="J769" s="26" t="str">
        <f>IFERROR(IF(--MID($E769,2*COUNTIF($F769:I769,"&gt;"&amp;0)+2,1)=J$1,J$1,""),"")</f>
        <v/>
      </c>
      <c r="K769" s="26" t="str">
        <f>IFERROR(IF(--MID($E769,2*COUNTIF($F769:J769,"&gt;"&amp;0)+2,1)=K$1,K$1,""),"")</f>
        <v/>
      </c>
      <c r="L769" s="39" t="str" cm="1">
        <f t="array" ref="L769">IFERROR(IF($A769="","",IF(F769="","",_xlfn.XLOOKUP($C769&amp;"_"&amp;$AG769,符文权重!$A:$A&amp;"_"&amp;符文权重!$C:$C,符文权重!$D:$D)*$X769/SUMIFS($X:$X,F:F,F769,$C:$C,$C769,$AG:$AG,$AG769)/SUMIF(符文权重!$A:$A,$C769,符文权重!$D:$D))),"")</f>
        <v/>
      </c>
      <c r="M769" s="39" t="str" cm="1">
        <f t="array" ref="M769">IFERROR(IF($A769="","",IF(G769="","",_xlfn.XLOOKUP($C769&amp;"_"&amp;$AG769,符文权重!$A:$A&amp;"_"&amp;符文权重!$C:$C,符文权重!$D:$D)*$X769/SUMIFS($X:$X,G:G,G769,$C:$C,$C769,$AG:$AG,$AG769)/SUMIF(符文权重!$A:$A,$C769,符文权重!$D:$D))),"")</f>
        <v/>
      </c>
      <c r="N769" s="39" t="str" cm="1">
        <f t="array" ref="N769">IFERROR(IF($A769="","",IF(H769="","",_xlfn.XLOOKUP($C769&amp;"_"&amp;$AG769,符文权重!$A:$A&amp;"_"&amp;符文权重!$C:$C,符文权重!$D:$D)*$X769/SUMIFS($X:$X,H:H,H769,$C:$C,$C769,$AG:$AG,$AG769)/SUMIF(符文权重!$A:$A,$C769,符文权重!$D:$D))),"")</f>
        <v/>
      </c>
      <c r="O769" s="39" t="str" cm="1">
        <f t="array" ref="O769">IFERROR(IF($A769="","",IF(I769="","",_xlfn.XLOOKUP($C769&amp;"_"&amp;$AG769,符文权重!$A:$A&amp;"_"&amp;符文权重!$C:$C,符文权重!$D:$D)*$X769/SUMIFS($X:$X,I:I,I769,$C:$C,$C769,$AG:$AG,$AG769)/SUMIF(符文权重!$A:$A,$C769,符文权重!$D:$D))),"")</f>
        <v/>
      </c>
      <c r="P769" s="39" t="str" cm="1">
        <f t="array" ref="P769">IFERROR(IF($A769="","",IF(J769="","",_xlfn.XLOOKUP($C769&amp;"_"&amp;$AG769,符文权重!$A:$A&amp;"_"&amp;符文权重!$C:$C,符文权重!$D:$D)*$X769/SUMIFS($X:$X,J:J,J769,$C:$C,$C769,$AG:$AG,$AG769)/SUMIF(符文权重!$A:$A,$C769,符文权重!$D:$D))),"")</f>
        <v/>
      </c>
      <c r="Q769" s="39" t="str" cm="1">
        <f t="array" ref="Q769">IFERROR(IF($A769="","",IF(K769="","",_xlfn.XLOOKUP($C769&amp;"_"&amp;$AG769,符文权重!$A:$A&amp;"_"&amp;符文权重!$C:$C,符文权重!$D:$D)*$X769/SUMIFS($X:$X,K:K,K769,$C:$C,$C769,$AG:$AG,$AG769)/SUMIF(符文权重!$A:$A,$C769,符文权重!$D:$D))),"")</f>
        <v/>
      </c>
      <c r="R769" s="25" t="s">
        <v>330</v>
      </c>
      <c r="S769" s="25" t="s">
        <v>979</v>
      </c>
      <c r="T769" s="25" t="s">
        <v>391</v>
      </c>
      <c r="U769" s="25" t="s">
        <v>980</v>
      </c>
      <c r="V769" s="25"/>
      <c r="W769" s="25" t="s">
        <v>757</v>
      </c>
      <c r="X769" s="25">
        <v>100</v>
      </c>
      <c r="Z769" s="26" t="s">
        <v>174</v>
      </c>
      <c r="AA769" s="32" t="str">
        <f t="shared" si="292"/>
        <v>我爱沙守鹤击杀敌人，恢复自身&lt;color=#31921E&gt;0.5%最大生命，持续时间&lt;color=#31921E&gt;+0.5秒，最多增加&lt;color=#31921E&gt;2.5秒</v>
      </c>
      <c r="AB769" s="32"/>
      <c r="AC769" s="32" t="s">
        <v>166</v>
      </c>
      <c r="AD769" s="32">
        <f t="shared" si="290"/>
        <v>1764</v>
      </c>
      <c r="AE769" s="25">
        <v>5304294</v>
      </c>
      <c r="AF769" s="25" t="s">
        <v>449</v>
      </c>
      <c r="AG769" s="25">
        <v>100</v>
      </c>
      <c r="AI769" s="25">
        <v>1</v>
      </c>
      <c r="AJ769" s="25">
        <v>1</v>
      </c>
      <c r="AK769" s="26"/>
      <c r="AL769" s="25" t="s">
        <v>981</v>
      </c>
      <c r="AM769" s="26"/>
      <c r="AN769" s="25">
        <v>8</v>
      </c>
      <c r="AO769" s="25" t="s">
        <v>28</v>
      </c>
      <c r="AP769" s="20">
        <f t="shared" si="291"/>
        <v>764</v>
      </c>
    </row>
    <row r="770" customHeight="1" spans="1:42">
      <c r="A770" s="25">
        <v>5510555</v>
      </c>
      <c r="B770" s="25">
        <v>5301294</v>
      </c>
      <c r="C770" s="25">
        <v>5</v>
      </c>
      <c r="D770" s="25"/>
      <c r="E770" s="25" t="s">
        <v>200</v>
      </c>
      <c r="F770" s="26" t="str">
        <f t="shared" si="289"/>
        <v/>
      </c>
      <c r="G770" s="26">
        <f>IFERROR(IF(--MID($E770,2*COUNTIF($F770:F770,"&gt;"&amp;0)+2,1)=G$1,G$1,""),"")</f>
        <v>2</v>
      </c>
      <c r="H770" s="26" t="str">
        <f>IFERROR(IF(--MID($E770,2*COUNTIF($F770:G770,"&gt;"&amp;0)+2,1)=H$1,H$1,""),"")</f>
        <v/>
      </c>
      <c r="I770" s="26" t="str">
        <f>IFERROR(IF(--MID($E770,2*COUNTIF($F770:H770,"&gt;"&amp;0)+2,1)=I$1,I$1,""),"")</f>
        <v/>
      </c>
      <c r="J770" s="26" t="str">
        <f>IFERROR(IF(--MID($E770,2*COUNTIF($F770:I770,"&gt;"&amp;0)+2,1)=J$1,J$1,""),"")</f>
        <v/>
      </c>
      <c r="K770" s="26" t="str">
        <f>IFERROR(IF(--MID($E770,2*COUNTIF($F770:J770,"&gt;"&amp;0)+2,1)=K$1,K$1,""),"")</f>
        <v/>
      </c>
      <c r="L770" s="39" t="str" cm="1">
        <f t="array" ref="L770">IFERROR(IF($A770="","",IF(F770="","",_xlfn.XLOOKUP($C770&amp;"_"&amp;$AG770,符文权重!$A:$A&amp;"_"&amp;符文权重!$C:$C,符文权重!$D:$D)*$X770/SUMIFS($X:$X,F:F,F770,$C:$C,$C770,$AG:$AG,$AG770)/SUMIF(符文权重!$A:$A,$C770,符文权重!$D:$D))),"")</f>
        <v/>
      </c>
      <c r="M770" s="39" cm="1">
        <f t="array" ref="M770">IFERROR(IF($A770="","",IF(G770="","",_xlfn.XLOOKUP($C770&amp;"_"&amp;$AG770,符文权重!$A:$A&amp;"_"&amp;符文权重!$C:$C,符文权重!$D:$D)*$X770/SUMIFS($X:$X,G:G,G770,$C:$C,$C770,$AG:$AG,$AG770)/SUMIF(符文权重!$A:$A,$C770,符文权重!$D:$D))),"")</f>
        <v>0.00525</v>
      </c>
      <c r="N770" s="39" t="str" cm="1">
        <f t="array" ref="N770">IFERROR(IF($A770="","",IF(H770="","",_xlfn.XLOOKUP($C770&amp;"_"&amp;$AG770,符文权重!$A:$A&amp;"_"&amp;符文权重!$C:$C,符文权重!$D:$D)*$X770/SUMIFS($X:$X,H:H,H770,$C:$C,$C770,$AG:$AG,$AG770)/SUMIF(符文权重!$A:$A,$C770,符文权重!$D:$D))),"")</f>
        <v/>
      </c>
      <c r="O770" s="39" t="str" cm="1">
        <f t="array" ref="O770">IFERROR(IF($A770="","",IF(I770="","",_xlfn.XLOOKUP($C770&amp;"_"&amp;$AG770,符文权重!$A:$A&amp;"_"&amp;符文权重!$C:$C,符文权重!$D:$D)*$X770/SUMIFS($X:$X,I:I,I770,$C:$C,$C770,$AG:$AG,$AG770)/SUMIF(符文权重!$A:$A,$C770,符文权重!$D:$D))),"")</f>
        <v/>
      </c>
      <c r="P770" s="39" t="str" cm="1">
        <f t="array" ref="P770">IFERROR(IF($A770="","",IF(J770="","",_xlfn.XLOOKUP($C770&amp;"_"&amp;$AG770,符文权重!$A:$A&amp;"_"&amp;符文权重!$C:$C,符文权重!$D:$D)*$X770/SUMIFS($X:$X,J:J,J770,$C:$C,$C770,$AG:$AG,$AG770)/SUMIF(符文权重!$A:$A,$C770,符文权重!$D:$D))),"")</f>
        <v/>
      </c>
      <c r="Q770" s="39" t="str" cm="1">
        <f t="array" ref="Q770">IFERROR(IF($A770="","",IF(K770="","",_xlfn.XLOOKUP($C770&amp;"_"&amp;$AG770,符文权重!$A:$A&amp;"_"&amp;符文权重!$C:$C,符文权重!$D:$D)*$X770/SUMIFS($X:$X,K:K,K770,$C:$C,$C770,$AG:$AG,$AG770)/SUMIF(符文权重!$A:$A,$C770,符文权重!$D:$D))),"")</f>
        <v/>
      </c>
      <c r="R770" s="25" t="s">
        <v>330</v>
      </c>
      <c r="S770" s="25" t="s">
        <v>979</v>
      </c>
      <c r="T770" s="25" t="s">
        <v>391</v>
      </c>
      <c r="U770" s="25" t="s">
        <v>982</v>
      </c>
      <c r="V770" s="25"/>
      <c r="W770" s="25" t="s">
        <v>757</v>
      </c>
      <c r="X770" s="25">
        <v>100</v>
      </c>
      <c r="Z770" s="25" t="s">
        <v>176</v>
      </c>
      <c r="AA770" s="32" t="str">
        <f t="shared" si="292"/>
        <v>我爱沙守鹤击杀敌人，恢复自身&lt;color=#31921E&gt;1%最大生命，持续时间&lt;color=#31921E&gt;+0.5秒，最多增加&lt;color=#31921E&gt;5秒</v>
      </c>
      <c r="AB770" s="32"/>
      <c r="AC770" s="32" t="s">
        <v>166</v>
      </c>
      <c r="AD770" s="32">
        <f t="shared" si="290"/>
        <v>1765</v>
      </c>
      <c r="AE770" s="25">
        <v>5305294</v>
      </c>
      <c r="AF770" s="25" t="s">
        <v>449</v>
      </c>
      <c r="AG770" s="25">
        <v>8</v>
      </c>
      <c r="AJ770" s="25">
        <v>1</v>
      </c>
      <c r="AK770" s="26"/>
      <c r="AL770" s="25" t="s">
        <v>983</v>
      </c>
      <c r="AM770" s="26"/>
      <c r="AN770" s="25">
        <v>8</v>
      </c>
      <c r="AO770" s="25" t="s">
        <v>28</v>
      </c>
      <c r="AP770" s="20">
        <f t="shared" si="291"/>
        <v>765</v>
      </c>
    </row>
    <row r="771" customHeight="1" spans="1:42">
      <c r="A771" s="25">
        <v>5510556</v>
      </c>
      <c r="B771" s="25">
        <v>5301294</v>
      </c>
      <c r="C771" s="25">
        <v>6</v>
      </c>
      <c r="D771" s="25"/>
      <c r="E771" s="25" t="s">
        <v>200</v>
      </c>
      <c r="F771" s="26" t="str">
        <f t="shared" si="289"/>
        <v/>
      </c>
      <c r="G771" s="26">
        <f>IFERROR(IF(--MID($E771,2*COUNTIF($F771:F771,"&gt;"&amp;0)+2,1)=G$1,G$1,""),"")</f>
        <v>2</v>
      </c>
      <c r="H771" s="26" t="str">
        <f>IFERROR(IF(--MID($E771,2*COUNTIF($F771:G771,"&gt;"&amp;0)+2,1)=H$1,H$1,""),"")</f>
        <v/>
      </c>
      <c r="I771" s="26" t="str">
        <f>IFERROR(IF(--MID($E771,2*COUNTIF($F771:H771,"&gt;"&amp;0)+2,1)=I$1,I$1,""),"")</f>
        <v/>
      </c>
      <c r="J771" s="26" t="str">
        <f>IFERROR(IF(--MID($E771,2*COUNTIF($F771:I771,"&gt;"&amp;0)+2,1)=J$1,J$1,""),"")</f>
        <v/>
      </c>
      <c r="K771" s="26" t="str">
        <f>IFERROR(IF(--MID($E771,2*COUNTIF($F771:J771,"&gt;"&amp;0)+2,1)=K$1,K$1,""),"")</f>
        <v/>
      </c>
      <c r="L771" s="39" t="str" cm="1">
        <f t="array" ref="L771">IFERROR(IF($A771="","",IF(F771="","",_xlfn.XLOOKUP($C771&amp;"_"&amp;$AG771,符文权重!$A:$A&amp;"_"&amp;符文权重!$C:$C,符文权重!$D:$D)*$X771/SUMIFS($X:$X,F:F,F771,$C:$C,$C771,$AG:$AG,$AG771)/SUMIF(符文权重!$A:$A,$C771,符文权重!$D:$D))),"")</f>
        <v/>
      </c>
      <c r="M771" s="39" cm="1">
        <f t="array" ref="M771">IFERROR(IF($A771="","",IF(G771="","",_xlfn.XLOOKUP($C771&amp;"_"&amp;$AG771,符文权重!$A:$A&amp;"_"&amp;符文权重!$C:$C,符文权重!$D:$D)*$X771/SUMIFS($X:$X,G:G,G771,$C:$C,$C771,$AG:$AG,$AG771)/SUMIF(符文权重!$A:$A,$C771,符文权重!$D:$D))),"")</f>
        <v>0.00525</v>
      </c>
      <c r="N771" s="39" t="str" cm="1">
        <f t="array" ref="N771">IFERROR(IF($A771="","",IF(H771="","",_xlfn.XLOOKUP($C771&amp;"_"&amp;$AG771,符文权重!$A:$A&amp;"_"&amp;符文权重!$C:$C,符文权重!$D:$D)*$X771/SUMIFS($X:$X,H:H,H771,$C:$C,$C771,$AG:$AG,$AG771)/SUMIF(符文权重!$A:$A,$C771,符文权重!$D:$D))),"")</f>
        <v/>
      </c>
      <c r="O771" s="39" t="str" cm="1">
        <f t="array" ref="O771">IFERROR(IF($A771="","",IF(I771="","",_xlfn.XLOOKUP($C771&amp;"_"&amp;$AG771,符文权重!$A:$A&amp;"_"&amp;符文权重!$C:$C,符文权重!$D:$D)*$X771/SUMIFS($X:$X,I:I,I771,$C:$C,$C771,$AG:$AG,$AG771)/SUMIF(符文权重!$A:$A,$C771,符文权重!$D:$D))),"")</f>
        <v/>
      </c>
      <c r="P771" s="39" t="str" cm="1">
        <f t="array" ref="P771">IFERROR(IF($A771="","",IF(J771="","",_xlfn.XLOOKUP($C771&amp;"_"&amp;$AG771,符文权重!$A:$A&amp;"_"&amp;符文权重!$C:$C,符文权重!$D:$D)*$X771/SUMIFS($X:$X,J:J,J771,$C:$C,$C771,$AG:$AG,$AG771)/SUMIF(符文权重!$A:$A,$C771,符文权重!$D:$D))),"")</f>
        <v/>
      </c>
      <c r="Q771" s="39" t="str" cm="1">
        <f t="array" ref="Q771">IFERROR(IF($A771="","",IF(K771="","",_xlfn.XLOOKUP($C771&amp;"_"&amp;$AG771,符文权重!$A:$A&amp;"_"&amp;符文权重!$C:$C,符文权重!$D:$D)*$X771/SUMIFS($X:$X,K:K,K771,$C:$C,$C771,$AG:$AG,$AG771)/SUMIF(符文权重!$A:$A,$C771,符文权重!$D:$D))),"")</f>
        <v/>
      </c>
      <c r="R771" s="25" t="s">
        <v>330</v>
      </c>
      <c r="S771" s="25" t="s">
        <v>979</v>
      </c>
      <c r="T771" s="25" t="s">
        <v>394</v>
      </c>
      <c r="U771" s="25" t="s">
        <v>984</v>
      </c>
      <c r="V771" s="25"/>
      <c r="W771" s="25" t="s">
        <v>760</v>
      </c>
      <c r="X771" s="25">
        <v>100</v>
      </c>
      <c r="Z771" s="25" t="s">
        <v>178</v>
      </c>
      <c r="AA771" s="32" t="str">
        <f t="shared" si="292"/>
        <v>我爱沙守鹤击杀敌人，恢复自身&lt;color=#31921E&gt;1%最大生命，持续时间&lt;color=#31921E&gt;1秒，最多增加&lt;color=#31921E&gt;8秒</v>
      </c>
      <c r="AB771" s="32"/>
      <c r="AC771" s="32" t="s">
        <v>166</v>
      </c>
      <c r="AD771" s="32">
        <f t="shared" si="290"/>
        <v>1766</v>
      </c>
      <c r="AE771" s="25">
        <v>5306294</v>
      </c>
      <c r="AF771" s="25" t="s">
        <v>459</v>
      </c>
      <c r="AG771" s="25">
        <v>8</v>
      </c>
      <c r="AJ771" s="25">
        <v>1</v>
      </c>
      <c r="AK771" s="26"/>
      <c r="AL771" s="25" t="s">
        <v>985</v>
      </c>
      <c r="AM771" s="26"/>
      <c r="AN771" s="25">
        <v>8</v>
      </c>
      <c r="AO771" s="25" t="s">
        <v>28</v>
      </c>
      <c r="AP771" s="20">
        <f t="shared" si="291"/>
        <v>766</v>
      </c>
    </row>
    <row r="772" customHeight="1" spans="1:42">
      <c r="A772" s="25">
        <v>5510557</v>
      </c>
      <c r="B772" s="25">
        <v>5301294</v>
      </c>
      <c r="C772" s="25">
        <v>7</v>
      </c>
      <c r="D772" s="25"/>
      <c r="E772" s="25" t="s">
        <v>200</v>
      </c>
      <c r="F772" s="26" t="str">
        <f t="shared" si="289"/>
        <v/>
      </c>
      <c r="G772" s="26">
        <f>IFERROR(IF(--MID($E772,2*COUNTIF($F772:F772,"&gt;"&amp;0)+2,1)=G$1,G$1,""),"")</f>
        <v>2</v>
      </c>
      <c r="H772" s="26" t="str">
        <f>IFERROR(IF(--MID($E772,2*COUNTIF($F772:G772,"&gt;"&amp;0)+2,1)=H$1,H$1,""),"")</f>
        <v/>
      </c>
      <c r="I772" s="26" t="str">
        <f>IFERROR(IF(--MID($E772,2*COUNTIF($F772:H772,"&gt;"&amp;0)+2,1)=I$1,I$1,""),"")</f>
        <v/>
      </c>
      <c r="J772" s="26" t="str">
        <f>IFERROR(IF(--MID($E772,2*COUNTIF($F772:I772,"&gt;"&amp;0)+2,1)=J$1,J$1,""),"")</f>
        <v/>
      </c>
      <c r="K772" s="26" t="str">
        <f>IFERROR(IF(--MID($E772,2*COUNTIF($F772:J772,"&gt;"&amp;0)+2,1)=K$1,K$1,""),"")</f>
        <v/>
      </c>
      <c r="L772" s="39" t="str" cm="1">
        <f t="array" ref="L772">IFERROR(IF($A772="","",IF(F772="","",_xlfn.XLOOKUP($C772&amp;"_"&amp;$AG772,符文权重!$A:$A&amp;"_"&amp;符文权重!$C:$C,符文权重!$D:$D)*$X772/SUMIFS($X:$X,F:F,F772,$C:$C,$C772,$AG:$AG,$AG772)/SUMIF(符文权重!$A:$A,$C772,符文权重!$D:$D))),"")</f>
        <v/>
      </c>
      <c r="M772" s="39" cm="1">
        <f t="array" ref="M772">IFERROR(IF($A772="","",IF(G772="","",_xlfn.XLOOKUP($C772&amp;"_"&amp;$AG772,符文权重!$A:$A&amp;"_"&amp;符文权重!$C:$C,符文权重!$D:$D)*$X772/SUMIFS($X:$X,G:G,G772,$C:$C,$C772,$AG:$AG,$AG772)/SUMIF(符文权重!$A:$A,$C772,符文权重!$D:$D))),"")</f>
        <v>0.00525</v>
      </c>
      <c r="N772" s="39" t="str" cm="1">
        <f t="array" ref="N772">IFERROR(IF($A772="","",IF(H772="","",_xlfn.XLOOKUP($C772&amp;"_"&amp;$AG772,符文权重!$A:$A&amp;"_"&amp;符文权重!$C:$C,符文权重!$D:$D)*$X772/SUMIFS($X:$X,H:H,H772,$C:$C,$C772,$AG:$AG,$AG772)/SUMIF(符文权重!$A:$A,$C772,符文权重!$D:$D))),"")</f>
        <v/>
      </c>
      <c r="O772" s="39" t="str" cm="1">
        <f t="array" ref="O772">IFERROR(IF($A772="","",IF(I772="","",_xlfn.XLOOKUP($C772&amp;"_"&amp;$AG772,符文权重!$A:$A&amp;"_"&amp;符文权重!$C:$C,符文权重!$D:$D)*$X772/SUMIFS($X:$X,I:I,I772,$C:$C,$C772,$AG:$AG,$AG772)/SUMIF(符文权重!$A:$A,$C772,符文权重!$D:$D))),"")</f>
        <v/>
      </c>
      <c r="P772" s="39" t="str" cm="1">
        <f t="array" ref="P772">IFERROR(IF($A772="","",IF(J772="","",_xlfn.XLOOKUP($C772&amp;"_"&amp;$AG772,符文权重!$A:$A&amp;"_"&amp;符文权重!$C:$C,符文权重!$D:$D)*$X772/SUMIFS($X:$X,J:J,J772,$C:$C,$C772,$AG:$AG,$AG772)/SUMIF(符文权重!$A:$A,$C772,符文权重!$D:$D))),"")</f>
        <v/>
      </c>
      <c r="Q772" s="39" t="str" cm="1">
        <f t="array" ref="Q772">IFERROR(IF($A772="","",IF(K772="","",_xlfn.XLOOKUP($C772&amp;"_"&amp;$AG772,符文权重!$A:$A&amp;"_"&amp;符文权重!$C:$C,符文权重!$D:$D)*$X772/SUMIFS($X:$X,K:K,K772,$C:$C,$C772,$AG:$AG,$AG772)/SUMIF(符文权重!$A:$A,$C772,符文权重!$D:$D))),"")</f>
        <v/>
      </c>
      <c r="R772" s="25" t="s">
        <v>330</v>
      </c>
      <c r="S772" s="25" t="s">
        <v>979</v>
      </c>
      <c r="T772" s="25" t="s">
        <v>397</v>
      </c>
      <c r="U772" s="25" t="s">
        <v>986</v>
      </c>
      <c r="V772" s="63"/>
      <c r="W772" s="25" t="s">
        <v>763</v>
      </c>
      <c r="X772" s="25">
        <v>100</v>
      </c>
      <c r="Y772" s="63"/>
      <c r="Z772" s="25" t="s">
        <v>180</v>
      </c>
      <c r="AA772" s="32" t="str">
        <f t="shared" si="292"/>
        <v>我爱沙守鹤击杀敌人，恢复自身&lt;color=#31921E&gt;1.5%最大生命，持续时间&lt;color=#31921E&gt;1秒，最多增加&lt;color=#31921E&gt;10秒</v>
      </c>
      <c r="AB772" s="32"/>
      <c r="AC772" s="32" t="s">
        <v>166</v>
      </c>
      <c r="AD772" s="32">
        <f t="shared" si="290"/>
        <v>1767</v>
      </c>
      <c r="AE772" s="25">
        <v>5307294</v>
      </c>
      <c r="AF772" s="25" t="s">
        <v>541</v>
      </c>
      <c r="AG772" s="25">
        <v>8</v>
      </c>
      <c r="AH772" s="63"/>
      <c r="AI772" s="63"/>
      <c r="AJ772" s="25">
        <v>1</v>
      </c>
      <c r="AK772" s="26"/>
      <c r="AL772" s="25" t="s">
        <v>987</v>
      </c>
      <c r="AM772" s="26"/>
      <c r="AN772" s="25">
        <v>8</v>
      </c>
      <c r="AO772" s="25" t="s">
        <v>28</v>
      </c>
      <c r="AP772" s="20">
        <f t="shared" si="291"/>
        <v>767</v>
      </c>
    </row>
    <row r="773" customHeight="1" spans="1:42">
      <c r="A773" s="25">
        <v>5510564</v>
      </c>
      <c r="B773" s="25">
        <v>5301295</v>
      </c>
      <c r="C773" s="25">
        <v>4</v>
      </c>
      <c r="D773" s="25"/>
      <c r="E773" s="25" t="s">
        <v>182</v>
      </c>
      <c r="F773" s="26" t="str">
        <f t="shared" si="289"/>
        <v/>
      </c>
      <c r="G773" s="26" t="str">
        <f>IFERROR(IF(--MID($E773,2*COUNTIF($F773:F773,"&gt;"&amp;0)+2,1)=G$1,G$1,""),"")</f>
        <v/>
      </c>
      <c r="H773" s="26">
        <f>IFERROR(IF(--MID($E773,2*COUNTIF($F773:G773,"&gt;"&amp;0)+2,1)=H$1,H$1,""),"")</f>
        <v>3</v>
      </c>
      <c r="I773" s="26" t="str">
        <f>IFERROR(IF(--MID($E773,2*COUNTIF($F773:H773,"&gt;"&amp;0)+2,1)=I$1,I$1,""),"")</f>
        <v/>
      </c>
      <c r="J773" s="26" t="str">
        <f>IFERROR(IF(--MID($E773,2*COUNTIF($F773:I773,"&gt;"&amp;0)+2,1)=J$1,J$1,""),"")</f>
        <v/>
      </c>
      <c r="K773" s="26" t="str">
        <f>IFERROR(IF(--MID($E773,2*COUNTIF($F773:J773,"&gt;"&amp;0)+2,1)=K$1,K$1,""),"")</f>
        <v/>
      </c>
      <c r="L773" s="39" t="str" cm="1">
        <f t="array" ref="L773">IFERROR(IF($A773="","",IF(F773="","",_xlfn.XLOOKUP($C773&amp;"_"&amp;$AG773,符文权重!$A:$A&amp;"_"&amp;符文权重!$C:$C,符文权重!$D:$D)*$X773/SUMIFS($X:$X,F:F,F773,$C:$C,$C773,$AG:$AG,$AG773)/SUMIF(符文权重!$A:$A,$C773,符文权重!$D:$D))),"")</f>
        <v/>
      </c>
      <c r="M773" s="39" t="str" cm="1">
        <f t="array" ref="M773">IFERROR(IF($A773="","",IF(G773="","",_xlfn.XLOOKUP($C773&amp;"_"&amp;$AG773,符文权重!$A:$A&amp;"_"&amp;符文权重!$C:$C,符文权重!$D:$D)*$X773/SUMIFS($X:$X,G:G,G773,$C:$C,$C773,$AG:$AG,$AG773)/SUMIF(符文权重!$A:$A,$C773,符文权重!$D:$D))),"")</f>
        <v/>
      </c>
      <c r="N773" s="39" t="str" cm="1">
        <f t="array" ref="N773">IFERROR(IF($A773="","",IF(H773="","",_xlfn.XLOOKUP($C773&amp;"_"&amp;$AG773,符文权重!$A:$A&amp;"_"&amp;符文权重!$C:$C,符文权重!$D:$D)*$X773/SUMIFS($X:$X,H:H,H773,$C:$C,$C773,$AG:$AG,$AG773)/SUMIF(符文权重!$A:$A,$C773,符文权重!$D:$D))),"")</f>
        <v/>
      </c>
      <c r="O773" s="39" t="str" cm="1">
        <f t="array" ref="O773">IFERROR(IF($A773="","",IF(I773="","",_xlfn.XLOOKUP($C773&amp;"_"&amp;$AG773,符文权重!$A:$A&amp;"_"&amp;符文权重!$C:$C,符文权重!$D:$D)*$X773/SUMIFS($X:$X,I:I,I773,$C:$C,$C773,$AG:$AG,$AG773)/SUMIF(符文权重!$A:$A,$C773,符文权重!$D:$D))),"")</f>
        <v/>
      </c>
      <c r="P773" s="39" t="str" cm="1">
        <f t="array" ref="P773">IFERROR(IF($A773="","",IF(J773="","",_xlfn.XLOOKUP($C773&amp;"_"&amp;$AG773,符文权重!$A:$A&amp;"_"&amp;符文权重!$C:$C,符文权重!$D:$D)*$X773/SUMIFS($X:$X,J:J,J773,$C:$C,$C773,$AG:$AG,$AG773)/SUMIF(符文权重!$A:$A,$C773,符文权重!$D:$D))),"")</f>
        <v/>
      </c>
      <c r="Q773" s="39" t="str" cm="1">
        <f t="array" ref="Q773">IFERROR(IF($A773="","",IF(K773="","",_xlfn.XLOOKUP($C773&amp;"_"&amp;$AG773,符文权重!$A:$A&amp;"_"&amp;符文权重!$C:$C,符文权重!$D:$D)*$X773/SUMIFS($X:$X,K:K,K773,$C:$C,$C773,$AG:$AG,$AG773)/SUMIF(符文权重!$A:$A,$C773,符文权重!$D:$D))),"")</f>
        <v/>
      </c>
      <c r="R773" s="25" t="s">
        <v>330</v>
      </c>
      <c r="S773" s="25" t="s">
        <v>979</v>
      </c>
      <c r="T773" s="25" t="s">
        <v>391</v>
      </c>
      <c r="U773" s="25" t="s">
        <v>988</v>
      </c>
      <c r="V773" s="63"/>
      <c r="W773" s="25" t="s">
        <v>757</v>
      </c>
      <c r="X773" s="25">
        <v>100</v>
      </c>
      <c r="Y773" s="63"/>
      <c r="Z773" s="26" t="s">
        <v>174</v>
      </c>
      <c r="AA773" s="32" t="str">
        <f t="shared" si="292"/>
        <v>我爱沙陷流之沙的护盾效果&lt;color=#31921E&gt;+25%</v>
      </c>
      <c r="AB773" s="32"/>
      <c r="AC773" s="32" t="s">
        <v>166</v>
      </c>
      <c r="AD773" s="32">
        <f t="shared" si="290"/>
        <v>1768</v>
      </c>
      <c r="AE773" s="25">
        <v>5301295</v>
      </c>
      <c r="AF773" s="25" t="s">
        <v>399</v>
      </c>
      <c r="AG773" s="25">
        <v>100</v>
      </c>
      <c r="AH773" s="63"/>
      <c r="AI773" s="64">
        <v>1</v>
      </c>
      <c r="AJ773" s="25">
        <v>1</v>
      </c>
      <c r="AK773" s="26"/>
      <c r="AL773" s="25" t="s">
        <v>989</v>
      </c>
      <c r="AM773" s="26"/>
      <c r="AN773" s="25">
        <v>8</v>
      </c>
      <c r="AO773" s="25" t="s">
        <v>28</v>
      </c>
      <c r="AP773" s="20">
        <f t="shared" si="291"/>
        <v>768</v>
      </c>
    </row>
    <row r="774" customHeight="1" spans="1:42">
      <c r="A774" s="25">
        <v>5510565</v>
      </c>
      <c r="B774" s="25">
        <v>5301295</v>
      </c>
      <c r="C774" s="25">
        <v>5</v>
      </c>
      <c r="D774" s="25"/>
      <c r="E774" s="25" t="s">
        <v>182</v>
      </c>
      <c r="F774" s="26" t="str">
        <f t="shared" si="289"/>
        <v/>
      </c>
      <c r="G774" s="26" t="str">
        <f>IFERROR(IF(--MID($E774,2*COUNTIF($F774:F774,"&gt;"&amp;0)+2,1)=G$1,G$1,""),"")</f>
        <v/>
      </c>
      <c r="H774" s="26">
        <f>IFERROR(IF(--MID($E774,2*COUNTIF($F774:G774,"&gt;"&amp;0)+2,1)=H$1,H$1,""),"")</f>
        <v>3</v>
      </c>
      <c r="I774" s="26" t="str">
        <f>IFERROR(IF(--MID($E774,2*COUNTIF($F774:H774,"&gt;"&amp;0)+2,1)=I$1,I$1,""),"")</f>
        <v/>
      </c>
      <c r="J774" s="26" t="str">
        <f>IFERROR(IF(--MID($E774,2*COUNTIF($F774:I774,"&gt;"&amp;0)+2,1)=J$1,J$1,""),"")</f>
        <v/>
      </c>
      <c r="K774" s="26" t="str">
        <f>IFERROR(IF(--MID($E774,2*COUNTIF($F774:J774,"&gt;"&amp;0)+2,1)=K$1,K$1,""),"")</f>
        <v/>
      </c>
      <c r="L774" s="39" t="str" cm="1">
        <f t="array" ref="L774">IFERROR(IF($A774="","",IF(F774="","",_xlfn.XLOOKUP($C774&amp;"_"&amp;$AG774,符文权重!$A:$A&amp;"_"&amp;符文权重!$C:$C,符文权重!$D:$D)*$X774/SUMIFS($X:$X,F:F,F774,$C:$C,$C774,$AG:$AG,$AG774)/SUMIF(符文权重!$A:$A,$C774,符文权重!$D:$D))),"")</f>
        <v/>
      </c>
      <c r="M774" s="39" t="str" cm="1">
        <f t="array" ref="M774">IFERROR(IF($A774="","",IF(G774="","",_xlfn.XLOOKUP($C774&amp;"_"&amp;$AG774,符文权重!$A:$A&amp;"_"&amp;符文权重!$C:$C,符文权重!$D:$D)*$X774/SUMIFS($X:$X,G:G,G774,$C:$C,$C774,$AG:$AG,$AG774)/SUMIF(符文权重!$A:$A,$C774,符文权重!$D:$D))),"")</f>
        <v/>
      </c>
      <c r="N774" s="39" cm="1">
        <f t="array" ref="N774">IFERROR(IF($A774="","",IF(H774="","",_xlfn.XLOOKUP($C774&amp;"_"&amp;$AG774,符文权重!$A:$A&amp;"_"&amp;符文权重!$C:$C,符文权重!$D:$D)*$X774/SUMIFS($X:$X,H:H,H774,$C:$C,$C774,$AG:$AG,$AG774)/SUMIF(符文权重!$A:$A,$C774,符文权重!$D:$D))),"")</f>
        <v>0.0105</v>
      </c>
      <c r="O774" s="39" t="str" cm="1">
        <f t="array" ref="O774">IFERROR(IF($A774="","",IF(I774="","",_xlfn.XLOOKUP($C774&amp;"_"&amp;$AG774,符文权重!$A:$A&amp;"_"&amp;符文权重!$C:$C,符文权重!$D:$D)*$X774/SUMIFS($X:$X,I:I,I774,$C:$C,$C774,$AG:$AG,$AG774)/SUMIF(符文权重!$A:$A,$C774,符文权重!$D:$D))),"")</f>
        <v/>
      </c>
      <c r="P774" s="39" t="str" cm="1">
        <f t="array" ref="P774">IFERROR(IF($A774="","",IF(J774="","",_xlfn.XLOOKUP($C774&amp;"_"&amp;$AG774,符文权重!$A:$A&amp;"_"&amp;符文权重!$C:$C,符文权重!$D:$D)*$X774/SUMIFS($X:$X,J:J,J774,$C:$C,$C774,$AG:$AG,$AG774)/SUMIF(符文权重!$A:$A,$C774,符文权重!$D:$D))),"")</f>
        <v/>
      </c>
      <c r="Q774" s="39" t="str" cm="1">
        <f t="array" ref="Q774">IFERROR(IF($A774="","",IF(K774="","",_xlfn.XLOOKUP($C774&amp;"_"&amp;$AG774,符文权重!$A:$A&amp;"_"&amp;符文权重!$C:$C,符文权重!$D:$D)*$X774/SUMIFS($X:$X,K:K,K774,$C:$C,$C774,$AG:$AG,$AG774)/SUMIF(符文权重!$A:$A,$C774,符文权重!$D:$D))),"")</f>
        <v/>
      </c>
      <c r="R774" s="25" t="s">
        <v>330</v>
      </c>
      <c r="S774" s="25" t="s">
        <v>979</v>
      </c>
      <c r="T774" s="25" t="s">
        <v>391</v>
      </c>
      <c r="U774" s="25" t="s">
        <v>990</v>
      </c>
      <c r="V774" s="63"/>
      <c r="W774" s="25" t="s">
        <v>757</v>
      </c>
      <c r="X774" s="25">
        <v>100</v>
      </c>
      <c r="Y774" s="63"/>
      <c r="Z774" s="25" t="s">
        <v>176</v>
      </c>
      <c r="AA774" s="32" t="str">
        <f t="shared" si="292"/>
        <v>我爱沙陷流之沙的护盾效果&lt;color=#31921E&gt;+35%</v>
      </c>
      <c r="AB774" s="32"/>
      <c r="AC774" s="32" t="s">
        <v>166</v>
      </c>
      <c r="AD774" s="32">
        <f t="shared" si="290"/>
        <v>1769</v>
      </c>
      <c r="AE774" s="25">
        <v>5301295</v>
      </c>
      <c r="AF774" s="25" t="s">
        <v>411</v>
      </c>
      <c r="AG774" s="25">
        <v>8</v>
      </c>
      <c r="AH774" s="63"/>
      <c r="AI774" s="63"/>
      <c r="AJ774" s="25">
        <v>1</v>
      </c>
      <c r="AK774" s="26"/>
      <c r="AL774" s="25" t="s">
        <v>991</v>
      </c>
      <c r="AM774" s="26"/>
      <c r="AN774" s="25">
        <v>8</v>
      </c>
      <c r="AO774" s="25" t="s">
        <v>28</v>
      </c>
      <c r="AP774" s="20">
        <f t="shared" si="291"/>
        <v>769</v>
      </c>
    </row>
    <row r="775" customHeight="1" spans="1:42">
      <c r="A775" s="25">
        <v>5510566</v>
      </c>
      <c r="B775" s="25">
        <v>5301295</v>
      </c>
      <c r="C775" s="25">
        <v>6</v>
      </c>
      <c r="D775" s="25"/>
      <c r="E775" s="25" t="s">
        <v>182</v>
      </c>
      <c r="F775" s="26" t="str">
        <f t="shared" ref="F775:F780" si="293">IF(LEFT(E775,2)="[1",1,"")</f>
        <v/>
      </c>
      <c r="G775" s="26" t="str">
        <f>IFERROR(IF(--MID($E775,2*COUNTIF($F775:F775,"&gt;"&amp;0)+2,1)=G$1,G$1,""),"")</f>
        <v/>
      </c>
      <c r="H775" s="26">
        <f>IFERROR(IF(--MID($E775,2*COUNTIF($F775:G775,"&gt;"&amp;0)+2,1)=H$1,H$1,""),"")</f>
        <v>3</v>
      </c>
      <c r="I775" s="26" t="str">
        <f>IFERROR(IF(--MID($E775,2*COUNTIF($F775:H775,"&gt;"&amp;0)+2,1)=I$1,I$1,""),"")</f>
        <v/>
      </c>
      <c r="J775" s="26" t="str">
        <f>IFERROR(IF(--MID($E775,2*COUNTIF($F775:I775,"&gt;"&amp;0)+2,1)=J$1,J$1,""),"")</f>
        <v/>
      </c>
      <c r="K775" s="26" t="str">
        <f>IFERROR(IF(--MID($E775,2*COUNTIF($F775:J775,"&gt;"&amp;0)+2,1)=K$1,K$1,""),"")</f>
        <v/>
      </c>
      <c r="L775" s="39" t="str" cm="1">
        <f t="array" ref="L775">IFERROR(IF($A775="","",IF(F775="","",_xlfn.XLOOKUP($C775&amp;"_"&amp;$AG775,符文权重!$A:$A&amp;"_"&amp;符文权重!$C:$C,符文权重!$D:$D)*$X775/SUMIFS($X:$X,F:F,F775,$C:$C,$C775,$AG:$AG,$AG775)/SUMIF(符文权重!$A:$A,$C775,符文权重!$D:$D))),"")</f>
        <v/>
      </c>
      <c r="M775" s="39" t="str" cm="1">
        <f t="array" ref="M775">IFERROR(IF($A775="","",IF(G775="","",_xlfn.XLOOKUP($C775&amp;"_"&amp;$AG775,符文权重!$A:$A&amp;"_"&amp;符文权重!$C:$C,符文权重!$D:$D)*$X775/SUMIFS($X:$X,G:G,G775,$C:$C,$C775,$AG:$AG,$AG775)/SUMIF(符文权重!$A:$A,$C775,符文权重!$D:$D))),"")</f>
        <v/>
      </c>
      <c r="N775" s="39" cm="1">
        <f t="array" ref="N775">IFERROR(IF($A775="","",IF(H775="","",_xlfn.XLOOKUP($C775&amp;"_"&amp;$AG775,符文权重!$A:$A&amp;"_"&amp;符文权重!$C:$C,符文权重!$D:$D)*$X775/SUMIFS($X:$X,H:H,H775,$C:$C,$C775,$AG:$AG,$AG775)/SUMIF(符文权重!$A:$A,$C775,符文权重!$D:$D))),"")</f>
        <v>0.0105</v>
      </c>
      <c r="O775" s="39" t="str" cm="1">
        <f t="array" ref="O775">IFERROR(IF($A775="","",IF(I775="","",_xlfn.XLOOKUP($C775&amp;"_"&amp;$AG775,符文权重!$A:$A&amp;"_"&amp;符文权重!$C:$C,符文权重!$D:$D)*$X775/SUMIFS($X:$X,I:I,I775,$C:$C,$C775,$AG:$AG,$AG775)/SUMIF(符文权重!$A:$A,$C775,符文权重!$D:$D))),"")</f>
        <v/>
      </c>
      <c r="P775" s="39" t="str" cm="1">
        <f t="array" ref="P775">IFERROR(IF($A775="","",IF(J775="","",_xlfn.XLOOKUP($C775&amp;"_"&amp;$AG775,符文权重!$A:$A&amp;"_"&amp;符文权重!$C:$C,符文权重!$D:$D)*$X775/SUMIFS($X:$X,J:J,J775,$C:$C,$C775,$AG:$AG,$AG775)/SUMIF(符文权重!$A:$A,$C775,符文权重!$D:$D))),"")</f>
        <v/>
      </c>
      <c r="Q775" s="39" t="str" cm="1">
        <f t="array" ref="Q775">IFERROR(IF($A775="","",IF(K775="","",_xlfn.XLOOKUP($C775&amp;"_"&amp;$AG775,符文权重!$A:$A&amp;"_"&amp;符文权重!$C:$C,符文权重!$D:$D)*$X775/SUMIFS($X:$X,K:K,K775,$C:$C,$C775,$AG:$AG,$AG775)/SUMIF(符文权重!$A:$A,$C775,符文权重!$D:$D))),"")</f>
        <v/>
      </c>
      <c r="R775" s="25" t="s">
        <v>330</v>
      </c>
      <c r="S775" s="25" t="s">
        <v>979</v>
      </c>
      <c r="T775" s="25" t="s">
        <v>394</v>
      </c>
      <c r="U775" s="25" t="s">
        <v>992</v>
      </c>
      <c r="V775" s="63"/>
      <c r="W775" s="25" t="s">
        <v>760</v>
      </c>
      <c r="X775" s="25">
        <v>100</v>
      </c>
      <c r="Y775" s="63"/>
      <c r="Z775" s="25" t="s">
        <v>178</v>
      </c>
      <c r="AA775" s="32" t="str">
        <f t="shared" si="292"/>
        <v>我爱沙陷流之沙的护盾效果&lt;color=#31921E&gt;+45%</v>
      </c>
      <c r="AB775" s="32"/>
      <c r="AC775" s="32" t="s">
        <v>166</v>
      </c>
      <c r="AD775" s="32">
        <f t="shared" si="290"/>
        <v>1770</v>
      </c>
      <c r="AE775" s="25">
        <v>5301295</v>
      </c>
      <c r="AF775" s="25" t="s">
        <v>437</v>
      </c>
      <c r="AG775" s="25">
        <v>8</v>
      </c>
      <c r="AH775" s="63"/>
      <c r="AI775" s="63"/>
      <c r="AJ775" s="25">
        <v>1</v>
      </c>
      <c r="AK775" s="26"/>
      <c r="AL775" s="25" t="s">
        <v>993</v>
      </c>
      <c r="AM775" s="26"/>
      <c r="AN775" s="25">
        <v>8</v>
      </c>
      <c r="AO775" s="25" t="s">
        <v>28</v>
      </c>
      <c r="AP775" s="20">
        <f t="shared" si="291"/>
        <v>770</v>
      </c>
    </row>
    <row r="776" customHeight="1" spans="1:42">
      <c r="A776" s="25">
        <v>5510567</v>
      </c>
      <c r="B776" s="25">
        <v>5301295</v>
      </c>
      <c r="C776" s="25">
        <v>7</v>
      </c>
      <c r="D776" s="25"/>
      <c r="E776" s="25" t="s">
        <v>182</v>
      </c>
      <c r="F776" s="26" t="str">
        <f t="shared" si="293"/>
        <v/>
      </c>
      <c r="G776" s="26" t="str">
        <f>IFERROR(IF(--MID($E776,2*COUNTIF($F776:F776,"&gt;"&amp;0)+2,1)=G$1,G$1,""),"")</f>
        <v/>
      </c>
      <c r="H776" s="26">
        <f>IFERROR(IF(--MID($E776,2*COUNTIF($F776:G776,"&gt;"&amp;0)+2,1)=H$1,H$1,""),"")</f>
        <v>3</v>
      </c>
      <c r="I776" s="26" t="str">
        <f>IFERROR(IF(--MID($E776,2*COUNTIF($F776:H776,"&gt;"&amp;0)+2,1)=I$1,I$1,""),"")</f>
        <v/>
      </c>
      <c r="J776" s="26" t="str">
        <f>IFERROR(IF(--MID($E776,2*COUNTIF($F776:I776,"&gt;"&amp;0)+2,1)=J$1,J$1,""),"")</f>
        <v/>
      </c>
      <c r="K776" s="26" t="str">
        <f>IFERROR(IF(--MID($E776,2*COUNTIF($F776:J776,"&gt;"&amp;0)+2,1)=K$1,K$1,""),"")</f>
        <v/>
      </c>
      <c r="L776" s="39" t="str" cm="1">
        <f t="array" ref="L776">IFERROR(IF($A776="","",IF(F776="","",_xlfn.XLOOKUP($C776&amp;"_"&amp;$AG776,符文权重!$A:$A&amp;"_"&amp;符文权重!$C:$C,符文权重!$D:$D)*$X776/SUMIFS($X:$X,F:F,F776,$C:$C,$C776,$AG:$AG,$AG776)/SUMIF(符文权重!$A:$A,$C776,符文权重!$D:$D))),"")</f>
        <v/>
      </c>
      <c r="M776" s="39" t="str" cm="1">
        <f t="array" ref="M776">IFERROR(IF($A776="","",IF(G776="","",_xlfn.XLOOKUP($C776&amp;"_"&amp;$AG776,符文权重!$A:$A&amp;"_"&amp;符文权重!$C:$C,符文权重!$D:$D)*$X776/SUMIFS($X:$X,G:G,G776,$C:$C,$C776,$AG:$AG,$AG776)/SUMIF(符文权重!$A:$A,$C776,符文权重!$D:$D))),"")</f>
        <v/>
      </c>
      <c r="N776" s="39" cm="1">
        <f t="array" ref="N776">IFERROR(IF($A776="","",IF(H776="","",_xlfn.XLOOKUP($C776&amp;"_"&amp;$AG776,符文权重!$A:$A&amp;"_"&amp;符文权重!$C:$C,符文权重!$D:$D)*$X776/SUMIFS($X:$X,H:H,H776,$C:$C,$C776,$AG:$AG,$AG776)/SUMIF(符文权重!$A:$A,$C776,符文权重!$D:$D))),"")</f>
        <v>0.0105</v>
      </c>
      <c r="O776" s="39" t="str" cm="1">
        <f t="array" ref="O776">IFERROR(IF($A776="","",IF(I776="","",_xlfn.XLOOKUP($C776&amp;"_"&amp;$AG776,符文权重!$A:$A&amp;"_"&amp;符文权重!$C:$C,符文权重!$D:$D)*$X776/SUMIFS($X:$X,I:I,I776,$C:$C,$C776,$AG:$AG,$AG776)/SUMIF(符文权重!$A:$A,$C776,符文权重!$D:$D))),"")</f>
        <v/>
      </c>
      <c r="P776" s="39" t="str" cm="1">
        <f t="array" ref="P776">IFERROR(IF($A776="","",IF(J776="","",_xlfn.XLOOKUP($C776&amp;"_"&amp;$AG776,符文权重!$A:$A&amp;"_"&amp;符文权重!$C:$C,符文权重!$D:$D)*$X776/SUMIFS($X:$X,J:J,J776,$C:$C,$C776,$AG:$AG,$AG776)/SUMIF(符文权重!$A:$A,$C776,符文权重!$D:$D))),"")</f>
        <v/>
      </c>
      <c r="Q776" s="39" t="str" cm="1">
        <f t="array" ref="Q776">IFERROR(IF($A776="","",IF(K776="","",_xlfn.XLOOKUP($C776&amp;"_"&amp;$AG776,符文权重!$A:$A&amp;"_"&amp;符文权重!$C:$C,符文权重!$D:$D)*$X776/SUMIFS($X:$X,K:K,K776,$C:$C,$C776,$AG:$AG,$AG776)/SUMIF(符文权重!$A:$A,$C776,符文权重!$D:$D))),"")</f>
        <v/>
      </c>
      <c r="R776" s="25" t="s">
        <v>330</v>
      </c>
      <c r="S776" s="25" t="s">
        <v>979</v>
      </c>
      <c r="T776" s="25" t="s">
        <v>397</v>
      </c>
      <c r="U776" s="25" t="s">
        <v>994</v>
      </c>
      <c r="V776" s="63"/>
      <c r="W776" s="25" t="s">
        <v>763</v>
      </c>
      <c r="X776" s="25">
        <v>100</v>
      </c>
      <c r="Y776" s="63"/>
      <c r="Z776" s="25" t="s">
        <v>180</v>
      </c>
      <c r="AA776" s="32" t="str">
        <f t="shared" si="292"/>
        <v>我爱沙陷流之沙的护盾效果&lt;color=#31921E&gt;+55%</v>
      </c>
      <c r="AB776" s="32"/>
      <c r="AC776" s="32" t="s">
        <v>166</v>
      </c>
      <c r="AD776" s="32">
        <f t="shared" ref="AD776:AD794" si="294">AD775+1</f>
        <v>1771</v>
      </c>
      <c r="AE776" s="25">
        <v>5301295</v>
      </c>
      <c r="AF776" s="25" t="s">
        <v>414</v>
      </c>
      <c r="AG776" s="25">
        <v>8</v>
      </c>
      <c r="AH776" s="63"/>
      <c r="AI776" s="63"/>
      <c r="AJ776" s="25">
        <v>1</v>
      </c>
      <c r="AK776" s="26"/>
      <c r="AL776" s="25" t="s">
        <v>995</v>
      </c>
      <c r="AM776" s="26"/>
      <c r="AN776" s="25">
        <v>8</v>
      </c>
      <c r="AO776" s="25" t="s">
        <v>28</v>
      </c>
      <c r="AP776" s="20">
        <f t="shared" ref="AP776:AP794" si="295">AP775+1</f>
        <v>771</v>
      </c>
    </row>
    <row r="777" customHeight="1" spans="1:42">
      <c r="A777" s="25">
        <v>5510574</v>
      </c>
      <c r="B777" s="25">
        <v>5301296</v>
      </c>
      <c r="C777" s="25">
        <v>4</v>
      </c>
      <c r="D777" s="25"/>
      <c r="E777" s="25" t="s">
        <v>375</v>
      </c>
      <c r="F777" s="26" t="str">
        <f t="shared" si="293"/>
        <v/>
      </c>
      <c r="G777" s="26" t="str">
        <f>IFERROR(IF(--MID($E777,2*COUNTIF($F777:F777,"&gt;"&amp;0)+2,1)=G$1,G$1,""),"")</f>
        <v/>
      </c>
      <c r="H777" s="26" t="str">
        <f>IFERROR(IF(--MID($E777,2*COUNTIF($F777:G777,"&gt;"&amp;0)+2,1)=H$1,H$1,""),"")</f>
        <v/>
      </c>
      <c r="I777" s="26">
        <f>IFERROR(IF(--MID($E777,2*COUNTIF($F777:H777,"&gt;"&amp;0)+2,1)=I$1,I$1,""),"")</f>
        <v>4</v>
      </c>
      <c r="J777" s="26" t="str">
        <f>IFERROR(IF(--MID($E777,2*COUNTIF($F777:I777,"&gt;"&amp;0)+2,1)=J$1,J$1,""),"")</f>
        <v/>
      </c>
      <c r="K777" s="26" t="str">
        <f>IFERROR(IF(--MID($E777,2*COUNTIF($F777:J777,"&gt;"&amp;0)+2,1)=K$1,K$1,""),"")</f>
        <v/>
      </c>
      <c r="L777" s="39" t="str" cm="1">
        <f t="array" ref="L777">IFERROR(IF($A777="","",IF(F777="","",_xlfn.XLOOKUP($C777&amp;"_"&amp;$AG777,符文权重!$A:$A&amp;"_"&amp;符文权重!$C:$C,符文权重!$D:$D)*$X777/SUMIFS($X:$X,F:F,F777,$C:$C,$C777,$AG:$AG,$AG777)/SUMIF(符文权重!$A:$A,$C777,符文权重!$D:$D))),"")</f>
        <v/>
      </c>
      <c r="M777" s="39" t="str" cm="1">
        <f t="array" ref="M777">IFERROR(IF($A777="","",IF(G777="","",_xlfn.XLOOKUP($C777&amp;"_"&amp;$AG777,符文权重!$A:$A&amp;"_"&amp;符文权重!$C:$C,符文权重!$D:$D)*$X777/SUMIFS($X:$X,G:G,G777,$C:$C,$C777,$AG:$AG,$AG777)/SUMIF(符文权重!$A:$A,$C777,符文权重!$D:$D))),"")</f>
        <v/>
      </c>
      <c r="N777" s="39" t="str" cm="1">
        <f t="array" ref="N777">IFERROR(IF($A777="","",IF(H777="","",_xlfn.XLOOKUP($C777&amp;"_"&amp;$AG777,符文权重!$A:$A&amp;"_"&amp;符文权重!$C:$C,符文权重!$D:$D)*$X777/SUMIFS($X:$X,H:H,H777,$C:$C,$C777,$AG:$AG,$AG777)/SUMIF(符文权重!$A:$A,$C777,符文权重!$D:$D))),"")</f>
        <v/>
      </c>
      <c r="O777" s="39" t="str" cm="1">
        <f t="array" ref="O777">IFERROR(IF($A777="","",IF(I777="","",_xlfn.XLOOKUP($C777&amp;"_"&amp;$AG777,符文权重!$A:$A&amp;"_"&amp;符文权重!$C:$C,符文权重!$D:$D)*$X777/SUMIFS($X:$X,I:I,I777,$C:$C,$C777,$AG:$AG,$AG777)/SUMIF(符文权重!$A:$A,$C777,符文权重!$D:$D))),"")</f>
        <v/>
      </c>
      <c r="P777" s="39" t="str" cm="1">
        <f t="array" ref="P777">IFERROR(IF($A777="","",IF(J777="","",_xlfn.XLOOKUP($C777&amp;"_"&amp;$AG777,符文权重!$A:$A&amp;"_"&amp;符文权重!$C:$C,符文权重!$D:$D)*$X777/SUMIFS($X:$X,J:J,J777,$C:$C,$C777,$AG:$AG,$AG777)/SUMIF(符文权重!$A:$A,$C777,符文权重!$D:$D))),"")</f>
        <v/>
      </c>
      <c r="Q777" s="39" t="str" cm="1">
        <f t="array" ref="Q777">IFERROR(IF($A777="","",IF(K777="","",_xlfn.XLOOKUP($C777&amp;"_"&amp;$AG777,符文权重!$A:$A&amp;"_"&amp;符文权重!$C:$C,符文权重!$D:$D)*$X777/SUMIFS($X:$X,K:K,K777,$C:$C,$C777,$AG:$AG,$AG777)/SUMIF(符文权重!$A:$A,$C777,符文权重!$D:$D))),"")</f>
        <v/>
      </c>
      <c r="R777" s="25" t="s">
        <v>330</v>
      </c>
      <c r="S777" s="25" t="s">
        <v>979</v>
      </c>
      <c r="T777" s="25" t="s">
        <v>391</v>
      </c>
      <c r="U777" s="25" t="s">
        <v>996</v>
      </c>
      <c r="V777" s="63"/>
      <c r="W777" s="25" t="s">
        <v>757</v>
      </c>
      <c r="X777" s="25">
        <v>100</v>
      </c>
      <c r="Y777" s="63"/>
      <c r="Z777" s="26" t="s">
        <v>174</v>
      </c>
      <c r="AA777" s="32" t="str">
        <f t="shared" si="292"/>
        <v>我爱沙陷流之沙的沙环伤害&lt;color=#31921E&gt;+25%</v>
      </c>
      <c r="AB777" s="32"/>
      <c r="AC777" s="32" t="s">
        <v>166</v>
      </c>
      <c r="AD777" s="32">
        <f t="shared" si="294"/>
        <v>1772</v>
      </c>
      <c r="AE777" s="25">
        <v>5301296</v>
      </c>
      <c r="AF777" s="25" t="s">
        <v>399</v>
      </c>
      <c r="AG777" s="25">
        <v>100</v>
      </c>
      <c r="AH777" s="63"/>
      <c r="AI777" s="64">
        <v>1</v>
      </c>
      <c r="AJ777" s="25">
        <v>1</v>
      </c>
      <c r="AK777" s="26"/>
      <c r="AL777" s="25" t="s">
        <v>997</v>
      </c>
      <c r="AM777" s="26"/>
      <c r="AN777" s="25">
        <v>8</v>
      </c>
      <c r="AO777" s="25" t="s">
        <v>32</v>
      </c>
      <c r="AP777" s="20">
        <f t="shared" si="295"/>
        <v>772</v>
      </c>
    </row>
    <row r="778" customHeight="1" spans="1:42">
      <c r="A778" s="25">
        <v>5510575</v>
      </c>
      <c r="B778" s="25">
        <v>5301296</v>
      </c>
      <c r="C778" s="25">
        <v>5</v>
      </c>
      <c r="D778" s="25"/>
      <c r="E778" s="25" t="s">
        <v>375</v>
      </c>
      <c r="F778" s="26" t="str">
        <f t="shared" si="293"/>
        <v/>
      </c>
      <c r="G778" s="26" t="str">
        <f>IFERROR(IF(--MID($E778,2*COUNTIF($F778:F778,"&gt;"&amp;0)+2,1)=G$1,G$1,""),"")</f>
        <v/>
      </c>
      <c r="H778" s="26" t="str">
        <f>IFERROR(IF(--MID($E778,2*COUNTIF($F778:G778,"&gt;"&amp;0)+2,1)=H$1,H$1,""),"")</f>
        <v/>
      </c>
      <c r="I778" s="26">
        <f>IFERROR(IF(--MID($E778,2*COUNTIF($F778:H778,"&gt;"&amp;0)+2,1)=I$1,I$1,""),"")</f>
        <v>4</v>
      </c>
      <c r="J778" s="26" t="str">
        <f>IFERROR(IF(--MID($E778,2*COUNTIF($F778:I778,"&gt;"&amp;0)+2,1)=J$1,J$1,""),"")</f>
        <v/>
      </c>
      <c r="K778" s="26" t="str">
        <f>IFERROR(IF(--MID($E778,2*COUNTIF($F778:J778,"&gt;"&amp;0)+2,1)=K$1,K$1,""),"")</f>
        <v/>
      </c>
      <c r="L778" s="39" t="str" cm="1">
        <f t="array" ref="L778">IFERROR(IF($A778="","",IF(F778="","",_xlfn.XLOOKUP($C778&amp;"_"&amp;$AG778,符文权重!$A:$A&amp;"_"&amp;符文权重!$C:$C,符文权重!$D:$D)*$X778/SUMIFS($X:$X,F:F,F778,$C:$C,$C778,$AG:$AG,$AG778)/SUMIF(符文权重!$A:$A,$C778,符文权重!$D:$D))),"")</f>
        <v/>
      </c>
      <c r="M778" s="39" t="str" cm="1">
        <f t="array" ref="M778">IFERROR(IF($A778="","",IF(G778="","",_xlfn.XLOOKUP($C778&amp;"_"&amp;$AG778,符文权重!$A:$A&amp;"_"&amp;符文权重!$C:$C,符文权重!$D:$D)*$X778/SUMIFS($X:$X,G:G,G778,$C:$C,$C778,$AG:$AG,$AG778)/SUMIF(符文权重!$A:$A,$C778,符文权重!$D:$D))),"")</f>
        <v/>
      </c>
      <c r="N778" s="39" t="str" cm="1">
        <f t="array" ref="N778">IFERROR(IF($A778="","",IF(H778="","",_xlfn.XLOOKUP($C778&amp;"_"&amp;$AG778,符文权重!$A:$A&amp;"_"&amp;符文权重!$C:$C,符文权重!$D:$D)*$X778/SUMIFS($X:$X,H:H,H778,$C:$C,$C778,$AG:$AG,$AG778)/SUMIF(符文权重!$A:$A,$C778,符文权重!$D:$D))),"")</f>
        <v/>
      </c>
      <c r="O778" s="39" cm="1">
        <f t="array" ref="O778">IFERROR(IF($A778="","",IF(I778="","",_xlfn.XLOOKUP($C778&amp;"_"&amp;$AG778,符文权重!$A:$A&amp;"_"&amp;符文权重!$C:$C,符文权重!$D:$D)*$X778/SUMIFS($X:$X,I:I,I778,$C:$C,$C778,$AG:$AG,$AG778)/SUMIF(符文权重!$A:$A,$C778,符文权重!$D:$D))),"")</f>
        <v>0.00525</v>
      </c>
      <c r="P778" s="39" t="str" cm="1">
        <f t="array" ref="P778">IFERROR(IF($A778="","",IF(J778="","",_xlfn.XLOOKUP($C778&amp;"_"&amp;$AG778,符文权重!$A:$A&amp;"_"&amp;符文权重!$C:$C,符文权重!$D:$D)*$X778/SUMIFS($X:$X,J:J,J778,$C:$C,$C778,$AG:$AG,$AG778)/SUMIF(符文权重!$A:$A,$C778,符文权重!$D:$D))),"")</f>
        <v/>
      </c>
      <c r="Q778" s="39" t="str" cm="1">
        <f t="array" ref="Q778">IFERROR(IF($A778="","",IF(K778="","",_xlfn.XLOOKUP($C778&amp;"_"&amp;$AG778,符文权重!$A:$A&amp;"_"&amp;符文权重!$C:$C,符文权重!$D:$D)*$X778/SUMIFS($X:$X,K:K,K778,$C:$C,$C778,$AG:$AG,$AG778)/SUMIF(符文权重!$A:$A,$C778,符文权重!$D:$D))),"")</f>
        <v/>
      </c>
      <c r="R778" s="25" t="s">
        <v>330</v>
      </c>
      <c r="S778" s="25" t="s">
        <v>979</v>
      </c>
      <c r="T778" s="25" t="s">
        <v>391</v>
      </c>
      <c r="U778" s="25" t="s">
        <v>998</v>
      </c>
      <c r="V778" s="63"/>
      <c r="W778" s="25" t="s">
        <v>757</v>
      </c>
      <c r="X778" s="25">
        <v>100</v>
      </c>
      <c r="Y778" s="63"/>
      <c r="Z778" s="25" t="s">
        <v>176</v>
      </c>
      <c r="AA778" s="32" t="str">
        <f t="shared" si="292"/>
        <v>我爱沙陷流之沙的沙环伤害&lt;color=#31921E&gt;+35%</v>
      </c>
      <c r="AB778" s="32"/>
      <c r="AC778" s="32" t="s">
        <v>166</v>
      </c>
      <c r="AD778" s="32">
        <f t="shared" si="294"/>
        <v>1773</v>
      </c>
      <c r="AE778" s="25">
        <v>5301296</v>
      </c>
      <c r="AF778" s="25" t="s">
        <v>411</v>
      </c>
      <c r="AG778" s="25">
        <v>8</v>
      </c>
      <c r="AH778" s="63"/>
      <c r="AI778" s="63"/>
      <c r="AJ778" s="25">
        <v>1</v>
      </c>
      <c r="AK778" s="26"/>
      <c r="AL778" s="25" t="s">
        <v>999</v>
      </c>
      <c r="AM778" s="26"/>
      <c r="AN778" s="25">
        <v>8</v>
      </c>
      <c r="AO778" s="25" t="s">
        <v>32</v>
      </c>
      <c r="AP778" s="20">
        <f t="shared" si="295"/>
        <v>773</v>
      </c>
    </row>
    <row r="779" customHeight="1" spans="1:42">
      <c r="A779" s="25">
        <v>5510576</v>
      </c>
      <c r="B779" s="25">
        <v>5301296</v>
      </c>
      <c r="C779" s="25">
        <v>6</v>
      </c>
      <c r="D779" s="25"/>
      <c r="E779" s="25" t="s">
        <v>375</v>
      </c>
      <c r="F779" s="26" t="str">
        <f t="shared" si="293"/>
        <v/>
      </c>
      <c r="G779" s="26" t="str">
        <f>IFERROR(IF(--MID($E779,2*COUNTIF($F779:F779,"&gt;"&amp;0)+2,1)=G$1,G$1,""),"")</f>
        <v/>
      </c>
      <c r="H779" s="26" t="str">
        <f>IFERROR(IF(--MID($E779,2*COUNTIF($F779:G779,"&gt;"&amp;0)+2,1)=H$1,H$1,""),"")</f>
        <v/>
      </c>
      <c r="I779" s="26">
        <f>IFERROR(IF(--MID($E779,2*COUNTIF($F779:H779,"&gt;"&amp;0)+2,1)=I$1,I$1,""),"")</f>
        <v>4</v>
      </c>
      <c r="J779" s="26" t="str">
        <f>IFERROR(IF(--MID($E779,2*COUNTIF($F779:I779,"&gt;"&amp;0)+2,1)=J$1,J$1,""),"")</f>
        <v/>
      </c>
      <c r="K779" s="26" t="str">
        <f>IFERROR(IF(--MID($E779,2*COUNTIF($F779:J779,"&gt;"&amp;0)+2,1)=K$1,K$1,""),"")</f>
        <v/>
      </c>
      <c r="L779" s="39" t="str" cm="1">
        <f t="array" ref="L779">IFERROR(IF($A779="","",IF(F779="","",_xlfn.XLOOKUP($C779&amp;"_"&amp;$AG779,符文权重!$A:$A&amp;"_"&amp;符文权重!$C:$C,符文权重!$D:$D)*$X779/SUMIFS($X:$X,F:F,F779,$C:$C,$C779,$AG:$AG,$AG779)/SUMIF(符文权重!$A:$A,$C779,符文权重!$D:$D))),"")</f>
        <v/>
      </c>
      <c r="M779" s="39" t="str" cm="1">
        <f t="array" ref="M779">IFERROR(IF($A779="","",IF(G779="","",_xlfn.XLOOKUP($C779&amp;"_"&amp;$AG779,符文权重!$A:$A&amp;"_"&amp;符文权重!$C:$C,符文权重!$D:$D)*$X779/SUMIFS($X:$X,G:G,G779,$C:$C,$C779,$AG:$AG,$AG779)/SUMIF(符文权重!$A:$A,$C779,符文权重!$D:$D))),"")</f>
        <v/>
      </c>
      <c r="N779" s="39" t="str" cm="1">
        <f t="array" ref="N779">IFERROR(IF($A779="","",IF(H779="","",_xlfn.XLOOKUP($C779&amp;"_"&amp;$AG779,符文权重!$A:$A&amp;"_"&amp;符文权重!$C:$C,符文权重!$D:$D)*$X779/SUMIFS($X:$X,H:H,H779,$C:$C,$C779,$AG:$AG,$AG779)/SUMIF(符文权重!$A:$A,$C779,符文权重!$D:$D))),"")</f>
        <v/>
      </c>
      <c r="O779" s="39" cm="1">
        <f t="array" ref="O779">IFERROR(IF($A779="","",IF(I779="","",_xlfn.XLOOKUP($C779&amp;"_"&amp;$AG779,符文权重!$A:$A&amp;"_"&amp;符文权重!$C:$C,符文权重!$D:$D)*$X779/SUMIFS($X:$X,I:I,I779,$C:$C,$C779,$AG:$AG,$AG779)/SUMIF(符文权重!$A:$A,$C779,符文权重!$D:$D))),"")</f>
        <v>0.00525</v>
      </c>
      <c r="P779" s="39" t="str" cm="1">
        <f t="array" ref="P779">IFERROR(IF($A779="","",IF(J779="","",_xlfn.XLOOKUP($C779&amp;"_"&amp;$AG779,符文权重!$A:$A&amp;"_"&amp;符文权重!$C:$C,符文权重!$D:$D)*$X779/SUMIFS($X:$X,J:J,J779,$C:$C,$C779,$AG:$AG,$AG779)/SUMIF(符文权重!$A:$A,$C779,符文权重!$D:$D))),"")</f>
        <v/>
      </c>
      <c r="Q779" s="39" t="str" cm="1">
        <f t="array" ref="Q779">IFERROR(IF($A779="","",IF(K779="","",_xlfn.XLOOKUP($C779&amp;"_"&amp;$AG779,符文权重!$A:$A&amp;"_"&amp;符文权重!$C:$C,符文权重!$D:$D)*$X779/SUMIFS($X:$X,K:K,K779,$C:$C,$C779,$AG:$AG,$AG779)/SUMIF(符文权重!$A:$A,$C779,符文权重!$D:$D))),"")</f>
        <v/>
      </c>
      <c r="R779" s="25" t="s">
        <v>330</v>
      </c>
      <c r="S779" s="25" t="s">
        <v>979</v>
      </c>
      <c r="T779" s="25" t="s">
        <v>394</v>
      </c>
      <c r="U779" s="25" t="s">
        <v>1000</v>
      </c>
      <c r="V779" s="25"/>
      <c r="W779" s="25" t="s">
        <v>760</v>
      </c>
      <c r="X779" s="25">
        <v>100</v>
      </c>
      <c r="Z779" s="25" t="s">
        <v>178</v>
      </c>
      <c r="AA779" s="32" t="str">
        <f t="shared" si="292"/>
        <v>我爱沙陷流之沙的沙环伤害&lt;color=#31921E&gt;+45%</v>
      </c>
      <c r="AB779" s="32"/>
      <c r="AC779" s="32" t="s">
        <v>166</v>
      </c>
      <c r="AD779" s="32">
        <f t="shared" si="294"/>
        <v>1774</v>
      </c>
      <c r="AE779" s="25">
        <v>5301296</v>
      </c>
      <c r="AF779" s="25" t="s">
        <v>437</v>
      </c>
      <c r="AG779" s="25">
        <v>8</v>
      </c>
      <c r="AJ779" s="25">
        <v>1</v>
      </c>
      <c r="AK779" s="26"/>
      <c r="AL779" s="25" t="s">
        <v>1001</v>
      </c>
      <c r="AM779" s="26"/>
      <c r="AN779" s="25">
        <v>8</v>
      </c>
      <c r="AO779" s="25" t="s">
        <v>32</v>
      </c>
      <c r="AP779" s="20">
        <f t="shared" si="295"/>
        <v>774</v>
      </c>
    </row>
    <row r="780" customHeight="1" spans="1:42">
      <c r="A780" s="25">
        <v>5510577</v>
      </c>
      <c r="B780" s="25">
        <v>5301296</v>
      </c>
      <c r="C780" s="25">
        <v>7</v>
      </c>
      <c r="D780" s="25"/>
      <c r="E780" s="25" t="s">
        <v>375</v>
      </c>
      <c r="F780" s="26" t="str">
        <f t="shared" si="293"/>
        <v/>
      </c>
      <c r="G780" s="26" t="str">
        <f>IFERROR(IF(--MID($E780,2*COUNTIF($F780:F780,"&gt;"&amp;0)+2,1)=G$1,G$1,""),"")</f>
        <v/>
      </c>
      <c r="H780" s="26" t="str">
        <f>IFERROR(IF(--MID($E780,2*COUNTIF($F780:G780,"&gt;"&amp;0)+2,1)=H$1,H$1,""),"")</f>
        <v/>
      </c>
      <c r="I780" s="26">
        <f>IFERROR(IF(--MID($E780,2*COUNTIF($F780:H780,"&gt;"&amp;0)+2,1)=I$1,I$1,""),"")</f>
        <v>4</v>
      </c>
      <c r="J780" s="26" t="str">
        <f>IFERROR(IF(--MID($E780,2*COUNTIF($F780:I780,"&gt;"&amp;0)+2,1)=J$1,J$1,""),"")</f>
        <v/>
      </c>
      <c r="K780" s="26" t="str">
        <f>IFERROR(IF(--MID($E780,2*COUNTIF($F780:J780,"&gt;"&amp;0)+2,1)=K$1,K$1,""),"")</f>
        <v/>
      </c>
      <c r="L780" s="39" t="str" cm="1">
        <f t="array" ref="L780">IFERROR(IF($A780="","",IF(F780="","",_xlfn.XLOOKUP($C780&amp;"_"&amp;$AG780,符文权重!$A:$A&amp;"_"&amp;符文权重!$C:$C,符文权重!$D:$D)*$X780/SUMIFS($X:$X,F:F,F780,$C:$C,$C780,$AG:$AG,$AG780)/SUMIF(符文权重!$A:$A,$C780,符文权重!$D:$D))),"")</f>
        <v/>
      </c>
      <c r="M780" s="39" t="str" cm="1">
        <f t="array" ref="M780">IFERROR(IF($A780="","",IF(G780="","",_xlfn.XLOOKUP($C780&amp;"_"&amp;$AG780,符文权重!$A:$A&amp;"_"&amp;符文权重!$C:$C,符文权重!$D:$D)*$X780/SUMIFS($X:$X,G:G,G780,$C:$C,$C780,$AG:$AG,$AG780)/SUMIF(符文权重!$A:$A,$C780,符文权重!$D:$D))),"")</f>
        <v/>
      </c>
      <c r="N780" s="39" t="str" cm="1">
        <f t="array" ref="N780">IFERROR(IF($A780="","",IF(H780="","",_xlfn.XLOOKUP($C780&amp;"_"&amp;$AG780,符文权重!$A:$A&amp;"_"&amp;符文权重!$C:$C,符文权重!$D:$D)*$X780/SUMIFS($X:$X,H:H,H780,$C:$C,$C780,$AG:$AG,$AG780)/SUMIF(符文权重!$A:$A,$C780,符文权重!$D:$D))),"")</f>
        <v/>
      </c>
      <c r="O780" s="39" cm="1">
        <f t="array" ref="O780">IFERROR(IF($A780="","",IF(I780="","",_xlfn.XLOOKUP($C780&amp;"_"&amp;$AG780,符文权重!$A:$A&amp;"_"&amp;符文权重!$C:$C,符文权重!$D:$D)*$X780/SUMIFS($X:$X,I:I,I780,$C:$C,$C780,$AG:$AG,$AG780)/SUMIF(符文权重!$A:$A,$C780,符文权重!$D:$D))),"")</f>
        <v>0.00525</v>
      </c>
      <c r="P780" s="39" t="str" cm="1">
        <f t="array" ref="P780">IFERROR(IF($A780="","",IF(J780="","",_xlfn.XLOOKUP($C780&amp;"_"&amp;$AG780,符文权重!$A:$A&amp;"_"&amp;符文权重!$C:$C,符文权重!$D:$D)*$X780/SUMIFS($X:$X,J:J,J780,$C:$C,$C780,$AG:$AG,$AG780)/SUMIF(符文权重!$A:$A,$C780,符文权重!$D:$D))),"")</f>
        <v/>
      </c>
      <c r="Q780" s="39" t="str" cm="1">
        <f t="array" ref="Q780">IFERROR(IF($A780="","",IF(K780="","",_xlfn.XLOOKUP($C780&amp;"_"&amp;$AG780,符文权重!$A:$A&amp;"_"&amp;符文权重!$C:$C,符文权重!$D:$D)*$X780/SUMIFS($X:$X,K:K,K780,$C:$C,$C780,$AG:$AG,$AG780)/SUMIF(符文权重!$A:$A,$C780,符文权重!$D:$D))),"")</f>
        <v/>
      </c>
      <c r="R780" s="25" t="s">
        <v>330</v>
      </c>
      <c r="S780" s="25" t="s">
        <v>979</v>
      </c>
      <c r="T780" s="25" t="s">
        <v>397</v>
      </c>
      <c r="U780" s="25" t="s">
        <v>1002</v>
      </c>
      <c r="V780" s="25"/>
      <c r="W780" s="25" t="s">
        <v>763</v>
      </c>
      <c r="X780" s="25">
        <v>100</v>
      </c>
      <c r="Z780" s="25" t="s">
        <v>180</v>
      </c>
      <c r="AA780" s="32" t="str">
        <f t="shared" si="292"/>
        <v>我爱沙陷流之沙的沙环伤害&lt;color=#31921E&gt;+55%</v>
      </c>
      <c r="AB780" s="32"/>
      <c r="AC780" s="32" t="s">
        <v>166</v>
      </c>
      <c r="AD780" s="32">
        <f t="shared" si="294"/>
        <v>1775</v>
      </c>
      <c r="AE780" s="25">
        <v>5301296</v>
      </c>
      <c r="AF780" s="25" t="s">
        <v>414</v>
      </c>
      <c r="AG780" s="25">
        <v>8</v>
      </c>
      <c r="AJ780" s="25">
        <v>1</v>
      </c>
      <c r="AK780" s="26"/>
      <c r="AL780" s="25" t="s">
        <v>1003</v>
      </c>
      <c r="AM780" s="26"/>
      <c r="AN780" s="25">
        <v>8</v>
      </c>
      <c r="AO780" s="25" t="s">
        <v>32</v>
      </c>
      <c r="AP780" s="20">
        <f t="shared" si="295"/>
        <v>775</v>
      </c>
    </row>
    <row r="781" customHeight="1" spans="1:42">
      <c r="A781" s="25">
        <v>5510584</v>
      </c>
      <c r="B781" s="25">
        <v>5301289</v>
      </c>
      <c r="C781" s="25">
        <v>4</v>
      </c>
      <c r="D781" s="25"/>
      <c r="E781" s="25" t="s">
        <v>182</v>
      </c>
      <c r="F781" s="26" t="str">
        <f t="shared" ref="F781:F844" si="296">IF(LEFT(E781,2)="[1",1,"")</f>
        <v/>
      </c>
      <c r="G781" s="26" t="str">
        <f>IFERROR(IF(--MID($E781,2*COUNTIF($F781:F781,"&gt;"&amp;0)+2,1)=G$1,G$1,""),"")</f>
        <v/>
      </c>
      <c r="H781" s="26">
        <f>IFERROR(IF(--MID($E781,2*COUNTIF($F781:G781,"&gt;"&amp;0)+2,1)=H$1,H$1,""),"")</f>
        <v>3</v>
      </c>
      <c r="I781" s="26" t="str">
        <f>IFERROR(IF(--MID($E781,2*COUNTIF($F781:H781,"&gt;"&amp;0)+2,1)=I$1,I$1,""),"")</f>
        <v/>
      </c>
      <c r="J781" s="26" t="str">
        <f>IFERROR(IF(--MID($E781,2*COUNTIF($F781:I781,"&gt;"&amp;0)+2,1)=J$1,J$1,""),"")</f>
        <v/>
      </c>
      <c r="K781" s="26" t="str">
        <f>IFERROR(IF(--MID($E781,2*COUNTIF($F781:J781,"&gt;"&amp;0)+2,1)=K$1,K$1,""),"")</f>
        <v/>
      </c>
      <c r="L781" s="39" t="str" cm="1">
        <f t="array" ref="L781">IFERROR(IF($A781="","",IF(F781="","",_xlfn.XLOOKUP($C781&amp;"_"&amp;$AG781,符文权重!$A:$A&amp;"_"&amp;符文权重!$C:$C,符文权重!$D:$D)*$X781/SUMIFS($X:$X,F:F,F781,$C:$C,$C781,$AG:$AG,$AG781)/SUMIF(符文权重!$A:$A,$C781,符文权重!$D:$D))),"")</f>
        <v/>
      </c>
      <c r="M781" s="39" t="str" cm="1">
        <f t="array" ref="M781">IFERROR(IF($A781="","",IF(G781="","",_xlfn.XLOOKUP($C781&amp;"_"&amp;$AG781,符文权重!$A:$A&amp;"_"&amp;符文权重!$C:$C,符文权重!$D:$D)*$X781/SUMIFS($X:$X,G:G,G781,$C:$C,$C781,$AG:$AG,$AG781)/SUMIF(符文权重!$A:$A,$C781,符文权重!$D:$D))),"")</f>
        <v/>
      </c>
      <c r="N781" s="39" t="str" cm="1">
        <f t="array" ref="N781">IFERROR(IF($A781="","",IF(H781="","",_xlfn.XLOOKUP($C781&amp;"_"&amp;$AG781,符文权重!$A:$A&amp;"_"&amp;符文权重!$C:$C,符文权重!$D:$D)*$X781/SUMIFS($X:$X,H:H,H781,$C:$C,$C781,$AG:$AG,$AG781)/SUMIF(符文权重!$A:$A,$C781,符文权重!$D:$D))),"")</f>
        <v/>
      </c>
      <c r="O781" s="39" t="str" cm="1">
        <f t="array" ref="O781">IFERROR(IF($A781="","",IF(I781="","",_xlfn.XLOOKUP($C781&amp;"_"&amp;$AG781,符文权重!$A:$A&amp;"_"&amp;符文权重!$C:$C,符文权重!$D:$D)*$X781/SUMIFS($X:$X,I:I,I781,$C:$C,$C781,$AG:$AG,$AG781)/SUMIF(符文权重!$A:$A,$C781,符文权重!$D:$D))),"")</f>
        <v/>
      </c>
      <c r="P781" s="39" t="str" cm="1">
        <f t="array" ref="P781">IFERROR(IF($A781="","",IF(J781="","",_xlfn.XLOOKUP($C781&amp;"_"&amp;$AG781,符文权重!$A:$A&amp;"_"&amp;符文权重!$C:$C,符文权重!$D:$D)*$X781/SUMIFS($X:$X,J:J,J781,$C:$C,$C781,$AG:$AG,$AG781)/SUMIF(符文权重!$A:$A,$C781,符文权重!$D:$D))),"")</f>
        <v/>
      </c>
      <c r="Q781" s="39" t="str" cm="1">
        <f t="array" ref="Q781">IFERROR(IF($A781="","",IF(K781="","",_xlfn.XLOOKUP($C781&amp;"_"&amp;$AG781,符文权重!$A:$A&amp;"_"&amp;符文权重!$C:$C,符文权重!$D:$D)*$X781/SUMIFS($X:$X,K:K,K781,$C:$C,$C781,$AG:$AG,$AG781)/SUMIF(符文权重!$A:$A,$C781,符文权重!$D:$D))),"")</f>
        <v/>
      </c>
      <c r="R781" s="25" t="s">
        <v>330</v>
      </c>
      <c r="S781" s="25" t="s">
        <v>1004</v>
      </c>
      <c r="T781" s="25" t="s">
        <v>391</v>
      </c>
      <c r="U781" s="25" t="s">
        <v>1005</v>
      </c>
      <c r="V781" s="25"/>
      <c r="W781" s="25" t="s">
        <v>757</v>
      </c>
      <c r="X781" s="25">
        <v>100</v>
      </c>
      <c r="Z781" s="26" t="s">
        <v>174</v>
      </c>
      <c r="AA781" s="32" t="str">
        <f t="shared" si="292"/>
        <v>妲己狂热粉丝解除魅惑时, 会受到妲己1200%攻击力的伤害</v>
      </c>
      <c r="AB781" s="32"/>
      <c r="AC781" s="32" t="s">
        <v>166</v>
      </c>
      <c r="AD781" s="32">
        <f t="shared" si="294"/>
        <v>1776</v>
      </c>
      <c r="AE781" s="25">
        <v>5301289</v>
      </c>
      <c r="AF781" s="25" t="s">
        <v>1006</v>
      </c>
      <c r="AG781" s="25">
        <v>100</v>
      </c>
      <c r="AI781" s="25">
        <v>1</v>
      </c>
      <c r="AJ781" s="25">
        <v>1</v>
      </c>
      <c r="AK781" s="26"/>
      <c r="AL781" s="25" t="s">
        <v>1007</v>
      </c>
      <c r="AM781" s="26"/>
      <c r="AN781" s="25">
        <v>8</v>
      </c>
      <c r="AO781" s="25" t="s">
        <v>25</v>
      </c>
      <c r="AP781" s="20">
        <f t="shared" si="295"/>
        <v>776</v>
      </c>
    </row>
    <row r="782" customHeight="1" spans="1:42">
      <c r="A782" s="25">
        <v>5510585</v>
      </c>
      <c r="B782" s="25">
        <v>5301289</v>
      </c>
      <c r="C782" s="25">
        <v>5</v>
      </c>
      <c r="D782" s="25"/>
      <c r="E782" s="25" t="s">
        <v>182</v>
      </c>
      <c r="F782" s="26" t="str">
        <f t="shared" si="296"/>
        <v/>
      </c>
      <c r="G782" s="26" t="str">
        <f>IFERROR(IF(--MID($E782,2*COUNTIF($F782:F782,"&gt;"&amp;0)+2,1)=G$1,G$1,""),"")</f>
        <v/>
      </c>
      <c r="H782" s="26">
        <f>IFERROR(IF(--MID($E782,2*COUNTIF($F782:G782,"&gt;"&amp;0)+2,1)=H$1,H$1,""),"")</f>
        <v>3</v>
      </c>
      <c r="I782" s="26" t="str">
        <f>IFERROR(IF(--MID($E782,2*COUNTIF($F782:H782,"&gt;"&amp;0)+2,1)=I$1,I$1,""),"")</f>
        <v/>
      </c>
      <c r="J782" s="26" t="str">
        <f>IFERROR(IF(--MID($E782,2*COUNTIF($F782:I782,"&gt;"&amp;0)+2,1)=J$1,J$1,""),"")</f>
        <v/>
      </c>
      <c r="K782" s="26" t="str">
        <f>IFERROR(IF(--MID($E782,2*COUNTIF($F782:J782,"&gt;"&amp;0)+2,1)=K$1,K$1,""),"")</f>
        <v/>
      </c>
      <c r="L782" s="39" t="str" cm="1">
        <f t="array" ref="L782">IFERROR(IF($A782="","",IF(F782="","",_xlfn.XLOOKUP($C782&amp;"_"&amp;$AG782,符文权重!$A:$A&amp;"_"&amp;符文权重!$C:$C,符文权重!$D:$D)*$X782/SUMIFS($X:$X,F:F,F782,$C:$C,$C782,$AG:$AG,$AG782)/SUMIF(符文权重!$A:$A,$C782,符文权重!$D:$D))),"")</f>
        <v/>
      </c>
      <c r="M782" s="39" t="str" cm="1">
        <f t="array" ref="M782">IFERROR(IF($A782="","",IF(G782="","",_xlfn.XLOOKUP($C782&amp;"_"&amp;$AG782,符文权重!$A:$A&amp;"_"&amp;符文权重!$C:$C,符文权重!$D:$D)*$X782/SUMIFS($X:$X,G:G,G782,$C:$C,$C782,$AG:$AG,$AG782)/SUMIF(符文权重!$A:$A,$C782,符文权重!$D:$D))),"")</f>
        <v/>
      </c>
      <c r="N782" s="39" t="str" cm="1">
        <f t="array" ref="N782">IFERROR(IF($A782="","",IF(H782="","",_xlfn.XLOOKUP($C782&amp;"_"&amp;$AG782,符文权重!$A:$A&amp;"_"&amp;符文权重!$C:$C,符文权重!$D:$D)*$X782/SUMIFS($X:$X,H:H,H782,$C:$C,$C782,$AG:$AG,$AG782)/SUMIF(符文权重!$A:$A,$C782,符文权重!$D:$D))),"")</f>
        <v/>
      </c>
      <c r="O782" s="39" t="str" cm="1">
        <f t="array" ref="O782">IFERROR(IF($A782="","",IF(I782="","",_xlfn.XLOOKUP($C782&amp;"_"&amp;$AG782,符文权重!$A:$A&amp;"_"&amp;符文权重!$C:$C,符文权重!$D:$D)*$X782/SUMIFS($X:$X,I:I,I782,$C:$C,$C782,$AG:$AG,$AG782)/SUMIF(符文权重!$A:$A,$C782,符文权重!$D:$D))),"")</f>
        <v/>
      </c>
      <c r="P782" s="39" t="str" cm="1">
        <f t="array" ref="P782">IFERROR(IF($A782="","",IF(J782="","",_xlfn.XLOOKUP($C782&amp;"_"&amp;$AG782,符文权重!$A:$A&amp;"_"&amp;符文权重!$C:$C,符文权重!$D:$D)*$X782/SUMIFS($X:$X,J:J,J782,$C:$C,$C782,$AG:$AG,$AG782)/SUMIF(符文权重!$A:$A,$C782,符文权重!$D:$D))),"")</f>
        <v/>
      </c>
      <c r="Q782" s="39" t="str" cm="1">
        <f t="array" ref="Q782">IFERROR(IF($A782="","",IF(K782="","",_xlfn.XLOOKUP($C782&amp;"_"&amp;$AG782,符文权重!$A:$A&amp;"_"&amp;符文权重!$C:$C,符文权重!$D:$D)*$X782/SUMIFS($X:$X,K:K,K782,$C:$C,$C782,$AG:$AG,$AG782)/SUMIF(符文权重!$A:$A,$C782,符文权重!$D:$D))),"")</f>
        <v/>
      </c>
      <c r="R782" s="25" t="s">
        <v>330</v>
      </c>
      <c r="S782" s="25" t="s">
        <v>1004</v>
      </c>
      <c r="T782" s="25" t="s">
        <v>391</v>
      </c>
      <c r="U782" s="25" t="s">
        <v>1008</v>
      </c>
      <c r="V782" s="25"/>
      <c r="W782" s="25" t="s">
        <v>757</v>
      </c>
      <c r="X782" s="25">
        <v>100</v>
      </c>
      <c r="Z782" s="25" t="s">
        <v>176</v>
      </c>
      <c r="AA782" s="32" t="str">
        <f t="shared" si="292"/>
        <v>妲己狂热粉丝解除魅惑时, 会受到妲己1600%攻击力的伤害</v>
      </c>
      <c r="AB782" s="32"/>
      <c r="AC782" s="32" t="s">
        <v>166</v>
      </c>
      <c r="AD782" s="32">
        <f t="shared" si="294"/>
        <v>1777</v>
      </c>
      <c r="AE782" s="25">
        <v>5301289</v>
      </c>
      <c r="AF782" s="25" t="s">
        <v>1009</v>
      </c>
      <c r="AG782" s="25">
        <v>100</v>
      </c>
      <c r="AI782" s="25">
        <v>1</v>
      </c>
      <c r="AJ782" s="25">
        <v>1</v>
      </c>
      <c r="AK782" s="26"/>
      <c r="AL782" s="25" t="s">
        <v>1010</v>
      </c>
      <c r="AM782" s="26"/>
      <c r="AN782" s="25">
        <v>8</v>
      </c>
      <c r="AO782" s="25" t="s">
        <v>25</v>
      </c>
      <c r="AP782" s="20">
        <f t="shared" si="295"/>
        <v>777</v>
      </c>
    </row>
    <row r="783" customHeight="1" spans="1:42">
      <c r="A783" s="25">
        <v>5510586</v>
      </c>
      <c r="B783" s="25">
        <v>5301289</v>
      </c>
      <c r="C783" s="25">
        <v>6</v>
      </c>
      <c r="D783" s="25"/>
      <c r="E783" s="25" t="s">
        <v>182</v>
      </c>
      <c r="F783" s="26" t="str">
        <f t="shared" si="296"/>
        <v/>
      </c>
      <c r="G783" s="26" t="str">
        <f>IFERROR(IF(--MID($E783,2*COUNTIF($F783:F783,"&gt;"&amp;0)+2,1)=G$1,G$1,""),"")</f>
        <v/>
      </c>
      <c r="H783" s="26">
        <f>IFERROR(IF(--MID($E783,2*COUNTIF($F783:G783,"&gt;"&amp;0)+2,1)=H$1,H$1,""),"")</f>
        <v>3</v>
      </c>
      <c r="I783" s="26" t="str">
        <f>IFERROR(IF(--MID($E783,2*COUNTIF($F783:H783,"&gt;"&amp;0)+2,1)=I$1,I$1,""),"")</f>
        <v/>
      </c>
      <c r="J783" s="26" t="str">
        <f>IFERROR(IF(--MID($E783,2*COUNTIF($F783:I783,"&gt;"&amp;0)+2,1)=J$1,J$1,""),"")</f>
        <v/>
      </c>
      <c r="K783" s="26" t="str">
        <f>IFERROR(IF(--MID($E783,2*COUNTIF($F783:J783,"&gt;"&amp;0)+2,1)=K$1,K$1,""),"")</f>
        <v/>
      </c>
      <c r="L783" s="39" t="str" cm="1">
        <f t="array" ref="L783">IFERROR(IF($A783="","",IF(F783="","",_xlfn.XLOOKUP($C783&amp;"_"&amp;$AG783,符文权重!$A:$A&amp;"_"&amp;符文权重!$C:$C,符文权重!$D:$D)*$X783/SUMIFS($X:$X,F:F,F783,$C:$C,$C783,$AG:$AG,$AG783)/SUMIF(符文权重!$A:$A,$C783,符文权重!$D:$D))),"")</f>
        <v/>
      </c>
      <c r="M783" s="39" t="str" cm="1">
        <f t="array" ref="M783">IFERROR(IF($A783="","",IF(G783="","",_xlfn.XLOOKUP($C783&amp;"_"&amp;$AG783,符文权重!$A:$A&amp;"_"&amp;符文权重!$C:$C,符文权重!$D:$D)*$X783/SUMIFS($X:$X,G:G,G783,$C:$C,$C783,$AG:$AG,$AG783)/SUMIF(符文权重!$A:$A,$C783,符文权重!$D:$D))),"")</f>
        <v/>
      </c>
      <c r="N783" s="39" t="str" cm="1">
        <f t="array" ref="N783">IFERROR(IF($A783="","",IF(H783="","",_xlfn.XLOOKUP($C783&amp;"_"&amp;$AG783,符文权重!$A:$A&amp;"_"&amp;符文权重!$C:$C,符文权重!$D:$D)*$X783/SUMIFS($X:$X,H:H,H783,$C:$C,$C783,$AG:$AG,$AG783)/SUMIF(符文权重!$A:$A,$C783,符文权重!$D:$D))),"")</f>
        <v/>
      </c>
      <c r="O783" s="39" t="str" cm="1">
        <f t="array" ref="O783">IFERROR(IF($A783="","",IF(I783="","",_xlfn.XLOOKUP($C783&amp;"_"&amp;$AG783,符文权重!$A:$A&amp;"_"&amp;符文权重!$C:$C,符文权重!$D:$D)*$X783/SUMIFS($X:$X,I:I,I783,$C:$C,$C783,$AG:$AG,$AG783)/SUMIF(符文权重!$A:$A,$C783,符文权重!$D:$D))),"")</f>
        <v/>
      </c>
      <c r="P783" s="39" t="str" cm="1">
        <f t="array" ref="P783">IFERROR(IF($A783="","",IF(J783="","",_xlfn.XLOOKUP($C783&amp;"_"&amp;$AG783,符文权重!$A:$A&amp;"_"&amp;符文权重!$C:$C,符文权重!$D:$D)*$X783/SUMIFS($X:$X,J:J,J783,$C:$C,$C783,$AG:$AG,$AG783)/SUMIF(符文权重!$A:$A,$C783,符文权重!$D:$D))),"")</f>
        <v/>
      </c>
      <c r="Q783" s="39" t="str" cm="1">
        <f t="array" ref="Q783">IFERROR(IF($A783="","",IF(K783="","",_xlfn.XLOOKUP($C783&amp;"_"&amp;$AG783,符文权重!$A:$A&amp;"_"&amp;符文权重!$C:$C,符文权重!$D:$D)*$X783/SUMIFS($X:$X,K:K,K783,$C:$C,$C783,$AG:$AG,$AG783)/SUMIF(符文权重!$A:$A,$C783,符文权重!$D:$D))),"")</f>
        <v/>
      </c>
      <c r="R783" s="25" t="s">
        <v>330</v>
      </c>
      <c r="S783" s="25" t="s">
        <v>1004</v>
      </c>
      <c r="T783" s="25" t="s">
        <v>394</v>
      </c>
      <c r="U783" s="25" t="s">
        <v>1011</v>
      </c>
      <c r="V783" s="63"/>
      <c r="W783" s="25" t="s">
        <v>760</v>
      </c>
      <c r="X783" s="25">
        <v>100</v>
      </c>
      <c r="Y783" s="63"/>
      <c r="Z783" s="25" t="s">
        <v>178</v>
      </c>
      <c r="AA783" s="32" t="str">
        <f t="shared" si="292"/>
        <v>妲己狂热粉丝解除魅惑时, 会受到妲己2000%攻击力的伤害</v>
      </c>
      <c r="AB783" s="32"/>
      <c r="AC783" s="32" t="s">
        <v>166</v>
      </c>
      <c r="AD783" s="32">
        <f t="shared" si="294"/>
        <v>1778</v>
      </c>
      <c r="AE783" s="25">
        <v>5301289</v>
      </c>
      <c r="AF783" s="25" t="s">
        <v>1012</v>
      </c>
      <c r="AG783" s="25">
        <v>100</v>
      </c>
      <c r="AH783" s="63"/>
      <c r="AI783" s="25">
        <v>1</v>
      </c>
      <c r="AJ783" s="25">
        <v>1</v>
      </c>
      <c r="AK783" s="26"/>
      <c r="AL783" s="25" t="s">
        <v>1013</v>
      </c>
      <c r="AM783" s="26"/>
      <c r="AN783" s="25">
        <v>8</v>
      </c>
      <c r="AO783" s="25" t="s">
        <v>25</v>
      </c>
      <c r="AP783" s="20">
        <f t="shared" si="295"/>
        <v>778</v>
      </c>
    </row>
    <row r="784" customHeight="1" spans="1:42">
      <c r="A784" s="25">
        <v>5510587</v>
      </c>
      <c r="B784" s="25">
        <v>5301289</v>
      </c>
      <c r="C784" s="25">
        <v>7</v>
      </c>
      <c r="D784" s="25"/>
      <c r="E784" s="25" t="s">
        <v>182</v>
      </c>
      <c r="F784" s="26" t="str">
        <f t="shared" si="296"/>
        <v/>
      </c>
      <c r="G784" s="26" t="str">
        <f>IFERROR(IF(--MID($E784,2*COUNTIF($F784:F784,"&gt;"&amp;0)+2,1)=G$1,G$1,""),"")</f>
        <v/>
      </c>
      <c r="H784" s="26">
        <f>IFERROR(IF(--MID($E784,2*COUNTIF($F784:G784,"&gt;"&amp;0)+2,1)=H$1,H$1,""),"")</f>
        <v>3</v>
      </c>
      <c r="I784" s="26" t="str">
        <f>IFERROR(IF(--MID($E784,2*COUNTIF($F784:H784,"&gt;"&amp;0)+2,1)=I$1,I$1,""),"")</f>
        <v/>
      </c>
      <c r="J784" s="26" t="str">
        <f>IFERROR(IF(--MID($E784,2*COUNTIF($F784:I784,"&gt;"&amp;0)+2,1)=J$1,J$1,""),"")</f>
        <v/>
      </c>
      <c r="K784" s="26" t="str">
        <f>IFERROR(IF(--MID($E784,2*COUNTIF($F784:J784,"&gt;"&amp;0)+2,1)=K$1,K$1,""),"")</f>
        <v/>
      </c>
      <c r="L784" s="39" t="str" cm="1">
        <f t="array" ref="L784">IFERROR(IF($A784="","",IF(F784="","",_xlfn.XLOOKUP($C784&amp;"_"&amp;$AG784,符文权重!$A:$A&amp;"_"&amp;符文权重!$C:$C,符文权重!$D:$D)*$X784/SUMIFS($X:$X,F:F,F784,$C:$C,$C784,$AG:$AG,$AG784)/SUMIF(符文权重!$A:$A,$C784,符文权重!$D:$D))),"")</f>
        <v/>
      </c>
      <c r="M784" s="39" t="str" cm="1">
        <f t="array" ref="M784">IFERROR(IF($A784="","",IF(G784="","",_xlfn.XLOOKUP($C784&amp;"_"&amp;$AG784,符文权重!$A:$A&amp;"_"&amp;符文权重!$C:$C,符文权重!$D:$D)*$X784/SUMIFS($X:$X,G:G,G784,$C:$C,$C784,$AG:$AG,$AG784)/SUMIF(符文权重!$A:$A,$C784,符文权重!$D:$D))),"")</f>
        <v/>
      </c>
      <c r="N784" s="39" t="str" cm="1">
        <f t="array" ref="N784">IFERROR(IF($A784="","",IF(H784="","",_xlfn.XLOOKUP($C784&amp;"_"&amp;$AG784,符文权重!$A:$A&amp;"_"&amp;符文权重!$C:$C,符文权重!$D:$D)*$X784/SUMIFS($X:$X,H:H,H784,$C:$C,$C784,$AG:$AG,$AG784)/SUMIF(符文权重!$A:$A,$C784,符文权重!$D:$D))),"")</f>
        <v/>
      </c>
      <c r="O784" s="39" t="str" cm="1">
        <f t="array" ref="O784">IFERROR(IF($A784="","",IF(I784="","",_xlfn.XLOOKUP($C784&amp;"_"&amp;$AG784,符文权重!$A:$A&amp;"_"&amp;符文权重!$C:$C,符文权重!$D:$D)*$X784/SUMIFS($X:$X,I:I,I784,$C:$C,$C784,$AG:$AG,$AG784)/SUMIF(符文权重!$A:$A,$C784,符文权重!$D:$D))),"")</f>
        <v/>
      </c>
      <c r="P784" s="39" t="str" cm="1">
        <f t="array" ref="P784">IFERROR(IF($A784="","",IF(J784="","",_xlfn.XLOOKUP($C784&amp;"_"&amp;$AG784,符文权重!$A:$A&amp;"_"&amp;符文权重!$C:$C,符文权重!$D:$D)*$X784/SUMIFS($X:$X,J:J,J784,$C:$C,$C784,$AG:$AG,$AG784)/SUMIF(符文权重!$A:$A,$C784,符文权重!$D:$D))),"")</f>
        <v/>
      </c>
      <c r="Q784" s="39" t="str" cm="1">
        <f t="array" ref="Q784">IFERROR(IF($A784="","",IF(K784="","",_xlfn.XLOOKUP($C784&amp;"_"&amp;$AG784,符文权重!$A:$A&amp;"_"&amp;符文权重!$C:$C,符文权重!$D:$D)*$X784/SUMIFS($X:$X,K:K,K784,$C:$C,$C784,$AG:$AG,$AG784)/SUMIF(符文权重!$A:$A,$C784,符文权重!$D:$D))),"")</f>
        <v/>
      </c>
      <c r="R784" s="25" t="s">
        <v>330</v>
      </c>
      <c r="S784" s="25" t="s">
        <v>1004</v>
      </c>
      <c r="T784" s="25" t="s">
        <v>397</v>
      </c>
      <c r="U784" s="25" t="s">
        <v>1014</v>
      </c>
      <c r="V784" s="25"/>
      <c r="W784" s="25" t="s">
        <v>763</v>
      </c>
      <c r="X784" s="25">
        <v>100</v>
      </c>
      <c r="Z784" s="25" t="s">
        <v>180</v>
      </c>
      <c r="AA784" s="32" t="str">
        <f t="shared" si="292"/>
        <v>妲己狂热粉丝解除魅惑时, 会受到妲己2400%攻击力的伤害</v>
      </c>
      <c r="AB784" s="32"/>
      <c r="AC784" s="32" t="s">
        <v>166</v>
      </c>
      <c r="AD784" s="32">
        <f t="shared" si="294"/>
        <v>1779</v>
      </c>
      <c r="AE784" s="25">
        <v>5301289</v>
      </c>
      <c r="AF784" s="25" t="s">
        <v>1015</v>
      </c>
      <c r="AG784" s="25">
        <v>100</v>
      </c>
      <c r="AI784" s="25">
        <v>1</v>
      </c>
      <c r="AJ784" s="25">
        <v>1</v>
      </c>
      <c r="AK784" s="26"/>
      <c r="AL784" s="25" t="s">
        <v>1016</v>
      </c>
      <c r="AM784" s="26"/>
      <c r="AN784" s="25">
        <v>8</v>
      </c>
      <c r="AO784" s="25" t="s">
        <v>25</v>
      </c>
      <c r="AP784" s="20">
        <f t="shared" si="295"/>
        <v>779</v>
      </c>
    </row>
    <row r="785" customHeight="1" spans="1:42">
      <c r="A785" s="25">
        <v>5510594</v>
      </c>
      <c r="B785" s="25">
        <v>5301290</v>
      </c>
      <c r="C785" s="25">
        <v>4</v>
      </c>
      <c r="D785" s="25"/>
      <c r="E785" s="25" t="s">
        <v>375</v>
      </c>
      <c r="F785" s="26" t="str">
        <f t="shared" si="296"/>
        <v/>
      </c>
      <c r="G785" s="26" t="str">
        <f>IFERROR(IF(--MID($E785,2*COUNTIF($F785:F785,"&gt;"&amp;0)+2,1)=G$1,G$1,""),"")</f>
        <v/>
      </c>
      <c r="H785" s="26" t="str">
        <f>IFERROR(IF(--MID($E785,2*COUNTIF($F785:G785,"&gt;"&amp;0)+2,1)=H$1,H$1,""),"")</f>
        <v/>
      </c>
      <c r="I785" s="26">
        <f>IFERROR(IF(--MID($E785,2*COUNTIF($F785:H785,"&gt;"&amp;0)+2,1)=I$1,I$1,""),"")</f>
        <v>4</v>
      </c>
      <c r="J785" s="26" t="str">
        <f>IFERROR(IF(--MID($E785,2*COUNTIF($F785:I785,"&gt;"&amp;0)+2,1)=J$1,J$1,""),"")</f>
        <v/>
      </c>
      <c r="K785" s="26" t="str">
        <f>IFERROR(IF(--MID($E785,2*COUNTIF($F785:J785,"&gt;"&amp;0)+2,1)=K$1,K$1,""),"")</f>
        <v/>
      </c>
      <c r="L785" s="39" t="str" cm="1">
        <f t="array" ref="L785">IFERROR(IF($A785="","",IF(F785="","",_xlfn.XLOOKUP($C785&amp;"_"&amp;$AG785,符文权重!$A:$A&amp;"_"&amp;符文权重!$C:$C,符文权重!$D:$D)*$X785/SUMIFS($X:$X,F:F,F785,$C:$C,$C785,$AG:$AG,$AG785)/SUMIF(符文权重!$A:$A,$C785,符文权重!$D:$D))),"")</f>
        <v/>
      </c>
      <c r="M785" s="39" t="str" cm="1">
        <f t="array" ref="M785">IFERROR(IF($A785="","",IF(G785="","",_xlfn.XLOOKUP($C785&amp;"_"&amp;$AG785,符文权重!$A:$A&amp;"_"&amp;符文权重!$C:$C,符文权重!$D:$D)*$X785/SUMIFS($X:$X,G:G,G785,$C:$C,$C785,$AG:$AG,$AG785)/SUMIF(符文权重!$A:$A,$C785,符文权重!$D:$D))),"")</f>
        <v/>
      </c>
      <c r="N785" s="39" t="str" cm="1">
        <f t="array" ref="N785">IFERROR(IF($A785="","",IF(H785="","",_xlfn.XLOOKUP($C785&amp;"_"&amp;$AG785,符文权重!$A:$A&amp;"_"&amp;符文权重!$C:$C,符文权重!$D:$D)*$X785/SUMIFS($X:$X,H:H,H785,$C:$C,$C785,$AG:$AG,$AG785)/SUMIF(符文权重!$A:$A,$C785,符文权重!$D:$D))),"")</f>
        <v/>
      </c>
      <c r="O785" s="39" t="str" cm="1">
        <f t="array" ref="O785">IFERROR(IF($A785="","",IF(I785="","",_xlfn.XLOOKUP($C785&amp;"_"&amp;$AG785,符文权重!$A:$A&amp;"_"&amp;符文权重!$C:$C,符文权重!$D:$D)*$X785/SUMIFS($X:$X,I:I,I785,$C:$C,$C785,$AG:$AG,$AG785)/SUMIF(符文权重!$A:$A,$C785,符文权重!$D:$D))),"")</f>
        <v/>
      </c>
      <c r="P785" s="39" t="str" cm="1">
        <f t="array" ref="P785">IFERROR(IF($A785="","",IF(J785="","",_xlfn.XLOOKUP($C785&amp;"_"&amp;$AG785,符文权重!$A:$A&amp;"_"&amp;符文权重!$C:$C,符文权重!$D:$D)*$X785/SUMIFS($X:$X,J:J,J785,$C:$C,$C785,$AG:$AG,$AG785)/SUMIF(符文权重!$A:$A,$C785,符文权重!$D:$D))),"")</f>
        <v/>
      </c>
      <c r="Q785" s="39" t="str" cm="1">
        <f t="array" ref="Q785">IFERROR(IF($A785="","",IF(K785="","",_xlfn.XLOOKUP($C785&amp;"_"&amp;$AG785,符文权重!$A:$A&amp;"_"&amp;符文权重!$C:$C,符文权重!$D:$D)*$X785/SUMIFS($X:$X,K:K,K785,$C:$C,$C785,$AG:$AG,$AG785)/SUMIF(符文权重!$A:$A,$C785,符文权重!$D:$D))),"")</f>
        <v/>
      </c>
      <c r="R785" s="25" t="s">
        <v>330</v>
      </c>
      <c r="S785" s="25" t="s">
        <v>1004</v>
      </c>
      <c r="T785" s="25" t="s">
        <v>391</v>
      </c>
      <c r="U785" s="25" t="s">
        <v>1017</v>
      </c>
      <c r="V785" s="25"/>
      <c r="W785" s="25" t="s">
        <v>757</v>
      </c>
      <c r="X785" s="25">
        <v>100</v>
      </c>
      <c r="Z785" s="26" t="s">
        <v>174</v>
      </c>
      <c r="AA785" s="32" t="str">
        <f t="shared" si="292"/>
        <v>妲己每次普攻有25%概率使下次普攻直接变成强化狐火</v>
      </c>
      <c r="AB785" s="32"/>
      <c r="AC785" s="32" t="s">
        <v>166</v>
      </c>
      <c r="AD785" s="32">
        <f t="shared" si="294"/>
        <v>1780</v>
      </c>
      <c r="AE785" s="25">
        <v>5301290</v>
      </c>
      <c r="AF785" s="25" t="s">
        <v>399</v>
      </c>
      <c r="AG785" s="25">
        <v>100</v>
      </c>
      <c r="AI785" s="25">
        <v>1</v>
      </c>
      <c r="AJ785" s="25">
        <v>1</v>
      </c>
      <c r="AK785" s="26"/>
      <c r="AL785" s="25" t="s">
        <v>1018</v>
      </c>
      <c r="AM785" s="26"/>
      <c r="AN785" s="25">
        <v>8</v>
      </c>
      <c r="AO785" s="25" t="s">
        <v>25</v>
      </c>
      <c r="AP785" s="20">
        <f t="shared" si="295"/>
        <v>780</v>
      </c>
    </row>
    <row r="786" customHeight="1" spans="1:42">
      <c r="A786" s="25">
        <v>5510595</v>
      </c>
      <c r="B786" s="25">
        <v>5301290</v>
      </c>
      <c r="C786" s="25">
        <v>5</v>
      </c>
      <c r="D786" s="25"/>
      <c r="E786" s="25" t="s">
        <v>375</v>
      </c>
      <c r="F786" s="26" t="str">
        <f t="shared" si="296"/>
        <v/>
      </c>
      <c r="G786" s="26" t="str">
        <f>IFERROR(IF(--MID($E786,2*COUNTIF($F786:F786,"&gt;"&amp;0)+2,1)=G$1,G$1,""),"")</f>
        <v/>
      </c>
      <c r="H786" s="26" t="str">
        <f>IFERROR(IF(--MID($E786,2*COUNTIF($F786:G786,"&gt;"&amp;0)+2,1)=H$1,H$1,""),"")</f>
        <v/>
      </c>
      <c r="I786" s="26">
        <f>IFERROR(IF(--MID($E786,2*COUNTIF($F786:H786,"&gt;"&amp;0)+2,1)=I$1,I$1,""),"")</f>
        <v>4</v>
      </c>
      <c r="J786" s="26" t="str">
        <f>IFERROR(IF(--MID($E786,2*COUNTIF($F786:I786,"&gt;"&amp;0)+2,1)=J$1,J$1,""),"")</f>
        <v/>
      </c>
      <c r="K786" s="26" t="str">
        <f>IFERROR(IF(--MID($E786,2*COUNTIF($F786:J786,"&gt;"&amp;0)+2,1)=K$1,K$1,""),"")</f>
        <v/>
      </c>
      <c r="L786" s="39" t="str" cm="1">
        <f t="array" ref="L786">IFERROR(IF($A786="","",IF(F786="","",_xlfn.XLOOKUP($C786&amp;"_"&amp;$AG786,符文权重!$A:$A&amp;"_"&amp;符文权重!$C:$C,符文权重!$D:$D)*$X786/SUMIFS($X:$X,F:F,F786,$C:$C,$C786,$AG:$AG,$AG786)/SUMIF(符文权重!$A:$A,$C786,符文权重!$D:$D))),"")</f>
        <v/>
      </c>
      <c r="M786" s="39" t="str" cm="1">
        <f t="array" ref="M786">IFERROR(IF($A786="","",IF(G786="","",_xlfn.XLOOKUP($C786&amp;"_"&amp;$AG786,符文权重!$A:$A&amp;"_"&amp;符文权重!$C:$C,符文权重!$D:$D)*$X786/SUMIFS($X:$X,G:G,G786,$C:$C,$C786,$AG:$AG,$AG786)/SUMIF(符文权重!$A:$A,$C786,符文权重!$D:$D))),"")</f>
        <v/>
      </c>
      <c r="N786" s="39" t="str" cm="1">
        <f t="array" ref="N786">IFERROR(IF($A786="","",IF(H786="","",_xlfn.XLOOKUP($C786&amp;"_"&amp;$AG786,符文权重!$A:$A&amp;"_"&amp;符文权重!$C:$C,符文权重!$D:$D)*$X786/SUMIFS($X:$X,H:H,H786,$C:$C,$C786,$AG:$AG,$AG786)/SUMIF(符文权重!$A:$A,$C786,符文权重!$D:$D))),"")</f>
        <v/>
      </c>
      <c r="O786" s="39" t="str" cm="1">
        <f t="array" ref="O786">IFERROR(IF($A786="","",IF(I786="","",_xlfn.XLOOKUP($C786&amp;"_"&amp;$AG786,符文权重!$A:$A&amp;"_"&amp;符文权重!$C:$C,符文权重!$D:$D)*$X786/SUMIFS($X:$X,I:I,I786,$C:$C,$C786,$AG:$AG,$AG786)/SUMIF(符文权重!$A:$A,$C786,符文权重!$D:$D))),"")</f>
        <v/>
      </c>
      <c r="P786" s="39" t="str" cm="1">
        <f t="array" ref="P786">IFERROR(IF($A786="","",IF(J786="","",_xlfn.XLOOKUP($C786&amp;"_"&amp;$AG786,符文权重!$A:$A&amp;"_"&amp;符文权重!$C:$C,符文权重!$D:$D)*$X786/SUMIFS($X:$X,J:J,J786,$C:$C,$C786,$AG:$AG,$AG786)/SUMIF(符文权重!$A:$A,$C786,符文权重!$D:$D))),"")</f>
        <v/>
      </c>
      <c r="Q786" s="39" t="str" cm="1">
        <f t="array" ref="Q786">IFERROR(IF($A786="","",IF(K786="","",_xlfn.XLOOKUP($C786&amp;"_"&amp;$AG786,符文权重!$A:$A&amp;"_"&amp;符文权重!$C:$C,符文权重!$D:$D)*$X786/SUMIFS($X:$X,K:K,K786,$C:$C,$C786,$AG:$AG,$AG786)/SUMIF(符文权重!$A:$A,$C786,符文权重!$D:$D))),"")</f>
        <v/>
      </c>
      <c r="R786" s="25" t="s">
        <v>330</v>
      </c>
      <c r="S786" s="25" t="s">
        <v>1004</v>
      </c>
      <c r="T786" s="25" t="s">
        <v>391</v>
      </c>
      <c r="U786" s="25" t="s">
        <v>1019</v>
      </c>
      <c r="V786" s="25"/>
      <c r="W786" s="25" t="s">
        <v>757</v>
      </c>
      <c r="X786" s="25">
        <v>100</v>
      </c>
      <c r="Z786" s="25" t="s">
        <v>176</v>
      </c>
      <c r="AA786" s="32" t="str">
        <f t="shared" ref="AA786:AA792" si="297">SUBSTITUTE(SUBSTITUTE(SUBSTITUTE(SUBSTITUTE(AL786,"%s",AM786),"&lt;color=#54b76b&gt;",""),"&lt;/color&gt; ",""),"&lt;/color&gt;","")</f>
        <v>妲己每次普攻有35%概率使下次普攻直接变成强化狐火</v>
      </c>
      <c r="AB786" s="32"/>
      <c r="AC786" s="32" t="s">
        <v>166</v>
      </c>
      <c r="AD786" s="32">
        <f t="shared" si="294"/>
        <v>1781</v>
      </c>
      <c r="AE786" s="25">
        <v>5301290</v>
      </c>
      <c r="AF786" s="25" t="s">
        <v>411</v>
      </c>
      <c r="AG786" s="25">
        <v>100</v>
      </c>
      <c r="AI786" s="25">
        <v>1</v>
      </c>
      <c r="AJ786" s="25">
        <v>1</v>
      </c>
      <c r="AK786" s="26"/>
      <c r="AL786" s="25" t="s">
        <v>1020</v>
      </c>
      <c r="AM786" s="26"/>
      <c r="AN786" s="25">
        <v>8</v>
      </c>
      <c r="AO786" s="25" t="s">
        <v>25</v>
      </c>
      <c r="AP786" s="20">
        <f t="shared" si="295"/>
        <v>781</v>
      </c>
    </row>
    <row r="787" customHeight="1" spans="1:42">
      <c r="A787" s="25">
        <v>5510596</v>
      </c>
      <c r="B787" s="25">
        <v>5301290</v>
      </c>
      <c r="C787" s="25">
        <v>6</v>
      </c>
      <c r="D787" s="25"/>
      <c r="E787" s="25" t="s">
        <v>375</v>
      </c>
      <c r="F787" s="26" t="str">
        <f t="shared" si="296"/>
        <v/>
      </c>
      <c r="G787" s="26" t="str">
        <f>IFERROR(IF(--MID($E787,2*COUNTIF($F787:F787,"&gt;"&amp;0)+2,1)=G$1,G$1,""),"")</f>
        <v/>
      </c>
      <c r="H787" s="26" t="str">
        <f>IFERROR(IF(--MID($E787,2*COUNTIF($F787:G787,"&gt;"&amp;0)+2,1)=H$1,H$1,""),"")</f>
        <v/>
      </c>
      <c r="I787" s="26">
        <f>IFERROR(IF(--MID($E787,2*COUNTIF($F787:H787,"&gt;"&amp;0)+2,1)=I$1,I$1,""),"")</f>
        <v>4</v>
      </c>
      <c r="J787" s="26" t="str">
        <f>IFERROR(IF(--MID($E787,2*COUNTIF($F787:I787,"&gt;"&amp;0)+2,1)=J$1,J$1,""),"")</f>
        <v/>
      </c>
      <c r="K787" s="26" t="str">
        <f>IFERROR(IF(--MID($E787,2*COUNTIF($F787:J787,"&gt;"&amp;0)+2,1)=K$1,K$1,""),"")</f>
        <v/>
      </c>
      <c r="L787" s="39" t="str" cm="1">
        <f t="array" ref="L787">IFERROR(IF($A787="","",IF(F787="","",_xlfn.XLOOKUP($C787&amp;"_"&amp;$AG787,符文权重!$A:$A&amp;"_"&amp;符文权重!$C:$C,符文权重!$D:$D)*$X787/SUMIFS($X:$X,F:F,F787,$C:$C,$C787,$AG:$AG,$AG787)/SUMIF(符文权重!$A:$A,$C787,符文权重!$D:$D))),"")</f>
        <v/>
      </c>
      <c r="M787" s="39" t="str" cm="1">
        <f t="array" ref="M787">IFERROR(IF($A787="","",IF(G787="","",_xlfn.XLOOKUP($C787&amp;"_"&amp;$AG787,符文权重!$A:$A&amp;"_"&amp;符文权重!$C:$C,符文权重!$D:$D)*$X787/SUMIFS($X:$X,G:G,G787,$C:$C,$C787,$AG:$AG,$AG787)/SUMIF(符文权重!$A:$A,$C787,符文权重!$D:$D))),"")</f>
        <v/>
      </c>
      <c r="N787" s="39" t="str" cm="1">
        <f t="array" ref="N787">IFERROR(IF($A787="","",IF(H787="","",_xlfn.XLOOKUP($C787&amp;"_"&amp;$AG787,符文权重!$A:$A&amp;"_"&amp;符文权重!$C:$C,符文权重!$D:$D)*$X787/SUMIFS($X:$X,H:H,H787,$C:$C,$C787,$AG:$AG,$AG787)/SUMIF(符文权重!$A:$A,$C787,符文权重!$D:$D))),"")</f>
        <v/>
      </c>
      <c r="O787" s="39" t="str" cm="1">
        <f t="array" ref="O787">IFERROR(IF($A787="","",IF(I787="","",_xlfn.XLOOKUP($C787&amp;"_"&amp;$AG787,符文权重!$A:$A&amp;"_"&amp;符文权重!$C:$C,符文权重!$D:$D)*$X787/SUMIFS($X:$X,I:I,I787,$C:$C,$C787,$AG:$AG,$AG787)/SUMIF(符文权重!$A:$A,$C787,符文权重!$D:$D))),"")</f>
        <v/>
      </c>
      <c r="P787" s="39" t="str" cm="1">
        <f t="array" ref="P787">IFERROR(IF($A787="","",IF(J787="","",_xlfn.XLOOKUP($C787&amp;"_"&amp;$AG787,符文权重!$A:$A&amp;"_"&amp;符文权重!$C:$C,符文权重!$D:$D)*$X787/SUMIFS($X:$X,J:J,J787,$C:$C,$C787,$AG:$AG,$AG787)/SUMIF(符文权重!$A:$A,$C787,符文权重!$D:$D))),"")</f>
        <v/>
      </c>
      <c r="Q787" s="39" t="str" cm="1">
        <f t="array" ref="Q787">IFERROR(IF($A787="","",IF(K787="","",_xlfn.XLOOKUP($C787&amp;"_"&amp;$AG787,符文权重!$A:$A&amp;"_"&amp;符文权重!$C:$C,符文权重!$D:$D)*$X787/SUMIFS($X:$X,K:K,K787,$C:$C,$C787,$AG:$AG,$AG787)/SUMIF(符文权重!$A:$A,$C787,符文权重!$D:$D))),"")</f>
        <v/>
      </c>
      <c r="R787" s="25" t="s">
        <v>330</v>
      </c>
      <c r="S787" s="25" t="s">
        <v>1004</v>
      </c>
      <c r="T787" s="25" t="s">
        <v>394</v>
      </c>
      <c r="U787" s="25" t="s">
        <v>1021</v>
      </c>
      <c r="V787" s="25"/>
      <c r="W787" s="25" t="s">
        <v>760</v>
      </c>
      <c r="X787" s="25">
        <v>100</v>
      </c>
      <c r="Z787" s="25" t="s">
        <v>178</v>
      </c>
      <c r="AA787" s="32" t="str">
        <f t="shared" si="297"/>
        <v>妲己每次普攻有45%概率使下次普攻直接变成强化狐火</v>
      </c>
      <c r="AB787" s="32"/>
      <c r="AC787" s="32" t="s">
        <v>166</v>
      </c>
      <c r="AD787" s="32">
        <f t="shared" si="294"/>
        <v>1782</v>
      </c>
      <c r="AE787" s="25">
        <v>5301290</v>
      </c>
      <c r="AF787" s="25" t="s">
        <v>437</v>
      </c>
      <c r="AG787" s="25">
        <v>100</v>
      </c>
      <c r="AI787" s="25">
        <v>1</v>
      </c>
      <c r="AJ787" s="25">
        <v>1</v>
      </c>
      <c r="AK787" s="26"/>
      <c r="AL787" s="25" t="s">
        <v>1022</v>
      </c>
      <c r="AM787" s="26"/>
      <c r="AN787" s="25">
        <v>8</v>
      </c>
      <c r="AO787" s="25" t="s">
        <v>25</v>
      </c>
      <c r="AP787" s="20">
        <f t="shared" si="295"/>
        <v>782</v>
      </c>
    </row>
    <row r="788" customHeight="1" spans="1:42">
      <c r="A788" s="25">
        <v>5510597</v>
      </c>
      <c r="B788" s="25">
        <v>5301290</v>
      </c>
      <c r="C788" s="25">
        <v>7</v>
      </c>
      <c r="D788" s="25"/>
      <c r="E788" s="25" t="s">
        <v>375</v>
      </c>
      <c r="F788" s="26" t="str">
        <f t="shared" si="296"/>
        <v/>
      </c>
      <c r="G788" s="26" t="str">
        <f>IFERROR(IF(--MID($E788,2*COUNTIF($F788:F788,"&gt;"&amp;0)+2,1)=G$1,G$1,""),"")</f>
        <v/>
      </c>
      <c r="H788" s="26" t="str">
        <f>IFERROR(IF(--MID($E788,2*COUNTIF($F788:G788,"&gt;"&amp;0)+2,1)=H$1,H$1,""),"")</f>
        <v/>
      </c>
      <c r="I788" s="26">
        <f>IFERROR(IF(--MID($E788,2*COUNTIF($F788:H788,"&gt;"&amp;0)+2,1)=I$1,I$1,""),"")</f>
        <v>4</v>
      </c>
      <c r="J788" s="26" t="str">
        <f>IFERROR(IF(--MID($E788,2*COUNTIF($F788:I788,"&gt;"&amp;0)+2,1)=J$1,J$1,""),"")</f>
        <v/>
      </c>
      <c r="K788" s="26" t="str">
        <f>IFERROR(IF(--MID($E788,2*COUNTIF($F788:J788,"&gt;"&amp;0)+2,1)=K$1,K$1,""),"")</f>
        <v/>
      </c>
      <c r="L788" s="39" t="str" cm="1">
        <f t="array" ref="L788">IFERROR(IF($A788="","",IF(F788="","",_xlfn.XLOOKUP($C788&amp;"_"&amp;$AG788,符文权重!$A:$A&amp;"_"&amp;符文权重!$C:$C,符文权重!$D:$D)*$X788/SUMIFS($X:$X,F:F,F788,$C:$C,$C788,$AG:$AG,$AG788)/SUMIF(符文权重!$A:$A,$C788,符文权重!$D:$D))),"")</f>
        <v/>
      </c>
      <c r="M788" s="39" t="str" cm="1">
        <f t="array" ref="M788">IFERROR(IF($A788="","",IF(G788="","",_xlfn.XLOOKUP($C788&amp;"_"&amp;$AG788,符文权重!$A:$A&amp;"_"&amp;符文权重!$C:$C,符文权重!$D:$D)*$X788/SUMIFS($X:$X,G:G,G788,$C:$C,$C788,$AG:$AG,$AG788)/SUMIF(符文权重!$A:$A,$C788,符文权重!$D:$D))),"")</f>
        <v/>
      </c>
      <c r="N788" s="39" t="str" cm="1">
        <f t="array" ref="N788">IFERROR(IF($A788="","",IF(H788="","",_xlfn.XLOOKUP($C788&amp;"_"&amp;$AG788,符文权重!$A:$A&amp;"_"&amp;符文权重!$C:$C,符文权重!$D:$D)*$X788/SUMIFS($X:$X,H:H,H788,$C:$C,$C788,$AG:$AG,$AG788)/SUMIF(符文权重!$A:$A,$C788,符文权重!$D:$D))),"")</f>
        <v/>
      </c>
      <c r="O788" s="39" t="str" cm="1">
        <f t="array" ref="O788">IFERROR(IF($A788="","",IF(I788="","",_xlfn.XLOOKUP($C788&amp;"_"&amp;$AG788,符文权重!$A:$A&amp;"_"&amp;符文权重!$C:$C,符文权重!$D:$D)*$X788/SUMIFS($X:$X,I:I,I788,$C:$C,$C788,$AG:$AG,$AG788)/SUMIF(符文权重!$A:$A,$C788,符文权重!$D:$D))),"")</f>
        <v/>
      </c>
      <c r="P788" s="39" t="str" cm="1">
        <f t="array" ref="P788">IFERROR(IF($A788="","",IF(J788="","",_xlfn.XLOOKUP($C788&amp;"_"&amp;$AG788,符文权重!$A:$A&amp;"_"&amp;符文权重!$C:$C,符文权重!$D:$D)*$X788/SUMIFS($X:$X,J:J,J788,$C:$C,$C788,$AG:$AG,$AG788)/SUMIF(符文权重!$A:$A,$C788,符文权重!$D:$D))),"")</f>
        <v/>
      </c>
      <c r="Q788" s="39" t="str" cm="1">
        <f t="array" ref="Q788">IFERROR(IF($A788="","",IF(K788="","",_xlfn.XLOOKUP($C788&amp;"_"&amp;$AG788,符文权重!$A:$A&amp;"_"&amp;符文权重!$C:$C,符文权重!$D:$D)*$X788/SUMIFS($X:$X,K:K,K788,$C:$C,$C788,$AG:$AG,$AG788)/SUMIF(符文权重!$A:$A,$C788,符文权重!$D:$D))),"")</f>
        <v/>
      </c>
      <c r="R788" s="25" t="s">
        <v>330</v>
      </c>
      <c r="S788" s="25" t="s">
        <v>1004</v>
      </c>
      <c r="T788" s="25" t="s">
        <v>397</v>
      </c>
      <c r="U788" s="25" t="s">
        <v>1023</v>
      </c>
      <c r="V788" s="63"/>
      <c r="W788" s="25" t="s">
        <v>763</v>
      </c>
      <c r="X788" s="25">
        <v>100</v>
      </c>
      <c r="Y788" s="63"/>
      <c r="Z788" s="25" t="s">
        <v>180</v>
      </c>
      <c r="AA788" s="32" t="str">
        <f t="shared" si="297"/>
        <v>妲己每次普攻有55%概率使下次普攻直接变成强化狐火</v>
      </c>
      <c r="AB788" s="32"/>
      <c r="AC788" s="32" t="s">
        <v>166</v>
      </c>
      <c r="AD788" s="32">
        <f t="shared" si="294"/>
        <v>1783</v>
      </c>
      <c r="AE788" s="25">
        <v>5301290</v>
      </c>
      <c r="AF788" s="25" t="s">
        <v>414</v>
      </c>
      <c r="AG788" s="25">
        <v>100</v>
      </c>
      <c r="AH788" s="63"/>
      <c r="AI788" s="25">
        <v>1</v>
      </c>
      <c r="AJ788" s="25">
        <v>1</v>
      </c>
      <c r="AK788" s="26"/>
      <c r="AL788" s="25" t="s">
        <v>1024</v>
      </c>
      <c r="AM788" s="26"/>
      <c r="AN788" s="25">
        <v>8</v>
      </c>
      <c r="AO788" s="25" t="s">
        <v>25</v>
      </c>
      <c r="AP788" s="20">
        <f t="shared" si="295"/>
        <v>783</v>
      </c>
    </row>
    <row r="789" customHeight="1" spans="1:42">
      <c r="A789" s="25">
        <v>5510604</v>
      </c>
      <c r="B789" s="25">
        <v>5301291</v>
      </c>
      <c r="C789" s="25">
        <v>4</v>
      </c>
      <c r="D789" s="25"/>
      <c r="E789" s="25" t="s">
        <v>218</v>
      </c>
      <c r="F789" s="26" t="str">
        <f t="shared" si="296"/>
        <v/>
      </c>
      <c r="G789" s="26" t="str">
        <f>IFERROR(IF(--MID($E789,2*COUNTIF($F789:F789,"&gt;"&amp;0)+2,1)=G$1,G$1,""),"")</f>
        <v/>
      </c>
      <c r="H789" s="26" t="str">
        <f>IFERROR(IF(--MID($E789,2*COUNTIF($F789:G789,"&gt;"&amp;0)+2,1)=H$1,H$1,""),"")</f>
        <v/>
      </c>
      <c r="I789" s="26" t="str">
        <f>IFERROR(IF(--MID($E789,2*COUNTIF($F789:H789,"&gt;"&amp;0)+2,1)=I$1,I$1,""),"")</f>
        <v/>
      </c>
      <c r="J789" s="26">
        <f>IFERROR(IF(--MID($E789,2*COUNTIF($F789:I789,"&gt;"&amp;0)+2,1)=J$1,J$1,""),"")</f>
        <v>5</v>
      </c>
      <c r="K789" s="26" t="str">
        <f>IFERROR(IF(--MID($E789,2*COUNTIF($F789:J789,"&gt;"&amp;0)+2,1)=K$1,K$1,""),"")</f>
        <v/>
      </c>
      <c r="L789" s="39" t="str" cm="1">
        <f t="array" ref="L789">IFERROR(IF($A789="","",IF(F789="","",_xlfn.XLOOKUP($C789&amp;"_"&amp;$AG789,符文权重!$A:$A&amp;"_"&amp;符文权重!$C:$C,符文权重!$D:$D)*$X789/SUMIFS($X:$X,F:F,F789,$C:$C,$C789,$AG:$AG,$AG789)/SUMIF(符文权重!$A:$A,$C789,符文权重!$D:$D))),"")</f>
        <v/>
      </c>
      <c r="M789" s="39" t="str" cm="1">
        <f t="array" ref="M789">IFERROR(IF($A789="","",IF(G789="","",_xlfn.XLOOKUP($C789&amp;"_"&amp;$AG789,符文权重!$A:$A&amp;"_"&amp;符文权重!$C:$C,符文权重!$D:$D)*$X789/SUMIFS($X:$X,G:G,G789,$C:$C,$C789,$AG:$AG,$AG789)/SUMIF(符文权重!$A:$A,$C789,符文权重!$D:$D))),"")</f>
        <v/>
      </c>
      <c r="N789" s="39" t="str" cm="1">
        <f t="array" ref="N789">IFERROR(IF($A789="","",IF(H789="","",_xlfn.XLOOKUP($C789&amp;"_"&amp;$AG789,符文权重!$A:$A&amp;"_"&amp;符文权重!$C:$C,符文权重!$D:$D)*$X789/SUMIFS($X:$X,H:H,H789,$C:$C,$C789,$AG:$AG,$AG789)/SUMIF(符文权重!$A:$A,$C789,符文权重!$D:$D))),"")</f>
        <v/>
      </c>
      <c r="O789" s="39" t="str" cm="1">
        <f t="array" ref="O789">IFERROR(IF($A789="","",IF(I789="","",_xlfn.XLOOKUP($C789&amp;"_"&amp;$AG789,符文权重!$A:$A&amp;"_"&amp;符文权重!$C:$C,符文权重!$D:$D)*$X789/SUMIFS($X:$X,I:I,I789,$C:$C,$C789,$AG:$AG,$AG789)/SUMIF(符文权重!$A:$A,$C789,符文权重!$D:$D))),"")</f>
        <v/>
      </c>
      <c r="P789" s="39" t="str" cm="1">
        <f t="array" ref="P789">IFERROR(IF($A789="","",IF(J789="","",_xlfn.XLOOKUP($C789&amp;"_"&amp;$AG789,符文权重!$A:$A&amp;"_"&amp;符文权重!$C:$C,符文权重!$D:$D)*$X789/SUMIFS($X:$X,J:J,J789,$C:$C,$C789,$AG:$AG,$AG789)/SUMIF(符文权重!$A:$A,$C789,符文权重!$D:$D))),"")</f>
        <v/>
      </c>
      <c r="Q789" s="39" t="str" cm="1">
        <f t="array" ref="Q789">IFERROR(IF($A789="","",IF(K789="","",_xlfn.XLOOKUP($C789&amp;"_"&amp;$AG789,符文权重!$A:$A&amp;"_"&amp;符文权重!$C:$C,符文权重!$D:$D)*$X789/SUMIFS($X:$X,K:K,K789,$C:$C,$C789,$AG:$AG,$AG789)/SUMIF(符文权重!$A:$A,$C789,符文权重!$D:$D))),"")</f>
        <v/>
      </c>
      <c r="R789" s="25" t="s">
        <v>330</v>
      </c>
      <c r="S789" s="25" t="s">
        <v>1004</v>
      </c>
      <c r="T789" s="25" t="s">
        <v>391</v>
      </c>
      <c r="U789" s="25" t="s">
        <v>1025</v>
      </c>
      <c r="V789" s="25"/>
      <c r="W789" s="25" t="s">
        <v>757</v>
      </c>
      <c r="X789" s="25">
        <v>100</v>
      </c>
      <c r="Z789" s="26" t="s">
        <v>174</v>
      </c>
      <c r="AA789" s="32" t="str">
        <f t="shared" si="297"/>
        <v>妲己狐火持续时间+1秒,若狐火击杀敌人则有55%概率使本次狐火弹射+1</v>
      </c>
      <c r="AB789" s="32"/>
      <c r="AC789" s="32" t="s">
        <v>166</v>
      </c>
      <c r="AD789" s="32">
        <f t="shared" si="294"/>
        <v>1784</v>
      </c>
      <c r="AE789" s="25">
        <v>5301291</v>
      </c>
      <c r="AF789" s="25" t="s">
        <v>191</v>
      </c>
      <c r="AG789" s="25">
        <v>100</v>
      </c>
      <c r="AI789" s="25">
        <v>1</v>
      </c>
      <c r="AJ789" s="25">
        <v>1</v>
      </c>
      <c r="AK789" s="26"/>
      <c r="AL789" s="25" t="s">
        <v>1026</v>
      </c>
      <c r="AM789" s="26"/>
      <c r="AN789" s="25">
        <v>8</v>
      </c>
      <c r="AO789" s="25" t="s">
        <v>25</v>
      </c>
      <c r="AP789" s="20">
        <f t="shared" si="295"/>
        <v>784</v>
      </c>
    </row>
    <row r="790" customHeight="1" spans="1:42">
      <c r="A790" s="25">
        <v>5510605</v>
      </c>
      <c r="B790" s="25">
        <v>5301291</v>
      </c>
      <c r="C790" s="25">
        <v>5</v>
      </c>
      <c r="D790" s="25"/>
      <c r="E790" s="25" t="s">
        <v>218</v>
      </c>
      <c r="F790" s="26" t="str">
        <f t="shared" si="296"/>
        <v/>
      </c>
      <c r="G790" s="26" t="str">
        <f>IFERROR(IF(--MID($E790,2*COUNTIF($F790:F790,"&gt;"&amp;0)+2,1)=G$1,G$1,""),"")</f>
        <v/>
      </c>
      <c r="H790" s="26" t="str">
        <f>IFERROR(IF(--MID($E790,2*COUNTIF($F790:G790,"&gt;"&amp;0)+2,1)=H$1,H$1,""),"")</f>
        <v/>
      </c>
      <c r="I790" s="26" t="str">
        <f>IFERROR(IF(--MID($E790,2*COUNTIF($F790:H790,"&gt;"&amp;0)+2,1)=I$1,I$1,""),"")</f>
        <v/>
      </c>
      <c r="J790" s="26">
        <f>IFERROR(IF(--MID($E790,2*COUNTIF($F790:I790,"&gt;"&amp;0)+2,1)=J$1,J$1,""),"")</f>
        <v>5</v>
      </c>
      <c r="K790" s="26" t="str">
        <f>IFERROR(IF(--MID($E790,2*COUNTIF($F790:J790,"&gt;"&amp;0)+2,1)=K$1,K$1,""),"")</f>
        <v/>
      </c>
      <c r="L790" s="39" t="str" cm="1">
        <f t="array" ref="L790">IFERROR(IF($A790="","",IF(F790="","",_xlfn.XLOOKUP($C790&amp;"_"&amp;$AG790,符文权重!$A:$A&amp;"_"&amp;符文权重!$C:$C,符文权重!$D:$D)*$X790/SUMIFS($X:$X,F:F,F790,$C:$C,$C790,$AG:$AG,$AG790)/SUMIF(符文权重!$A:$A,$C790,符文权重!$D:$D))),"")</f>
        <v/>
      </c>
      <c r="M790" s="39" t="str" cm="1">
        <f t="array" ref="M790">IFERROR(IF($A790="","",IF(G790="","",_xlfn.XLOOKUP($C790&amp;"_"&amp;$AG790,符文权重!$A:$A&amp;"_"&amp;符文权重!$C:$C,符文权重!$D:$D)*$X790/SUMIFS($X:$X,G:G,G790,$C:$C,$C790,$AG:$AG,$AG790)/SUMIF(符文权重!$A:$A,$C790,符文权重!$D:$D))),"")</f>
        <v/>
      </c>
      <c r="N790" s="39" t="str" cm="1">
        <f t="array" ref="N790">IFERROR(IF($A790="","",IF(H790="","",_xlfn.XLOOKUP($C790&amp;"_"&amp;$AG790,符文权重!$A:$A&amp;"_"&amp;符文权重!$C:$C,符文权重!$D:$D)*$X790/SUMIFS($X:$X,H:H,H790,$C:$C,$C790,$AG:$AG,$AG790)/SUMIF(符文权重!$A:$A,$C790,符文权重!$D:$D))),"")</f>
        <v/>
      </c>
      <c r="O790" s="39" t="str" cm="1">
        <f t="array" ref="O790">IFERROR(IF($A790="","",IF(I790="","",_xlfn.XLOOKUP($C790&amp;"_"&amp;$AG790,符文权重!$A:$A&amp;"_"&amp;符文权重!$C:$C,符文权重!$D:$D)*$X790/SUMIFS($X:$X,I:I,I790,$C:$C,$C790,$AG:$AG,$AG790)/SUMIF(符文权重!$A:$A,$C790,符文权重!$D:$D))),"")</f>
        <v/>
      </c>
      <c r="P790" s="39" t="str" cm="1">
        <f t="array" ref="P790">IFERROR(IF($A790="","",IF(J790="","",_xlfn.XLOOKUP($C790&amp;"_"&amp;$AG790,符文权重!$A:$A&amp;"_"&amp;符文权重!$C:$C,符文权重!$D:$D)*$X790/SUMIFS($X:$X,J:J,J790,$C:$C,$C790,$AG:$AG,$AG790)/SUMIF(符文权重!$A:$A,$C790,符文权重!$D:$D))),"")</f>
        <v/>
      </c>
      <c r="Q790" s="39" t="str" cm="1">
        <f t="array" ref="Q790">IFERROR(IF($A790="","",IF(K790="","",_xlfn.XLOOKUP($C790&amp;"_"&amp;$AG790,符文权重!$A:$A&amp;"_"&amp;符文权重!$C:$C,符文权重!$D:$D)*$X790/SUMIFS($X:$X,K:K,K790,$C:$C,$C790,$AG:$AG,$AG790)/SUMIF(符文权重!$A:$A,$C790,符文权重!$D:$D))),"")</f>
        <v/>
      </c>
      <c r="R790" s="25" t="s">
        <v>330</v>
      </c>
      <c r="S790" s="25" t="s">
        <v>1004</v>
      </c>
      <c r="T790" s="25" t="s">
        <v>391</v>
      </c>
      <c r="U790" s="25" t="s">
        <v>1027</v>
      </c>
      <c r="V790" s="25"/>
      <c r="W790" s="25" t="s">
        <v>757</v>
      </c>
      <c r="X790" s="25">
        <v>100</v>
      </c>
      <c r="Z790" s="25" t="s">
        <v>176</v>
      </c>
      <c r="AA790" s="32" t="str">
        <f t="shared" si="297"/>
        <v>妲己狐火持续时间+1秒,若狐火击杀敌人则有70%概率使本次狐火弹射+1</v>
      </c>
      <c r="AB790" s="32"/>
      <c r="AC790" s="32" t="s">
        <v>166</v>
      </c>
      <c r="AD790" s="32">
        <f t="shared" si="294"/>
        <v>1785</v>
      </c>
      <c r="AE790" s="25">
        <v>5301291</v>
      </c>
      <c r="AF790" s="25" t="s">
        <v>191</v>
      </c>
      <c r="AG790" s="25">
        <v>100</v>
      </c>
      <c r="AI790" s="25">
        <v>1</v>
      </c>
      <c r="AJ790" s="25">
        <v>1</v>
      </c>
      <c r="AK790" s="26"/>
      <c r="AL790" s="25" t="s">
        <v>1028</v>
      </c>
      <c r="AM790" s="26"/>
      <c r="AN790" s="25">
        <v>8</v>
      </c>
      <c r="AO790" s="25" t="s">
        <v>25</v>
      </c>
      <c r="AP790" s="20">
        <f t="shared" si="295"/>
        <v>785</v>
      </c>
    </row>
    <row r="791" customHeight="1" spans="1:42">
      <c r="A791" s="25">
        <v>5510606</v>
      </c>
      <c r="B791" s="25">
        <v>5301291</v>
      </c>
      <c r="C791" s="25">
        <v>6</v>
      </c>
      <c r="D791" s="25"/>
      <c r="E791" s="25" t="s">
        <v>218</v>
      </c>
      <c r="F791" s="26" t="str">
        <f t="shared" si="296"/>
        <v/>
      </c>
      <c r="G791" s="26" t="str">
        <f>IFERROR(IF(--MID($E791,2*COUNTIF($F791:F791,"&gt;"&amp;0)+2,1)=G$1,G$1,""),"")</f>
        <v/>
      </c>
      <c r="H791" s="26" t="str">
        <f>IFERROR(IF(--MID($E791,2*COUNTIF($F791:G791,"&gt;"&amp;0)+2,1)=H$1,H$1,""),"")</f>
        <v/>
      </c>
      <c r="I791" s="26" t="str">
        <f>IFERROR(IF(--MID($E791,2*COUNTIF($F791:H791,"&gt;"&amp;0)+2,1)=I$1,I$1,""),"")</f>
        <v/>
      </c>
      <c r="J791" s="26">
        <f>IFERROR(IF(--MID($E791,2*COUNTIF($F791:I791,"&gt;"&amp;0)+2,1)=J$1,J$1,""),"")</f>
        <v>5</v>
      </c>
      <c r="K791" s="26" t="str">
        <f>IFERROR(IF(--MID($E791,2*COUNTIF($F791:J791,"&gt;"&amp;0)+2,1)=K$1,K$1,""),"")</f>
        <v/>
      </c>
      <c r="L791" s="39" t="str" cm="1">
        <f t="array" ref="L791">IFERROR(IF($A791="","",IF(F791="","",_xlfn.XLOOKUP($C791&amp;"_"&amp;$AG791,符文权重!$A:$A&amp;"_"&amp;符文权重!$C:$C,符文权重!$D:$D)*$X791/SUMIFS($X:$X,F:F,F791,$C:$C,$C791,$AG:$AG,$AG791)/SUMIF(符文权重!$A:$A,$C791,符文权重!$D:$D))),"")</f>
        <v/>
      </c>
      <c r="M791" s="39" t="str" cm="1">
        <f t="array" ref="M791">IFERROR(IF($A791="","",IF(G791="","",_xlfn.XLOOKUP($C791&amp;"_"&amp;$AG791,符文权重!$A:$A&amp;"_"&amp;符文权重!$C:$C,符文权重!$D:$D)*$X791/SUMIFS($X:$X,G:G,G791,$C:$C,$C791,$AG:$AG,$AG791)/SUMIF(符文权重!$A:$A,$C791,符文权重!$D:$D))),"")</f>
        <v/>
      </c>
      <c r="N791" s="39" t="str" cm="1">
        <f t="array" ref="N791">IFERROR(IF($A791="","",IF(H791="","",_xlfn.XLOOKUP($C791&amp;"_"&amp;$AG791,符文权重!$A:$A&amp;"_"&amp;符文权重!$C:$C,符文权重!$D:$D)*$X791/SUMIFS($X:$X,H:H,H791,$C:$C,$C791,$AG:$AG,$AG791)/SUMIF(符文权重!$A:$A,$C791,符文权重!$D:$D))),"")</f>
        <v/>
      </c>
      <c r="O791" s="39" t="str" cm="1">
        <f t="array" ref="O791">IFERROR(IF($A791="","",IF(I791="","",_xlfn.XLOOKUP($C791&amp;"_"&amp;$AG791,符文权重!$A:$A&amp;"_"&amp;符文权重!$C:$C,符文权重!$D:$D)*$X791/SUMIFS($X:$X,I:I,I791,$C:$C,$C791,$AG:$AG,$AG791)/SUMIF(符文权重!$A:$A,$C791,符文权重!$D:$D))),"")</f>
        <v/>
      </c>
      <c r="P791" s="39" t="str" cm="1">
        <f t="array" ref="P791">IFERROR(IF($A791="","",IF(J791="","",_xlfn.XLOOKUP($C791&amp;"_"&amp;$AG791,符文权重!$A:$A&amp;"_"&amp;符文权重!$C:$C,符文权重!$D:$D)*$X791/SUMIFS($X:$X,J:J,J791,$C:$C,$C791,$AG:$AG,$AG791)/SUMIF(符文权重!$A:$A,$C791,符文权重!$D:$D))),"")</f>
        <v/>
      </c>
      <c r="Q791" s="39" t="str" cm="1">
        <f t="array" ref="Q791">IFERROR(IF($A791="","",IF(K791="","",_xlfn.XLOOKUP($C791&amp;"_"&amp;$AG791,符文权重!$A:$A&amp;"_"&amp;符文权重!$C:$C,符文权重!$D:$D)*$X791/SUMIFS($X:$X,K:K,K791,$C:$C,$C791,$AG:$AG,$AG791)/SUMIF(符文权重!$A:$A,$C791,符文权重!$D:$D))),"")</f>
        <v/>
      </c>
      <c r="R791" s="25" t="s">
        <v>330</v>
      </c>
      <c r="S791" s="25" t="s">
        <v>1004</v>
      </c>
      <c r="T791" s="25" t="s">
        <v>394</v>
      </c>
      <c r="U791" s="25" t="s">
        <v>1029</v>
      </c>
      <c r="V791" s="25"/>
      <c r="W791" s="25" t="s">
        <v>760</v>
      </c>
      <c r="X791" s="25">
        <v>100</v>
      </c>
      <c r="Z791" s="25" t="s">
        <v>178</v>
      </c>
      <c r="AA791" s="32" t="str">
        <f t="shared" si="297"/>
        <v>妲己狐火持续时间+2秒,若狐火击杀敌人则有85%概率使本次狐火弹射+1</v>
      </c>
      <c r="AB791" s="32"/>
      <c r="AC791" s="32" t="s">
        <v>166</v>
      </c>
      <c r="AD791" s="32">
        <f t="shared" si="294"/>
        <v>1786</v>
      </c>
      <c r="AE791" s="25">
        <v>5301291</v>
      </c>
      <c r="AF791" s="25" t="s">
        <v>200</v>
      </c>
      <c r="AG791" s="25">
        <v>100</v>
      </c>
      <c r="AI791" s="25">
        <v>1</v>
      </c>
      <c r="AJ791" s="25">
        <v>1</v>
      </c>
      <c r="AK791" s="26"/>
      <c r="AL791" s="25" t="s">
        <v>1030</v>
      </c>
      <c r="AM791" s="26"/>
      <c r="AN791" s="25">
        <v>8</v>
      </c>
      <c r="AO791" s="25" t="s">
        <v>25</v>
      </c>
      <c r="AP791" s="20">
        <f t="shared" si="295"/>
        <v>786</v>
      </c>
    </row>
    <row r="792" customHeight="1" spans="1:42">
      <c r="A792" s="25">
        <v>5510607</v>
      </c>
      <c r="B792" s="25">
        <v>5301291</v>
      </c>
      <c r="C792" s="25">
        <v>7</v>
      </c>
      <c r="D792" s="25"/>
      <c r="E792" s="25" t="s">
        <v>218</v>
      </c>
      <c r="F792" s="26" t="str">
        <f t="shared" si="296"/>
        <v/>
      </c>
      <c r="G792" s="26" t="str">
        <f>IFERROR(IF(--MID($E792,2*COUNTIF($F792:F792,"&gt;"&amp;0)+2,1)=G$1,G$1,""),"")</f>
        <v/>
      </c>
      <c r="H792" s="26" t="str">
        <f>IFERROR(IF(--MID($E792,2*COUNTIF($F792:G792,"&gt;"&amp;0)+2,1)=H$1,H$1,""),"")</f>
        <v/>
      </c>
      <c r="I792" s="26" t="str">
        <f>IFERROR(IF(--MID($E792,2*COUNTIF($F792:H792,"&gt;"&amp;0)+2,1)=I$1,I$1,""),"")</f>
        <v/>
      </c>
      <c r="J792" s="26">
        <f>IFERROR(IF(--MID($E792,2*COUNTIF($F792:I792,"&gt;"&amp;0)+2,1)=J$1,J$1,""),"")</f>
        <v>5</v>
      </c>
      <c r="K792" s="26" t="str">
        <f>IFERROR(IF(--MID($E792,2*COUNTIF($F792:J792,"&gt;"&amp;0)+2,1)=K$1,K$1,""),"")</f>
        <v/>
      </c>
      <c r="L792" s="39" t="str" cm="1">
        <f t="array" ref="L792">IFERROR(IF($A792="","",IF(F792="","",_xlfn.XLOOKUP($C792&amp;"_"&amp;$AG792,符文权重!$A:$A&amp;"_"&amp;符文权重!$C:$C,符文权重!$D:$D)*$X792/SUMIFS($X:$X,F:F,F792,$C:$C,$C792,$AG:$AG,$AG792)/SUMIF(符文权重!$A:$A,$C792,符文权重!$D:$D))),"")</f>
        <v/>
      </c>
      <c r="M792" s="39" t="str" cm="1">
        <f t="array" ref="M792">IFERROR(IF($A792="","",IF(G792="","",_xlfn.XLOOKUP($C792&amp;"_"&amp;$AG792,符文权重!$A:$A&amp;"_"&amp;符文权重!$C:$C,符文权重!$D:$D)*$X792/SUMIFS($X:$X,G:G,G792,$C:$C,$C792,$AG:$AG,$AG792)/SUMIF(符文权重!$A:$A,$C792,符文权重!$D:$D))),"")</f>
        <v/>
      </c>
      <c r="N792" s="39" t="str" cm="1">
        <f t="array" ref="N792">IFERROR(IF($A792="","",IF(H792="","",_xlfn.XLOOKUP($C792&amp;"_"&amp;$AG792,符文权重!$A:$A&amp;"_"&amp;符文权重!$C:$C,符文权重!$D:$D)*$X792/SUMIFS($X:$X,H:H,H792,$C:$C,$C792,$AG:$AG,$AG792)/SUMIF(符文权重!$A:$A,$C792,符文权重!$D:$D))),"")</f>
        <v/>
      </c>
      <c r="O792" s="39" t="str" cm="1">
        <f t="array" ref="O792">IFERROR(IF($A792="","",IF(I792="","",_xlfn.XLOOKUP($C792&amp;"_"&amp;$AG792,符文权重!$A:$A&amp;"_"&amp;符文权重!$C:$C,符文权重!$D:$D)*$X792/SUMIFS($X:$X,I:I,I792,$C:$C,$C792,$AG:$AG,$AG792)/SUMIF(符文权重!$A:$A,$C792,符文权重!$D:$D))),"")</f>
        <v/>
      </c>
      <c r="P792" s="39" t="str" cm="1">
        <f t="array" ref="P792">IFERROR(IF($A792="","",IF(J792="","",_xlfn.XLOOKUP($C792&amp;"_"&amp;$AG792,符文权重!$A:$A&amp;"_"&amp;符文权重!$C:$C,符文权重!$D:$D)*$X792/SUMIFS($X:$X,J:J,J792,$C:$C,$C792,$AG:$AG,$AG792)/SUMIF(符文权重!$A:$A,$C792,符文权重!$D:$D))),"")</f>
        <v/>
      </c>
      <c r="Q792" s="39" t="str" cm="1">
        <f t="array" ref="Q792">IFERROR(IF($A792="","",IF(K792="","",_xlfn.XLOOKUP($C792&amp;"_"&amp;$AG792,符文权重!$A:$A&amp;"_"&amp;符文权重!$C:$C,符文权重!$D:$D)*$X792/SUMIFS($X:$X,K:K,K792,$C:$C,$C792,$AG:$AG,$AG792)/SUMIF(符文权重!$A:$A,$C792,符文权重!$D:$D))),"")</f>
        <v/>
      </c>
      <c r="R792" s="25" t="s">
        <v>330</v>
      </c>
      <c r="S792" s="25" t="s">
        <v>1004</v>
      </c>
      <c r="T792" s="25" t="s">
        <v>397</v>
      </c>
      <c r="U792" s="25" t="s">
        <v>1031</v>
      </c>
      <c r="V792" s="25"/>
      <c r="W792" s="25" t="s">
        <v>763</v>
      </c>
      <c r="X792" s="25">
        <v>100</v>
      </c>
      <c r="Z792" s="25" t="s">
        <v>180</v>
      </c>
      <c r="AA792" s="32" t="str">
        <f t="shared" si="297"/>
        <v>妲己狐火持续时间+3秒,若狐火击杀敌人则有100%概率使本次狐火弹射+1</v>
      </c>
      <c r="AB792" s="32"/>
      <c r="AC792" s="32" t="s">
        <v>166</v>
      </c>
      <c r="AD792" s="32">
        <f t="shared" si="294"/>
        <v>1787</v>
      </c>
      <c r="AE792" s="25">
        <v>5301291</v>
      </c>
      <c r="AF792" s="25" t="s">
        <v>182</v>
      </c>
      <c r="AG792" s="25">
        <v>100</v>
      </c>
      <c r="AI792" s="25">
        <v>1</v>
      </c>
      <c r="AJ792" s="25">
        <v>1</v>
      </c>
      <c r="AK792" s="26"/>
      <c r="AL792" s="25" t="s">
        <v>1032</v>
      </c>
      <c r="AM792" s="26"/>
      <c r="AN792" s="25">
        <v>8</v>
      </c>
      <c r="AO792" s="25" t="s">
        <v>25</v>
      </c>
      <c r="AP792" s="20">
        <f t="shared" si="295"/>
        <v>787</v>
      </c>
    </row>
    <row r="793" customHeight="1" spans="1:42">
      <c r="AC793" s="32" t="s">
        <v>166</v>
      </c>
      <c r="AD793" s="32">
        <f t="shared" si="294"/>
        <v>1788</v>
      </c>
      <c r="AP793" s="20">
        <f t="shared" si="295"/>
        <v>788</v>
      </c>
    </row>
    <row r="794" customHeight="1" spans="1:42">
      <c r="AC794" s="32" t="s">
        <v>166</v>
      </c>
      <c r="AD794" s="32">
        <f t="shared" si="294"/>
        <v>1789</v>
      </c>
      <c r="AP794" s="20">
        <f t="shared" si="295"/>
        <v>789</v>
      </c>
    </row>
  </sheetData>
  <pageMargins left="0.7" right="0.7" top="0.75" bottom="0.75" header="0.3" footer="0.3"/>
  <pageSetup paperSize="9" orientation="portrait"/>
  <headerFooter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5"/>
  <dimension ref="A1:U89"/>
  <sheetViews>
    <sheetView workbookViewId="0">
      <selection activeCell="E37" sqref="E37"/>
    </sheetView>
  </sheetViews>
  <sheetFormatPr defaultColWidth="7" defaultRowHeight="16.5" customHeight="1"/>
  <cols>
    <col min="1" max="1" width="16.75" style="13" customWidth="1"/>
    <col min="2" max="2" width="16" style="13" customWidth="1"/>
    <col min="3" max="3" width="17.5" style="13" customWidth="1"/>
    <col min="4" max="4" width="21.25" style="13" customWidth="1"/>
    <col min="5" max="5" width="19.375" style="14" customWidth="1"/>
    <col min="6" max="6" width="32.75" style="14" customWidth="1"/>
    <col min="7" max="7" width="31" style="14" customWidth="1"/>
    <col min="8" max="8" width="20.875" style="14" customWidth="1"/>
    <col min="9" max="13" width="7" style="14"/>
    <col min="14" max="14" width="12" style="14"/>
    <col min="15" max="16384" width="7" style="14"/>
  </cols>
  <sheetData>
    <row r="1" ht="49.5" customHeight="1" spans="1:21">
      <c r="A1" s="3" t="s">
        <v>90</v>
      </c>
      <c r="B1" s="3" t="s">
        <v>1033</v>
      </c>
      <c r="C1" s="3" t="s">
        <v>84</v>
      </c>
      <c r="D1" s="3" t="s">
        <v>1034</v>
      </c>
      <c r="E1" s="3" t="s">
        <v>1035</v>
      </c>
      <c r="F1" s="3" t="s">
        <v>1036</v>
      </c>
      <c r="G1" s="3" t="s">
        <v>1035</v>
      </c>
    </row>
    <row r="2" customHeight="1" spans="1:21">
      <c r="A2" s="3" t="s">
        <v>120</v>
      </c>
      <c r="B2" s="3" t="s">
        <v>122</v>
      </c>
      <c r="C2" s="3" t="s">
        <v>150</v>
      </c>
      <c r="D2" s="3" t="s">
        <v>141</v>
      </c>
      <c r="E2" s="3" t="s">
        <v>1037</v>
      </c>
      <c r="F2" s="3" t="s">
        <v>1038</v>
      </c>
      <c r="G2" s="3" t="s">
        <v>1039</v>
      </c>
      <c r="H2" s="14" t="s">
        <v>1040</v>
      </c>
      <c r="I2" s="14" t="s">
        <v>1041</v>
      </c>
      <c r="J2" s="14" t="s">
        <v>1042</v>
      </c>
      <c r="L2" s="13"/>
      <c r="M2" s="13"/>
      <c r="N2" s="13"/>
      <c r="O2" s="13"/>
      <c r="P2" s="13"/>
      <c r="Q2" s="13"/>
      <c r="R2" s="13"/>
      <c r="S2" s="13"/>
      <c r="T2" s="13"/>
    </row>
    <row r="3" customHeight="1" spans="1:21">
      <c r="A3" s="13">
        <v>1</v>
      </c>
      <c r="B3" s="13" t="s">
        <v>162</v>
      </c>
      <c r="C3" s="13">
        <v>1</v>
      </c>
      <c r="D3" s="15">
        <v>5000</v>
      </c>
      <c r="E3" s="15"/>
      <c r="F3" s="15">
        <v>5000</v>
      </c>
      <c r="H3" s="14">
        <v>1e-5</v>
      </c>
      <c r="I3" s="14">
        <v>50000</v>
      </c>
      <c r="J3" s="14">
        <f>1</f>
        <v>1</v>
      </c>
      <c r="L3" s="16"/>
      <c r="M3" s="16"/>
      <c r="N3" s="16"/>
      <c r="O3" s="16"/>
      <c r="P3" s="16"/>
      <c r="Q3" s="16"/>
      <c r="R3" s="16"/>
      <c r="S3" s="16"/>
      <c r="T3" s="16"/>
      <c r="U3" s="16"/>
    </row>
    <row r="4" customHeight="1" spans="1:21">
      <c r="A4" s="13">
        <v>1</v>
      </c>
      <c r="B4" s="13" t="s">
        <v>162</v>
      </c>
      <c r="C4" s="13">
        <v>2</v>
      </c>
      <c r="D4" s="15">
        <v>4500</v>
      </c>
      <c r="E4" s="15"/>
      <c r="F4" s="15">
        <v>4500</v>
      </c>
      <c r="H4" s="14">
        <v>1e-5</v>
      </c>
      <c r="I4" s="14">
        <f>I3</f>
        <v>50000</v>
      </c>
      <c r="J4" s="14">
        <f>J3+1</f>
        <v>2</v>
      </c>
      <c r="L4" s="16"/>
      <c r="M4" s="16"/>
      <c r="N4" s="16"/>
      <c r="O4" s="16"/>
      <c r="P4" s="16"/>
      <c r="Q4" s="16"/>
      <c r="R4" s="16"/>
      <c r="S4" s="16"/>
      <c r="T4" s="16"/>
      <c r="U4" s="16"/>
    </row>
    <row r="5" customHeight="1" spans="1:21">
      <c r="A5" s="13">
        <v>1</v>
      </c>
      <c r="B5" s="13" t="s">
        <v>162</v>
      </c>
      <c r="C5" s="13">
        <v>4</v>
      </c>
      <c r="D5" s="15">
        <v>500</v>
      </c>
      <c r="E5" s="15"/>
      <c r="F5" s="15">
        <v>500</v>
      </c>
      <c r="H5" s="14">
        <v>1e-5</v>
      </c>
      <c r="I5" s="14">
        <f t="shared" ref="I5:I42" si="0">I4</f>
        <v>50000</v>
      </c>
      <c r="J5" s="14">
        <f t="shared" ref="J5:J42" si="1">J4+1</f>
        <v>3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customHeight="1" spans="1:21">
      <c r="A6" s="13">
        <v>2</v>
      </c>
      <c r="B6" s="13" t="s">
        <v>162</v>
      </c>
      <c r="C6" s="13">
        <v>1</v>
      </c>
      <c r="D6" s="15">
        <v>4000</v>
      </c>
      <c r="E6" s="15"/>
      <c r="F6" s="15">
        <v>4000</v>
      </c>
      <c r="G6" s="13"/>
      <c r="H6" s="14">
        <v>1e-5</v>
      </c>
      <c r="I6" s="14">
        <f t="shared" si="0"/>
        <v>50000</v>
      </c>
      <c r="J6" s="14">
        <f t="shared" si="1"/>
        <v>4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customHeight="1" spans="1:21">
      <c r="A7" s="13">
        <v>2</v>
      </c>
      <c r="B7" s="13" t="s">
        <v>162</v>
      </c>
      <c r="C7" s="13">
        <v>2</v>
      </c>
      <c r="D7" s="15">
        <v>5500</v>
      </c>
      <c r="E7" s="15"/>
      <c r="F7" s="15">
        <v>5500</v>
      </c>
      <c r="G7" s="13"/>
      <c r="H7" s="14">
        <v>1e-5</v>
      </c>
      <c r="I7" s="14">
        <f t="shared" si="0"/>
        <v>50000</v>
      </c>
      <c r="J7" s="14">
        <f t="shared" si="1"/>
        <v>5</v>
      </c>
      <c r="L7" s="16"/>
      <c r="M7" s="16"/>
      <c r="N7" s="16"/>
      <c r="O7" s="16"/>
      <c r="P7" s="16"/>
      <c r="Q7" s="16"/>
      <c r="R7" s="16"/>
      <c r="S7" s="16"/>
      <c r="T7" s="16"/>
      <c r="U7" s="16"/>
    </row>
    <row r="8" customHeight="1" spans="1:21">
      <c r="A8" s="13">
        <v>2</v>
      </c>
      <c r="B8" s="13" t="s">
        <v>162</v>
      </c>
      <c r="C8" s="13">
        <v>4</v>
      </c>
      <c r="D8" s="15">
        <v>500</v>
      </c>
      <c r="E8" s="15"/>
      <c r="F8" s="15">
        <v>500</v>
      </c>
      <c r="G8" s="13"/>
      <c r="H8" s="14">
        <v>1e-5</v>
      </c>
      <c r="I8" s="14">
        <f t="shared" si="0"/>
        <v>50000</v>
      </c>
      <c r="J8" s="14">
        <f t="shared" si="1"/>
        <v>6</v>
      </c>
      <c r="L8" s="16"/>
      <c r="M8" s="16"/>
      <c r="N8" s="16"/>
      <c r="O8" s="16"/>
      <c r="P8" s="16"/>
      <c r="Q8" s="16"/>
      <c r="R8" s="16"/>
      <c r="S8" s="16"/>
      <c r="T8" s="16"/>
      <c r="U8" s="16"/>
    </row>
    <row r="9" customHeight="1" spans="1:21">
      <c r="A9" s="13">
        <v>3</v>
      </c>
      <c r="B9" s="13" t="s">
        <v>162</v>
      </c>
      <c r="C9" s="13">
        <v>1</v>
      </c>
      <c r="D9" s="15">
        <v>3850</v>
      </c>
      <c r="E9" s="15"/>
      <c r="F9" s="15">
        <v>3850</v>
      </c>
      <c r="G9" s="13"/>
      <c r="H9" s="14">
        <v>1e-5</v>
      </c>
      <c r="I9" s="14">
        <f t="shared" si="0"/>
        <v>50000</v>
      </c>
      <c r="J9" s="14">
        <f t="shared" si="1"/>
        <v>7</v>
      </c>
      <c r="L9" s="16"/>
      <c r="M9" s="16"/>
      <c r="N9" s="16"/>
      <c r="O9" s="16"/>
      <c r="P9" s="16"/>
      <c r="Q9" s="16"/>
      <c r="R9" s="16"/>
      <c r="S9" s="16"/>
      <c r="T9" s="16"/>
      <c r="U9" s="16"/>
    </row>
    <row r="10" customHeight="1" spans="1:21">
      <c r="A10" s="13">
        <v>3</v>
      </c>
      <c r="B10" s="13" t="s">
        <v>162</v>
      </c>
      <c r="C10" s="13">
        <v>2</v>
      </c>
      <c r="D10" s="15">
        <v>4750</v>
      </c>
      <c r="E10" s="15"/>
      <c r="F10" s="15">
        <v>4750</v>
      </c>
      <c r="G10" s="13"/>
      <c r="H10" s="14">
        <v>1e-5</v>
      </c>
      <c r="I10" s="14">
        <f t="shared" si="0"/>
        <v>50000</v>
      </c>
      <c r="J10" s="14">
        <f t="shared" si="1"/>
        <v>8</v>
      </c>
      <c r="L10" s="16"/>
      <c r="M10" s="16"/>
      <c r="N10" s="16"/>
      <c r="O10" s="16"/>
      <c r="P10" s="16"/>
      <c r="Q10" s="16"/>
      <c r="R10" s="16"/>
      <c r="S10" s="16"/>
      <c r="T10" s="16"/>
      <c r="U10" s="16"/>
    </row>
    <row r="11" customHeight="1" spans="1:21">
      <c r="A11" s="13">
        <v>3</v>
      </c>
      <c r="B11" s="13" t="s">
        <v>162</v>
      </c>
      <c r="C11" s="13">
        <v>3</v>
      </c>
      <c r="D11" s="15">
        <v>900</v>
      </c>
      <c r="E11" s="15"/>
      <c r="F11" s="15">
        <v>900</v>
      </c>
      <c r="H11" s="14">
        <v>1e-5</v>
      </c>
      <c r="I11" s="14">
        <f t="shared" si="0"/>
        <v>50000</v>
      </c>
      <c r="J11" s="14">
        <f t="shared" si="1"/>
        <v>9</v>
      </c>
      <c r="M11" s="13"/>
      <c r="N11" s="13"/>
      <c r="O11" s="13"/>
      <c r="P11" s="13"/>
      <c r="Q11" s="13"/>
      <c r="R11" s="13"/>
      <c r="S11" s="13"/>
      <c r="T11" s="16"/>
    </row>
    <row r="12" customHeight="1" spans="1:21">
      <c r="A12" s="13">
        <v>3</v>
      </c>
      <c r="B12" s="13" t="s">
        <v>162</v>
      </c>
      <c r="C12" s="13">
        <v>4</v>
      </c>
      <c r="D12" s="15">
        <v>500</v>
      </c>
      <c r="E12" s="15"/>
      <c r="F12" s="15">
        <v>500</v>
      </c>
      <c r="H12" s="14">
        <v>1e-5</v>
      </c>
      <c r="I12" s="14">
        <f t="shared" si="0"/>
        <v>50000</v>
      </c>
      <c r="J12" s="14">
        <f t="shared" si="1"/>
        <v>10</v>
      </c>
      <c r="L12" s="13"/>
      <c r="M12" s="13"/>
      <c r="N12" s="13"/>
      <c r="O12" s="13"/>
      <c r="P12" s="13"/>
      <c r="Q12" s="13"/>
      <c r="R12" s="13"/>
      <c r="S12" s="13"/>
      <c r="T12" s="16"/>
    </row>
    <row r="13" customHeight="1" spans="1:21">
      <c r="A13" s="13">
        <v>4</v>
      </c>
      <c r="B13" s="13" t="s">
        <v>162</v>
      </c>
      <c r="C13" s="13">
        <v>1</v>
      </c>
      <c r="D13" s="15">
        <f>INT((10000-SUM($D$16:$D$18))/3)</f>
        <v>3130</v>
      </c>
      <c r="E13" s="15"/>
      <c r="F13" s="15">
        <f>D13</f>
        <v>3130</v>
      </c>
      <c r="G13" s="13"/>
      <c r="H13" s="14">
        <v>1e-5</v>
      </c>
      <c r="I13" s="14">
        <f t="shared" si="0"/>
        <v>50000</v>
      </c>
      <c r="J13" s="14">
        <f t="shared" si="1"/>
        <v>11</v>
      </c>
      <c r="M13" s="13"/>
      <c r="N13" s="13"/>
      <c r="O13" s="13"/>
      <c r="P13" s="13"/>
      <c r="Q13" s="13"/>
      <c r="R13" s="13"/>
      <c r="S13" s="13"/>
      <c r="T13" s="16"/>
    </row>
    <row r="14" customHeight="1" spans="1:21">
      <c r="A14" s="13">
        <v>4</v>
      </c>
      <c r="B14" s="13" t="s">
        <v>162</v>
      </c>
      <c r="C14" s="13">
        <v>2</v>
      </c>
      <c r="D14" s="15">
        <f>INT((10000-SUM($D$16:$D$18))/3)</f>
        <v>3130</v>
      </c>
      <c r="E14" s="15"/>
      <c r="F14" s="15">
        <f>D14+D16-F16+D18+D17</f>
        <v>3488</v>
      </c>
      <c r="H14" s="14">
        <v>1e-5</v>
      </c>
      <c r="I14" s="14">
        <f t="shared" si="0"/>
        <v>50000</v>
      </c>
      <c r="J14" s="14">
        <f t="shared" si="1"/>
        <v>12</v>
      </c>
      <c r="L14" s="13"/>
      <c r="M14" s="13"/>
      <c r="N14" s="16"/>
      <c r="O14" s="16"/>
      <c r="P14" s="16"/>
      <c r="Q14" s="16"/>
      <c r="R14" s="16"/>
      <c r="S14" s="16"/>
      <c r="T14" s="16"/>
    </row>
    <row r="15" customHeight="1" spans="1:21">
      <c r="A15" s="13">
        <v>4</v>
      </c>
      <c r="B15" s="13" t="s">
        <v>162</v>
      </c>
      <c r="C15" s="13">
        <v>3</v>
      </c>
      <c r="D15" s="15">
        <f>INT((10000-SUM($D$16:$D$18))/3)</f>
        <v>3130</v>
      </c>
      <c r="E15" s="15"/>
      <c r="F15" s="15">
        <v>3100</v>
      </c>
      <c r="H15" s="14">
        <v>1e-5</v>
      </c>
      <c r="I15" s="14">
        <f t="shared" si="0"/>
        <v>50000</v>
      </c>
      <c r="J15" s="14">
        <f t="shared" si="1"/>
        <v>13</v>
      </c>
      <c r="L15" s="13"/>
      <c r="M15" s="13"/>
      <c r="N15" s="16"/>
      <c r="O15" s="16"/>
      <c r="P15" s="16"/>
      <c r="Q15" s="16"/>
      <c r="R15" s="16"/>
      <c r="S15" s="16"/>
      <c r="T15" s="16"/>
    </row>
    <row r="16" customHeight="1" spans="1:21">
      <c r="A16" s="13">
        <v>4</v>
      </c>
      <c r="B16" s="13" t="s">
        <v>162</v>
      </c>
      <c r="C16" s="13">
        <v>4</v>
      </c>
      <c r="D16" s="15">
        <v>500</v>
      </c>
      <c r="E16" s="15"/>
      <c r="F16" s="15">
        <v>252</v>
      </c>
      <c r="H16" s="14">
        <v>1e-5</v>
      </c>
      <c r="I16" s="14">
        <f t="shared" si="0"/>
        <v>50000</v>
      </c>
      <c r="J16" s="14">
        <f t="shared" si="1"/>
        <v>14</v>
      </c>
      <c r="L16" s="13"/>
      <c r="M16" s="13"/>
      <c r="N16" s="16"/>
      <c r="O16" s="16"/>
      <c r="P16" s="16"/>
      <c r="Q16" s="16"/>
      <c r="R16" s="16"/>
      <c r="S16" s="16"/>
      <c r="T16" s="16"/>
    </row>
    <row r="17" customHeight="1" spans="1:20">
      <c r="A17" s="13">
        <v>4</v>
      </c>
      <c r="B17" s="13" t="s">
        <v>162</v>
      </c>
      <c r="C17" s="13">
        <v>8</v>
      </c>
      <c r="D17" s="15">
        <v>100</v>
      </c>
      <c r="E17" s="15"/>
      <c r="F17" s="15">
        <v>0</v>
      </c>
      <c r="H17" s="14">
        <v>1e-5</v>
      </c>
      <c r="I17" s="14">
        <f t="shared" si="0"/>
        <v>50000</v>
      </c>
      <c r="J17" s="14">
        <f t="shared" si="1"/>
        <v>15</v>
      </c>
      <c r="L17" s="13"/>
      <c r="M17" s="13"/>
      <c r="N17" s="16"/>
      <c r="O17" s="16"/>
      <c r="P17" s="16"/>
      <c r="Q17" s="16"/>
      <c r="R17" s="16"/>
      <c r="S17" s="16"/>
      <c r="T17" s="16"/>
    </row>
    <row r="18" customHeight="1" spans="1:20">
      <c r="A18" s="13">
        <v>4</v>
      </c>
      <c r="B18" s="13" t="s">
        <v>162</v>
      </c>
      <c r="C18" s="13">
        <v>10</v>
      </c>
      <c r="D18" s="15">
        <v>10</v>
      </c>
      <c r="E18" s="15"/>
      <c r="F18" s="15">
        <v>0</v>
      </c>
      <c r="G18" s="13"/>
      <c r="H18" s="14">
        <v>1e-5</v>
      </c>
      <c r="I18" s="14">
        <f t="shared" si="0"/>
        <v>50000</v>
      </c>
      <c r="J18" s="14">
        <f t="shared" si="1"/>
        <v>16</v>
      </c>
      <c r="L18" s="13"/>
      <c r="M18" s="13"/>
      <c r="N18" s="16"/>
      <c r="O18" s="16"/>
      <c r="P18" s="16"/>
      <c r="Q18" s="16"/>
      <c r="R18" s="16"/>
      <c r="S18" s="16"/>
      <c r="T18" s="16"/>
    </row>
    <row r="19" customHeight="1" spans="1:20">
      <c r="A19" s="13">
        <v>5</v>
      </c>
      <c r="B19" s="13" t="s">
        <v>162</v>
      </c>
      <c r="C19" s="13">
        <v>1</v>
      </c>
      <c r="D19" s="15">
        <f>INT((10000-SUM($D$22:$D$25))/3)</f>
        <v>2950</v>
      </c>
      <c r="E19" s="15"/>
      <c r="F19" s="15">
        <f>D19</f>
        <v>2950</v>
      </c>
      <c r="G19" s="13"/>
      <c r="H19" s="14">
        <v>1e-5</v>
      </c>
      <c r="I19" s="14">
        <f t="shared" si="0"/>
        <v>50000</v>
      </c>
      <c r="J19" s="14">
        <f t="shared" si="1"/>
        <v>17</v>
      </c>
      <c r="L19" s="13"/>
      <c r="M19" s="13"/>
      <c r="N19" s="16"/>
      <c r="O19" s="16"/>
      <c r="P19" s="16"/>
      <c r="Q19" s="16"/>
      <c r="R19" s="16"/>
      <c r="S19" s="16"/>
      <c r="T19" s="16"/>
    </row>
    <row r="20" customHeight="1" spans="1:20">
      <c r="A20" s="13">
        <v>5</v>
      </c>
      <c r="B20" s="13" t="s">
        <v>162</v>
      </c>
      <c r="C20" s="13">
        <v>2</v>
      </c>
      <c r="D20" s="15">
        <f>INT((10000-SUM($D$22:$D$25))/3)</f>
        <v>2950</v>
      </c>
      <c r="E20" s="15"/>
      <c r="F20" s="15">
        <f>D20</f>
        <v>2950</v>
      </c>
      <c r="G20" s="13"/>
      <c r="H20" s="14">
        <v>1e-5</v>
      </c>
      <c r="I20" s="14">
        <f t="shared" si="0"/>
        <v>50000</v>
      </c>
      <c r="J20" s="14">
        <f t="shared" si="1"/>
        <v>18</v>
      </c>
      <c r="L20" s="13"/>
      <c r="M20" s="13"/>
      <c r="N20" s="16"/>
      <c r="O20" s="16"/>
      <c r="P20" s="16"/>
      <c r="Q20" s="16"/>
      <c r="R20" s="16"/>
      <c r="S20" s="16"/>
      <c r="T20" s="16"/>
    </row>
    <row r="21" customHeight="1" spans="1:20">
      <c r="A21" s="13">
        <v>5</v>
      </c>
      <c r="B21" s="13" t="s">
        <v>162</v>
      </c>
      <c r="C21" s="13">
        <v>3</v>
      </c>
      <c r="D21" s="15">
        <f>INT((10000-SUM($D$22:$D$25))/3)</f>
        <v>2950</v>
      </c>
      <c r="E21" s="15"/>
      <c r="F21" s="15">
        <f>D21+D23+D24+D25</f>
        <v>3350</v>
      </c>
      <c r="G21" s="13"/>
      <c r="H21" s="14">
        <v>1e-5</v>
      </c>
      <c r="I21" s="14">
        <f t="shared" si="0"/>
        <v>50000</v>
      </c>
      <c r="J21" s="14">
        <f t="shared" si="1"/>
        <v>19</v>
      </c>
      <c r="L21" s="13"/>
      <c r="M21" s="13"/>
      <c r="N21" s="16"/>
      <c r="O21" s="16"/>
      <c r="P21" s="16"/>
      <c r="Q21" s="16"/>
      <c r="R21" s="16"/>
      <c r="S21" s="16"/>
      <c r="T21" s="16"/>
    </row>
    <row r="22" customHeight="1" spans="1:20">
      <c r="A22" s="13">
        <v>5</v>
      </c>
      <c r="B22" s="13" t="s">
        <v>162</v>
      </c>
      <c r="C22" s="13">
        <v>4</v>
      </c>
      <c r="D22" s="15">
        <v>750</v>
      </c>
      <c r="E22" s="15"/>
      <c r="F22" s="15">
        <f>D22</f>
        <v>750</v>
      </c>
      <c r="G22" s="13"/>
      <c r="H22" s="14">
        <v>1e-5</v>
      </c>
      <c r="I22" s="14">
        <f t="shared" si="0"/>
        <v>50000</v>
      </c>
      <c r="J22" s="14">
        <f t="shared" si="1"/>
        <v>20</v>
      </c>
      <c r="L22" s="13"/>
      <c r="M22" s="13"/>
      <c r="N22" s="16"/>
      <c r="O22" s="16"/>
      <c r="P22" s="16"/>
      <c r="Q22" s="16"/>
      <c r="R22" s="16"/>
      <c r="S22" s="16"/>
      <c r="T22" s="16"/>
    </row>
    <row r="23" customHeight="1" spans="1:20">
      <c r="A23" s="13">
        <v>5</v>
      </c>
      <c r="B23" s="13" t="s">
        <v>162</v>
      </c>
      <c r="C23" s="13">
        <v>8</v>
      </c>
      <c r="D23" s="15">
        <v>105</v>
      </c>
      <c r="E23" s="15"/>
      <c r="F23" s="15">
        <v>0</v>
      </c>
      <c r="G23" s="13"/>
      <c r="H23" s="14">
        <v>1e-5</v>
      </c>
      <c r="I23" s="14">
        <f t="shared" si="0"/>
        <v>50000</v>
      </c>
      <c r="J23" s="14">
        <f t="shared" si="1"/>
        <v>21</v>
      </c>
      <c r="L23" s="13"/>
      <c r="M23" s="13"/>
      <c r="N23" s="16"/>
      <c r="O23" s="16"/>
      <c r="P23" s="16"/>
      <c r="Q23" s="16"/>
      <c r="R23" s="16"/>
      <c r="S23" s="16"/>
      <c r="T23" s="16"/>
    </row>
    <row r="24" customHeight="1" spans="1:20">
      <c r="A24" s="13">
        <v>5</v>
      </c>
      <c r="B24" s="13" t="s">
        <v>162</v>
      </c>
      <c r="C24" s="13">
        <v>5</v>
      </c>
      <c r="D24" s="15">
        <v>225</v>
      </c>
      <c r="E24" s="15"/>
      <c r="F24" s="15">
        <v>0</v>
      </c>
      <c r="G24" s="13"/>
      <c r="H24" s="14">
        <v>1e-5</v>
      </c>
      <c r="I24" s="14">
        <f t="shared" si="0"/>
        <v>50000</v>
      </c>
      <c r="J24" s="14">
        <f t="shared" si="1"/>
        <v>22</v>
      </c>
      <c r="L24" s="13"/>
      <c r="M24" s="13"/>
      <c r="N24" s="16"/>
      <c r="O24" s="16"/>
      <c r="P24" s="16"/>
      <c r="Q24" s="16"/>
      <c r="R24" s="16"/>
      <c r="S24" s="16"/>
      <c r="T24" s="16"/>
    </row>
    <row r="25" customHeight="1" spans="1:20">
      <c r="A25" s="13">
        <v>5</v>
      </c>
      <c r="B25" s="13" t="s">
        <v>162</v>
      </c>
      <c r="C25" s="13">
        <v>6</v>
      </c>
      <c r="D25" s="15">
        <v>70</v>
      </c>
      <c r="E25" s="15"/>
      <c r="F25" s="15">
        <v>0</v>
      </c>
      <c r="G25" s="13"/>
      <c r="H25" s="14">
        <v>1e-5</v>
      </c>
      <c r="I25" s="14">
        <f t="shared" si="0"/>
        <v>50000</v>
      </c>
      <c r="J25" s="14">
        <f t="shared" si="1"/>
        <v>23</v>
      </c>
      <c r="N25" s="16"/>
      <c r="O25" s="16"/>
      <c r="P25" s="16"/>
      <c r="Q25" s="16"/>
      <c r="R25" s="16"/>
      <c r="S25" s="16"/>
      <c r="T25" s="16"/>
    </row>
    <row r="26" customHeight="1" spans="1:20">
      <c r="A26" s="13">
        <v>5</v>
      </c>
      <c r="B26" s="13" t="s">
        <v>162</v>
      </c>
      <c r="C26" s="13">
        <v>7</v>
      </c>
      <c r="D26" s="15">
        <v>0</v>
      </c>
      <c r="E26" s="15"/>
      <c r="F26" s="15">
        <v>0</v>
      </c>
      <c r="G26" s="13"/>
      <c r="H26" s="14">
        <v>1e-5</v>
      </c>
      <c r="I26" s="14">
        <f t="shared" si="0"/>
        <v>50000</v>
      </c>
      <c r="J26" s="14">
        <f t="shared" si="1"/>
        <v>24</v>
      </c>
      <c r="L26" s="13"/>
      <c r="M26" s="13"/>
      <c r="N26" s="16"/>
      <c r="O26" s="16"/>
      <c r="P26" s="16"/>
      <c r="Q26" s="16"/>
      <c r="R26" s="16"/>
      <c r="S26" s="16"/>
      <c r="T26" s="16"/>
    </row>
    <row r="27" customHeight="1" spans="1:20">
      <c r="A27" s="13">
        <v>6</v>
      </c>
      <c r="B27" s="13" t="s">
        <v>162</v>
      </c>
      <c r="C27" s="13">
        <v>1</v>
      </c>
      <c r="D27" s="15">
        <f>D19</f>
        <v>2950</v>
      </c>
      <c r="E27" s="15"/>
      <c r="F27" s="15">
        <f>D27</f>
        <v>2950</v>
      </c>
      <c r="G27" s="13"/>
      <c r="H27" s="14">
        <v>1e-5</v>
      </c>
      <c r="I27" s="14">
        <f t="shared" si="0"/>
        <v>50000</v>
      </c>
      <c r="J27" s="14">
        <f t="shared" si="1"/>
        <v>25</v>
      </c>
      <c r="L27" s="13"/>
      <c r="M27" s="13"/>
      <c r="N27" s="16"/>
      <c r="O27" s="16"/>
      <c r="P27" s="16"/>
      <c r="Q27" s="16"/>
      <c r="R27" s="16"/>
      <c r="S27" s="16"/>
      <c r="T27" s="16"/>
    </row>
    <row r="28" customHeight="1" spans="1:20">
      <c r="A28" s="13">
        <v>6</v>
      </c>
      <c r="B28" s="13" t="s">
        <v>162</v>
      </c>
      <c r="C28" s="13">
        <v>2</v>
      </c>
      <c r="D28" s="15">
        <f t="shared" ref="D28:D42" si="2">D20</f>
        <v>2950</v>
      </c>
      <c r="E28" s="15"/>
      <c r="F28" s="15">
        <f>D28</f>
        <v>2950</v>
      </c>
      <c r="G28" s="13"/>
      <c r="H28" s="14">
        <v>1e-5</v>
      </c>
      <c r="I28" s="14">
        <f t="shared" si="0"/>
        <v>50000</v>
      </c>
      <c r="J28" s="14">
        <f t="shared" si="1"/>
        <v>26</v>
      </c>
      <c r="L28" s="13"/>
      <c r="M28" s="13"/>
      <c r="N28" s="16"/>
      <c r="O28" s="16"/>
      <c r="P28" s="16"/>
      <c r="Q28" s="16"/>
      <c r="R28" s="16"/>
      <c r="S28" s="16"/>
      <c r="T28" s="16"/>
    </row>
    <row r="29" customHeight="1" spans="1:20">
      <c r="A29" s="13">
        <v>6</v>
      </c>
      <c r="B29" s="13" t="s">
        <v>162</v>
      </c>
      <c r="C29" s="13">
        <v>3</v>
      </c>
      <c r="D29" s="15">
        <f t="shared" si="2"/>
        <v>2950</v>
      </c>
      <c r="E29" s="15"/>
      <c r="F29" s="15">
        <f>D29+D31+D32+D33</f>
        <v>3350</v>
      </c>
      <c r="G29" s="13"/>
      <c r="H29" s="14">
        <v>1e-5</v>
      </c>
      <c r="I29" s="14">
        <f t="shared" si="0"/>
        <v>50000</v>
      </c>
      <c r="J29" s="14">
        <f t="shared" si="1"/>
        <v>27</v>
      </c>
      <c r="L29" s="13"/>
      <c r="M29" s="13"/>
      <c r="N29" s="16"/>
      <c r="O29" s="16"/>
      <c r="P29" s="16"/>
      <c r="Q29" s="16"/>
      <c r="R29" s="16"/>
      <c r="S29" s="16"/>
      <c r="T29" s="16"/>
    </row>
    <row r="30" customHeight="1" spans="1:20">
      <c r="A30" s="13">
        <v>6</v>
      </c>
      <c r="B30" s="13" t="s">
        <v>162</v>
      </c>
      <c r="C30" s="13">
        <v>4</v>
      </c>
      <c r="D30" s="15">
        <f t="shared" si="2"/>
        <v>750</v>
      </c>
      <c r="E30" s="15"/>
      <c r="F30" s="15">
        <f>D30</f>
        <v>750</v>
      </c>
      <c r="G30" s="13"/>
      <c r="H30" s="14">
        <v>1e-5</v>
      </c>
      <c r="I30" s="14">
        <f t="shared" si="0"/>
        <v>50000</v>
      </c>
      <c r="J30" s="14">
        <f t="shared" si="1"/>
        <v>28</v>
      </c>
      <c r="L30" s="13"/>
      <c r="M30" s="13"/>
      <c r="N30" s="16"/>
      <c r="O30" s="16"/>
      <c r="P30" s="16"/>
      <c r="Q30" s="16"/>
      <c r="R30" s="16"/>
      <c r="S30" s="16"/>
      <c r="T30" s="16"/>
    </row>
    <row r="31" customHeight="1" spans="1:20">
      <c r="A31" s="13">
        <v>6</v>
      </c>
      <c r="B31" s="13" t="s">
        <v>162</v>
      </c>
      <c r="C31" s="13">
        <v>8</v>
      </c>
      <c r="D31" s="15">
        <f t="shared" si="2"/>
        <v>105</v>
      </c>
      <c r="E31" s="15"/>
      <c r="F31" s="15">
        <v>0</v>
      </c>
      <c r="G31" s="13"/>
      <c r="H31" s="14">
        <v>1e-5</v>
      </c>
      <c r="I31" s="14">
        <f t="shared" si="0"/>
        <v>50000</v>
      </c>
      <c r="J31" s="14">
        <f t="shared" si="1"/>
        <v>29</v>
      </c>
      <c r="L31" s="13"/>
      <c r="M31" s="13"/>
      <c r="N31" s="16"/>
      <c r="O31" s="16"/>
      <c r="P31" s="16"/>
      <c r="Q31" s="16"/>
      <c r="R31" s="16"/>
      <c r="S31" s="16"/>
      <c r="T31" s="16"/>
    </row>
    <row r="32" customHeight="1" spans="1:20">
      <c r="A32" s="13">
        <v>6</v>
      </c>
      <c r="B32" s="13" t="s">
        <v>162</v>
      </c>
      <c r="C32" s="13">
        <v>5</v>
      </c>
      <c r="D32" s="15">
        <f t="shared" si="2"/>
        <v>225</v>
      </c>
      <c r="E32" s="15"/>
      <c r="F32" s="15">
        <v>0</v>
      </c>
      <c r="G32" s="13"/>
      <c r="H32" s="14">
        <v>1e-5</v>
      </c>
      <c r="I32" s="14">
        <f t="shared" si="0"/>
        <v>50000</v>
      </c>
      <c r="J32" s="14">
        <f t="shared" si="1"/>
        <v>30</v>
      </c>
      <c r="L32" s="13"/>
      <c r="M32" s="13"/>
      <c r="N32" s="16"/>
      <c r="O32" s="16"/>
      <c r="P32" s="16"/>
      <c r="Q32" s="16"/>
      <c r="R32" s="16"/>
      <c r="S32" s="16"/>
      <c r="T32" s="16"/>
    </row>
    <row r="33" customHeight="1" spans="1:20">
      <c r="A33" s="13">
        <v>6</v>
      </c>
      <c r="B33" s="13" t="s">
        <v>162</v>
      </c>
      <c r="C33" s="13">
        <v>6</v>
      </c>
      <c r="D33" s="15">
        <f t="shared" si="2"/>
        <v>70</v>
      </c>
      <c r="E33" s="15"/>
      <c r="F33" s="15">
        <v>0</v>
      </c>
      <c r="G33" s="13"/>
      <c r="H33" s="14">
        <v>1e-5</v>
      </c>
      <c r="I33" s="14">
        <f t="shared" si="0"/>
        <v>50000</v>
      </c>
      <c r="J33" s="14">
        <f t="shared" si="1"/>
        <v>31</v>
      </c>
      <c r="L33" s="13"/>
      <c r="M33" s="13"/>
      <c r="N33" s="16"/>
      <c r="O33" s="16"/>
      <c r="P33" s="16"/>
      <c r="Q33" s="16"/>
      <c r="R33" s="16"/>
      <c r="S33" s="16"/>
      <c r="T33" s="16"/>
    </row>
    <row r="34" customHeight="1" spans="1:20">
      <c r="A34" s="13">
        <v>6</v>
      </c>
      <c r="B34" s="13" t="s">
        <v>162</v>
      </c>
      <c r="C34" s="13">
        <v>7</v>
      </c>
      <c r="D34" s="15">
        <f t="shared" si="2"/>
        <v>0</v>
      </c>
      <c r="E34" s="15"/>
      <c r="F34" s="15">
        <v>0</v>
      </c>
      <c r="G34" s="13"/>
      <c r="H34" s="14">
        <v>1e-5</v>
      </c>
      <c r="I34" s="14">
        <f t="shared" si="0"/>
        <v>50000</v>
      </c>
      <c r="J34" s="14">
        <f t="shared" si="1"/>
        <v>32</v>
      </c>
      <c r="L34" s="13"/>
      <c r="M34" s="13"/>
      <c r="N34" s="16"/>
      <c r="O34" s="16"/>
      <c r="P34" s="16"/>
      <c r="Q34" s="16"/>
      <c r="R34" s="16"/>
      <c r="S34" s="16"/>
      <c r="T34" s="16"/>
    </row>
    <row r="35" customHeight="1" spans="1:20">
      <c r="A35" s="13">
        <v>7</v>
      </c>
      <c r="B35" s="13" t="s">
        <v>162</v>
      </c>
      <c r="C35" s="13">
        <v>1</v>
      </c>
      <c r="D35" s="15">
        <f t="shared" si="2"/>
        <v>2950</v>
      </c>
      <c r="E35" s="15"/>
      <c r="F35" s="15">
        <f>D35</f>
        <v>2950</v>
      </c>
      <c r="G35" s="13"/>
      <c r="H35" s="14">
        <v>1e-5</v>
      </c>
      <c r="I35" s="14">
        <f t="shared" si="0"/>
        <v>50000</v>
      </c>
      <c r="J35" s="14">
        <f t="shared" si="1"/>
        <v>33</v>
      </c>
      <c r="N35" s="16"/>
      <c r="O35" s="16"/>
      <c r="P35" s="16"/>
      <c r="Q35" s="16"/>
      <c r="R35" s="16"/>
      <c r="S35" s="16"/>
      <c r="T35" s="16"/>
    </row>
    <row r="36" customHeight="1" spans="1:20">
      <c r="A36" s="13">
        <v>7</v>
      </c>
      <c r="B36" s="13" t="s">
        <v>162</v>
      </c>
      <c r="C36" s="13">
        <v>2</v>
      </c>
      <c r="D36" s="15">
        <f t="shared" si="2"/>
        <v>2950</v>
      </c>
      <c r="E36" s="15"/>
      <c r="F36" s="15">
        <f>D36</f>
        <v>2950</v>
      </c>
      <c r="G36" s="13"/>
      <c r="H36" s="14">
        <v>1e-5</v>
      </c>
      <c r="I36" s="14">
        <f t="shared" si="0"/>
        <v>50000</v>
      </c>
      <c r="J36" s="14">
        <f t="shared" si="1"/>
        <v>34</v>
      </c>
      <c r="L36" s="13"/>
      <c r="M36" s="13"/>
      <c r="N36" s="16"/>
      <c r="O36" s="16"/>
      <c r="P36" s="16"/>
      <c r="Q36" s="16"/>
      <c r="R36" s="16"/>
      <c r="S36" s="16"/>
      <c r="T36" s="16"/>
    </row>
    <row r="37" customHeight="1" spans="1:20">
      <c r="A37" s="13">
        <v>7</v>
      </c>
      <c r="B37" s="13" t="s">
        <v>162</v>
      </c>
      <c r="C37" s="13">
        <v>3</v>
      </c>
      <c r="D37" s="15">
        <f t="shared" si="2"/>
        <v>2950</v>
      </c>
      <c r="E37" s="15"/>
      <c r="F37" s="15">
        <f>D37+D39+D41+D40</f>
        <v>3350</v>
      </c>
      <c r="G37" s="13"/>
      <c r="H37" s="14">
        <v>1e-5</v>
      </c>
      <c r="I37" s="14">
        <f t="shared" si="0"/>
        <v>50000</v>
      </c>
      <c r="J37" s="14">
        <f t="shared" si="1"/>
        <v>35</v>
      </c>
      <c r="L37" s="13"/>
      <c r="M37" s="13"/>
      <c r="N37" s="16"/>
      <c r="O37" s="16"/>
      <c r="P37" s="16"/>
      <c r="Q37" s="16"/>
      <c r="R37" s="16"/>
      <c r="S37" s="16"/>
      <c r="T37" s="16"/>
    </row>
    <row r="38" customHeight="1" spans="1:20">
      <c r="A38" s="13">
        <v>7</v>
      </c>
      <c r="B38" s="13" t="s">
        <v>162</v>
      </c>
      <c r="C38" s="13">
        <v>4</v>
      </c>
      <c r="D38" s="15">
        <f t="shared" si="2"/>
        <v>750</v>
      </c>
      <c r="E38" s="15"/>
      <c r="F38" s="15">
        <f>D38</f>
        <v>750</v>
      </c>
      <c r="G38" s="13"/>
      <c r="H38" s="14">
        <v>1e-5</v>
      </c>
      <c r="I38" s="14">
        <f t="shared" si="0"/>
        <v>50000</v>
      </c>
      <c r="J38" s="14">
        <f t="shared" si="1"/>
        <v>36</v>
      </c>
      <c r="L38" s="13"/>
      <c r="M38" s="13"/>
      <c r="N38" s="17"/>
      <c r="O38" s="17"/>
      <c r="P38" s="17"/>
      <c r="Q38" s="17"/>
      <c r="R38" s="17"/>
      <c r="S38" s="17"/>
      <c r="T38" s="16"/>
    </row>
    <row r="39" customHeight="1" spans="1:20">
      <c r="A39" s="13">
        <v>7</v>
      </c>
      <c r="B39" s="13" t="s">
        <v>162</v>
      </c>
      <c r="C39" s="13">
        <v>8</v>
      </c>
      <c r="D39" s="15">
        <f t="shared" si="2"/>
        <v>105</v>
      </c>
      <c r="E39" s="15"/>
      <c r="F39" s="15">
        <v>0</v>
      </c>
      <c r="G39" s="13"/>
      <c r="H39" s="14">
        <v>1e-5</v>
      </c>
      <c r="I39" s="14">
        <f t="shared" si="0"/>
        <v>50000</v>
      </c>
      <c r="J39" s="14">
        <f t="shared" si="1"/>
        <v>37</v>
      </c>
      <c r="L39" s="13"/>
      <c r="M39" s="13"/>
      <c r="N39" s="16"/>
      <c r="O39" s="16"/>
      <c r="P39" s="16"/>
      <c r="Q39" s="16"/>
      <c r="R39" s="16"/>
      <c r="S39" s="16"/>
      <c r="T39" s="16"/>
    </row>
    <row r="40" customHeight="1" spans="1:20">
      <c r="A40" s="13">
        <v>7</v>
      </c>
      <c r="B40" s="13" t="s">
        <v>162</v>
      </c>
      <c r="C40" s="13">
        <v>5</v>
      </c>
      <c r="D40" s="15">
        <f t="shared" si="2"/>
        <v>225</v>
      </c>
      <c r="E40" s="15"/>
      <c r="F40" s="15">
        <v>0</v>
      </c>
      <c r="G40" s="13"/>
      <c r="H40" s="14">
        <v>1e-5</v>
      </c>
      <c r="I40" s="14">
        <f t="shared" si="0"/>
        <v>50000</v>
      </c>
      <c r="J40" s="14">
        <f t="shared" si="1"/>
        <v>38</v>
      </c>
      <c r="L40" s="13"/>
      <c r="M40" s="13"/>
      <c r="N40" s="16"/>
      <c r="O40" s="16"/>
      <c r="P40" s="16"/>
      <c r="Q40" s="16"/>
      <c r="R40" s="16"/>
      <c r="S40" s="16"/>
      <c r="T40" s="16"/>
    </row>
    <row r="41" customHeight="1" spans="1:20">
      <c r="A41" s="13">
        <v>7</v>
      </c>
      <c r="B41" s="13" t="s">
        <v>162</v>
      </c>
      <c r="C41" s="13">
        <v>6</v>
      </c>
      <c r="D41" s="15">
        <f t="shared" si="2"/>
        <v>70</v>
      </c>
      <c r="E41" s="15"/>
      <c r="F41" s="15">
        <v>0</v>
      </c>
      <c r="G41" s="13"/>
      <c r="H41" s="14">
        <v>1e-5</v>
      </c>
      <c r="I41" s="14">
        <f t="shared" si="0"/>
        <v>50000</v>
      </c>
      <c r="J41" s="14">
        <f t="shared" si="1"/>
        <v>39</v>
      </c>
      <c r="L41" s="13"/>
      <c r="M41" s="13"/>
      <c r="N41" s="16"/>
      <c r="O41" s="16"/>
      <c r="P41" s="16"/>
      <c r="Q41" s="16"/>
      <c r="R41" s="16"/>
      <c r="S41" s="16"/>
      <c r="T41" s="16"/>
    </row>
    <row r="42" customHeight="1" spans="1:20">
      <c r="A42" s="13">
        <v>7</v>
      </c>
      <c r="B42" s="13" t="s">
        <v>162</v>
      </c>
      <c r="C42" s="13">
        <v>7</v>
      </c>
      <c r="D42" s="15">
        <f t="shared" si="2"/>
        <v>0</v>
      </c>
      <c r="E42" s="15"/>
      <c r="F42" s="15">
        <v>0</v>
      </c>
      <c r="G42" s="13"/>
      <c r="H42" s="14">
        <v>1e-5</v>
      </c>
      <c r="I42" s="14">
        <f t="shared" si="0"/>
        <v>50000</v>
      </c>
      <c r="J42" s="14">
        <f t="shared" si="1"/>
        <v>40</v>
      </c>
      <c r="L42" s="13"/>
      <c r="M42" s="13"/>
      <c r="N42" s="16"/>
      <c r="O42" s="16"/>
      <c r="P42" s="16"/>
      <c r="Q42" s="16"/>
      <c r="R42" s="16"/>
      <c r="S42" s="16"/>
      <c r="T42" s="16"/>
    </row>
    <row r="43" customHeight="1" spans="1:20">
      <c r="D43" s="18"/>
      <c r="E43" s="15"/>
      <c r="F43" s="15"/>
      <c r="G43" s="13"/>
      <c r="L43" s="13"/>
      <c r="M43" s="13"/>
      <c r="N43" s="16"/>
      <c r="O43" s="16"/>
      <c r="P43" s="16"/>
      <c r="Q43" s="16"/>
      <c r="R43" s="16"/>
      <c r="S43" s="16"/>
      <c r="T43" s="16"/>
    </row>
    <row r="44" customHeight="1" spans="1:20">
      <c r="L44" s="13"/>
      <c r="M44" s="13"/>
      <c r="N44" s="16"/>
      <c r="O44" s="16"/>
      <c r="P44" s="16"/>
      <c r="Q44" s="16"/>
      <c r="R44" s="16"/>
      <c r="S44" s="16"/>
      <c r="T44" s="16"/>
    </row>
    <row r="45" customHeight="1" spans="1:20">
      <c r="N45" s="16"/>
      <c r="O45" s="16"/>
      <c r="P45" s="16"/>
      <c r="Q45" s="16"/>
      <c r="R45" s="16"/>
      <c r="S45" s="16"/>
      <c r="T45" s="16"/>
    </row>
    <row r="46" customHeight="1" spans="1:20">
      <c r="E46" s="13"/>
      <c r="L46" s="13"/>
      <c r="M46" s="13"/>
      <c r="N46" s="16"/>
      <c r="O46" s="16"/>
      <c r="P46" s="16"/>
      <c r="Q46" s="16"/>
      <c r="R46" s="16"/>
      <c r="S46" s="16"/>
      <c r="T46" s="16"/>
    </row>
    <row r="47" customHeight="1" spans="1:20">
      <c r="L47" s="13"/>
      <c r="M47" s="13"/>
      <c r="N47" s="16"/>
      <c r="O47" s="16"/>
      <c r="P47" s="16"/>
      <c r="Q47" s="16"/>
      <c r="R47" s="16"/>
      <c r="S47" s="16"/>
      <c r="T47" s="16"/>
    </row>
    <row r="48" customHeight="1" spans="1:20">
      <c r="L48" s="13"/>
      <c r="M48" s="13"/>
      <c r="N48" s="17"/>
      <c r="O48" s="17"/>
      <c r="P48" s="17"/>
      <c r="Q48" s="17"/>
      <c r="R48" s="17"/>
      <c r="S48" s="17"/>
      <c r="T48" s="16"/>
    </row>
    <row r="49" customHeight="1" spans="5:20">
      <c r="L49" s="13"/>
      <c r="M49" s="13"/>
      <c r="N49" s="16"/>
      <c r="O49" s="16"/>
      <c r="P49" s="16"/>
      <c r="Q49" s="16"/>
      <c r="R49" s="16"/>
      <c r="S49" s="16"/>
      <c r="T49" s="16"/>
    </row>
    <row r="50" customHeight="1" spans="5:20">
      <c r="L50" s="13"/>
      <c r="M50" s="13"/>
      <c r="N50" s="16"/>
      <c r="O50" s="16"/>
      <c r="P50" s="16"/>
      <c r="Q50" s="16"/>
      <c r="R50" s="16"/>
      <c r="S50" s="16"/>
      <c r="T50" s="16"/>
    </row>
    <row r="51" customHeight="1" spans="5:20">
      <c r="L51" s="13"/>
      <c r="M51" s="13"/>
      <c r="N51" s="16"/>
      <c r="O51" s="16"/>
      <c r="P51" s="16"/>
      <c r="Q51" s="16"/>
      <c r="R51" s="16"/>
      <c r="S51" s="16"/>
      <c r="T51" s="16"/>
    </row>
    <row r="52" customHeight="1" spans="5:20">
      <c r="E52" s="13"/>
      <c r="L52" s="13"/>
      <c r="M52" s="13"/>
      <c r="N52" s="16"/>
      <c r="O52" s="16"/>
      <c r="P52" s="16"/>
      <c r="Q52" s="16"/>
      <c r="R52" s="16"/>
      <c r="S52" s="16"/>
      <c r="T52" s="16"/>
    </row>
    <row r="53" customHeight="1" spans="5:20">
      <c r="E53" s="13"/>
      <c r="L53" s="13"/>
      <c r="M53" s="13"/>
      <c r="N53" s="16"/>
      <c r="O53" s="16"/>
      <c r="P53" s="16"/>
      <c r="Q53" s="16"/>
      <c r="R53" s="16"/>
      <c r="S53" s="16"/>
      <c r="T53" s="16"/>
    </row>
    <row r="54" customHeight="1" spans="5:20">
      <c r="N54" s="16"/>
      <c r="O54" s="16"/>
      <c r="P54" s="16"/>
      <c r="Q54" s="16"/>
      <c r="R54" s="16"/>
      <c r="S54" s="16"/>
      <c r="T54" s="16"/>
    </row>
    <row r="55" customHeight="1" spans="5:20">
      <c r="L55" s="13"/>
      <c r="M55" s="13"/>
      <c r="N55" s="16"/>
      <c r="O55" s="16"/>
      <c r="P55" s="16"/>
      <c r="Q55" s="16"/>
      <c r="R55" s="16"/>
      <c r="S55" s="16"/>
      <c r="T55" s="16"/>
    </row>
    <row r="56" customHeight="1" spans="5:20">
      <c r="L56" s="13"/>
      <c r="M56" s="13"/>
      <c r="N56" s="16"/>
      <c r="O56" s="16"/>
      <c r="P56" s="16"/>
      <c r="Q56" s="16"/>
      <c r="R56" s="16"/>
      <c r="S56" s="16"/>
      <c r="T56" s="16"/>
    </row>
    <row r="57" customHeight="1" spans="5:20">
      <c r="L57" s="13"/>
      <c r="M57" s="13"/>
      <c r="N57" s="17"/>
      <c r="O57" s="17"/>
      <c r="P57" s="17"/>
      <c r="Q57" s="17"/>
      <c r="R57" s="17"/>
      <c r="S57" s="17"/>
      <c r="T57" s="16"/>
    </row>
    <row r="58" customHeight="1" spans="5:20">
      <c r="L58" s="13"/>
      <c r="M58" s="13"/>
      <c r="N58" s="16"/>
      <c r="O58" s="16"/>
      <c r="P58" s="16"/>
      <c r="Q58" s="16"/>
      <c r="R58" s="16"/>
      <c r="S58" s="16"/>
      <c r="T58" s="16"/>
    </row>
    <row r="59" customHeight="1" spans="5:20">
      <c r="L59" s="13"/>
      <c r="M59" s="13"/>
      <c r="N59" s="16"/>
      <c r="O59" s="16"/>
      <c r="P59" s="16"/>
      <c r="Q59" s="16"/>
      <c r="R59" s="16"/>
      <c r="S59" s="16"/>
      <c r="T59" s="16"/>
    </row>
    <row r="60" customHeight="1" spans="5:20">
      <c r="L60" s="13"/>
      <c r="M60" s="13"/>
      <c r="N60" s="16"/>
      <c r="O60" s="16"/>
      <c r="P60" s="16"/>
      <c r="Q60" s="16"/>
      <c r="R60" s="16"/>
      <c r="S60" s="16"/>
      <c r="T60" s="16"/>
    </row>
    <row r="61" customHeight="1" spans="5:20">
      <c r="L61" s="13"/>
      <c r="M61" s="13"/>
      <c r="N61" s="16"/>
      <c r="O61" s="16"/>
      <c r="P61" s="16"/>
      <c r="Q61" s="16"/>
      <c r="R61" s="16"/>
      <c r="S61" s="16"/>
      <c r="T61" s="16"/>
    </row>
    <row r="62" customHeight="1" spans="5:20">
      <c r="L62" s="13"/>
      <c r="M62" s="13"/>
      <c r="N62" s="16"/>
      <c r="O62" s="16"/>
      <c r="P62" s="16"/>
      <c r="Q62" s="16"/>
      <c r="R62" s="16"/>
      <c r="S62" s="16"/>
      <c r="T62" s="16"/>
    </row>
    <row r="63" customHeight="1" spans="5:20">
      <c r="N63" s="16"/>
      <c r="O63" s="16"/>
      <c r="P63" s="16"/>
      <c r="Q63" s="16"/>
      <c r="R63" s="16"/>
      <c r="S63" s="16"/>
      <c r="T63" s="16"/>
    </row>
    <row r="64" customHeight="1" spans="5:20">
      <c r="L64" s="13"/>
      <c r="M64" s="13"/>
      <c r="N64" s="16"/>
      <c r="O64" s="16"/>
      <c r="P64" s="16"/>
      <c r="Q64" s="16"/>
      <c r="R64" s="16"/>
      <c r="S64" s="16"/>
      <c r="T64" s="16"/>
    </row>
    <row r="65" customHeight="1" spans="12:20">
      <c r="L65" s="13"/>
      <c r="M65" s="13"/>
      <c r="N65" s="16"/>
      <c r="O65" s="16"/>
      <c r="P65" s="16"/>
      <c r="Q65" s="16"/>
      <c r="R65" s="16"/>
      <c r="S65" s="16"/>
      <c r="T65" s="16"/>
    </row>
    <row r="66" customHeight="1" spans="12:20">
      <c r="L66" s="13"/>
      <c r="M66" s="13"/>
      <c r="N66" s="17"/>
      <c r="O66" s="17"/>
      <c r="P66" s="17"/>
      <c r="Q66" s="17"/>
      <c r="R66" s="17"/>
      <c r="S66" s="17"/>
      <c r="T66" s="16"/>
    </row>
    <row r="67" customHeight="1" spans="12:20">
      <c r="L67" s="13"/>
      <c r="M67" s="13"/>
      <c r="N67" s="16"/>
      <c r="O67" s="16"/>
      <c r="P67" s="16"/>
      <c r="Q67" s="16"/>
      <c r="R67" s="16"/>
      <c r="S67" s="16"/>
      <c r="T67" s="16"/>
    </row>
    <row r="68" customHeight="1" spans="12:20">
      <c r="L68" s="13"/>
      <c r="M68" s="13"/>
      <c r="N68" s="16"/>
      <c r="O68" s="16"/>
      <c r="P68" s="16"/>
      <c r="Q68" s="16"/>
      <c r="R68" s="16"/>
      <c r="S68" s="16"/>
      <c r="T68" s="16"/>
    </row>
    <row r="69" customHeight="1" spans="12:20">
      <c r="L69" s="13"/>
      <c r="M69" s="13"/>
      <c r="N69" s="16"/>
      <c r="O69" s="16"/>
      <c r="P69" s="16"/>
      <c r="Q69" s="16"/>
      <c r="R69" s="16"/>
      <c r="S69" s="16"/>
      <c r="T69" s="16"/>
    </row>
    <row r="70" customHeight="1" spans="12:20">
      <c r="L70" s="13"/>
      <c r="M70" s="13"/>
      <c r="N70" s="16"/>
      <c r="O70" s="16"/>
      <c r="P70" s="16"/>
      <c r="Q70" s="16"/>
      <c r="R70" s="16"/>
      <c r="S70" s="16"/>
      <c r="T70" s="16"/>
    </row>
    <row r="71" customHeight="1" spans="12:20">
      <c r="L71" s="13"/>
      <c r="M71" s="13"/>
      <c r="N71" s="16"/>
      <c r="O71" s="16"/>
      <c r="P71" s="16"/>
      <c r="Q71" s="16"/>
      <c r="R71" s="16"/>
      <c r="S71" s="16"/>
      <c r="T71" s="16"/>
    </row>
    <row r="72" customHeight="1" spans="12:20">
      <c r="N72" s="16"/>
      <c r="O72" s="16"/>
      <c r="P72" s="16"/>
      <c r="Q72" s="16"/>
      <c r="R72" s="16"/>
      <c r="S72" s="16"/>
      <c r="T72" s="16"/>
    </row>
    <row r="73" customHeight="1" spans="12:20">
      <c r="L73" s="13"/>
      <c r="M73" s="13"/>
      <c r="N73" s="16"/>
      <c r="O73" s="16"/>
      <c r="P73" s="16"/>
      <c r="Q73" s="16"/>
      <c r="R73" s="16"/>
      <c r="S73" s="16"/>
      <c r="T73" s="16"/>
    </row>
    <row r="74" customHeight="1" spans="12:20">
      <c r="L74" s="13"/>
      <c r="M74" s="13"/>
      <c r="N74" s="16"/>
      <c r="O74" s="16"/>
      <c r="P74" s="16"/>
      <c r="Q74" s="16"/>
      <c r="R74" s="16"/>
      <c r="S74" s="16"/>
      <c r="T74" s="16"/>
    </row>
    <row r="75" customHeight="1" spans="12:20">
      <c r="L75" s="13"/>
      <c r="M75" s="13"/>
      <c r="N75" s="16"/>
      <c r="O75" s="16"/>
      <c r="P75" s="16"/>
      <c r="Q75" s="16"/>
      <c r="R75" s="16"/>
      <c r="S75" s="16"/>
      <c r="T75" s="16"/>
    </row>
    <row r="76" customHeight="1" spans="12:20">
      <c r="L76" s="13"/>
      <c r="M76" s="13"/>
      <c r="N76" s="16"/>
      <c r="O76" s="16"/>
      <c r="P76" s="16"/>
      <c r="Q76" s="16"/>
      <c r="R76" s="16"/>
      <c r="S76" s="16"/>
      <c r="T76" s="16"/>
    </row>
    <row r="77" customHeight="1" spans="12:20">
      <c r="L77" s="13"/>
      <c r="M77" s="13"/>
      <c r="N77" s="16"/>
      <c r="O77" s="16"/>
      <c r="P77" s="16"/>
      <c r="Q77" s="16"/>
      <c r="R77" s="16"/>
      <c r="S77" s="16"/>
      <c r="T77" s="16"/>
    </row>
    <row r="78" customHeight="1" spans="12:20">
      <c r="L78" s="13"/>
      <c r="M78" s="13"/>
      <c r="N78" s="16"/>
      <c r="O78" s="16"/>
      <c r="P78" s="16"/>
      <c r="Q78" s="16"/>
      <c r="R78" s="16"/>
      <c r="S78" s="16"/>
      <c r="T78" s="16"/>
    </row>
    <row r="79" customHeight="1" spans="12:20">
      <c r="L79" s="13"/>
      <c r="M79" s="13"/>
      <c r="N79" s="16"/>
      <c r="O79" s="16"/>
      <c r="P79" s="16"/>
      <c r="Q79" s="16"/>
      <c r="R79" s="16"/>
      <c r="S79" s="16"/>
      <c r="T79" s="16"/>
    </row>
    <row r="80" customHeight="1" spans="12:20">
      <c r="L80" s="13"/>
      <c r="M80" s="13"/>
      <c r="N80" s="16"/>
      <c r="O80" s="16"/>
      <c r="P80" s="16"/>
      <c r="Q80" s="16"/>
      <c r="R80" s="16"/>
      <c r="S80" s="16"/>
    </row>
    <row r="81" customHeight="1" spans="12:19">
      <c r="N81" s="16"/>
      <c r="O81" s="16"/>
      <c r="P81" s="16"/>
      <c r="Q81" s="16"/>
      <c r="R81" s="16"/>
      <c r="S81" s="16"/>
    </row>
    <row r="82" customHeight="1" spans="12:19">
      <c r="L82" s="13"/>
      <c r="M82" s="13"/>
      <c r="N82" s="16"/>
      <c r="O82" s="16"/>
      <c r="P82" s="16"/>
      <c r="Q82" s="16"/>
      <c r="R82" s="16"/>
      <c r="S82" s="16"/>
    </row>
    <row r="83" customHeight="1" spans="12:19">
      <c r="L83" s="13"/>
      <c r="M83" s="13"/>
      <c r="N83" s="16"/>
      <c r="O83" s="16"/>
      <c r="P83" s="16"/>
      <c r="Q83" s="16"/>
      <c r="R83" s="16"/>
      <c r="S83" s="16"/>
    </row>
    <row r="84" customHeight="1" spans="12:19">
      <c r="L84" s="13"/>
      <c r="M84" s="13"/>
      <c r="N84" s="16"/>
      <c r="O84" s="16"/>
      <c r="P84" s="16"/>
      <c r="Q84" s="16"/>
      <c r="R84" s="16"/>
      <c r="S84" s="16"/>
    </row>
    <row r="85" customHeight="1" spans="12:19">
      <c r="L85" s="13"/>
      <c r="M85" s="13"/>
      <c r="N85" s="16"/>
      <c r="O85" s="16"/>
      <c r="P85" s="16"/>
      <c r="Q85" s="16"/>
      <c r="R85" s="16"/>
      <c r="S85" s="16"/>
    </row>
    <row r="86" customHeight="1" spans="12:19">
      <c r="L86" s="13"/>
      <c r="M86" s="13"/>
      <c r="N86" s="16"/>
      <c r="O86" s="16"/>
      <c r="P86" s="16"/>
      <c r="Q86" s="16"/>
      <c r="R86" s="16"/>
      <c r="S86" s="16"/>
    </row>
    <row r="87" customHeight="1" spans="12:19">
      <c r="L87" s="13"/>
      <c r="M87" s="13"/>
      <c r="N87" s="16"/>
      <c r="O87" s="16"/>
      <c r="P87" s="16"/>
      <c r="Q87" s="16"/>
      <c r="R87" s="16"/>
      <c r="S87" s="16"/>
    </row>
    <row r="88" customHeight="1" spans="12:19">
      <c r="L88" s="13"/>
      <c r="M88" s="13"/>
      <c r="N88" s="16"/>
      <c r="O88" s="16"/>
      <c r="P88" s="16"/>
      <c r="Q88" s="16"/>
      <c r="R88" s="16"/>
      <c r="S88" s="16"/>
    </row>
    <row r="89" customHeight="1" spans="12:19">
      <c r="L89" s="13"/>
      <c r="M89" s="13"/>
      <c r="N89" s="16"/>
      <c r="O89" s="16"/>
      <c r="P89" s="16"/>
      <c r="Q89" s="16"/>
      <c r="R89" s="16"/>
      <c r="S89" s="16"/>
    </row>
  </sheetData>
  <pageMargins left="0.7" right="0.7" top="0.75" bottom="0.75" header="0.3" footer="0.3"/>
  <pageSetup paperSize="9" orientation="portrait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C2:M81"/>
  <sheetViews>
    <sheetView topLeftCell="A46" workbookViewId="0">
      <selection activeCell="E70" sqref="E70"/>
    </sheetView>
  </sheetViews>
  <sheetFormatPr defaultColWidth="9" defaultRowHeight="13.5"/>
  <sheetData>
    <row r="2" ht="16.5" spans="3:13">
      <c r="C2" s="6" t="s">
        <v>1043</v>
      </c>
      <c r="D2" s="6" t="s">
        <v>1044</v>
      </c>
      <c r="E2" s="6" t="s">
        <v>1045</v>
      </c>
      <c r="F2" s="7" t="s">
        <v>1046</v>
      </c>
      <c r="G2" s="7" t="s">
        <v>1047</v>
      </c>
      <c r="H2" s="7" t="s">
        <v>1048</v>
      </c>
      <c r="I2" s="7" t="s">
        <v>1049</v>
      </c>
      <c r="J2" s="7" t="s">
        <v>1050</v>
      </c>
      <c r="K2" s="7" t="s">
        <v>1051</v>
      </c>
      <c r="L2" s="7" t="s">
        <v>1052</v>
      </c>
      <c r="M2" s="7" t="s">
        <v>1053</v>
      </c>
    </row>
    <row r="3" ht="16.5" spans="3:13">
      <c r="C3" s="8">
        <v>1</v>
      </c>
      <c r="D3" s="8">
        <v>1</v>
      </c>
      <c r="E3" s="8" t="s">
        <v>1054</v>
      </c>
      <c r="F3" s="8" t="s">
        <v>1055</v>
      </c>
      <c r="G3" s="8">
        <v>1</v>
      </c>
      <c r="H3" s="8"/>
      <c r="I3" s="8" t="s">
        <v>1056</v>
      </c>
      <c r="J3" s="8" t="s">
        <v>1057</v>
      </c>
      <c r="K3" s="8">
        <v>5</v>
      </c>
      <c r="L3" s="8"/>
      <c r="M3" s="8" t="s">
        <v>1058</v>
      </c>
    </row>
    <row r="4" ht="16.5" spans="3:13">
      <c r="C4" s="8">
        <v>2</v>
      </c>
      <c r="D4" s="8">
        <v>13</v>
      </c>
      <c r="E4" s="8" t="s">
        <v>1059</v>
      </c>
      <c r="F4" s="8"/>
      <c r="G4" s="8">
        <v>2</v>
      </c>
      <c r="H4" s="8"/>
      <c r="I4" s="8" t="s">
        <v>1060</v>
      </c>
      <c r="J4" s="8"/>
      <c r="K4" s="8">
        <v>7</v>
      </c>
      <c r="L4" s="8"/>
      <c r="M4" s="8"/>
    </row>
    <row r="5" ht="16.5" spans="3:13">
      <c r="C5" s="8">
        <v>3</v>
      </c>
      <c r="D5" s="8">
        <v>2</v>
      </c>
      <c r="E5" s="8" t="s">
        <v>1061</v>
      </c>
      <c r="F5" s="8"/>
      <c r="G5" s="8">
        <v>0.05</v>
      </c>
      <c r="H5" s="8"/>
      <c r="I5" s="8" t="s">
        <v>1062</v>
      </c>
      <c r="J5" s="8"/>
      <c r="K5" s="8">
        <v>5</v>
      </c>
      <c r="L5" s="8"/>
      <c r="M5" s="8"/>
    </row>
    <row r="6" ht="16.5" spans="3:13">
      <c r="C6" s="8">
        <v>4</v>
      </c>
      <c r="D6" s="8">
        <v>44</v>
      </c>
      <c r="E6" s="8" t="s">
        <v>1063</v>
      </c>
      <c r="F6" s="8"/>
      <c r="G6" s="8">
        <v>10</v>
      </c>
      <c r="H6" s="8"/>
      <c r="I6" s="8" t="s">
        <v>1064</v>
      </c>
      <c r="J6" s="8" t="s">
        <v>1065</v>
      </c>
      <c r="K6" s="8">
        <v>2</v>
      </c>
      <c r="L6" s="8"/>
      <c r="M6" s="9" t="s">
        <v>1066</v>
      </c>
    </row>
    <row r="7" ht="16.5" spans="3:13">
      <c r="C7" s="8">
        <v>5</v>
      </c>
      <c r="D7" s="8">
        <v>20003</v>
      </c>
      <c r="E7" s="8" t="s">
        <v>1067</v>
      </c>
      <c r="F7" s="8"/>
      <c r="G7" s="8">
        <v>30</v>
      </c>
      <c r="H7" s="8"/>
      <c r="I7" s="8"/>
      <c r="J7" s="8"/>
      <c r="K7" s="8"/>
      <c r="L7" s="8"/>
      <c r="M7" s="9"/>
    </row>
    <row r="8" ht="16.5" spans="3:13">
      <c r="C8" s="8">
        <v>6</v>
      </c>
      <c r="D8" s="8">
        <v>20033</v>
      </c>
      <c r="E8" s="8" t="s">
        <v>1068</v>
      </c>
      <c r="F8" s="8"/>
      <c r="G8" s="8">
        <v>40</v>
      </c>
      <c r="H8" s="8"/>
      <c r="I8" s="8"/>
      <c r="J8" s="8"/>
      <c r="K8" s="8"/>
      <c r="L8" s="8"/>
      <c r="M8" s="8"/>
    </row>
    <row r="9" ht="16.5" spans="3:13">
      <c r="C9" s="8">
        <v>7</v>
      </c>
      <c r="D9" s="8">
        <v>5800004</v>
      </c>
      <c r="E9" s="8" t="s">
        <v>1069</v>
      </c>
      <c r="F9" s="8"/>
      <c r="G9" s="8">
        <v>30</v>
      </c>
      <c r="H9" s="8"/>
      <c r="I9" s="8"/>
      <c r="J9" s="8"/>
      <c r="K9" s="8"/>
      <c r="L9" s="8"/>
      <c r="M9" s="8"/>
    </row>
    <row r="10" ht="16.5" spans="3:13">
      <c r="C10" s="8">
        <v>8</v>
      </c>
      <c r="D10" s="8">
        <v>5800005</v>
      </c>
      <c r="E10" s="8" t="s">
        <v>1070</v>
      </c>
      <c r="F10" s="8"/>
      <c r="G10" s="8">
        <v>50</v>
      </c>
      <c r="H10" s="8"/>
      <c r="I10" s="8"/>
      <c r="J10" s="8"/>
      <c r="K10" s="8"/>
      <c r="L10" s="8"/>
      <c r="M10" s="8"/>
    </row>
    <row r="11" ht="16.5" spans="3:13">
      <c r="C11" s="8">
        <v>9</v>
      </c>
      <c r="D11" s="8">
        <v>20034</v>
      </c>
      <c r="E11" s="8" t="s">
        <v>1071</v>
      </c>
      <c r="F11" s="8"/>
      <c r="G11" s="8">
        <v>250</v>
      </c>
      <c r="H11" s="8"/>
      <c r="I11" s="8"/>
      <c r="J11" s="8"/>
      <c r="K11" s="8"/>
      <c r="L11" s="8"/>
      <c r="M11" s="8"/>
    </row>
    <row r="12" ht="16.5" spans="3:13">
      <c r="C12" s="8">
        <v>10</v>
      </c>
      <c r="D12" s="8">
        <v>20035</v>
      </c>
      <c r="E12" s="8" t="s">
        <v>1072</v>
      </c>
      <c r="F12" s="8"/>
      <c r="G12" s="8">
        <v>700</v>
      </c>
      <c r="H12" s="8"/>
      <c r="I12" s="8"/>
      <c r="J12" s="8"/>
      <c r="K12" s="8"/>
      <c r="L12" s="8"/>
      <c r="M12" s="8"/>
    </row>
    <row r="13" ht="16.5" spans="3:13">
      <c r="C13" s="8">
        <v>11</v>
      </c>
      <c r="D13" s="8">
        <v>28</v>
      </c>
      <c r="E13" s="8" t="s">
        <v>1073</v>
      </c>
      <c r="F13" s="8"/>
      <c r="G13" s="8">
        <v>200</v>
      </c>
      <c r="H13" s="8"/>
      <c r="I13" s="8"/>
      <c r="J13" s="8"/>
      <c r="K13" s="8"/>
      <c r="L13" s="8"/>
      <c r="M13" s="8"/>
    </row>
    <row r="14" ht="16.5" spans="3:13">
      <c r="C14" s="8">
        <v>12</v>
      </c>
      <c r="D14" s="8">
        <v>5104001</v>
      </c>
      <c r="E14" s="8" t="s">
        <v>1074</v>
      </c>
      <c r="F14" s="8"/>
      <c r="G14" s="8">
        <v>2</v>
      </c>
      <c r="H14" s="8"/>
      <c r="I14" s="8"/>
      <c r="J14" s="8"/>
      <c r="K14" s="8"/>
      <c r="L14" s="8"/>
      <c r="M14" s="8"/>
    </row>
    <row r="15" ht="16.5" spans="3:13">
      <c r="C15" s="8">
        <v>13</v>
      </c>
      <c r="D15" s="8">
        <v>5103001</v>
      </c>
      <c r="E15" s="8" t="s">
        <v>1075</v>
      </c>
      <c r="F15" s="8" t="s">
        <v>1076</v>
      </c>
      <c r="G15" s="8">
        <v>1</v>
      </c>
      <c r="H15" s="8"/>
      <c r="I15" s="8" t="s">
        <v>1077</v>
      </c>
      <c r="J15" s="8"/>
      <c r="K15" s="8">
        <v>5</v>
      </c>
      <c r="L15" s="8"/>
      <c r="M15" s="8" t="s">
        <v>1078</v>
      </c>
    </row>
    <row r="16" ht="16.5" spans="3:13">
      <c r="C16" s="8">
        <v>14</v>
      </c>
      <c r="D16" s="8">
        <v>11</v>
      </c>
      <c r="E16" s="8" t="s">
        <v>1079</v>
      </c>
      <c r="F16" s="8"/>
      <c r="G16" s="8">
        <v>30</v>
      </c>
      <c r="H16" s="8"/>
      <c r="I16" s="8" t="s">
        <v>1080</v>
      </c>
      <c r="J16" s="8" t="s">
        <v>1081</v>
      </c>
      <c r="K16" s="8">
        <v>6</v>
      </c>
      <c r="L16" s="8"/>
      <c r="M16" s="9" t="s">
        <v>1082</v>
      </c>
    </row>
    <row r="17" ht="16.5" spans="3:13">
      <c r="C17" s="8">
        <v>15</v>
      </c>
      <c r="D17" s="8">
        <v>35</v>
      </c>
      <c r="E17" s="8" t="s">
        <v>1083</v>
      </c>
      <c r="F17" s="8"/>
      <c r="G17" s="8">
        <v>100</v>
      </c>
      <c r="H17" s="8"/>
      <c r="I17" s="8" t="s">
        <v>1084</v>
      </c>
      <c r="J17" s="8"/>
      <c r="K17" s="8"/>
      <c r="L17" s="8" t="s">
        <v>1085</v>
      </c>
      <c r="M17" s="8"/>
    </row>
    <row r="18" ht="16.5" spans="3:13">
      <c r="C18" s="8">
        <v>16</v>
      </c>
      <c r="D18" s="8"/>
      <c r="E18" s="8" t="s">
        <v>1086</v>
      </c>
      <c r="F18" s="8"/>
      <c r="G18" s="8">
        <v>150</v>
      </c>
      <c r="H18" s="8"/>
      <c r="I18" s="8" t="s">
        <v>1081</v>
      </c>
      <c r="J18" s="8"/>
      <c r="K18" s="8">
        <v>10</v>
      </c>
      <c r="L18" s="8" t="s">
        <v>1087</v>
      </c>
      <c r="M18" s="9" t="s">
        <v>1088</v>
      </c>
    </row>
    <row r="19" ht="16.5" spans="3:13">
      <c r="C19" s="8">
        <v>17</v>
      </c>
      <c r="D19" s="8">
        <v>1310100</v>
      </c>
      <c r="E19" s="8" t="s">
        <v>1089</v>
      </c>
      <c r="F19" s="8"/>
      <c r="G19" s="8">
        <v>20</v>
      </c>
      <c r="H19" s="8"/>
      <c r="I19" s="8" t="s">
        <v>1090</v>
      </c>
      <c r="J19" s="8"/>
      <c r="K19" s="8">
        <v>8</v>
      </c>
      <c r="L19" s="8"/>
      <c r="M19" s="8"/>
    </row>
    <row r="20" ht="16.5" spans="3:13">
      <c r="C20" s="8">
        <v>18</v>
      </c>
      <c r="D20" s="8">
        <v>1420200</v>
      </c>
      <c r="E20" s="10" t="s">
        <v>1091</v>
      </c>
      <c r="F20" s="8"/>
      <c r="G20" s="8">
        <v>40</v>
      </c>
      <c r="H20" s="8"/>
      <c r="I20" s="8" t="s">
        <v>1090</v>
      </c>
      <c r="J20" s="8"/>
      <c r="K20" s="8">
        <v>8</v>
      </c>
      <c r="L20" s="8"/>
      <c r="M20" s="8"/>
    </row>
    <row r="21" ht="16.5" spans="3:13">
      <c r="C21" s="8">
        <v>19</v>
      </c>
      <c r="D21" s="8">
        <v>1130100</v>
      </c>
      <c r="E21" s="10" t="s">
        <v>1092</v>
      </c>
      <c r="F21" s="8"/>
      <c r="G21" s="8">
        <v>80</v>
      </c>
      <c r="H21" s="8"/>
      <c r="I21" s="8" t="s">
        <v>1090</v>
      </c>
      <c r="J21" s="8"/>
      <c r="K21" s="8">
        <v>8</v>
      </c>
      <c r="L21" s="8"/>
      <c r="M21" s="8"/>
    </row>
    <row r="22" ht="16.5" spans="3:13">
      <c r="C22" s="8">
        <v>20</v>
      </c>
      <c r="D22" s="10"/>
      <c r="E22" s="10" t="s">
        <v>1093</v>
      </c>
      <c r="F22" s="10"/>
      <c r="G22" s="8">
        <v>160</v>
      </c>
      <c r="H22" s="8"/>
      <c r="I22" s="8" t="s">
        <v>1090</v>
      </c>
      <c r="J22" s="10"/>
      <c r="K22" s="8">
        <v>8</v>
      </c>
      <c r="L22" s="10"/>
      <c r="M22" s="10"/>
    </row>
    <row r="23" ht="16.5" spans="3:13">
      <c r="C23" s="8">
        <v>21</v>
      </c>
      <c r="D23" s="10"/>
      <c r="E23" s="10" t="s">
        <v>1094</v>
      </c>
      <c r="F23" s="10"/>
      <c r="G23" s="8">
        <v>320</v>
      </c>
      <c r="H23" s="8"/>
      <c r="I23" s="8" t="s">
        <v>1090</v>
      </c>
      <c r="J23" s="10"/>
      <c r="K23" s="8">
        <v>8</v>
      </c>
      <c r="L23" s="10"/>
      <c r="M23" s="10"/>
    </row>
    <row r="24" ht="16.5" spans="3:13">
      <c r="C24" s="8">
        <v>22</v>
      </c>
      <c r="D24" s="10">
        <v>13101001</v>
      </c>
      <c r="E24" s="8" t="s">
        <v>1095</v>
      </c>
      <c r="F24" s="10"/>
      <c r="G24" s="10">
        <v>6</v>
      </c>
      <c r="H24" s="10"/>
      <c r="I24" s="8" t="s">
        <v>1090</v>
      </c>
      <c r="J24" s="10"/>
      <c r="K24" s="8">
        <v>8</v>
      </c>
      <c r="L24" s="10"/>
      <c r="M24" s="10"/>
    </row>
    <row r="25" ht="16.5" spans="3:13">
      <c r="C25" s="8">
        <v>23</v>
      </c>
      <c r="D25" s="10">
        <v>14202001</v>
      </c>
      <c r="E25" s="10" t="s">
        <v>1096</v>
      </c>
      <c r="F25" s="10"/>
      <c r="G25" s="10">
        <v>12</v>
      </c>
      <c r="H25" s="10"/>
      <c r="I25" s="8" t="s">
        <v>1090</v>
      </c>
      <c r="J25" s="10"/>
      <c r="K25" s="8">
        <v>8</v>
      </c>
      <c r="L25" s="10"/>
      <c r="M25" s="10"/>
    </row>
    <row r="26" ht="16.5" spans="3:13">
      <c r="C26" s="8">
        <v>24</v>
      </c>
      <c r="D26" s="8">
        <v>11301001</v>
      </c>
      <c r="E26" s="10" t="s">
        <v>1097</v>
      </c>
      <c r="F26" s="8"/>
      <c r="G26" s="10">
        <v>24</v>
      </c>
      <c r="H26" s="8"/>
      <c r="I26" s="8" t="s">
        <v>1090</v>
      </c>
      <c r="J26" s="8"/>
      <c r="K26" s="8">
        <v>8</v>
      </c>
      <c r="L26" s="8"/>
      <c r="M26" s="8"/>
    </row>
    <row r="27" ht="16.5" spans="3:13">
      <c r="C27" s="8">
        <v>25</v>
      </c>
      <c r="D27" s="8"/>
      <c r="E27" s="10" t="s">
        <v>1098</v>
      </c>
      <c r="F27" s="8"/>
      <c r="G27" s="10">
        <v>48</v>
      </c>
      <c r="H27" s="10"/>
      <c r="I27" s="8" t="s">
        <v>1090</v>
      </c>
      <c r="J27" s="10"/>
      <c r="K27" s="8">
        <v>8</v>
      </c>
      <c r="L27" s="10"/>
      <c r="M27" s="10"/>
    </row>
    <row r="28" ht="16.5" spans="3:13">
      <c r="C28" s="8">
        <v>26</v>
      </c>
      <c r="D28" s="8"/>
      <c r="E28" s="10" t="s">
        <v>1099</v>
      </c>
      <c r="F28" s="8"/>
      <c r="G28" s="10">
        <v>96</v>
      </c>
      <c r="H28" s="10"/>
      <c r="I28" s="8" t="s">
        <v>1090</v>
      </c>
      <c r="J28" s="10"/>
      <c r="K28" s="8">
        <v>8</v>
      </c>
      <c r="L28" s="10"/>
      <c r="M28" s="10"/>
    </row>
    <row r="29" ht="16.5" spans="3:13">
      <c r="C29" s="8"/>
      <c r="D29" s="8"/>
      <c r="E29" s="10"/>
      <c r="F29" s="8"/>
      <c r="G29" s="10"/>
      <c r="H29" s="10"/>
      <c r="I29" s="8"/>
      <c r="J29" s="10"/>
      <c r="K29" s="8"/>
      <c r="L29" s="10"/>
      <c r="M29" s="10"/>
    </row>
    <row r="30" ht="16.5" spans="3:13">
      <c r="C30" s="8"/>
      <c r="D30" s="8">
        <v>50</v>
      </c>
      <c r="E30" s="10" t="s">
        <v>1100</v>
      </c>
      <c r="F30" s="8"/>
      <c r="G30" s="10">
        <v>0.1</v>
      </c>
      <c r="H30" s="10"/>
      <c r="I30" s="8"/>
      <c r="J30" s="10"/>
      <c r="K30" s="8"/>
      <c r="L30" s="10"/>
      <c r="M30" s="10"/>
    </row>
    <row r="31" ht="16.5" spans="3:13">
      <c r="C31" s="8"/>
      <c r="D31" s="8">
        <v>5523001</v>
      </c>
      <c r="E31" s="10" t="s">
        <v>1101</v>
      </c>
      <c r="F31" s="8"/>
      <c r="G31" s="10">
        <v>0.33</v>
      </c>
      <c r="H31" s="10"/>
      <c r="I31" s="8"/>
      <c r="J31" s="10"/>
      <c r="K31" s="8"/>
      <c r="L31" s="10"/>
      <c r="M31" s="10"/>
    </row>
    <row r="32" ht="16.5" spans="3:13">
      <c r="C32" s="8"/>
      <c r="D32" s="8">
        <v>47</v>
      </c>
      <c r="E32" s="10" t="s">
        <v>1102</v>
      </c>
      <c r="F32" s="8"/>
      <c r="G32" s="10">
        <v>0.688</v>
      </c>
      <c r="H32" s="10"/>
      <c r="I32" s="8"/>
      <c r="J32" s="10"/>
      <c r="K32" s="8"/>
      <c r="L32" s="10"/>
      <c r="M32" s="10"/>
    </row>
    <row r="33" ht="16.5" spans="3:13">
      <c r="C33" s="8"/>
      <c r="D33" s="8"/>
      <c r="E33" s="10"/>
      <c r="F33" s="8"/>
      <c r="G33" s="10"/>
      <c r="H33" s="10"/>
      <c r="I33" s="8"/>
      <c r="J33" s="10"/>
      <c r="K33" s="8"/>
      <c r="L33" s="10"/>
      <c r="M33" s="10"/>
    </row>
    <row r="34" ht="16.5" spans="3:13">
      <c r="C34" s="8" t="s">
        <v>167</v>
      </c>
      <c r="D34" s="8"/>
      <c r="E34" s="10"/>
      <c r="F34" s="8"/>
      <c r="G34" s="8"/>
      <c r="H34" s="10"/>
      <c r="I34" s="10"/>
      <c r="J34" s="10"/>
      <c r="K34" s="10"/>
      <c r="L34" s="10"/>
      <c r="M34" s="10"/>
    </row>
    <row r="35" ht="16.5" spans="3:13">
      <c r="C35" s="8">
        <v>27</v>
      </c>
      <c r="D35" s="8">
        <v>50002</v>
      </c>
      <c r="E35" s="8" t="s">
        <v>1103</v>
      </c>
      <c r="F35" s="8" t="s">
        <v>1104</v>
      </c>
      <c r="G35" s="8">
        <v>3</v>
      </c>
      <c r="H35" s="10"/>
      <c r="I35" s="10" t="s">
        <v>1077</v>
      </c>
      <c r="J35" s="10"/>
      <c r="K35" s="10">
        <v>8</v>
      </c>
      <c r="L35" s="10"/>
      <c r="M35" s="10" t="s">
        <v>1105</v>
      </c>
    </row>
    <row r="36" ht="16.5" spans="3:13">
      <c r="C36" s="8">
        <v>28</v>
      </c>
      <c r="D36" s="8">
        <v>50001</v>
      </c>
      <c r="E36" s="8" t="s">
        <v>1106</v>
      </c>
      <c r="F36" s="8"/>
      <c r="G36" s="8">
        <v>0.1</v>
      </c>
      <c r="H36" s="10"/>
      <c r="I36" s="10" t="s">
        <v>1077</v>
      </c>
      <c r="J36" s="10"/>
      <c r="K36" s="10">
        <v>5</v>
      </c>
      <c r="L36" s="10" t="s">
        <v>1107</v>
      </c>
      <c r="M36" s="10" t="s">
        <v>1078</v>
      </c>
    </row>
    <row r="37" ht="16.5" spans="3:13">
      <c r="C37" s="8">
        <v>29</v>
      </c>
      <c r="D37" s="8"/>
      <c r="E37" s="8" t="s">
        <v>1108</v>
      </c>
      <c r="F37" s="8"/>
      <c r="G37" s="11">
        <v>15</v>
      </c>
      <c r="H37" s="10"/>
      <c r="I37" s="10" t="s">
        <v>1077</v>
      </c>
      <c r="J37" s="10"/>
      <c r="K37" s="10"/>
      <c r="L37" s="10"/>
      <c r="M37" s="10"/>
    </row>
    <row r="38" ht="16.5" spans="3:13">
      <c r="C38" s="8">
        <v>30</v>
      </c>
      <c r="D38" s="8"/>
      <c r="E38" s="8" t="s">
        <v>1109</v>
      </c>
      <c r="F38" s="8"/>
      <c r="G38" s="11">
        <v>50</v>
      </c>
      <c r="H38" s="10"/>
      <c r="I38" s="10" t="s">
        <v>1077</v>
      </c>
      <c r="J38" s="10"/>
      <c r="K38" s="10"/>
      <c r="L38" s="10"/>
      <c r="M38" s="10"/>
    </row>
    <row r="39" ht="16.5" spans="3:13">
      <c r="C39" s="8"/>
      <c r="D39" s="8"/>
      <c r="E39" s="8" t="s">
        <v>1110</v>
      </c>
      <c r="F39" s="8"/>
      <c r="G39" s="11">
        <v>15</v>
      </c>
      <c r="H39" s="10"/>
      <c r="I39" s="10" t="s">
        <v>1077</v>
      </c>
      <c r="J39" s="10"/>
      <c r="K39" s="10"/>
      <c r="L39" s="10"/>
      <c r="M39" s="10"/>
    </row>
    <row r="40" ht="16.5" spans="3:13">
      <c r="C40" s="8">
        <v>31</v>
      </c>
      <c r="D40" s="8"/>
      <c r="E40" s="8" t="s">
        <v>1111</v>
      </c>
      <c r="F40" s="8"/>
      <c r="G40" s="8"/>
      <c r="H40" s="10"/>
      <c r="I40" s="10" t="s">
        <v>1077</v>
      </c>
      <c r="J40" s="10"/>
      <c r="K40" s="10"/>
      <c r="L40" s="10"/>
      <c r="M40" s="10"/>
    </row>
    <row r="41" ht="16.5" spans="3:13">
      <c r="C41" s="8">
        <v>32</v>
      </c>
      <c r="D41" s="8"/>
      <c r="E41" s="8" t="s">
        <v>1112</v>
      </c>
      <c r="F41" s="8"/>
      <c r="G41" s="8"/>
      <c r="H41" s="10"/>
      <c r="I41" s="10" t="s">
        <v>1077</v>
      </c>
      <c r="J41" s="10"/>
      <c r="K41" s="10"/>
      <c r="L41" s="10"/>
      <c r="M41" s="10"/>
    </row>
    <row r="42" ht="16.5" spans="3:13">
      <c r="C42" s="8">
        <v>33</v>
      </c>
      <c r="D42" s="8"/>
      <c r="E42" s="8" t="s">
        <v>1113</v>
      </c>
      <c r="F42" s="8"/>
      <c r="G42" s="8"/>
      <c r="H42" s="10"/>
      <c r="I42" s="10" t="s">
        <v>1077</v>
      </c>
      <c r="J42" s="10"/>
      <c r="K42" s="10"/>
      <c r="L42" s="10"/>
      <c r="M42" s="10"/>
    </row>
    <row r="43" ht="16.5" spans="3:13">
      <c r="C43" s="8">
        <v>34</v>
      </c>
      <c r="D43" s="8"/>
      <c r="E43" s="8" t="s">
        <v>1114</v>
      </c>
      <c r="F43" s="8"/>
      <c r="G43" s="8"/>
      <c r="H43" s="10"/>
      <c r="I43" s="10" t="s">
        <v>1077</v>
      </c>
      <c r="J43" s="10"/>
      <c r="K43" s="10"/>
      <c r="L43" s="10"/>
      <c r="M43" s="10"/>
    </row>
    <row r="44" ht="16.5" spans="3:13">
      <c r="C44" s="8">
        <v>35</v>
      </c>
      <c r="D44" s="8"/>
      <c r="E44" s="8" t="s">
        <v>1115</v>
      </c>
      <c r="F44" s="8"/>
      <c r="G44" s="8"/>
      <c r="H44" s="10"/>
      <c r="I44" s="10" t="s">
        <v>1077</v>
      </c>
      <c r="J44" s="10"/>
      <c r="K44" s="10"/>
      <c r="L44" s="10"/>
      <c r="M44" s="10"/>
    </row>
    <row r="45" ht="16.5" spans="3:13">
      <c r="C45" s="8">
        <v>36</v>
      </c>
      <c r="D45" s="8"/>
      <c r="E45" s="8" t="s">
        <v>1116</v>
      </c>
      <c r="F45" s="8"/>
      <c r="G45" s="8"/>
      <c r="H45" s="10"/>
      <c r="I45" s="10" t="s">
        <v>1077</v>
      </c>
      <c r="J45" s="10"/>
      <c r="K45" s="10"/>
      <c r="L45" s="10"/>
      <c r="M45" s="10"/>
    </row>
    <row r="46" ht="16.5" spans="3:13">
      <c r="C46" s="8">
        <v>37</v>
      </c>
      <c r="D46" s="8"/>
      <c r="E46" s="8" t="s">
        <v>1117</v>
      </c>
      <c r="F46" s="8"/>
      <c r="G46" s="8"/>
      <c r="H46" s="10"/>
      <c r="I46" s="10" t="s">
        <v>1077</v>
      </c>
      <c r="J46" s="10"/>
      <c r="K46" s="10"/>
      <c r="L46" s="10"/>
      <c r="M46" s="10"/>
    </row>
    <row r="47" ht="16.5" spans="3:13">
      <c r="C47" s="8" t="s">
        <v>167</v>
      </c>
      <c r="D47" s="8"/>
      <c r="E47" s="8"/>
      <c r="F47" s="8"/>
      <c r="G47" s="8"/>
      <c r="H47" s="10"/>
      <c r="I47" s="10"/>
      <c r="J47" s="10"/>
      <c r="K47" s="10"/>
      <c r="L47" s="10"/>
      <c r="M47" s="10"/>
    </row>
    <row r="48" ht="16.5" spans="3:13">
      <c r="C48" s="8" t="s">
        <v>167</v>
      </c>
      <c r="D48" s="8"/>
      <c r="E48" s="8"/>
      <c r="F48" s="8"/>
      <c r="G48" s="8"/>
      <c r="H48" s="10"/>
      <c r="I48" s="10"/>
      <c r="J48" s="10"/>
      <c r="K48" s="10"/>
      <c r="L48" s="10"/>
      <c r="M48" s="10"/>
    </row>
    <row r="49" ht="16.5" spans="3:13">
      <c r="C49" s="8">
        <v>38</v>
      </c>
      <c r="D49" s="8">
        <v>9</v>
      </c>
      <c r="E49" s="8" t="s">
        <v>1118</v>
      </c>
      <c r="F49" s="8" t="s">
        <v>1119</v>
      </c>
      <c r="G49" s="8">
        <v>50</v>
      </c>
      <c r="H49" s="8"/>
      <c r="I49" s="8" t="s">
        <v>1081</v>
      </c>
      <c r="J49" s="8"/>
      <c r="K49" s="8"/>
      <c r="L49" s="8" t="s">
        <v>1120</v>
      </c>
      <c r="M49" s="8"/>
    </row>
    <row r="50" ht="16.5" spans="3:13">
      <c r="C50" s="8">
        <v>39</v>
      </c>
      <c r="D50" s="8">
        <v>30</v>
      </c>
      <c r="E50" s="12" t="s">
        <v>1121</v>
      </c>
      <c r="F50" s="8"/>
      <c r="G50" s="8">
        <v>280</v>
      </c>
      <c r="H50" s="8"/>
      <c r="I50" s="8" t="s">
        <v>1081</v>
      </c>
      <c r="J50" s="8"/>
      <c r="K50" s="8">
        <v>5</v>
      </c>
      <c r="L50" s="8" t="s">
        <v>1122</v>
      </c>
      <c r="M50" s="8"/>
    </row>
    <row r="51" ht="16.5" spans="3:13">
      <c r="C51" s="8">
        <v>40</v>
      </c>
      <c r="D51" s="8">
        <v>5303001</v>
      </c>
      <c r="E51" s="8" t="s">
        <v>1123</v>
      </c>
      <c r="F51" s="8"/>
      <c r="G51" s="8">
        <v>5</v>
      </c>
      <c r="H51" s="8"/>
      <c r="I51" s="8" t="s">
        <v>1077</v>
      </c>
      <c r="J51" s="8"/>
      <c r="K51" s="8">
        <v>8</v>
      </c>
      <c r="L51" s="8" t="s">
        <v>1124</v>
      </c>
      <c r="M51" s="8"/>
    </row>
    <row r="52" ht="16.5" spans="3:13">
      <c r="C52" s="8">
        <v>41</v>
      </c>
      <c r="D52" s="8">
        <v>5305001</v>
      </c>
      <c r="E52" s="8" t="s">
        <v>1125</v>
      </c>
      <c r="F52" s="8"/>
      <c r="G52" s="8">
        <v>60</v>
      </c>
      <c r="H52" s="8"/>
      <c r="I52" s="8" t="s">
        <v>1081</v>
      </c>
      <c r="J52" s="8"/>
      <c r="K52" s="8">
        <v>5</v>
      </c>
      <c r="L52" s="8" t="s">
        <v>1126</v>
      </c>
      <c r="M52" s="8" t="s">
        <v>1127</v>
      </c>
    </row>
    <row r="53" ht="16.5" spans="3:13">
      <c r="C53" s="8">
        <v>42</v>
      </c>
      <c r="D53" s="8">
        <v>5301000</v>
      </c>
      <c r="E53" s="8" t="s">
        <v>165</v>
      </c>
      <c r="F53" s="8"/>
      <c r="G53" s="8">
        <v>16</v>
      </c>
      <c r="H53" s="8"/>
      <c r="I53" s="8" t="s">
        <v>1077</v>
      </c>
      <c r="J53" s="8"/>
      <c r="K53" s="8"/>
      <c r="L53" s="8" t="s">
        <v>1128</v>
      </c>
      <c r="M53" s="8"/>
    </row>
    <row r="54" ht="16.5" spans="3:13">
      <c r="C54" s="8">
        <v>43</v>
      </c>
      <c r="D54" s="8">
        <v>5302000</v>
      </c>
      <c r="E54" s="8" t="s">
        <v>170</v>
      </c>
      <c r="F54" s="8"/>
      <c r="G54" s="8">
        <v>64</v>
      </c>
      <c r="H54" s="8"/>
      <c r="I54" s="8" t="s">
        <v>1077</v>
      </c>
      <c r="J54" s="8"/>
      <c r="K54" s="8"/>
      <c r="L54" s="8" t="s">
        <v>1129</v>
      </c>
      <c r="M54" s="8"/>
    </row>
    <row r="55" ht="16.5" spans="3:13">
      <c r="C55" s="8">
        <v>44</v>
      </c>
      <c r="D55" s="8">
        <v>5303000</v>
      </c>
      <c r="E55" s="8" t="s">
        <v>172</v>
      </c>
      <c r="F55" s="8"/>
      <c r="G55" s="8">
        <v>256</v>
      </c>
      <c r="H55" s="8"/>
      <c r="I55" s="8" t="s">
        <v>1077</v>
      </c>
      <c r="J55" s="8"/>
      <c r="K55" s="8"/>
      <c r="L55" s="8" t="s">
        <v>1130</v>
      </c>
      <c r="M55" s="8"/>
    </row>
    <row r="56" ht="16.5" spans="3:13">
      <c r="C56" s="8">
        <v>45</v>
      </c>
      <c r="D56" s="8">
        <v>5304000</v>
      </c>
      <c r="E56" s="8" t="s">
        <v>174</v>
      </c>
      <c r="F56" s="8"/>
      <c r="G56" s="8">
        <v>1024</v>
      </c>
      <c r="H56" s="8"/>
      <c r="I56" s="8" t="s">
        <v>1077</v>
      </c>
      <c r="J56" s="8"/>
      <c r="K56" s="8"/>
      <c r="L56" s="8" t="s">
        <v>1131</v>
      </c>
      <c r="M56" s="8"/>
    </row>
    <row r="57" ht="16.5" spans="3:13">
      <c r="C57" s="8">
        <v>46</v>
      </c>
      <c r="D57" s="8">
        <v>5305000</v>
      </c>
      <c r="E57" s="8" t="s">
        <v>176</v>
      </c>
      <c r="F57" s="8"/>
      <c r="G57" s="8">
        <v>4096</v>
      </c>
      <c r="H57" s="8"/>
      <c r="I57" s="8" t="s">
        <v>1077</v>
      </c>
      <c r="J57" s="8"/>
      <c r="K57" s="8"/>
      <c r="L57" s="8" t="s">
        <v>1132</v>
      </c>
      <c r="M57" s="8" t="s">
        <v>1127</v>
      </c>
    </row>
    <row r="58" ht="16.5" spans="3:13">
      <c r="C58" s="8">
        <v>47</v>
      </c>
      <c r="D58" s="8">
        <v>5306000</v>
      </c>
      <c r="E58" s="8" t="s">
        <v>178</v>
      </c>
      <c r="F58" s="8"/>
      <c r="G58" s="8">
        <v>16384</v>
      </c>
      <c r="H58" s="8"/>
      <c r="I58" s="8" t="s">
        <v>1077</v>
      </c>
      <c r="J58" s="8"/>
      <c r="K58" s="8"/>
      <c r="L58" s="8" t="s">
        <v>1133</v>
      </c>
      <c r="M58" s="8" t="s">
        <v>1134</v>
      </c>
    </row>
    <row r="59" ht="16.5" spans="3:13">
      <c r="C59" s="8">
        <v>48</v>
      </c>
      <c r="D59" s="8">
        <v>5307000</v>
      </c>
      <c r="E59" s="8" t="s">
        <v>180</v>
      </c>
      <c r="F59" s="8"/>
      <c r="G59" s="8">
        <v>65536</v>
      </c>
      <c r="H59" s="8"/>
      <c r="I59" s="8" t="s">
        <v>1077</v>
      </c>
      <c r="J59" s="8"/>
      <c r="K59" s="8"/>
      <c r="L59" s="8" t="s">
        <v>1135</v>
      </c>
      <c r="M59" s="9" t="s">
        <v>1136</v>
      </c>
    </row>
    <row r="60" ht="16.5" spans="3:13">
      <c r="C60" s="8">
        <v>49</v>
      </c>
      <c r="D60" s="8">
        <v>5401000</v>
      </c>
      <c r="E60" s="8" t="s">
        <v>1137</v>
      </c>
      <c r="F60" s="8"/>
      <c r="G60" s="8">
        <v>17.728</v>
      </c>
      <c r="H60" s="8"/>
      <c r="I60" s="8"/>
      <c r="J60" s="8"/>
      <c r="K60" s="8"/>
      <c r="L60" s="8"/>
      <c r="M60" s="8"/>
    </row>
    <row r="61" ht="16.5" spans="3:13">
      <c r="C61" s="8">
        <v>50</v>
      </c>
      <c r="D61" s="8">
        <v>5203001</v>
      </c>
      <c r="E61" s="8" t="s">
        <v>1138</v>
      </c>
      <c r="F61" s="8" t="s">
        <v>1139</v>
      </c>
      <c r="G61" s="8">
        <v>3</v>
      </c>
      <c r="H61" s="8"/>
      <c r="I61" s="8" t="s">
        <v>1077</v>
      </c>
      <c r="J61" s="8"/>
      <c r="K61" s="8">
        <v>6</v>
      </c>
      <c r="L61" s="8" t="s">
        <v>1140</v>
      </c>
      <c r="M61" s="8" t="s">
        <v>1058</v>
      </c>
    </row>
    <row r="62" ht="16.5" spans="3:13">
      <c r="C62" s="8">
        <v>51</v>
      </c>
      <c r="D62" s="8">
        <v>5205001</v>
      </c>
      <c r="E62" s="8" t="s">
        <v>1141</v>
      </c>
      <c r="F62" s="8"/>
      <c r="G62" s="8">
        <v>500</v>
      </c>
      <c r="H62" s="8"/>
      <c r="I62" s="8" t="s">
        <v>1142</v>
      </c>
      <c r="J62" s="8"/>
      <c r="K62" s="8"/>
      <c r="L62" s="8" t="s">
        <v>1143</v>
      </c>
      <c r="M62" s="8"/>
    </row>
    <row r="63" ht="16.5" spans="3:13">
      <c r="C63" s="8">
        <v>52</v>
      </c>
      <c r="D63" s="8">
        <v>5204001</v>
      </c>
      <c r="E63" s="8" t="s">
        <v>1144</v>
      </c>
      <c r="F63" s="8"/>
      <c r="G63" s="8">
        <v>5</v>
      </c>
      <c r="H63" s="8"/>
      <c r="I63" s="8" t="s">
        <v>1077</v>
      </c>
      <c r="J63" s="8"/>
      <c r="K63" s="8"/>
      <c r="L63" s="8"/>
      <c r="M63" s="9" t="s">
        <v>1145</v>
      </c>
    </row>
    <row r="64" ht="16.5" spans="3:13">
      <c r="C64" s="8" t="s">
        <v>167</v>
      </c>
      <c r="D64" s="8"/>
      <c r="E64" s="8"/>
      <c r="F64" s="8"/>
      <c r="G64" s="8"/>
      <c r="H64" s="8"/>
      <c r="I64" s="8"/>
      <c r="J64" s="8"/>
      <c r="K64" s="8"/>
      <c r="L64" s="8"/>
      <c r="M64" s="8"/>
    </row>
    <row r="65" ht="16.5" spans="3:13">
      <c r="C65" s="8">
        <v>53</v>
      </c>
      <c r="D65" s="8">
        <v>5525002</v>
      </c>
      <c r="E65" s="8" t="s">
        <v>1146</v>
      </c>
      <c r="F65" s="8" t="s">
        <v>1147</v>
      </c>
      <c r="G65" s="8">
        <v>0.33</v>
      </c>
      <c r="H65" s="8"/>
      <c r="I65" s="8" t="s">
        <v>1148</v>
      </c>
      <c r="J65" s="8"/>
      <c r="K65" s="8"/>
      <c r="L65" s="8"/>
      <c r="M65" s="8"/>
    </row>
    <row r="66" ht="16.5" spans="3:13">
      <c r="C66" s="8">
        <v>54</v>
      </c>
      <c r="D66" s="8"/>
      <c r="E66" s="8" t="s">
        <v>1149</v>
      </c>
      <c r="F66" s="8"/>
      <c r="G66" s="8">
        <v>0.02</v>
      </c>
      <c r="H66" s="8"/>
      <c r="I66" s="8"/>
      <c r="J66" s="8"/>
      <c r="K66" s="8"/>
      <c r="L66" s="8"/>
      <c r="M66" s="8"/>
    </row>
    <row r="67" ht="16.5" spans="3:13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ht="16.5" spans="3:13">
      <c r="C68" s="8">
        <v>53</v>
      </c>
      <c r="D68" s="8"/>
      <c r="E68" s="8" t="s">
        <v>1150</v>
      </c>
      <c r="F68" s="8"/>
      <c r="G68" s="8">
        <v>100</v>
      </c>
      <c r="H68" s="8"/>
      <c r="I68" s="8" t="s">
        <v>1151</v>
      </c>
      <c r="J68" s="8"/>
      <c r="K68" s="8"/>
      <c r="L68" s="8"/>
      <c r="M68" s="8"/>
    </row>
    <row r="69" ht="16.5" spans="3:13">
      <c r="C69" s="8" t="s">
        <v>167</v>
      </c>
      <c r="D69" s="8"/>
      <c r="E69" s="8"/>
      <c r="F69" s="8"/>
      <c r="G69" s="8"/>
      <c r="H69" s="8"/>
      <c r="I69" s="8"/>
      <c r="J69" s="8"/>
      <c r="K69" s="8"/>
      <c r="L69" s="8"/>
      <c r="M69" s="8"/>
    </row>
    <row r="70" ht="16.5" spans="3:13">
      <c r="C70" s="8">
        <v>55</v>
      </c>
      <c r="D70" s="8"/>
      <c r="E70" s="8" t="s">
        <v>1152</v>
      </c>
      <c r="F70" s="8"/>
      <c r="G70" s="8">
        <v>3000</v>
      </c>
      <c r="H70" s="8">
        <v>30</v>
      </c>
      <c r="I70" s="8" t="s">
        <v>1151</v>
      </c>
      <c r="J70" s="8"/>
      <c r="K70" s="8"/>
      <c r="L70" s="8"/>
      <c r="M70" s="8"/>
    </row>
    <row r="71" ht="16.5" spans="3:13">
      <c r="C71" s="8">
        <v>53</v>
      </c>
      <c r="D71" s="8"/>
      <c r="E71" s="8" t="s">
        <v>1153</v>
      </c>
      <c r="F71" s="8"/>
      <c r="G71" s="8">
        <v>5000</v>
      </c>
      <c r="H71" s="8">
        <v>128</v>
      </c>
      <c r="I71" s="8" t="s">
        <v>1151</v>
      </c>
      <c r="J71" s="8"/>
      <c r="K71" s="8"/>
      <c r="L71" s="8"/>
      <c r="M71" s="8"/>
    </row>
    <row r="72" ht="16.5" spans="3:13">
      <c r="C72" s="8">
        <v>56</v>
      </c>
      <c r="D72" s="8"/>
      <c r="E72" s="8" t="s">
        <v>1154</v>
      </c>
      <c r="F72" s="8"/>
      <c r="G72" s="8">
        <v>6000</v>
      </c>
      <c r="H72" s="8">
        <v>198</v>
      </c>
      <c r="I72" s="8" t="s">
        <v>1151</v>
      </c>
      <c r="J72" s="8"/>
      <c r="K72" s="8"/>
      <c r="L72" s="8"/>
      <c r="M72" s="8"/>
    </row>
    <row r="73" ht="16.5" spans="3:13">
      <c r="C73" s="8" t="s">
        <v>167</v>
      </c>
      <c r="D73" s="8"/>
      <c r="E73" s="8"/>
      <c r="F73" s="8"/>
      <c r="G73" s="8"/>
      <c r="H73" s="8"/>
      <c r="I73" s="8"/>
      <c r="J73" s="8"/>
      <c r="K73" s="8"/>
      <c r="L73" s="8"/>
      <c r="M73" s="8"/>
    </row>
    <row r="74" ht="16.5" spans="3:13">
      <c r="C74" s="8">
        <v>57</v>
      </c>
      <c r="D74" s="8"/>
      <c r="E74" s="8" t="s">
        <v>1155</v>
      </c>
      <c r="F74" s="8"/>
      <c r="G74" s="8"/>
      <c r="H74" s="8">
        <v>128</v>
      </c>
      <c r="I74" s="8"/>
      <c r="J74" s="8"/>
      <c r="K74" s="8"/>
      <c r="L74" s="8"/>
      <c r="M74" s="8"/>
    </row>
    <row r="75" ht="16.5" spans="3:13">
      <c r="C75" s="8">
        <v>58</v>
      </c>
      <c r="D75" s="8"/>
      <c r="E75" s="8" t="s">
        <v>1156</v>
      </c>
      <c r="F75" s="8"/>
      <c r="G75" s="8"/>
      <c r="H75" s="8">
        <v>168</v>
      </c>
      <c r="I75" s="8"/>
      <c r="J75" s="8"/>
      <c r="K75" s="8"/>
      <c r="L75" s="8"/>
      <c r="M75" s="8"/>
    </row>
    <row r="76" ht="16.5" spans="3:13">
      <c r="C76" s="8" t="s">
        <v>167</v>
      </c>
      <c r="D76" s="8"/>
      <c r="E76" s="8"/>
      <c r="F76" s="8"/>
      <c r="G76" s="8"/>
      <c r="H76" s="8"/>
      <c r="I76" s="8"/>
      <c r="J76" s="8"/>
      <c r="K76" s="8"/>
      <c r="L76" s="8"/>
      <c r="M76" s="8"/>
    </row>
    <row r="77" ht="16.5" spans="3:13">
      <c r="C77" s="8">
        <v>59</v>
      </c>
      <c r="D77" s="8"/>
      <c r="E77" s="8" t="s">
        <v>1157</v>
      </c>
      <c r="F77" s="8"/>
      <c r="G77" s="8"/>
      <c r="H77" s="8">
        <v>266</v>
      </c>
      <c r="I77" s="8"/>
      <c r="J77" s="8"/>
      <c r="K77" s="8"/>
      <c r="L77" s="8"/>
      <c r="M77" s="8" t="s">
        <v>1158</v>
      </c>
    </row>
    <row r="78" ht="16.5" spans="3:13">
      <c r="C78" s="8">
        <v>60</v>
      </c>
      <c r="D78" s="8"/>
      <c r="E78" s="8" t="s">
        <v>1159</v>
      </c>
      <c r="F78" s="8"/>
      <c r="G78" s="8"/>
      <c r="H78" s="8">
        <v>328</v>
      </c>
      <c r="I78" s="8"/>
      <c r="J78" s="8"/>
      <c r="K78" s="8"/>
      <c r="L78" s="8"/>
      <c r="M78" s="8" t="s">
        <v>1158</v>
      </c>
    </row>
    <row r="79" ht="16.5" spans="3:13">
      <c r="C79" s="8" t="s">
        <v>167</v>
      </c>
      <c r="D79" s="8"/>
      <c r="E79" s="8"/>
      <c r="F79" s="8"/>
      <c r="G79" s="8"/>
      <c r="H79" s="8"/>
      <c r="I79" s="8"/>
      <c r="J79" s="8"/>
      <c r="K79" s="8"/>
      <c r="L79" s="8"/>
      <c r="M79" s="8"/>
    </row>
    <row r="80" ht="16.5" spans="3:13">
      <c r="C80" s="8">
        <v>61</v>
      </c>
      <c r="D80" s="8"/>
      <c r="E80" s="8" t="s">
        <v>1160</v>
      </c>
      <c r="F80" s="8"/>
      <c r="G80" s="8"/>
      <c r="H80" s="8">
        <v>328</v>
      </c>
      <c r="I80" s="8"/>
      <c r="J80" s="8"/>
      <c r="K80" s="8"/>
      <c r="L80" s="8"/>
      <c r="M80" s="8" t="s">
        <v>1158</v>
      </c>
    </row>
    <row r="81" ht="16.5" spans="3:13">
      <c r="C81" s="8">
        <v>62</v>
      </c>
      <c r="D81" s="8"/>
      <c r="E81" s="8" t="s">
        <v>1161</v>
      </c>
      <c r="F81" s="8"/>
      <c r="G81" s="8"/>
      <c r="H81" s="8">
        <v>648</v>
      </c>
      <c r="I81" s="8"/>
      <c r="J81" s="8"/>
      <c r="K81" s="8"/>
      <c r="L81" s="8"/>
      <c r="M81" s="8" t="s">
        <v>1158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2:F903"/>
  <sheetViews>
    <sheetView workbookViewId="0">
      <selection activeCell="G22" sqref="G22"/>
    </sheetView>
  </sheetViews>
  <sheetFormatPr defaultColWidth="9" defaultRowHeight="13.5" outlineLevelCol="5"/>
  <cols>
    <col min="1" max="7" width="13.25" customWidth="1"/>
  </cols>
  <sheetData>
    <row r="2" spans="1:6">
      <c r="A2" t="s">
        <v>1162</v>
      </c>
    </row>
    <row r="3" s="2" customFormat="1" ht="33" spans="1:6">
      <c r="A3" s="3" t="s">
        <v>1163</v>
      </c>
      <c r="B3" s="3" t="s">
        <v>1164</v>
      </c>
      <c r="C3" s="3" t="s">
        <v>1165</v>
      </c>
      <c r="D3" s="3" t="s">
        <v>1166</v>
      </c>
    </row>
    <row r="4" ht="33" spans="1:6">
      <c r="A4" s="3" t="s">
        <v>1167</v>
      </c>
      <c r="B4" s="3" t="s">
        <v>1168</v>
      </c>
      <c r="C4" s="3" t="s">
        <v>1040</v>
      </c>
      <c r="D4" s="3" t="s">
        <v>1041</v>
      </c>
    </row>
    <row r="5" spans="1:6">
      <c r="A5" s="4" t="s">
        <v>1169</v>
      </c>
      <c r="B5" s="4">
        <v>1.07</v>
      </c>
      <c r="C5" s="4">
        <v>1e-5</v>
      </c>
      <c r="D5" s="4">
        <v>100</v>
      </c>
    </row>
    <row r="6" spans="1:6">
      <c r="A6" s="4"/>
      <c r="B6" s="4"/>
      <c r="C6" s="4"/>
      <c r="D6" s="4"/>
    </row>
    <row r="10" ht="16.5" spans="1:6">
      <c r="A10" s="3" t="s">
        <v>1170</v>
      </c>
      <c r="B10" s="3" t="s">
        <v>1171</v>
      </c>
      <c r="C10" s="3" t="s">
        <v>1172</v>
      </c>
      <c r="D10" s="3" t="s">
        <v>1173</v>
      </c>
      <c r="E10" s="3" t="s">
        <v>1174</v>
      </c>
      <c r="F10" s="3"/>
    </row>
    <row r="11" ht="16.5" spans="1:6">
      <c r="A11" s="3" t="s">
        <v>120</v>
      </c>
      <c r="B11" s="3" t="s">
        <v>1175</v>
      </c>
      <c r="C11" s="3" t="s">
        <v>1176</v>
      </c>
      <c r="D11" s="3" t="s">
        <v>118</v>
      </c>
      <c r="E11" s="3" t="s">
        <v>150</v>
      </c>
      <c r="F11" s="3" t="s">
        <v>1177</v>
      </c>
    </row>
    <row r="12" spans="1:6">
      <c r="A12">
        <v>5</v>
      </c>
      <c r="B12">
        <v>1</v>
      </c>
      <c r="C12">
        <v>1</v>
      </c>
      <c r="D12">
        <v>5503105</v>
      </c>
      <c r="E12">
        <v>3</v>
      </c>
      <c r="F12">
        <v>1</v>
      </c>
    </row>
    <row r="13" spans="1:6">
      <c r="A13">
        <v>5</v>
      </c>
      <c r="B13">
        <v>1</v>
      </c>
      <c r="C13">
        <v>2</v>
      </c>
      <c r="D13">
        <v>5503105</v>
      </c>
      <c r="E13">
        <v>3</v>
      </c>
      <c r="F13">
        <v>1</v>
      </c>
    </row>
    <row r="14" spans="1:6">
      <c r="A14">
        <v>5</v>
      </c>
      <c r="B14">
        <v>1</v>
      </c>
      <c r="C14">
        <v>3</v>
      </c>
      <c r="D14">
        <v>5510365</v>
      </c>
      <c r="E14">
        <v>4</v>
      </c>
      <c r="F14">
        <v>1</v>
      </c>
    </row>
    <row r="15" spans="1:6">
      <c r="A15">
        <v>5</v>
      </c>
      <c r="B15">
        <v>1</v>
      </c>
      <c r="C15">
        <v>4</v>
      </c>
      <c r="D15">
        <v>5503105</v>
      </c>
      <c r="E15">
        <v>3</v>
      </c>
      <c r="F15">
        <v>1</v>
      </c>
    </row>
    <row r="16" spans="1:6">
      <c r="A16">
        <v>5</v>
      </c>
      <c r="B16">
        <v>1</v>
      </c>
      <c r="C16">
        <v>5</v>
      </c>
      <c r="D16">
        <v>5504025</v>
      </c>
      <c r="E16">
        <v>4</v>
      </c>
      <c r="F16">
        <v>1</v>
      </c>
    </row>
    <row r="17" spans="1:6">
      <c r="A17">
        <v>5</v>
      </c>
      <c r="B17">
        <f t="shared" ref="B17:B41" si="0">B12+1</f>
        <v>2</v>
      </c>
      <c r="C17">
        <f t="shared" ref="C17:C41" si="1">C12</f>
        <v>1</v>
      </c>
      <c r="D17">
        <v>5501015</v>
      </c>
      <c r="E17">
        <v>1</v>
      </c>
      <c r="F17">
        <v>1</v>
      </c>
    </row>
    <row r="18" spans="1:6">
      <c r="A18">
        <v>5</v>
      </c>
      <c r="B18">
        <f t="shared" si="0"/>
        <v>2</v>
      </c>
      <c r="C18">
        <f t="shared" si="1"/>
        <v>2</v>
      </c>
      <c r="D18">
        <v>5501025</v>
      </c>
      <c r="E18">
        <v>1</v>
      </c>
      <c r="F18">
        <v>1</v>
      </c>
    </row>
    <row r="19" spans="1:6">
      <c r="A19">
        <v>5</v>
      </c>
      <c r="B19">
        <f t="shared" si="0"/>
        <v>2</v>
      </c>
      <c r="C19">
        <f t="shared" si="1"/>
        <v>3</v>
      </c>
      <c r="D19">
        <v>5501035</v>
      </c>
      <c r="E19">
        <v>1</v>
      </c>
      <c r="F19">
        <v>1</v>
      </c>
    </row>
    <row r="20" spans="1:6">
      <c r="A20">
        <v>5</v>
      </c>
      <c r="B20">
        <f t="shared" si="0"/>
        <v>2</v>
      </c>
      <c r="C20">
        <f t="shared" si="1"/>
        <v>4</v>
      </c>
      <c r="D20">
        <v>5501045</v>
      </c>
      <c r="E20">
        <v>1</v>
      </c>
      <c r="F20">
        <v>1</v>
      </c>
    </row>
    <row r="21" spans="1:6">
      <c r="A21">
        <v>5</v>
      </c>
      <c r="B21">
        <f t="shared" si="0"/>
        <v>2</v>
      </c>
      <c r="C21">
        <f t="shared" si="1"/>
        <v>5</v>
      </c>
      <c r="D21">
        <v>5501055</v>
      </c>
      <c r="E21">
        <v>1</v>
      </c>
      <c r="F21">
        <v>1</v>
      </c>
    </row>
    <row r="22" spans="1:6">
      <c r="A22">
        <v>5</v>
      </c>
      <c r="B22">
        <f t="shared" si="0"/>
        <v>3</v>
      </c>
      <c r="C22">
        <f t="shared" si="1"/>
        <v>1</v>
      </c>
      <c r="D22">
        <v>5501015</v>
      </c>
      <c r="E22">
        <v>1</v>
      </c>
      <c r="F22">
        <v>1</v>
      </c>
    </row>
    <row r="23" spans="1:6">
      <c r="A23">
        <v>5</v>
      </c>
      <c r="B23">
        <f t="shared" si="0"/>
        <v>3</v>
      </c>
      <c r="C23">
        <f t="shared" si="1"/>
        <v>2</v>
      </c>
      <c r="D23">
        <v>5501025</v>
      </c>
      <c r="E23">
        <v>1</v>
      </c>
      <c r="F23">
        <v>1</v>
      </c>
    </row>
    <row r="24" spans="1:6">
      <c r="A24">
        <v>5</v>
      </c>
      <c r="B24">
        <f t="shared" si="0"/>
        <v>3</v>
      </c>
      <c r="C24">
        <f t="shared" si="1"/>
        <v>3</v>
      </c>
      <c r="D24">
        <v>5501035</v>
      </c>
      <c r="E24">
        <v>1</v>
      </c>
      <c r="F24">
        <v>1</v>
      </c>
    </row>
    <row r="25" spans="1:6">
      <c r="A25">
        <v>5</v>
      </c>
      <c r="B25">
        <f t="shared" si="0"/>
        <v>3</v>
      </c>
      <c r="C25">
        <f t="shared" si="1"/>
        <v>4</v>
      </c>
      <c r="D25">
        <v>5501045</v>
      </c>
      <c r="E25">
        <v>1</v>
      </c>
      <c r="F25">
        <v>1</v>
      </c>
    </row>
    <row r="26" spans="1:6">
      <c r="A26">
        <v>5</v>
      </c>
      <c r="B26">
        <f t="shared" si="0"/>
        <v>3</v>
      </c>
      <c r="C26">
        <f t="shared" si="1"/>
        <v>5</v>
      </c>
      <c r="D26">
        <v>5501055</v>
      </c>
      <c r="E26">
        <v>1</v>
      </c>
      <c r="F26">
        <v>1</v>
      </c>
    </row>
    <row r="27" spans="1:6">
      <c r="A27">
        <v>5</v>
      </c>
      <c r="B27">
        <f t="shared" si="0"/>
        <v>4</v>
      </c>
      <c r="C27">
        <f t="shared" si="1"/>
        <v>1</v>
      </c>
      <c r="D27">
        <v>5501015</v>
      </c>
      <c r="E27">
        <v>1</v>
      </c>
      <c r="F27">
        <v>1</v>
      </c>
    </row>
    <row r="28" spans="1:6">
      <c r="A28">
        <v>5</v>
      </c>
      <c r="B28">
        <f t="shared" si="0"/>
        <v>4</v>
      </c>
      <c r="C28">
        <f t="shared" si="1"/>
        <v>2</v>
      </c>
      <c r="D28">
        <v>5501025</v>
      </c>
      <c r="E28">
        <v>1</v>
      </c>
      <c r="F28">
        <v>1</v>
      </c>
    </row>
    <row r="29" spans="1:6">
      <c r="A29">
        <v>5</v>
      </c>
      <c r="B29">
        <f t="shared" si="0"/>
        <v>4</v>
      </c>
      <c r="C29">
        <f t="shared" si="1"/>
        <v>3</v>
      </c>
      <c r="D29">
        <v>5501035</v>
      </c>
      <c r="E29">
        <v>1</v>
      </c>
      <c r="F29">
        <v>1</v>
      </c>
    </row>
    <row r="30" spans="1:6">
      <c r="A30">
        <v>5</v>
      </c>
      <c r="B30">
        <f t="shared" si="0"/>
        <v>4</v>
      </c>
      <c r="C30">
        <f t="shared" si="1"/>
        <v>4</v>
      </c>
      <c r="D30">
        <v>5501045</v>
      </c>
      <c r="E30">
        <v>1</v>
      </c>
      <c r="F30">
        <v>1</v>
      </c>
    </row>
    <row r="31" spans="1:6">
      <c r="A31">
        <v>5</v>
      </c>
      <c r="B31">
        <f t="shared" si="0"/>
        <v>4</v>
      </c>
      <c r="C31">
        <f t="shared" si="1"/>
        <v>5</v>
      </c>
      <c r="D31">
        <v>5501055</v>
      </c>
      <c r="E31">
        <v>1</v>
      </c>
      <c r="F31">
        <v>1</v>
      </c>
    </row>
    <row r="32" spans="1:6">
      <c r="A32">
        <v>5</v>
      </c>
      <c r="B32">
        <f t="shared" si="0"/>
        <v>5</v>
      </c>
      <c r="C32">
        <f t="shared" si="1"/>
        <v>1</v>
      </c>
      <c r="D32">
        <v>5501015</v>
      </c>
      <c r="E32">
        <v>1</v>
      </c>
      <c r="F32">
        <v>1</v>
      </c>
    </row>
    <row r="33" spans="1:6">
      <c r="A33">
        <v>5</v>
      </c>
      <c r="B33">
        <f t="shared" si="0"/>
        <v>5</v>
      </c>
      <c r="C33">
        <f t="shared" si="1"/>
        <v>2</v>
      </c>
      <c r="D33">
        <v>5501025</v>
      </c>
      <c r="E33">
        <v>1</v>
      </c>
      <c r="F33">
        <v>1</v>
      </c>
    </row>
    <row r="34" spans="1:6">
      <c r="A34">
        <v>5</v>
      </c>
      <c r="B34">
        <f t="shared" si="0"/>
        <v>5</v>
      </c>
      <c r="C34">
        <f t="shared" si="1"/>
        <v>3</v>
      </c>
      <c r="D34">
        <v>5501035</v>
      </c>
      <c r="E34">
        <v>1</v>
      </c>
      <c r="F34">
        <v>1</v>
      </c>
    </row>
    <row r="35" spans="1:6">
      <c r="A35">
        <v>5</v>
      </c>
      <c r="B35">
        <f t="shared" si="0"/>
        <v>5</v>
      </c>
      <c r="C35">
        <f t="shared" si="1"/>
        <v>4</v>
      </c>
      <c r="D35">
        <v>5501045</v>
      </c>
      <c r="E35">
        <v>1</v>
      </c>
      <c r="F35">
        <v>1</v>
      </c>
    </row>
    <row r="36" spans="1:6">
      <c r="A36">
        <v>5</v>
      </c>
      <c r="B36">
        <f t="shared" si="0"/>
        <v>5</v>
      </c>
      <c r="C36">
        <f t="shared" si="1"/>
        <v>5</v>
      </c>
      <c r="D36">
        <v>5501055</v>
      </c>
      <c r="E36">
        <v>1</v>
      </c>
      <c r="F36">
        <v>1</v>
      </c>
    </row>
    <row r="37" spans="1:6">
      <c r="A37">
        <v>5</v>
      </c>
      <c r="B37">
        <f t="shared" si="0"/>
        <v>6</v>
      </c>
      <c r="C37">
        <f t="shared" si="1"/>
        <v>1</v>
      </c>
      <c r="D37">
        <v>5501015</v>
      </c>
      <c r="E37">
        <v>1</v>
      </c>
      <c r="F37">
        <v>1</v>
      </c>
    </row>
    <row r="38" spans="1:6">
      <c r="A38">
        <v>5</v>
      </c>
      <c r="B38">
        <f t="shared" si="0"/>
        <v>6</v>
      </c>
      <c r="C38">
        <f t="shared" si="1"/>
        <v>2</v>
      </c>
      <c r="D38">
        <v>5501025</v>
      </c>
      <c r="E38">
        <v>1</v>
      </c>
      <c r="F38">
        <v>1</v>
      </c>
    </row>
    <row r="39" spans="1:6">
      <c r="A39">
        <v>5</v>
      </c>
      <c r="B39">
        <f t="shared" si="0"/>
        <v>6</v>
      </c>
      <c r="C39">
        <f t="shared" si="1"/>
        <v>3</v>
      </c>
      <c r="D39">
        <v>5501035</v>
      </c>
      <c r="E39">
        <v>2</v>
      </c>
      <c r="F39">
        <v>1</v>
      </c>
    </row>
    <row r="40" spans="1:6">
      <c r="A40">
        <v>5</v>
      </c>
      <c r="B40">
        <f t="shared" si="0"/>
        <v>6</v>
      </c>
      <c r="C40">
        <f t="shared" si="1"/>
        <v>4</v>
      </c>
      <c r="D40">
        <v>5501045</v>
      </c>
      <c r="E40">
        <v>1</v>
      </c>
      <c r="F40">
        <v>1</v>
      </c>
    </row>
    <row r="41" spans="1:6">
      <c r="A41">
        <v>5</v>
      </c>
      <c r="B41">
        <f t="shared" si="0"/>
        <v>6</v>
      </c>
      <c r="C41">
        <f t="shared" si="1"/>
        <v>5</v>
      </c>
      <c r="D41">
        <v>5501055</v>
      </c>
      <c r="E41">
        <v>1</v>
      </c>
      <c r="F41">
        <v>1</v>
      </c>
    </row>
    <row r="883" ht="33" spans="1:5">
      <c r="A883" s="3" t="s">
        <v>1170</v>
      </c>
      <c r="B883" s="3" t="s">
        <v>84</v>
      </c>
      <c r="C883" s="3" t="s">
        <v>1178</v>
      </c>
      <c r="D883" s="3" t="s">
        <v>1179</v>
      </c>
      <c r="E883" s="3" t="s">
        <v>1180</v>
      </c>
    </row>
    <row r="884" ht="33" spans="1:5">
      <c r="A884" s="3" t="s">
        <v>120</v>
      </c>
      <c r="B884" s="3" t="s">
        <v>150</v>
      </c>
      <c r="C884" s="3" t="s">
        <v>1181</v>
      </c>
      <c r="D884" s="3" t="s">
        <v>1182</v>
      </c>
      <c r="E884" s="3" t="s">
        <v>157</v>
      </c>
    </row>
    <row r="885" spans="1:5">
      <c r="A885">
        <v>5</v>
      </c>
      <c r="B885">
        <v>1</v>
      </c>
      <c r="C885">
        <v>0</v>
      </c>
      <c r="D885">
        <v>19</v>
      </c>
    </row>
    <row r="886" ht="14.25" spans="1:5">
      <c r="A886">
        <v>5</v>
      </c>
      <c r="B886">
        <v>2</v>
      </c>
      <c r="C886">
        <v>2</v>
      </c>
      <c r="D886">
        <v>11</v>
      </c>
      <c r="E886" s="5"/>
    </row>
    <row r="887" spans="1:5">
      <c r="A887">
        <v>5</v>
      </c>
      <c r="B887">
        <v>3</v>
      </c>
      <c r="C887">
        <v>1</v>
      </c>
      <c r="D887">
        <v>10</v>
      </c>
    </row>
    <row r="888" spans="1:5">
      <c r="A888">
        <v>5</v>
      </c>
      <c r="B888">
        <v>4</v>
      </c>
      <c r="C888">
        <v>6</v>
      </c>
      <c r="D888">
        <v>6</v>
      </c>
    </row>
    <row r="889" spans="1:5">
      <c r="A889">
        <v>5</v>
      </c>
      <c r="B889">
        <v>8</v>
      </c>
      <c r="C889">
        <v>27</v>
      </c>
      <c r="D889">
        <v>27</v>
      </c>
    </row>
    <row r="890" spans="1:5">
      <c r="A890">
        <v>5</v>
      </c>
      <c r="B890">
        <v>5</v>
      </c>
      <c r="C890">
        <v>27</v>
      </c>
      <c r="D890">
        <v>27</v>
      </c>
    </row>
    <row r="891" spans="1:5">
      <c r="A891">
        <v>5</v>
      </c>
      <c r="B891">
        <v>6</v>
      </c>
      <c r="C891">
        <v>27</v>
      </c>
      <c r="D891">
        <v>27</v>
      </c>
    </row>
    <row r="892" spans="1:5">
      <c r="A892">
        <v>5</v>
      </c>
      <c r="B892">
        <v>7</v>
      </c>
      <c r="C892">
        <v>7</v>
      </c>
      <c r="D892">
        <v>7</v>
      </c>
    </row>
    <row r="896" ht="16.5" spans="1:5">
      <c r="A896" s="3" t="s">
        <v>1183</v>
      </c>
      <c r="B896" s="3" t="s">
        <v>1171</v>
      </c>
      <c r="C896" s="3" t="s">
        <v>85</v>
      </c>
    </row>
    <row r="897" ht="16.5" spans="1:3">
      <c r="A897" s="3" t="s">
        <v>120</v>
      </c>
      <c r="B897" s="3" t="s">
        <v>1175</v>
      </c>
      <c r="C897" s="3" t="s">
        <v>1184</v>
      </c>
    </row>
    <row r="898" spans="1:3">
      <c r="A898" s="4">
        <v>5</v>
      </c>
      <c r="B898" s="4">
        <v>1</v>
      </c>
      <c r="C898" s="4">
        <v>10</v>
      </c>
    </row>
    <row r="899" spans="1:3">
      <c r="A899" s="4">
        <v>5</v>
      </c>
      <c r="B899" s="4">
        <v>2</v>
      </c>
      <c r="C899" s="4">
        <v>10</v>
      </c>
    </row>
    <row r="900" spans="1:3">
      <c r="A900" s="4">
        <v>5</v>
      </c>
      <c r="B900" s="4">
        <v>3</v>
      </c>
      <c r="C900" s="4">
        <v>10</v>
      </c>
    </row>
    <row r="901" spans="1:3">
      <c r="A901" s="4">
        <v>5</v>
      </c>
      <c r="B901" s="4">
        <v>4</v>
      </c>
      <c r="C901" s="4">
        <v>10</v>
      </c>
    </row>
    <row r="902" spans="1:3">
      <c r="A902" s="4">
        <v>5</v>
      </c>
      <c r="B902" s="4">
        <v>5</v>
      </c>
      <c r="C902" s="4">
        <v>10</v>
      </c>
    </row>
    <row r="903" spans="1:3">
      <c r="A903" s="4">
        <v>5</v>
      </c>
      <c r="B903" s="4">
        <v>6</v>
      </c>
      <c r="C903" s="4">
        <v>10</v>
      </c>
    </row>
  </sheetData>
  <pageMargins left="0.75" right="0.75" top="1" bottom="1" header="0.5" footer="0.5"/>
  <headerFooter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G5:L130"/>
  <sheetViews>
    <sheetView workbookViewId="0">
      <selection activeCell="I31" sqref="I31"/>
    </sheetView>
  </sheetViews>
  <sheetFormatPr defaultColWidth="9" defaultRowHeight="13.5"/>
  <cols>
    <col min="8" max="9" width="12.625"/>
  </cols>
  <sheetData>
    <row r="5" spans="7:12">
      <c r="I5">
        <f>1/H7</f>
        <v>0.0157736753008561</v>
      </c>
    </row>
    <row r="7" spans="7:12">
      <c r="H7" cm="1">
        <f t="array" ref="H7">SUMPRODUCT(H9:H108,G9:G108)</f>
        <v>63.396765872677</v>
      </c>
    </row>
    <row r="9" spans="7:12">
      <c r="G9">
        <v>1</v>
      </c>
      <c r="H9" s="1">
        <v>0.01</v>
      </c>
      <c r="I9">
        <f>1-H9</f>
        <v>0.99</v>
      </c>
    </row>
    <row r="10" spans="7:12">
      <c r="G10">
        <v>2</v>
      </c>
      <c r="H10">
        <f>I9*$H$9</f>
        <v>0.0099</v>
      </c>
      <c r="I10">
        <f>1-SUM($H$9:H10)</f>
        <v>0.9801</v>
      </c>
    </row>
    <row r="11" spans="7:12">
      <c r="G11">
        <v>3</v>
      </c>
      <c r="H11">
        <f t="shared" ref="H11:H42" si="0">I10*$H$9</f>
        <v>0.009801</v>
      </c>
      <c r="I11">
        <f>1-SUM($H$9:H11)</f>
        <v>0.970299</v>
      </c>
    </row>
    <row r="12" spans="7:12">
      <c r="G12">
        <v>4</v>
      </c>
      <c r="H12">
        <f t="shared" si="0"/>
        <v>0.00970299</v>
      </c>
      <c r="I12">
        <f>1-SUM($H$9:H12)</f>
        <v>0.96059601</v>
      </c>
    </row>
    <row r="13" spans="7:12">
      <c r="G13">
        <v>5</v>
      </c>
      <c r="H13">
        <f t="shared" si="0"/>
        <v>0.0096059601</v>
      </c>
      <c r="I13">
        <f>1-SUM($H$9:H13)</f>
        <v>0.9509900499</v>
      </c>
    </row>
    <row r="14" spans="7:12">
      <c r="G14">
        <v>6</v>
      </c>
      <c r="H14">
        <f t="shared" si="0"/>
        <v>0.009509900499</v>
      </c>
      <c r="I14">
        <f>1-SUM($H$9:H14)</f>
        <v>0.941480149401</v>
      </c>
    </row>
    <row r="15" spans="7:12">
      <c r="G15">
        <v>7</v>
      </c>
      <c r="H15">
        <f t="shared" si="0"/>
        <v>0.00941480149401</v>
      </c>
      <c r="I15">
        <f>1-SUM($H$9:H15)</f>
        <v>0.93206534790699</v>
      </c>
      <c r="L15">
        <f>700*20*60</f>
        <v>840000</v>
      </c>
    </row>
    <row r="16" spans="7:12">
      <c r="G16">
        <v>8</v>
      </c>
      <c r="H16">
        <f t="shared" si="0"/>
        <v>0.0093206534790699</v>
      </c>
      <c r="I16">
        <f>1-SUM($H$9:H16)</f>
        <v>0.92274469442792</v>
      </c>
    </row>
    <row r="17" spans="7:12">
      <c r="G17">
        <v>9</v>
      </c>
      <c r="H17">
        <f t="shared" si="0"/>
        <v>0.0092274469442792</v>
      </c>
      <c r="I17">
        <f>1-SUM($H$9:H17)</f>
        <v>0.913517247483641</v>
      </c>
    </row>
    <row r="18" spans="7:12">
      <c r="G18">
        <v>10</v>
      </c>
      <c r="H18">
        <f t="shared" si="0"/>
        <v>0.00913517247483641</v>
      </c>
      <c r="I18">
        <f>1-SUM($H$9:H18)</f>
        <v>0.904382075008805</v>
      </c>
    </row>
    <row r="19" spans="7:12">
      <c r="G19">
        <v>11</v>
      </c>
      <c r="H19">
        <f t="shared" si="0"/>
        <v>0.00904382075008804</v>
      </c>
      <c r="I19">
        <f>1-SUM($H$9:H19)</f>
        <v>0.895338254258716</v>
      </c>
    </row>
    <row r="20" spans="7:12">
      <c r="G20">
        <v>12</v>
      </c>
      <c r="H20">
        <f t="shared" si="0"/>
        <v>0.00895338254258717</v>
      </c>
      <c r="I20">
        <f>1-SUM($H$9:H20)</f>
        <v>0.886384871716129</v>
      </c>
    </row>
    <row r="21" spans="7:12">
      <c r="G21">
        <v>13</v>
      </c>
      <c r="H21">
        <f t="shared" si="0"/>
        <v>0.00886384871716129</v>
      </c>
      <c r="I21">
        <f>1-SUM($H$9:H21)</f>
        <v>0.877521022998968</v>
      </c>
    </row>
    <row r="22" spans="7:12">
      <c r="G22">
        <v>14</v>
      </c>
      <c r="H22">
        <f t="shared" si="0"/>
        <v>0.00877521022998968</v>
      </c>
      <c r="I22">
        <f>1-SUM($H$9:H22)</f>
        <v>0.868745812768978</v>
      </c>
    </row>
    <row r="23" spans="7:12">
      <c r="G23">
        <v>15</v>
      </c>
      <c r="H23">
        <f t="shared" si="0"/>
        <v>0.00868745812768978</v>
      </c>
      <c r="I23">
        <f>1-SUM($H$9:H23)</f>
        <v>0.860058354641289</v>
      </c>
    </row>
    <row r="24" spans="7:12">
      <c r="G24">
        <v>16</v>
      </c>
      <c r="H24">
        <f t="shared" si="0"/>
        <v>0.00860058354641289</v>
      </c>
      <c r="I24">
        <f>1-SUM($H$9:H24)</f>
        <v>0.851457771094876</v>
      </c>
      <c r="L24">
        <f>84/0.42</f>
        <v>200</v>
      </c>
    </row>
    <row r="25" spans="7:12">
      <c r="G25">
        <v>17</v>
      </c>
      <c r="H25">
        <f t="shared" si="0"/>
        <v>0.00851457771094876</v>
      </c>
      <c r="I25">
        <f>1-SUM($H$9:H25)</f>
        <v>0.842943193383927</v>
      </c>
    </row>
    <row r="26" spans="7:12">
      <c r="G26">
        <v>18</v>
      </c>
      <c r="H26">
        <f t="shared" si="0"/>
        <v>0.00842943193383927</v>
      </c>
      <c r="I26">
        <f>1-SUM($H$9:H26)</f>
        <v>0.834513761450088</v>
      </c>
    </row>
    <row r="27" spans="7:12">
      <c r="G27">
        <v>19</v>
      </c>
      <c r="H27">
        <f t="shared" si="0"/>
        <v>0.00834513761450088</v>
      </c>
      <c r="I27">
        <f>1-SUM($H$9:H27)</f>
        <v>0.826168623835587</v>
      </c>
    </row>
    <row r="28" spans="7:12">
      <c r="G28">
        <v>20</v>
      </c>
      <c r="H28">
        <f t="shared" si="0"/>
        <v>0.00826168623835587</v>
      </c>
      <c r="I28">
        <f>1-SUM($H$9:H28)</f>
        <v>0.817906937597231</v>
      </c>
    </row>
    <row r="29" spans="7:12">
      <c r="G29">
        <v>21</v>
      </c>
      <c r="H29">
        <f t="shared" si="0"/>
        <v>0.00817906937597231</v>
      </c>
      <c r="I29">
        <f>1-SUM($H$9:H29)</f>
        <v>0.809727868221259</v>
      </c>
    </row>
    <row r="30" spans="7:12">
      <c r="G30">
        <v>22</v>
      </c>
      <c r="H30">
        <f t="shared" si="0"/>
        <v>0.00809727868221259</v>
      </c>
      <c r="I30">
        <f>1-SUM($H$9:H30)</f>
        <v>0.801630589539046</v>
      </c>
    </row>
    <row r="31" spans="7:12">
      <c r="G31">
        <v>23</v>
      </c>
      <c r="H31">
        <f t="shared" si="0"/>
        <v>0.00801630589539046</v>
      </c>
      <c r="I31">
        <f>1-SUM($H$9:H31)</f>
        <v>0.793614283643655</v>
      </c>
    </row>
    <row r="32" spans="7:12">
      <c r="G32">
        <v>24</v>
      </c>
      <c r="H32">
        <f t="shared" si="0"/>
        <v>0.00793614283643656</v>
      </c>
      <c r="I32">
        <f>1-SUM($H$9:H32)</f>
        <v>0.785678140807219</v>
      </c>
    </row>
    <row r="33" spans="7:9">
      <c r="G33">
        <v>25</v>
      </c>
      <c r="H33">
        <f t="shared" si="0"/>
        <v>0.00785678140807219</v>
      </c>
      <c r="I33">
        <f>1-SUM($H$9:H33)</f>
        <v>0.777821359399147</v>
      </c>
    </row>
    <row r="34" spans="7:9">
      <c r="G34">
        <v>26</v>
      </c>
      <c r="H34">
        <f t="shared" si="0"/>
        <v>0.00777821359399147</v>
      </c>
      <c r="I34">
        <f>1-SUM($H$9:H34)</f>
        <v>0.770043145805155</v>
      </c>
    </row>
    <row r="35" spans="7:9">
      <c r="G35">
        <v>27</v>
      </c>
      <c r="H35">
        <f t="shared" si="0"/>
        <v>0.00770043145805155</v>
      </c>
      <c r="I35">
        <f>1-SUM($H$9:H35)</f>
        <v>0.762342714347104</v>
      </c>
    </row>
    <row r="36" spans="7:9">
      <c r="G36">
        <v>28</v>
      </c>
      <c r="H36">
        <f t="shared" si="0"/>
        <v>0.00762342714347104</v>
      </c>
      <c r="I36">
        <f>1-SUM($H$9:H36)</f>
        <v>0.754719287203633</v>
      </c>
    </row>
    <row r="37" spans="7:9">
      <c r="G37">
        <v>29</v>
      </c>
      <c r="H37">
        <f t="shared" si="0"/>
        <v>0.00754719287203633</v>
      </c>
      <c r="I37">
        <f>1-SUM($H$9:H37)</f>
        <v>0.747172094331596</v>
      </c>
    </row>
    <row r="38" spans="7:9">
      <c r="G38">
        <v>30</v>
      </c>
      <c r="H38">
        <f t="shared" si="0"/>
        <v>0.00747172094331596</v>
      </c>
      <c r="I38">
        <f>1-SUM($H$9:H38)</f>
        <v>0.73970037338828</v>
      </c>
    </row>
    <row r="39" spans="7:9">
      <c r="G39">
        <v>31</v>
      </c>
      <c r="H39">
        <f t="shared" si="0"/>
        <v>0.0073970037338828</v>
      </c>
      <c r="I39">
        <f>1-SUM($H$9:H39)</f>
        <v>0.732303369654398</v>
      </c>
    </row>
    <row r="40" spans="7:9">
      <c r="G40">
        <v>32</v>
      </c>
      <c r="H40">
        <f t="shared" si="0"/>
        <v>0.00732303369654398</v>
      </c>
      <c r="I40">
        <f>1-SUM($H$9:H40)</f>
        <v>0.724980335957854</v>
      </c>
    </row>
    <row r="41" spans="7:9">
      <c r="G41">
        <v>33</v>
      </c>
      <c r="H41">
        <f t="shared" si="0"/>
        <v>0.00724980335957854</v>
      </c>
      <c r="I41">
        <f>1-SUM($H$9:H41)</f>
        <v>0.717730532598275</v>
      </c>
    </row>
    <row r="42" spans="7:9">
      <c r="G42">
        <v>34</v>
      </c>
      <c r="H42">
        <f t="shared" si="0"/>
        <v>0.00717730532598275</v>
      </c>
      <c r="I42">
        <f>1-SUM($H$9:H42)</f>
        <v>0.710553227272292</v>
      </c>
    </row>
    <row r="43" spans="7:9">
      <c r="G43">
        <v>35</v>
      </c>
      <c r="H43">
        <f t="shared" ref="H43:H74" si="1">I42*$H$9</f>
        <v>0.00710553227272292</v>
      </c>
      <c r="I43">
        <f>1-SUM($H$9:H43)</f>
        <v>0.703447694999569</v>
      </c>
    </row>
    <row r="44" spans="7:9">
      <c r="G44">
        <v>36</v>
      </c>
      <c r="H44">
        <f t="shared" si="1"/>
        <v>0.00703447694999569</v>
      </c>
      <c r="I44">
        <f>1-SUM($H$9:H44)</f>
        <v>0.696413218049574</v>
      </c>
    </row>
    <row r="45" spans="7:9">
      <c r="G45">
        <v>37</v>
      </c>
      <c r="H45">
        <f t="shared" si="1"/>
        <v>0.00696413218049574</v>
      </c>
      <c r="I45">
        <f>1-SUM($H$9:H45)</f>
        <v>0.689449085869078</v>
      </c>
    </row>
    <row r="46" spans="7:9">
      <c r="G46">
        <v>38</v>
      </c>
      <c r="H46">
        <f t="shared" si="1"/>
        <v>0.00689449085869078</v>
      </c>
      <c r="I46">
        <f>1-SUM($H$9:H46)</f>
        <v>0.682554595010387</v>
      </c>
    </row>
    <row r="47" spans="7:9">
      <c r="G47">
        <v>39</v>
      </c>
      <c r="H47">
        <f t="shared" si="1"/>
        <v>0.00682554595010387</v>
      </c>
      <c r="I47">
        <f>1-SUM($H$9:H47)</f>
        <v>0.675729049060283</v>
      </c>
    </row>
    <row r="48" spans="7:9">
      <c r="G48">
        <v>40</v>
      </c>
      <c r="H48">
        <f t="shared" si="1"/>
        <v>0.00675729049060283</v>
      </c>
      <c r="I48">
        <f>1-SUM($H$9:H48)</f>
        <v>0.668971758569681</v>
      </c>
    </row>
    <row r="49" spans="7:9">
      <c r="G49">
        <v>41</v>
      </c>
      <c r="H49">
        <f t="shared" si="1"/>
        <v>0.00668971758569681</v>
      </c>
      <c r="I49">
        <f>1-SUM($H$9:H49)</f>
        <v>0.662282040983984</v>
      </c>
    </row>
    <row r="50" spans="7:9">
      <c r="G50">
        <v>42</v>
      </c>
      <c r="H50">
        <f t="shared" si="1"/>
        <v>0.00662282040983984</v>
      </c>
      <c r="I50">
        <f>1-SUM($H$9:H50)</f>
        <v>0.655659220574144</v>
      </c>
    </row>
    <row r="51" spans="7:9">
      <c r="G51">
        <v>43</v>
      </c>
      <c r="H51">
        <f t="shared" si="1"/>
        <v>0.00655659220574144</v>
      </c>
      <c r="I51">
        <f>1-SUM($H$9:H51)</f>
        <v>0.649102628368402</v>
      </c>
    </row>
    <row r="52" spans="7:9">
      <c r="G52">
        <v>44</v>
      </c>
      <c r="H52">
        <f t="shared" si="1"/>
        <v>0.00649102628368402</v>
      </c>
      <c r="I52">
        <f>1-SUM($H$9:H52)</f>
        <v>0.642611602084718</v>
      </c>
    </row>
    <row r="53" spans="7:9">
      <c r="G53">
        <v>45</v>
      </c>
      <c r="H53">
        <f t="shared" si="1"/>
        <v>0.00642611602084718</v>
      </c>
      <c r="I53">
        <f>1-SUM($H$9:H53)</f>
        <v>0.636185486063871</v>
      </c>
    </row>
    <row r="54" spans="7:9">
      <c r="G54">
        <v>46</v>
      </c>
      <c r="H54">
        <f t="shared" si="1"/>
        <v>0.00636185486063871</v>
      </c>
      <c r="I54">
        <f>1-SUM($H$9:H54)</f>
        <v>0.629823631203232</v>
      </c>
    </row>
    <row r="55" spans="7:9">
      <c r="G55">
        <v>47</v>
      </c>
      <c r="H55">
        <f t="shared" si="1"/>
        <v>0.00629823631203232</v>
      </c>
      <c r="I55">
        <f>1-SUM($H$9:H55)</f>
        <v>0.6235253948912</v>
      </c>
    </row>
    <row r="56" spans="7:9">
      <c r="G56">
        <v>48</v>
      </c>
      <c r="H56">
        <f t="shared" si="1"/>
        <v>0.006235253948912</v>
      </c>
      <c r="I56">
        <f>1-SUM($H$9:H56)</f>
        <v>0.617290140942288</v>
      </c>
    </row>
    <row r="57" spans="7:9">
      <c r="G57">
        <v>49</v>
      </c>
      <c r="H57">
        <f t="shared" si="1"/>
        <v>0.00617290140942288</v>
      </c>
      <c r="I57">
        <f>1-SUM($H$9:H57)</f>
        <v>0.611117239532865</v>
      </c>
    </row>
    <row r="58" spans="7:9">
      <c r="G58">
        <v>50</v>
      </c>
      <c r="H58">
        <f t="shared" si="1"/>
        <v>0.00611117239532865</v>
      </c>
      <c r="I58">
        <f>1-SUM($H$9:H58)</f>
        <v>0.605006067137537</v>
      </c>
    </row>
    <row r="59" spans="7:9">
      <c r="G59">
        <v>51</v>
      </c>
      <c r="H59">
        <f t="shared" si="1"/>
        <v>0.00605006067137537</v>
      </c>
      <c r="I59">
        <f>1-SUM($H$9:H59)</f>
        <v>0.598956006466161</v>
      </c>
    </row>
    <row r="60" spans="7:9">
      <c r="G60">
        <v>52</v>
      </c>
      <c r="H60">
        <f t="shared" si="1"/>
        <v>0.00598956006466161</v>
      </c>
      <c r="I60">
        <f>1-SUM($H$9:H60)</f>
        <v>0.5929664464015</v>
      </c>
    </row>
    <row r="61" spans="7:9">
      <c r="G61">
        <v>53</v>
      </c>
      <c r="H61">
        <f t="shared" si="1"/>
        <v>0.005929664464015</v>
      </c>
      <c r="I61">
        <f>1-SUM($H$9:H61)</f>
        <v>0.587036781937485</v>
      </c>
    </row>
    <row r="62" spans="7:9">
      <c r="G62">
        <v>54</v>
      </c>
      <c r="H62">
        <f t="shared" si="1"/>
        <v>0.00587036781937485</v>
      </c>
      <c r="I62">
        <f>1-SUM($H$9:H62)</f>
        <v>0.58116641411811</v>
      </c>
    </row>
    <row r="63" spans="7:9">
      <c r="G63">
        <v>55</v>
      </c>
      <c r="H63">
        <f t="shared" si="1"/>
        <v>0.0058116641411811</v>
      </c>
      <c r="I63">
        <f>1-SUM($H$9:H63)</f>
        <v>0.575354749976929</v>
      </c>
    </row>
    <row r="64" spans="7:9">
      <c r="G64">
        <v>56</v>
      </c>
      <c r="H64">
        <f t="shared" si="1"/>
        <v>0.00575354749976929</v>
      </c>
      <c r="I64">
        <f>1-SUM($H$9:H64)</f>
        <v>0.569601202477159</v>
      </c>
    </row>
    <row r="65" spans="7:9">
      <c r="G65">
        <v>57</v>
      </c>
      <c r="H65">
        <f t="shared" si="1"/>
        <v>0.00569601202477159</v>
      </c>
      <c r="I65">
        <f>1-SUM($H$9:H65)</f>
        <v>0.563905190452388</v>
      </c>
    </row>
    <row r="66" spans="7:9">
      <c r="G66">
        <v>58</v>
      </c>
      <c r="H66">
        <f t="shared" si="1"/>
        <v>0.00563905190452388</v>
      </c>
      <c r="I66">
        <f>1-SUM($H$9:H66)</f>
        <v>0.558266138547864</v>
      </c>
    </row>
    <row r="67" spans="7:9">
      <c r="G67">
        <v>59</v>
      </c>
      <c r="H67">
        <f t="shared" si="1"/>
        <v>0.00558266138547864</v>
      </c>
      <c r="I67">
        <f>1-SUM($H$9:H67)</f>
        <v>0.552683477162385</v>
      </c>
    </row>
    <row r="68" spans="7:9">
      <c r="G68">
        <v>60</v>
      </c>
      <c r="H68">
        <f t="shared" si="1"/>
        <v>0.00552683477162385</v>
      </c>
      <c r="I68">
        <f>1-SUM($H$9:H68)</f>
        <v>0.547156642390761</v>
      </c>
    </row>
    <row r="69" spans="7:9">
      <c r="G69">
        <v>61</v>
      </c>
      <c r="H69">
        <f t="shared" si="1"/>
        <v>0.00547156642390761</v>
      </c>
      <c r="I69">
        <f>1-SUM($H$9:H69)</f>
        <v>0.541685075966854</v>
      </c>
    </row>
    <row r="70" spans="7:9">
      <c r="G70">
        <v>62</v>
      </c>
      <c r="H70">
        <f t="shared" si="1"/>
        <v>0.00541685075966854</v>
      </c>
      <c r="I70">
        <f>1-SUM($H$9:H70)</f>
        <v>0.536268225207185</v>
      </c>
    </row>
    <row r="71" spans="7:9">
      <c r="G71">
        <v>63</v>
      </c>
      <c r="H71">
        <f t="shared" si="1"/>
        <v>0.00536268225207185</v>
      </c>
      <c r="I71">
        <f>1-SUM($H$9:H71)</f>
        <v>0.530905542955113</v>
      </c>
    </row>
    <row r="72" spans="7:9">
      <c r="G72">
        <v>64</v>
      </c>
      <c r="H72">
        <f t="shared" si="1"/>
        <v>0.00530905542955114</v>
      </c>
      <c r="I72">
        <f>1-SUM($H$9:H72)</f>
        <v>0.525596487525562</v>
      </c>
    </row>
    <row r="73" spans="7:9">
      <c r="G73">
        <v>65</v>
      </c>
      <c r="H73">
        <f t="shared" si="1"/>
        <v>0.00525596487525562</v>
      </c>
      <c r="I73">
        <f>1-SUM($H$9:H73)</f>
        <v>0.520340522650307</v>
      </c>
    </row>
    <row r="74" spans="7:9">
      <c r="G74">
        <v>66</v>
      </c>
      <c r="H74">
        <f t="shared" si="1"/>
        <v>0.00520340522650307</v>
      </c>
      <c r="I74">
        <f>1-SUM($H$9:H74)</f>
        <v>0.515137117423804</v>
      </c>
    </row>
    <row r="75" spans="7:9">
      <c r="G75">
        <v>67</v>
      </c>
      <c r="H75">
        <f t="shared" ref="H75:H106" si="2">I74*$H$9</f>
        <v>0.00515137117423804</v>
      </c>
      <c r="I75">
        <f>1-SUM($H$9:H75)</f>
        <v>0.509985746249566</v>
      </c>
    </row>
    <row r="76" spans="7:9">
      <c r="G76">
        <v>68</v>
      </c>
      <c r="H76">
        <f t="shared" si="2"/>
        <v>0.00509985746249566</v>
      </c>
      <c r="I76">
        <f>1-SUM($H$9:H76)</f>
        <v>0.50488588878707</v>
      </c>
    </row>
    <row r="77" spans="7:9">
      <c r="G77">
        <v>69</v>
      </c>
      <c r="H77">
        <f t="shared" si="2"/>
        <v>0.0050488588878707</v>
      </c>
      <c r="I77">
        <f>1-SUM($H$9:H77)</f>
        <v>0.499837029899199</v>
      </c>
    </row>
    <row r="78" spans="7:9">
      <c r="G78">
        <v>70</v>
      </c>
      <c r="H78">
        <f t="shared" si="2"/>
        <v>0.00499837029899199</v>
      </c>
      <c r="I78">
        <f>1-SUM($H$9:H78)</f>
        <v>0.494838659600207</v>
      </c>
    </row>
    <row r="79" spans="7:9">
      <c r="G79">
        <v>71</v>
      </c>
      <c r="H79">
        <f t="shared" si="2"/>
        <v>0.00494838659600207</v>
      </c>
      <c r="I79">
        <f>1-SUM($H$9:H79)</f>
        <v>0.489890273004205</v>
      </c>
    </row>
    <row r="80" spans="7:9">
      <c r="G80">
        <v>72</v>
      </c>
      <c r="H80">
        <f t="shared" si="2"/>
        <v>0.00489890273004205</v>
      </c>
      <c r="I80">
        <f>1-SUM($H$9:H80)</f>
        <v>0.484991370274163</v>
      </c>
    </row>
    <row r="81" spans="7:9">
      <c r="G81">
        <v>73</v>
      </c>
      <c r="H81">
        <f t="shared" si="2"/>
        <v>0.00484991370274163</v>
      </c>
      <c r="I81">
        <f>1-SUM($H$9:H81)</f>
        <v>0.480141456571421</v>
      </c>
    </row>
    <row r="82" spans="7:9">
      <c r="G82">
        <v>74</v>
      </c>
      <c r="H82">
        <f t="shared" si="2"/>
        <v>0.00480141456571421</v>
      </c>
      <c r="I82">
        <f>1-SUM($H$9:H82)</f>
        <v>0.475340042005707</v>
      </c>
    </row>
    <row r="83" spans="7:9">
      <c r="G83">
        <v>75</v>
      </c>
      <c r="H83">
        <f t="shared" si="2"/>
        <v>0.00475340042005707</v>
      </c>
      <c r="I83">
        <f>1-SUM($H$9:H83)</f>
        <v>0.47058664158565</v>
      </c>
    </row>
    <row r="84" spans="7:9">
      <c r="G84">
        <v>76</v>
      </c>
      <c r="H84">
        <f t="shared" si="2"/>
        <v>0.0047058664158565</v>
      </c>
      <c r="I84">
        <f>1-SUM($H$9:H84)</f>
        <v>0.465880775169794</v>
      </c>
    </row>
    <row r="85" spans="7:9">
      <c r="G85">
        <v>77</v>
      </c>
      <c r="H85">
        <f t="shared" si="2"/>
        <v>0.00465880775169794</v>
      </c>
      <c r="I85">
        <f>1-SUM($H$9:H85)</f>
        <v>0.461221967418096</v>
      </c>
    </row>
    <row r="86" spans="7:9">
      <c r="G86">
        <v>78</v>
      </c>
      <c r="H86">
        <f t="shared" si="2"/>
        <v>0.00461221967418096</v>
      </c>
      <c r="I86">
        <f>1-SUM($H$9:H86)</f>
        <v>0.456609747743915</v>
      </c>
    </row>
    <row r="87" spans="7:9">
      <c r="G87">
        <v>79</v>
      </c>
      <c r="H87">
        <f t="shared" si="2"/>
        <v>0.00456609747743915</v>
      </c>
      <c r="I87">
        <f>1-SUM($H$9:H87)</f>
        <v>0.452043650266476</v>
      </c>
    </row>
    <row r="88" spans="7:9">
      <c r="G88">
        <v>80</v>
      </c>
      <c r="H88">
        <f t="shared" si="2"/>
        <v>0.00452043650266476</v>
      </c>
      <c r="I88">
        <f>1-SUM($H$9:H88)</f>
        <v>0.447523213763811</v>
      </c>
    </row>
    <row r="89" spans="7:9">
      <c r="G89">
        <v>81</v>
      </c>
      <c r="H89">
        <f t="shared" si="2"/>
        <v>0.00447523213763811</v>
      </c>
      <c r="I89">
        <f>1-SUM($H$9:H89)</f>
        <v>0.443047981626173</v>
      </c>
    </row>
    <row r="90" spans="7:9">
      <c r="G90">
        <v>82</v>
      </c>
      <c r="H90">
        <f t="shared" si="2"/>
        <v>0.00443047981626173</v>
      </c>
      <c r="I90">
        <f>1-SUM($H$9:H90)</f>
        <v>0.438617501809911</v>
      </c>
    </row>
    <row r="91" spans="7:9">
      <c r="G91">
        <v>83</v>
      </c>
      <c r="H91">
        <f t="shared" si="2"/>
        <v>0.00438617501809911</v>
      </c>
      <c r="I91">
        <f>1-SUM($H$9:H91)</f>
        <v>0.434231326791812</v>
      </c>
    </row>
    <row r="92" spans="7:9">
      <c r="G92">
        <v>84</v>
      </c>
      <c r="H92">
        <f t="shared" si="2"/>
        <v>0.00434231326791812</v>
      </c>
      <c r="I92">
        <f>1-SUM($H$9:H92)</f>
        <v>0.429889013523894</v>
      </c>
    </row>
    <row r="93" spans="7:9">
      <c r="G93">
        <v>85</v>
      </c>
      <c r="H93">
        <f t="shared" si="2"/>
        <v>0.00429889013523894</v>
      </c>
      <c r="I93">
        <f>1-SUM($H$9:H93)</f>
        <v>0.425590123388655</v>
      </c>
    </row>
    <row r="94" spans="7:9">
      <c r="G94">
        <v>86</v>
      </c>
      <c r="H94">
        <f t="shared" si="2"/>
        <v>0.00425590123388655</v>
      </c>
      <c r="I94">
        <f>1-SUM($H$9:H94)</f>
        <v>0.421334222154768</v>
      </c>
    </row>
    <row r="95" spans="7:9">
      <c r="G95">
        <v>87</v>
      </c>
      <c r="H95">
        <f t="shared" si="2"/>
        <v>0.00421334222154768</v>
      </c>
      <c r="I95">
        <f>1-SUM($H$9:H95)</f>
        <v>0.417120879933221</v>
      </c>
    </row>
    <row r="96" spans="7:9">
      <c r="G96">
        <v>88</v>
      </c>
      <c r="H96">
        <f t="shared" si="2"/>
        <v>0.00417120879933221</v>
      </c>
      <c r="I96">
        <f>1-SUM($H$9:H96)</f>
        <v>0.412949671133888</v>
      </c>
    </row>
    <row r="97" spans="7:9">
      <c r="G97">
        <v>89</v>
      </c>
      <c r="H97">
        <f t="shared" si="2"/>
        <v>0.00412949671133888</v>
      </c>
      <c r="I97">
        <f>1-SUM($H$9:H97)</f>
        <v>0.408820174422549</v>
      </c>
    </row>
    <row r="98" spans="7:9">
      <c r="G98">
        <v>90</v>
      </c>
      <c r="H98">
        <f t="shared" si="2"/>
        <v>0.0040882017442255</v>
      </c>
      <c r="I98">
        <f>1-SUM($H$9:H98)</f>
        <v>0.404731972678324</v>
      </c>
    </row>
    <row r="99" spans="7:9">
      <c r="G99">
        <v>91</v>
      </c>
      <c r="H99">
        <f t="shared" si="2"/>
        <v>0.00404731972678324</v>
      </c>
      <c r="I99">
        <f>1-SUM($H$9:H99)</f>
        <v>0.400684652951541</v>
      </c>
    </row>
    <row r="100" spans="7:9">
      <c r="G100">
        <v>92</v>
      </c>
      <c r="H100">
        <f t="shared" si="2"/>
        <v>0.00400684652951541</v>
      </c>
      <c r="I100">
        <f>1-SUM($H$9:H100)</f>
        <v>0.396677806422025</v>
      </c>
    </row>
    <row r="101" spans="7:9">
      <c r="G101">
        <v>93</v>
      </c>
      <c r="H101">
        <f t="shared" si="2"/>
        <v>0.00396677806422025</v>
      </c>
      <c r="I101">
        <f>1-SUM($H$9:H101)</f>
        <v>0.392711028357805</v>
      </c>
    </row>
    <row r="102" spans="7:9">
      <c r="G102">
        <v>94</v>
      </c>
      <c r="H102">
        <f t="shared" si="2"/>
        <v>0.00392711028357805</v>
      </c>
      <c r="I102">
        <f>1-SUM($H$9:H102)</f>
        <v>0.388783918074227</v>
      </c>
    </row>
    <row r="103" spans="7:9">
      <c r="G103">
        <v>95</v>
      </c>
      <c r="H103">
        <f t="shared" si="2"/>
        <v>0.00388783918074227</v>
      </c>
      <c r="I103">
        <f>1-SUM($H$9:H103)</f>
        <v>0.384896078893485</v>
      </c>
    </row>
    <row r="104" spans="7:9">
      <c r="G104">
        <v>96</v>
      </c>
      <c r="H104">
        <f t="shared" si="2"/>
        <v>0.00384896078893485</v>
      </c>
      <c r="I104">
        <f>1-SUM($H$9:H104)</f>
        <v>0.38104711810455</v>
      </c>
    </row>
    <row r="105" spans="7:9">
      <c r="G105">
        <v>97</v>
      </c>
      <c r="H105">
        <f t="shared" si="2"/>
        <v>0.0038104711810455</v>
      </c>
      <c r="I105">
        <f>1-SUM($H$9:H105)</f>
        <v>0.377236646923504</v>
      </c>
    </row>
    <row r="106" spans="7:9">
      <c r="G106">
        <v>98</v>
      </c>
      <c r="H106">
        <f t="shared" si="2"/>
        <v>0.00377236646923504</v>
      </c>
      <c r="I106">
        <f>1-SUM($H$9:H106)</f>
        <v>0.373464280454269</v>
      </c>
    </row>
    <row r="107" spans="7:9">
      <c r="G107">
        <v>99</v>
      </c>
      <c r="H107">
        <f t="shared" ref="H107:H130" si="3">I106*$H$9</f>
        <v>0.00373464280454269</v>
      </c>
      <c r="I107">
        <f>1-SUM($H$9:H107)</f>
        <v>0.369729637649726</v>
      </c>
    </row>
    <row r="108" spans="7:9">
      <c r="G108">
        <v>100</v>
      </c>
      <c r="H108">
        <f>I107</f>
        <v>0.369729637649726</v>
      </c>
      <c r="I108">
        <f>1-SUM($H$9:H108)</f>
        <v>0</v>
      </c>
    </row>
    <row r="109" spans="7:9">
      <c r="G109">
        <v>101</v>
      </c>
      <c r="H109">
        <f t="shared" si="3"/>
        <v>0</v>
      </c>
      <c r="I109">
        <f>1-SUM($H$9:H109)</f>
        <v>0</v>
      </c>
    </row>
    <row r="110" spans="7:9">
      <c r="G110">
        <v>102</v>
      </c>
      <c r="H110">
        <f t="shared" si="3"/>
        <v>0</v>
      </c>
      <c r="I110">
        <f>1-SUM($H$9:H110)</f>
        <v>0</v>
      </c>
    </row>
    <row r="111" spans="7:9">
      <c r="G111">
        <v>103</v>
      </c>
      <c r="H111">
        <f t="shared" si="3"/>
        <v>0</v>
      </c>
      <c r="I111">
        <f>1-SUM($H$9:H111)</f>
        <v>0</v>
      </c>
    </row>
    <row r="112" spans="7:9">
      <c r="G112">
        <v>104</v>
      </c>
      <c r="H112">
        <f t="shared" si="3"/>
        <v>0</v>
      </c>
      <c r="I112">
        <f>1-SUM($H$9:H112)</f>
        <v>0</v>
      </c>
    </row>
    <row r="113" spans="7:9">
      <c r="G113">
        <v>105</v>
      </c>
      <c r="H113">
        <f t="shared" si="3"/>
        <v>0</v>
      </c>
      <c r="I113">
        <f>1-SUM($H$9:H113)</f>
        <v>0</v>
      </c>
    </row>
    <row r="114" spans="7:9">
      <c r="G114">
        <v>106</v>
      </c>
      <c r="H114">
        <f t="shared" si="3"/>
        <v>0</v>
      </c>
      <c r="I114">
        <f>1-SUM($H$9:H114)</f>
        <v>0</v>
      </c>
    </row>
    <row r="115" spans="7:9">
      <c r="G115">
        <v>107</v>
      </c>
      <c r="H115">
        <f t="shared" si="3"/>
        <v>0</v>
      </c>
      <c r="I115">
        <f>1-SUM($H$9:H115)</f>
        <v>0</v>
      </c>
    </row>
    <row r="116" spans="7:9">
      <c r="G116">
        <v>108</v>
      </c>
      <c r="H116">
        <f t="shared" si="3"/>
        <v>0</v>
      </c>
      <c r="I116">
        <f>1-SUM($H$9:H116)</f>
        <v>0</v>
      </c>
    </row>
    <row r="117" spans="7:9">
      <c r="G117">
        <v>109</v>
      </c>
      <c r="H117">
        <f t="shared" si="3"/>
        <v>0</v>
      </c>
      <c r="I117">
        <f>1-SUM($H$9:H117)</f>
        <v>0</v>
      </c>
    </row>
    <row r="118" spans="7:9">
      <c r="G118">
        <v>110</v>
      </c>
      <c r="H118">
        <f t="shared" si="3"/>
        <v>0</v>
      </c>
      <c r="I118">
        <f>1-SUM($H$9:H118)</f>
        <v>0</v>
      </c>
    </row>
    <row r="119" spans="7:9">
      <c r="G119">
        <v>111</v>
      </c>
      <c r="H119">
        <f t="shared" si="3"/>
        <v>0</v>
      </c>
      <c r="I119">
        <f>1-SUM($H$9:H119)</f>
        <v>0</v>
      </c>
    </row>
    <row r="120" spans="7:9">
      <c r="G120">
        <v>112</v>
      </c>
      <c r="H120">
        <f t="shared" si="3"/>
        <v>0</v>
      </c>
      <c r="I120">
        <f>1-SUM($H$9:H120)</f>
        <v>0</v>
      </c>
    </row>
    <row r="121" spans="7:9">
      <c r="G121">
        <v>113</v>
      </c>
      <c r="H121">
        <f t="shared" si="3"/>
        <v>0</v>
      </c>
      <c r="I121">
        <f>1-SUM($H$9:H121)</f>
        <v>0</v>
      </c>
    </row>
    <row r="122" spans="7:9">
      <c r="G122">
        <v>114</v>
      </c>
      <c r="H122">
        <f t="shared" si="3"/>
        <v>0</v>
      </c>
      <c r="I122">
        <f>1-SUM($H$9:H122)</f>
        <v>0</v>
      </c>
    </row>
    <row r="123" spans="7:9">
      <c r="G123">
        <v>115</v>
      </c>
      <c r="H123">
        <f t="shared" si="3"/>
        <v>0</v>
      </c>
      <c r="I123">
        <f>1-SUM($H$9:H123)</f>
        <v>0</v>
      </c>
    </row>
    <row r="124" spans="7:9">
      <c r="G124">
        <v>116</v>
      </c>
      <c r="H124">
        <f t="shared" si="3"/>
        <v>0</v>
      </c>
      <c r="I124">
        <f>1-SUM($H$9:H124)</f>
        <v>0</v>
      </c>
    </row>
    <row r="125" spans="7:9">
      <c r="G125">
        <v>117</v>
      </c>
      <c r="H125">
        <f t="shared" si="3"/>
        <v>0</v>
      </c>
      <c r="I125">
        <f>1-SUM($H$9:H125)</f>
        <v>0</v>
      </c>
    </row>
    <row r="126" spans="7:9">
      <c r="G126">
        <v>118</v>
      </c>
      <c r="H126">
        <f t="shared" si="3"/>
        <v>0</v>
      </c>
      <c r="I126">
        <f>1-SUM($H$9:H126)</f>
        <v>0</v>
      </c>
    </row>
    <row r="127" spans="7:9">
      <c r="G127">
        <v>119</v>
      </c>
      <c r="H127">
        <f t="shared" si="3"/>
        <v>0</v>
      </c>
      <c r="I127">
        <f>1-SUM($H$9:H127)</f>
        <v>0</v>
      </c>
    </row>
    <row r="128" spans="7:9">
      <c r="G128">
        <v>120</v>
      </c>
      <c r="H128">
        <f t="shared" si="3"/>
        <v>0</v>
      </c>
      <c r="I128">
        <f>1-SUM($H$9:H128)</f>
        <v>0</v>
      </c>
    </row>
    <row r="129" spans="7:9">
      <c r="G129">
        <v>121</v>
      </c>
      <c r="H129">
        <f t="shared" si="3"/>
        <v>0</v>
      </c>
      <c r="I129">
        <f>1-SUM($H$9:H129)</f>
        <v>0</v>
      </c>
    </row>
    <row r="130" spans="7:9">
      <c r="G130">
        <v>122</v>
      </c>
      <c r="H130">
        <f t="shared" si="3"/>
        <v>0</v>
      </c>
      <c r="I130">
        <f>1-SUM($H$9:H130)</f>
        <v>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洗练性价比</vt:lpstr>
      <vt:lpstr>符文总览</vt:lpstr>
      <vt:lpstr>符文权重</vt:lpstr>
      <vt:lpstr>价值表</vt:lpstr>
      <vt:lpstr>模块1</vt:lpstr>
      <vt:lpstr>模块2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Ziw</cp:lastModifiedBy>
  <dcterms:created xsi:type="dcterms:W3CDTF">2023-05-12T11:15:00Z</dcterms:created>
  <dcterms:modified xsi:type="dcterms:W3CDTF">2026-08-11T02:57:50Z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2052-12.1.0.28043</vt:lpwstr>
  </property>
  <property fmtid="{D5CDD505-2E9C-101B-9397-08002B2CF9AE}" pid="3" name="ICV">
    <vt:lpwstr>F70DF8B73BA44F77A6EABB7FB046DFB6_12</vt:lpwstr>
  </property>
  <property fmtid="{D5CDD505-2E9C-101B-9397-08002B2CF9AE}" pid="4" name="CalculationRule">
    <vt:i4>0</vt:i4>
  </property>
</Properties>
</file>