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dev46\OneDrive\Desktop\School Documents\Fall 2022\MGG 433 Data Modeling\"/>
    </mc:Choice>
  </mc:AlternateContent>
  <xr:revisionPtr revIDLastSave="0" documentId="8_{0B36796C-E6D8-4500-8E70-BE3AC34715D4}" xr6:coauthVersionLast="47" xr6:coauthVersionMax="47" xr10:uidLastSave="{00000000-0000-0000-0000-000000000000}"/>
  <bookViews>
    <workbookView minimized="1" xWindow="2685" yWindow="2685" windowWidth="15375" windowHeight="7875" firstSheet="2" activeTab="2" xr2:uid="{1C999409-EA33-47AB-B512-0B31FE4902DB}"/>
  </bookViews>
  <sheets>
    <sheet name="Identification" sheetId="15" r:id="rId1"/>
    <sheet name="Best.Base.Worst Senerio" sheetId="12" r:id="rId2"/>
    <sheet name="90 EVA" sheetId="9" r:id="rId3"/>
    <sheet name="Break-even Analysis " sheetId="13" r:id="rId4"/>
  </sheets>
  <definedNames>
    <definedName name="solver_eng" localSheetId="2" hidden="1">1</definedName>
    <definedName name="solver_eng" localSheetId="1" hidden="1">1</definedName>
    <definedName name="solver_neg" localSheetId="2" hidden="1">1</definedName>
    <definedName name="solver_neg" localSheetId="1" hidden="1">1</definedName>
    <definedName name="solver_num" localSheetId="2" hidden="1">0</definedName>
    <definedName name="solver_num" localSheetId="1" hidden="1">0</definedName>
    <definedName name="solver_opt" localSheetId="2" hidden="1">'90 EVA'!#REF!</definedName>
    <definedName name="solver_opt" localSheetId="1" hidden="1">'Best.Base.Worst Senerio'!#REF!</definedName>
    <definedName name="solver_typ" localSheetId="2" hidden="1">1</definedName>
    <definedName name="solver_typ" localSheetId="1" hidden="1">1</definedName>
    <definedName name="solver_val" localSheetId="2" hidden="1">0</definedName>
    <definedName name="solver_val" localSheetId="1" hidden="1">0</definedName>
    <definedName name="solver_ver" localSheetId="2" hidden="1">3</definedName>
    <definedName name="solver_ver" localSheetId="1" hidden="1">3</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69" i="9" l="1"/>
  <c r="O69" i="9"/>
  <c r="Q68" i="9"/>
  <c r="O68" i="9"/>
  <c r="Q67" i="9"/>
  <c r="O67" i="9"/>
  <c r="L67" i="9"/>
  <c r="W66" i="9"/>
  <c r="AB10" i="9" s="1"/>
  <c r="V66" i="9"/>
  <c r="U66" i="9"/>
  <c r="T66" i="9"/>
  <c r="L66" i="9"/>
  <c r="L65" i="9"/>
  <c r="M64" i="9"/>
  <c r="Q62" i="9"/>
  <c r="O62" i="9"/>
  <c r="Q61" i="9"/>
  <c r="O61" i="9"/>
  <c r="Q60" i="9"/>
  <c r="O60" i="9"/>
  <c r="L60" i="9"/>
  <c r="V59" i="9"/>
  <c r="AA11" i="9" s="1"/>
  <c r="U59" i="9"/>
  <c r="Z11" i="9" s="1"/>
  <c r="T59" i="9"/>
  <c r="L59" i="9"/>
  <c r="L58" i="9"/>
  <c r="M57" i="9"/>
  <c r="Q55" i="9"/>
  <c r="O55" i="9"/>
  <c r="Q54" i="9"/>
  <c r="O54" i="9"/>
  <c r="Q53" i="9"/>
  <c r="O53" i="9"/>
  <c r="L53" i="9"/>
  <c r="V52" i="9"/>
  <c r="U52" i="9"/>
  <c r="T52" i="9"/>
  <c r="L52" i="9"/>
  <c r="L51" i="9"/>
  <c r="M50" i="9"/>
  <c r="Q48" i="9"/>
  <c r="O48" i="9"/>
  <c r="Q47" i="9"/>
  <c r="O47" i="9"/>
  <c r="Q46" i="9"/>
  <c r="O46" i="9"/>
  <c r="L46" i="9"/>
  <c r="V45" i="9"/>
  <c r="W45" i="9" s="1"/>
  <c r="AB9" i="9" s="1"/>
  <c r="U45" i="9"/>
  <c r="T45" i="9"/>
  <c r="L45" i="9"/>
  <c r="L44" i="9"/>
  <c r="M43" i="9"/>
  <c r="Q41" i="9"/>
  <c r="O41" i="9"/>
  <c r="Q40" i="9"/>
  <c r="O40" i="9"/>
  <c r="Q39" i="9"/>
  <c r="O39" i="9"/>
  <c r="L39" i="9"/>
  <c r="V38" i="9"/>
  <c r="U38" i="9"/>
  <c r="Z3" i="9" s="1"/>
  <c r="T38" i="9"/>
  <c r="L38" i="9"/>
  <c r="L37" i="9"/>
  <c r="M36" i="9"/>
  <c r="Q34" i="9"/>
  <c r="O34" i="9"/>
  <c r="Q33" i="9"/>
  <c r="O33" i="9"/>
  <c r="Q32" i="9"/>
  <c r="O32" i="9"/>
  <c r="L32" i="9"/>
  <c r="V31" i="9"/>
  <c r="AA4" i="9" s="1"/>
  <c r="U31" i="9"/>
  <c r="Z4" i="9" s="1"/>
  <c r="T31" i="9"/>
  <c r="L31" i="9"/>
  <c r="L30" i="9"/>
  <c r="M29" i="9"/>
  <c r="Q27" i="9"/>
  <c r="O27" i="9"/>
  <c r="Q26" i="9"/>
  <c r="O26" i="9"/>
  <c r="Q25" i="9"/>
  <c r="O25" i="9"/>
  <c r="L25" i="9"/>
  <c r="V24" i="9"/>
  <c r="AA5" i="9" s="1"/>
  <c r="U24" i="9"/>
  <c r="Z5" i="9" s="1"/>
  <c r="T24" i="9"/>
  <c r="L24" i="9"/>
  <c r="L23" i="9"/>
  <c r="M22" i="9"/>
  <c r="L22" i="9"/>
  <c r="Q20" i="9"/>
  <c r="O20" i="9"/>
  <c r="I20" i="9"/>
  <c r="H20" i="9"/>
  <c r="G20" i="9"/>
  <c r="Q19" i="9"/>
  <c r="O19" i="9"/>
  <c r="I19" i="9"/>
  <c r="I21" i="9" s="1"/>
  <c r="H19" i="9"/>
  <c r="H21" i="9" s="1"/>
  <c r="G19" i="9"/>
  <c r="G21" i="9" s="1"/>
  <c r="Q18" i="9"/>
  <c r="O18" i="9"/>
  <c r="L18" i="9"/>
  <c r="V17" i="9"/>
  <c r="U17" i="9"/>
  <c r="Z8" i="9" s="1"/>
  <c r="T17" i="9"/>
  <c r="L17" i="9"/>
  <c r="L16" i="9"/>
  <c r="I16" i="9"/>
  <c r="H16" i="9"/>
  <c r="G16" i="9"/>
  <c r="M15" i="9"/>
  <c r="L15" i="9"/>
  <c r="I15" i="9"/>
  <c r="H15" i="9"/>
  <c r="G15" i="9"/>
  <c r="Q13" i="9"/>
  <c r="O13" i="9"/>
  <c r="I13" i="9"/>
  <c r="H13" i="9"/>
  <c r="G13" i="9"/>
  <c r="AA12" i="9"/>
  <c r="Z12" i="9"/>
  <c r="Q12" i="9"/>
  <c r="O12" i="9"/>
  <c r="Q11" i="9"/>
  <c r="O11" i="9"/>
  <c r="L11" i="9"/>
  <c r="AA10" i="9"/>
  <c r="Z10" i="9"/>
  <c r="V10" i="9"/>
  <c r="AA7" i="9" s="1"/>
  <c r="U10" i="9"/>
  <c r="T10" i="9"/>
  <c r="L10" i="9"/>
  <c r="I10" i="9"/>
  <c r="H10" i="9"/>
  <c r="G10" i="9"/>
  <c r="Z9" i="9"/>
  <c r="L9" i="9"/>
  <c r="I9" i="9"/>
  <c r="H9" i="9"/>
  <c r="G9" i="9"/>
  <c r="AA8" i="9"/>
  <c r="M8" i="9"/>
  <c r="L8" i="9"/>
  <c r="I8" i="9"/>
  <c r="H8" i="9"/>
  <c r="G8" i="9"/>
  <c r="Z7" i="9"/>
  <c r="I7" i="9"/>
  <c r="H7" i="9"/>
  <c r="G7" i="9"/>
  <c r="Q6" i="9"/>
  <c r="O6" i="9"/>
  <c r="I6" i="9"/>
  <c r="H6" i="9"/>
  <c r="G6" i="9"/>
  <c r="G11" i="9" s="1"/>
  <c r="Q5" i="9"/>
  <c r="O5" i="9"/>
  <c r="Q4" i="9"/>
  <c r="O4" i="9"/>
  <c r="L4" i="9"/>
  <c r="I4" i="9"/>
  <c r="H4" i="9"/>
  <c r="G4" i="9"/>
  <c r="AA3" i="9"/>
  <c r="V3" i="9"/>
  <c r="AA6" i="9" s="1"/>
  <c r="U3" i="9"/>
  <c r="Z6" i="9" s="1"/>
  <c r="T3" i="9"/>
  <c r="L3" i="9"/>
  <c r="I3" i="9"/>
  <c r="H3" i="9"/>
  <c r="G3" i="9"/>
  <c r="L2" i="9"/>
  <c r="I2" i="9"/>
  <c r="H2" i="9"/>
  <c r="G2" i="9"/>
  <c r="M1" i="9"/>
  <c r="I22" i="12"/>
  <c r="I21" i="12"/>
  <c r="I20" i="12"/>
  <c r="I19" i="12"/>
  <c r="I18" i="12"/>
  <c r="I17" i="12"/>
  <c r="I16" i="12"/>
  <c r="I15" i="12"/>
  <c r="I14" i="12"/>
  <c r="I13" i="12"/>
  <c r="I12" i="12"/>
  <c r="I11" i="12"/>
  <c r="I10" i="12"/>
  <c r="I9" i="12"/>
  <c r="I8" i="12"/>
  <c r="I7" i="12"/>
  <c r="I6" i="12"/>
  <c r="I5" i="12"/>
  <c r="I4" i="12"/>
  <c r="I3" i="12"/>
  <c r="I2" i="12"/>
  <c r="G5" i="9" l="1"/>
  <c r="H17" i="9"/>
  <c r="W52" i="9"/>
  <c r="AB12" i="9" s="1"/>
  <c r="I5" i="9"/>
  <c r="H5" i="9"/>
  <c r="W10" i="9"/>
  <c r="AB7" i="9" s="1"/>
  <c r="I17" i="9"/>
  <c r="AA9" i="9"/>
  <c r="G17" i="9"/>
  <c r="W38" i="9"/>
  <c r="AB3" i="9" s="1"/>
  <c r="W17" i="9"/>
  <c r="AB8" i="9" s="1"/>
  <c r="W3" i="9"/>
  <c r="AB6" i="9" s="1"/>
  <c r="I11" i="9"/>
  <c r="I12" i="9" s="1"/>
  <c r="I14" i="9" s="1"/>
  <c r="W24" i="9"/>
  <c r="AB5" i="9" s="1"/>
  <c r="H11" i="9"/>
  <c r="H12" i="9" s="1"/>
  <c r="H14" i="9" s="1"/>
  <c r="H18" i="9" s="1"/>
  <c r="H22" i="9" s="1"/>
  <c r="P52" i="9" s="1"/>
  <c r="G12" i="9"/>
  <c r="G14" i="9" s="1"/>
  <c r="W31" i="9"/>
  <c r="AB4" i="9" s="1"/>
  <c r="W59" i="9"/>
  <c r="AB11" i="9" s="1"/>
  <c r="I18" i="9" l="1"/>
  <c r="I22" i="9" s="1"/>
  <c r="R59" i="9" s="1"/>
  <c r="G18" i="9"/>
  <c r="G22" i="9" s="1"/>
  <c r="N31" i="9" s="1"/>
  <c r="R45" i="9"/>
  <c r="R10" i="9"/>
  <c r="R17" i="9"/>
  <c r="R66" i="9"/>
  <c r="R24" i="9"/>
  <c r="R31" i="9"/>
  <c r="R38" i="9"/>
  <c r="P24" i="9"/>
  <c r="P31" i="9"/>
  <c r="P17" i="9"/>
  <c r="P3" i="9"/>
  <c r="P10" i="9"/>
  <c r="R52" i="9"/>
  <c r="P38" i="9"/>
  <c r="P45" i="9"/>
  <c r="P59" i="9"/>
  <c r="P66" i="9"/>
  <c r="N52" i="9" l="1"/>
  <c r="N10" i="9"/>
  <c r="R3" i="9"/>
  <c r="N17" i="9"/>
  <c r="N3" i="9"/>
  <c r="N59" i="9"/>
  <c r="N66" i="9"/>
  <c r="N24" i="9"/>
  <c r="N45" i="9"/>
  <c r="N38" i="9"/>
</calcChain>
</file>

<file path=xl/sharedStrings.xml><?xml version="1.0" encoding="utf-8"?>
<sst xmlns="http://schemas.openxmlformats.org/spreadsheetml/2006/main" count="209" uniqueCount="50">
  <si>
    <t>Lower Bound</t>
  </si>
  <si>
    <t xml:space="preserve">Base Value </t>
  </si>
  <si>
    <t xml:space="preserve">Upper bound </t>
  </si>
  <si>
    <t xml:space="preserve">Hours Flown </t>
  </si>
  <si>
    <t>Charter Price / Hour</t>
  </si>
  <si>
    <t xml:space="preserve">Ticket Price / Hour </t>
  </si>
  <si>
    <t xml:space="preserve">Proportion of chartered flights </t>
  </si>
  <si>
    <t xml:space="preserve">Operating Cost / Hour </t>
  </si>
  <si>
    <t>Annual Insurance Premium</t>
  </si>
  <si>
    <t>Propotion Financed</t>
  </si>
  <si>
    <t xml:space="preserve">Interest Rate </t>
  </si>
  <si>
    <t>Purchase Price</t>
  </si>
  <si>
    <t xml:space="preserve">Scheduled Revenues </t>
  </si>
  <si>
    <t>Chartered Revenues</t>
  </si>
  <si>
    <t xml:space="preserve">Total Revenues </t>
  </si>
  <si>
    <t xml:space="preserve">Operating Cost </t>
  </si>
  <si>
    <t xml:space="preserve">Profit from Operations </t>
  </si>
  <si>
    <t xml:space="preserve">Insurance </t>
  </si>
  <si>
    <t xml:space="preserve">Finance Charges </t>
  </si>
  <si>
    <t>Other Expenses</t>
  </si>
  <si>
    <t>Net Profit</t>
  </si>
  <si>
    <t>Opportunity Cost  of Investment</t>
  </si>
  <si>
    <t xml:space="preserve">Economic Value Added </t>
  </si>
  <si>
    <t>Seat Occupancy Rate  (Scheduled)</t>
  </si>
  <si>
    <t>Inputs</t>
  </si>
  <si>
    <t>Income Statement</t>
  </si>
  <si>
    <t>People</t>
  </si>
  <si>
    <t xml:space="preserve">Charter Proportion </t>
  </si>
  <si>
    <t xml:space="preserve">Hours </t>
  </si>
  <si>
    <t>Price</t>
  </si>
  <si>
    <t>Scheduled Propotion</t>
  </si>
  <si>
    <t>Seat Occupancy Rate</t>
  </si>
  <si>
    <t>ROI %</t>
  </si>
  <si>
    <t>Seat Capacity</t>
  </si>
  <si>
    <t xml:space="preserve">Base </t>
  </si>
  <si>
    <t xml:space="preserve">Money Market Rate </t>
  </si>
  <si>
    <t xml:space="preserve">Lower </t>
  </si>
  <si>
    <t xml:space="preserve">Upper </t>
  </si>
  <si>
    <t>Min</t>
  </si>
  <si>
    <t>Max</t>
  </si>
  <si>
    <t>Deviation</t>
  </si>
  <si>
    <t>Lower</t>
  </si>
  <si>
    <t xml:space="preserve">Break Even Analysis Changing Variable at Base Value </t>
  </si>
  <si>
    <t>Base</t>
  </si>
  <si>
    <t xml:space="preserve">Min </t>
  </si>
  <si>
    <t xml:space="preserve">Deviation </t>
  </si>
  <si>
    <t xml:space="preserve">Deviation  </t>
  </si>
  <si>
    <t xml:space="preserve">Max </t>
  </si>
  <si>
    <t>Cash Paid on Purchase</t>
  </si>
  <si>
    <t>Difference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</si>
</sst>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6" formatCode="&quot;$&quot;#,##0_);[Red]\(&quot;$&quot;#,##0\)"/>
    <numFmt numFmtId="44" formatCode="_(&quot;$&quot;* #,##0.00_);_(&quot;$&quot;* \(#,##0.00\);_(&quot;$&quot;* &quot;-&quot;??_);_(@_)"/>
    <numFmt numFmtId="43" formatCode="_(* #,##0.00_);_(* \(#,##0.00\);_(* &quot;-&quot;??_);_(@_)"/>
    <numFmt numFmtId="164" formatCode="0.0%"/>
    <numFmt numFmtId="165" formatCode="&quot;$&quot;#,##0.0_);[Red]\(&quot;$&quot;#,##0.0\)"/>
    <numFmt numFmtId="166" formatCode="_(* #,##0_);_(* \(#,##0\);_(* &quot;-&quot;??_);_(@_)"/>
  </numFmts>
  <fonts count="5" x14ac:knownFonts="1">
    <font>
      <sz val="11"/>
      <color theme="1"/>
      <name val="Calibri"/>
      <family val="2"/>
      <scheme val="minor"/>
    </font>
    <font>
      <sz val="11"/>
      <color theme="1"/>
      <name val="Calibri"/>
      <family val="2"/>
      <scheme val="minor"/>
    </font>
    <font>
      <b/>
      <sz val="11"/>
      <color theme="1"/>
      <name val="Calibri"/>
      <family val="2"/>
      <scheme val="minor"/>
    </font>
    <font>
      <sz val="11"/>
      <color theme="2" tint="-9.9978637043366805E-2"/>
      <name val="Calibri"/>
      <family val="2"/>
      <scheme val="minor"/>
    </font>
    <font>
      <sz val="11"/>
      <name val="Calibri"/>
      <family val="2"/>
      <scheme val="minor"/>
    </font>
  </fonts>
  <fills count="6">
    <fill>
      <patternFill patternType="none"/>
    </fill>
    <fill>
      <patternFill patternType="gray125"/>
    </fill>
    <fill>
      <patternFill patternType="solid">
        <fgColor theme="9" tint="0.59999389629810485"/>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2" tint="-9.9978637043366805E-2"/>
        <bgColor indexed="64"/>
      </patternFill>
    </fill>
  </fills>
  <borders count="18">
    <border>
      <left/>
      <right/>
      <top/>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s>
  <cellStyleXfs count="4">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cellStyleXfs>
  <cellXfs count="109">
    <xf numFmtId="0" fontId="0" fillId="0" borderId="0" xfId="0"/>
    <xf numFmtId="6" fontId="0" fillId="0" borderId="0" xfId="0" applyNumberFormat="1"/>
    <xf numFmtId="9" fontId="0" fillId="0" borderId="0" xfId="1" applyFont="1"/>
    <xf numFmtId="44" fontId="0" fillId="0" borderId="0" xfId="2" applyFont="1"/>
    <xf numFmtId="0" fontId="2" fillId="0" borderId="0" xfId="0" applyFont="1"/>
    <xf numFmtId="6" fontId="0" fillId="0" borderId="1" xfId="0" applyNumberFormat="1" applyBorder="1"/>
    <xf numFmtId="166" fontId="0" fillId="0" borderId="0" xfId="3" applyNumberFormat="1" applyFont="1" applyFill="1" applyBorder="1"/>
    <xf numFmtId="44" fontId="0" fillId="0" borderId="0" xfId="0" applyNumberFormat="1"/>
    <xf numFmtId="0" fontId="0" fillId="0" borderId="2" xfId="0" applyBorder="1"/>
    <xf numFmtId="0" fontId="0" fillId="0" borderId="3" xfId="0" applyBorder="1"/>
    <xf numFmtId="0" fontId="0" fillId="0" borderId="4" xfId="0" applyBorder="1"/>
    <xf numFmtId="6" fontId="0" fillId="0" borderId="5" xfId="0" applyNumberFormat="1" applyBorder="1"/>
    <xf numFmtId="9" fontId="0" fillId="0" borderId="5" xfId="1" applyFont="1" applyBorder="1"/>
    <xf numFmtId="164" fontId="0" fillId="0" borderId="5" xfId="1" applyNumberFormat="1" applyFont="1" applyBorder="1"/>
    <xf numFmtId="0" fontId="0" fillId="0" borderId="6" xfId="0" applyBorder="1"/>
    <xf numFmtId="6" fontId="0" fillId="0" borderId="7" xfId="0" applyNumberFormat="1" applyBorder="1"/>
    <xf numFmtId="9" fontId="0" fillId="0" borderId="3" xfId="0" applyNumberFormat="1" applyBorder="1"/>
    <xf numFmtId="0" fontId="0" fillId="0" borderId="5" xfId="0" applyBorder="1"/>
    <xf numFmtId="9" fontId="0" fillId="0" borderId="5" xfId="0" applyNumberFormat="1" applyBorder="1"/>
    <xf numFmtId="166" fontId="0" fillId="0" borderId="5" xfId="0" applyNumberFormat="1" applyBorder="1"/>
    <xf numFmtId="165" fontId="0" fillId="0" borderId="5" xfId="0" applyNumberFormat="1" applyBorder="1"/>
    <xf numFmtId="0" fontId="0" fillId="0" borderId="8" xfId="0" applyBorder="1"/>
    <xf numFmtId="6" fontId="0" fillId="0" borderId="4" xfId="0" applyNumberFormat="1" applyBorder="1"/>
    <xf numFmtId="9" fontId="0" fillId="0" borderId="4" xfId="1" applyFont="1" applyBorder="1"/>
    <xf numFmtId="9" fontId="0" fillId="0" borderId="0" xfId="1" applyFont="1" applyBorder="1"/>
    <xf numFmtId="164" fontId="0" fillId="0" borderId="0" xfId="1" applyNumberFormat="1" applyFont="1" applyBorder="1"/>
    <xf numFmtId="0" fontId="0" fillId="3" borderId="3" xfId="0" applyFill="1" applyBorder="1"/>
    <xf numFmtId="6" fontId="0" fillId="3" borderId="5" xfId="0" applyNumberFormat="1" applyFill="1" applyBorder="1"/>
    <xf numFmtId="164" fontId="0" fillId="3" borderId="5" xfId="1" applyNumberFormat="1" applyFont="1" applyFill="1" applyBorder="1"/>
    <xf numFmtId="9" fontId="0" fillId="3" borderId="5" xfId="1" applyFont="1" applyFill="1" applyBorder="1"/>
    <xf numFmtId="6" fontId="0" fillId="3" borderId="4" xfId="0" applyNumberFormat="1" applyFill="1" applyBorder="1"/>
    <xf numFmtId="9" fontId="0" fillId="3" borderId="4" xfId="1" applyFont="1" applyFill="1" applyBorder="1"/>
    <xf numFmtId="164" fontId="0" fillId="3" borderId="4" xfId="1" applyNumberFormat="1" applyFont="1" applyFill="1" applyBorder="1"/>
    <xf numFmtId="6" fontId="0" fillId="3" borderId="6" xfId="0" applyNumberFormat="1" applyFill="1" applyBorder="1"/>
    <xf numFmtId="9" fontId="0" fillId="0" borderId="4" xfId="1" applyFont="1" applyFill="1" applyBorder="1"/>
    <xf numFmtId="164" fontId="0" fillId="0" borderId="4" xfId="1" applyNumberFormat="1" applyFont="1" applyFill="1" applyBorder="1"/>
    <xf numFmtId="164" fontId="0" fillId="0" borderId="0" xfId="1" applyNumberFormat="1" applyFont="1" applyFill="1" applyBorder="1"/>
    <xf numFmtId="9" fontId="0" fillId="0" borderId="0" xfId="1" applyFont="1" applyFill="1" applyBorder="1"/>
    <xf numFmtId="6" fontId="0" fillId="0" borderId="11" xfId="0" applyNumberFormat="1" applyBorder="1"/>
    <xf numFmtId="44" fontId="0" fillId="0" borderId="13" xfId="2" applyFont="1" applyBorder="1"/>
    <xf numFmtId="6" fontId="0" fillId="0" borderId="13" xfId="0" applyNumberFormat="1" applyBorder="1"/>
    <xf numFmtId="0" fontId="0" fillId="0" borderId="4" xfId="0" applyBorder="1" applyAlignment="1">
      <alignment horizontal="right"/>
    </xf>
    <xf numFmtId="0" fontId="0" fillId="0" borderId="2" xfId="0" applyBorder="1" applyAlignment="1">
      <alignment horizontal="right"/>
    </xf>
    <xf numFmtId="0" fontId="2" fillId="0" borderId="9" xfId="0" applyFont="1" applyBorder="1" applyAlignment="1">
      <alignment horizontal="right"/>
    </xf>
    <xf numFmtId="0" fontId="2" fillId="0" borderId="6" xfId="0" applyFont="1" applyBorder="1"/>
    <xf numFmtId="0" fontId="2" fillId="0" borderId="2" xfId="0" applyFont="1" applyBorder="1"/>
    <xf numFmtId="0" fontId="2" fillId="0" borderId="4" xfId="0" applyFont="1" applyBorder="1" applyAlignment="1">
      <alignment horizontal="right"/>
    </xf>
    <xf numFmtId="0" fontId="2" fillId="0" borderId="9" xfId="0" applyFont="1" applyBorder="1"/>
    <xf numFmtId="0" fontId="2" fillId="2" borderId="9" xfId="0" applyFont="1" applyFill="1" applyBorder="1"/>
    <xf numFmtId="9" fontId="0" fillId="0" borderId="0" xfId="0" applyNumberFormat="1"/>
    <xf numFmtId="44" fontId="0" fillId="0" borderId="0" xfId="2" applyFont="1" applyBorder="1"/>
    <xf numFmtId="166" fontId="0" fillId="0" borderId="0" xfId="0" applyNumberFormat="1"/>
    <xf numFmtId="165" fontId="0" fillId="0" borderId="0" xfId="0" applyNumberFormat="1"/>
    <xf numFmtId="0" fontId="0" fillId="0" borderId="10" xfId="0" applyBorder="1"/>
    <xf numFmtId="9" fontId="0" fillId="0" borderId="11" xfId="1" applyFont="1" applyBorder="1"/>
    <xf numFmtId="164" fontId="0" fillId="0" borderId="11" xfId="1" applyNumberFormat="1" applyFont="1" applyBorder="1"/>
    <xf numFmtId="6" fontId="0" fillId="0" borderId="12" xfId="0" applyNumberFormat="1" applyBorder="1"/>
    <xf numFmtId="166" fontId="0" fillId="0" borderId="0" xfId="3" applyNumberFormat="1" applyFont="1" applyBorder="1"/>
    <xf numFmtId="166" fontId="3" fillId="0" borderId="0" xfId="3" applyNumberFormat="1" applyFont="1" applyBorder="1"/>
    <xf numFmtId="44" fontId="0" fillId="0" borderId="0" xfId="2" applyFont="1" applyFill="1" applyBorder="1"/>
    <xf numFmtId="44" fontId="4" fillId="0" borderId="0" xfId="2" applyFont="1" applyFill="1" applyBorder="1"/>
    <xf numFmtId="44" fontId="4" fillId="0" borderId="0" xfId="2" applyFont="1" applyBorder="1"/>
    <xf numFmtId="44" fontId="0" fillId="0" borderId="4" xfId="2" applyFont="1" applyBorder="1"/>
    <xf numFmtId="44" fontId="0" fillId="0" borderId="2" xfId="2" applyFont="1" applyBorder="1"/>
    <xf numFmtId="44" fontId="0" fillId="0" borderId="8" xfId="2" applyFont="1" applyBorder="1"/>
    <xf numFmtId="0" fontId="2" fillId="0" borderId="4" xfId="0" applyFont="1" applyBorder="1"/>
    <xf numFmtId="0" fontId="0" fillId="0" borderId="7" xfId="0" applyBorder="1"/>
    <xf numFmtId="44" fontId="0" fillId="0" borderId="11" xfId="2" applyFont="1" applyBorder="1"/>
    <xf numFmtId="44" fontId="0" fillId="0" borderId="12" xfId="2" applyFont="1" applyBorder="1"/>
    <xf numFmtId="9" fontId="0" fillId="0" borderId="2" xfId="0" applyNumberFormat="1" applyBorder="1"/>
    <xf numFmtId="44" fontId="0" fillId="0" borderId="9" xfId="2" applyFont="1" applyBorder="1"/>
    <xf numFmtId="9" fontId="0" fillId="0" borderId="4" xfId="0" applyNumberFormat="1" applyBorder="1"/>
    <xf numFmtId="166" fontId="0" fillId="0" borderId="4" xfId="0" applyNumberFormat="1" applyBorder="1"/>
    <xf numFmtId="44" fontId="0" fillId="0" borderId="4" xfId="0" applyNumberFormat="1" applyBorder="1"/>
    <xf numFmtId="6" fontId="0" fillId="0" borderId="9" xfId="0" applyNumberFormat="1" applyBorder="1"/>
    <xf numFmtId="165" fontId="0" fillId="0" borderId="4" xfId="0" applyNumberFormat="1" applyBorder="1"/>
    <xf numFmtId="44" fontId="4" fillId="0" borderId="0" xfId="0" applyNumberFormat="1" applyFont="1"/>
    <xf numFmtId="166" fontId="4" fillId="0" borderId="0" xfId="3" applyNumberFormat="1" applyFont="1" applyBorder="1"/>
    <xf numFmtId="0" fontId="0" fillId="0" borderId="6" xfId="0" applyBorder="1" applyAlignment="1">
      <alignment horizontal="right"/>
    </xf>
    <xf numFmtId="44" fontId="2" fillId="0" borderId="5" xfId="0" applyNumberFormat="1" applyFont="1" applyBorder="1"/>
    <xf numFmtId="6" fontId="0" fillId="0" borderId="3" xfId="0" applyNumberFormat="1" applyBorder="1"/>
    <xf numFmtId="9" fontId="0" fillId="0" borderId="7" xfId="0" applyNumberFormat="1" applyBorder="1"/>
    <xf numFmtId="6" fontId="0" fillId="0" borderId="10" xfId="0" applyNumberFormat="1" applyBorder="1"/>
    <xf numFmtId="9" fontId="0" fillId="0" borderId="12" xfId="0" applyNumberFormat="1" applyBorder="1"/>
    <xf numFmtId="9" fontId="0" fillId="0" borderId="10" xfId="0" applyNumberFormat="1" applyBorder="1"/>
    <xf numFmtId="0" fontId="0" fillId="0" borderId="11" xfId="0" applyBorder="1"/>
    <xf numFmtId="166" fontId="0" fillId="0" borderId="11" xfId="0" applyNumberFormat="1" applyBorder="1"/>
    <xf numFmtId="44" fontId="0" fillId="0" borderId="14" xfId="2" applyFont="1" applyBorder="1"/>
    <xf numFmtId="44" fontId="2" fillId="0" borderId="11" xfId="0" applyNumberFormat="1" applyFont="1" applyBorder="1"/>
    <xf numFmtId="6" fontId="0" fillId="0" borderId="14" xfId="0" applyNumberFormat="1" applyBorder="1"/>
    <xf numFmtId="165" fontId="0" fillId="0" borderId="11" xfId="0" applyNumberFormat="1" applyBorder="1"/>
    <xf numFmtId="44" fontId="0" fillId="0" borderId="12" xfId="0" applyNumberFormat="1" applyBorder="1"/>
    <xf numFmtId="6" fontId="2" fillId="0" borderId="14" xfId="0" applyNumberFormat="1" applyFont="1" applyBorder="1"/>
    <xf numFmtId="6" fontId="2" fillId="0" borderId="13" xfId="0" applyNumberFormat="1" applyFont="1" applyBorder="1"/>
    <xf numFmtId="44" fontId="2" fillId="0" borderId="12" xfId="0" applyNumberFormat="1" applyFont="1" applyBorder="1"/>
    <xf numFmtId="44" fontId="2" fillId="0" borderId="7" xfId="0" applyNumberFormat="1" applyFont="1" applyBorder="1"/>
    <xf numFmtId="0" fontId="2" fillId="2" borderId="6" xfId="0" applyFont="1" applyFill="1" applyBorder="1"/>
    <xf numFmtId="0" fontId="2" fillId="0" borderId="16" xfId="0" applyFont="1" applyBorder="1" applyAlignment="1">
      <alignment horizontal="right"/>
    </xf>
    <xf numFmtId="6" fontId="2" fillId="0" borderId="15" xfId="0" applyNumberFormat="1" applyFont="1" applyBorder="1"/>
    <xf numFmtId="6" fontId="2" fillId="0" borderId="17" xfId="0" applyNumberFormat="1" applyFont="1" applyBorder="1"/>
    <xf numFmtId="6" fontId="0" fillId="0" borderId="2" xfId="0" applyNumberFormat="1" applyBorder="1"/>
    <xf numFmtId="44" fontId="0" fillId="0" borderId="10" xfId="0" applyNumberFormat="1" applyBorder="1"/>
    <xf numFmtId="0" fontId="0" fillId="5" borderId="10" xfId="0" applyFill="1" applyBorder="1"/>
    <xf numFmtId="6" fontId="0" fillId="5" borderId="11" xfId="0" applyNumberFormat="1" applyFill="1" applyBorder="1"/>
    <xf numFmtId="9" fontId="0" fillId="5" borderId="11" xfId="1" applyFont="1" applyFill="1" applyBorder="1"/>
    <xf numFmtId="164" fontId="0" fillId="5" borderId="11" xfId="1" applyNumberFormat="1" applyFont="1" applyFill="1" applyBorder="1"/>
    <xf numFmtId="6" fontId="0" fillId="5" borderId="12" xfId="0" applyNumberFormat="1" applyFill="1" applyBorder="1"/>
    <xf numFmtId="0" fontId="0" fillId="4" borderId="9" xfId="0" applyFill="1" applyBorder="1" applyAlignment="1">
      <alignment horizontal="center"/>
    </xf>
    <xf numFmtId="0" fontId="0" fillId="4" borderId="13" xfId="0" applyFill="1" applyBorder="1" applyAlignment="1">
      <alignment horizontal="center"/>
    </xf>
  </cellXfs>
  <cellStyles count="4">
    <cellStyle name="Comma" xfId="3" builtinId="3"/>
    <cellStyle name="Currency" xfId="2" builtinId="4"/>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EVA</a:t>
            </a:r>
            <a:r>
              <a:rPr lang="en-US" baseline="0"/>
              <a:t> Sensitivity Anlysis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tx>
            <c:strRef>
              <c:f>'90 EVA'!$Z$2</c:f>
              <c:strCache>
                <c:ptCount val="1"/>
                <c:pt idx="0">
                  <c:v>Min</c:v>
                </c:pt>
              </c:strCache>
            </c:strRef>
          </c:tx>
          <c:spPr>
            <a:solidFill>
              <a:schemeClr val="accent1"/>
            </a:solidFill>
            <a:ln>
              <a:noFill/>
            </a:ln>
            <a:effectLst/>
          </c:spPr>
          <c:invertIfNegative val="0"/>
          <c:dPt>
            <c:idx val="6"/>
            <c:invertIfNegative val="0"/>
            <c:bubble3D val="0"/>
            <c:spPr>
              <a:noFill/>
              <a:ln>
                <a:noFill/>
              </a:ln>
              <a:effectLst/>
            </c:spPr>
            <c:extLst>
              <c:ext xmlns:c16="http://schemas.microsoft.com/office/drawing/2014/chart" uri="{C3380CC4-5D6E-409C-BE32-E72D297353CC}">
                <c16:uniqueId val="{00000000-57BC-447D-B5FA-B501341063BC}"/>
              </c:ext>
            </c:extLst>
          </c:dPt>
          <c:dPt>
            <c:idx val="7"/>
            <c:invertIfNegative val="0"/>
            <c:bubble3D val="0"/>
            <c:spPr>
              <a:noFill/>
              <a:ln>
                <a:noFill/>
              </a:ln>
              <a:effectLst/>
            </c:spPr>
            <c:extLst>
              <c:ext xmlns:c16="http://schemas.microsoft.com/office/drawing/2014/chart" uri="{C3380CC4-5D6E-409C-BE32-E72D297353CC}">
                <c16:uniqueId val="{00000001-57BC-447D-B5FA-B501341063BC}"/>
              </c:ext>
            </c:extLst>
          </c:dPt>
          <c:dPt>
            <c:idx val="8"/>
            <c:invertIfNegative val="0"/>
            <c:bubble3D val="0"/>
            <c:spPr>
              <a:noFill/>
              <a:ln>
                <a:noFill/>
              </a:ln>
              <a:effectLst/>
            </c:spPr>
            <c:extLst>
              <c:ext xmlns:c16="http://schemas.microsoft.com/office/drawing/2014/chart" uri="{C3380CC4-5D6E-409C-BE32-E72D297353CC}">
                <c16:uniqueId val="{00000002-57BC-447D-B5FA-B501341063BC}"/>
              </c:ext>
            </c:extLst>
          </c:dPt>
          <c:dPt>
            <c:idx val="9"/>
            <c:invertIfNegative val="0"/>
            <c:bubble3D val="0"/>
            <c:spPr>
              <a:noFill/>
              <a:ln>
                <a:noFill/>
              </a:ln>
              <a:effectLst/>
            </c:spPr>
            <c:extLst>
              <c:ext xmlns:c16="http://schemas.microsoft.com/office/drawing/2014/chart" uri="{C3380CC4-5D6E-409C-BE32-E72D297353CC}">
                <c16:uniqueId val="{00000003-57BC-447D-B5FA-B501341063BC}"/>
              </c:ext>
            </c:extLst>
          </c:dPt>
          <c:cat>
            <c:strRef>
              <c:f>'90 EVA'!$Y$3:$Y$12</c:f>
              <c:strCache>
                <c:ptCount val="10"/>
                <c:pt idx="0">
                  <c:v>Operating Cost / Hour </c:v>
                </c:pt>
                <c:pt idx="1">
                  <c:v> Proportion of chartered flights  </c:v>
                </c:pt>
                <c:pt idx="2">
                  <c:v>Seat Occupancy Rate  (Scheduled)</c:v>
                </c:pt>
                <c:pt idx="3">
                  <c:v>Hours Flown </c:v>
                </c:pt>
                <c:pt idx="4">
                  <c:v>Charter Price / Hour</c:v>
                </c:pt>
                <c:pt idx="5">
                  <c:v>Ticket Price / Hour </c:v>
                </c:pt>
                <c:pt idx="6">
                  <c:v>Annual Insurance Premium</c:v>
                </c:pt>
                <c:pt idx="7">
                  <c:v> Purchase Price </c:v>
                </c:pt>
                <c:pt idx="8">
                  <c:v>Interest Rate </c:v>
                </c:pt>
                <c:pt idx="9">
                  <c:v>Propotion Financed</c:v>
                </c:pt>
              </c:strCache>
            </c:strRef>
          </c:cat>
          <c:val>
            <c:numRef>
              <c:f>'90 EVA'!$Z$3:$Z$12</c:f>
              <c:numCache>
                <c:formatCode>_("$"* #,##0.00_);_("$"* \(#,##0.00\);_("$"* "-"??_);_(@_)</c:formatCode>
                <c:ptCount val="10"/>
                <c:pt idx="0">
                  <c:v>-90112.5</c:v>
                </c:pt>
                <c:pt idx="1">
                  <c:v>-43187.5</c:v>
                </c:pt>
                <c:pt idx="2">
                  <c:v>-21050</c:v>
                </c:pt>
                <c:pt idx="3">
                  <c:v>-14800</c:v>
                </c:pt>
                <c:pt idx="4">
                  <c:v>-8862.5</c:v>
                </c:pt>
                <c:pt idx="5">
                  <c:v>-737.5</c:v>
                </c:pt>
                <c:pt idx="6">
                  <c:v>24887.5</c:v>
                </c:pt>
                <c:pt idx="7">
                  <c:v>35187.5</c:v>
                </c:pt>
                <c:pt idx="8">
                  <c:v>37187.5</c:v>
                </c:pt>
                <c:pt idx="9">
                  <c:v>38312.5</c:v>
                </c:pt>
              </c:numCache>
            </c:numRef>
          </c:val>
          <c:extLst>
            <c:ext xmlns:c16="http://schemas.microsoft.com/office/drawing/2014/chart" uri="{C3380CC4-5D6E-409C-BE32-E72D297353CC}">
              <c16:uniqueId val="{00000000-340A-4BB2-8D33-DF1099CDE0F4}"/>
            </c:ext>
          </c:extLst>
        </c:ser>
        <c:ser>
          <c:idx val="1"/>
          <c:order val="1"/>
          <c:tx>
            <c:strRef>
              <c:f>'90 EVA'!$AA$2</c:f>
              <c:strCache>
                <c:ptCount val="1"/>
                <c:pt idx="0">
                  <c:v>Max</c:v>
                </c:pt>
              </c:strCache>
            </c:strRef>
          </c:tx>
          <c:spPr>
            <a:solidFill>
              <a:schemeClr val="accent2"/>
            </a:solidFill>
            <a:ln>
              <a:noFill/>
            </a:ln>
            <a:effectLst/>
          </c:spPr>
          <c:invertIfNegative val="0"/>
          <c:cat>
            <c:strRef>
              <c:f>'90 EVA'!$Y$3:$Y$12</c:f>
              <c:strCache>
                <c:ptCount val="10"/>
                <c:pt idx="0">
                  <c:v>Operating Cost / Hour </c:v>
                </c:pt>
                <c:pt idx="1">
                  <c:v> Proportion of chartered flights  </c:v>
                </c:pt>
                <c:pt idx="2">
                  <c:v>Seat Occupancy Rate  (Scheduled)</c:v>
                </c:pt>
                <c:pt idx="3">
                  <c:v>Hours Flown </c:v>
                </c:pt>
                <c:pt idx="4">
                  <c:v>Charter Price / Hour</c:v>
                </c:pt>
                <c:pt idx="5">
                  <c:v>Ticket Price / Hour </c:v>
                </c:pt>
                <c:pt idx="6">
                  <c:v>Annual Insurance Premium</c:v>
                </c:pt>
                <c:pt idx="7">
                  <c:v> Purchase Price </c:v>
                </c:pt>
                <c:pt idx="8">
                  <c:v>Interest Rate </c:v>
                </c:pt>
                <c:pt idx="9">
                  <c:v>Propotion Financed</c:v>
                </c:pt>
              </c:strCache>
            </c:strRef>
          </c:cat>
          <c:val>
            <c:numRef>
              <c:f>'90 EVA'!$AA$3:$AA$12</c:f>
              <c:numCache>
                <c:formatCode>_("$"* #,##0.00_);_("$"* \(#,##0.00\);_("$"* "-"??_);_(@_)</c:formatCode>
                <c:ptCount val="10"/>
                <c:pt idx="0">
                  <c:v>137387.5</c:v>
                </c:pt>
                <c:pt idx="1">
                  <c:v>132265.625</c:v>
                </c:pt>
                <c:pt idx="2">
                  <c:v>116059.375</c:v>
                </c:pt>
                <c:pt idx="3">
                  <c:v>105512.5</c:v>
                </c:pt>
                <c:pt idx="4">
                  <c:v>72387.5</c:v>
                </c:pt>
                <c:pt idx="5">
                  <c:v>68325</c:v>
                </c:pt>
                <c:pt idx="6">
                  <c:v>45887.5</c:v>
                </c:pt>
                <c:pt idx="7">
                  <c:v>42237.5</c:v>
                </c:pt>
                <c:pt idx="8">
                  <c:v>41687.5</c:v>
                </c:pt>
                <c:pt idx="9">
                  <c:v>41462.5</c:v>
                </c:pt>
              </c:numCache>
            </c:numRef>
          </c:val>
          <c:extLst>
            <c:ext xmlns:c16="http://schemas.microsoft.com/office/drawing/2014/chart" uri="{C3380CC4-5D6E-409C-BE32-E72D297353CC}">
              <c16:uniqueId val="{00000001-340A-4BB2-8D33-DF1099CDE0F4}"/>
            </c:ext>
          </c:extLst>
        </c:ser>
        <c:ser>
          <c:idx val="2"/>
          <c:order val="2"/>
          <c:tx>
            <c:strRef>
              <c:f>'90 EVA'!$AB$2</c:f>
              <c:strCache>
                <c:ptCount val="1"/>
                <c:pt idx="0">
                  <c:v>Deviation</c:v>
                </c:pt>
              </c:strCache>
            </c:strRef>
          </c:tx>
          <c:spPr>
            <a:noFill/>
            <a:ln>
              <a:noFill/>
            </a:ln>
            <a:effectLst/>
          </c:spPr>
          <c:invertIfNegative val="0"/>
          <c:cat>
            <c:strRef>
              <c:f>'90 EVA'!$Y$3:$Y$12</c:f>
              <c:strCache>
                <c:ptCount val="10"/>
                <c:pt idx="0">
                  <c:v>Operating Cost / Hour </c:v>
                </c:pt>
                <c:pt idx="1">
                  <c:v> Proportion of chartered flights  </c:v>
                </c:pt>
                <c:pt idx="2">
                  <c:v>Seat Occupancy Rate  (Scheduled)</c:v>
                </c:pt>
                <c:pt idx="3">
                  <c:v>Hours Flown </c:v>
                </c:pt>
                <c:pt idx="4">
                  <c:v>Charter Price / Hour</c:v>
                </c:pt>
                <c:pt idx="5">
                  <c:v>Ticket Price / Hour </c:v>
                </c:pt>
                <c:pt idx="6">
                  <c:v>Annual Insurance Premium</c:v>
                </c:pt>
                <c:pt idx="7">
                  <c:v> Purchase Price </c:v>
                </c:pt>
                <c:pt idx="8">
                  <c:v>Interest Rate </c:v>
                </c:pt>
                <c:pt idx="9">
                  <c:v>Propotion Financed</c:v>
                </c:pt>
              </c:strCache>
            </c:strRef>
          </c:cat>
          <c:val>
            <c:numRef>
              <c:f>'90 EVA'!$AB$3:$AB$12</c:f>
              <c:numCache>
                <c:formatCode>_("$"* #,##0.00_);_("$"* \(#,##0.00\);_("$"* "-"??_);_(@_)</c:formatCode>
                <c:ptCount val="10"/>
                <c:pt idx="0">
                  <c:v>227500</c:v>
                </c:pt>
                <c:pt idx="1">
                  <c:v>175453.125</c:v>
                </c:pt>
                <c:pt idx="2">
                  <c:v>137109.375</c:v>
                </c:pt>
                <c:pt idx="3">
                  <c:v>120312.5</c:v>
                </c:pt>
                <c:pt idx="4">
                  <c:v>81250</c:v>
                </c:pt>
                <c:pt idx="5">
                  <c:v>69062.5</c:v>
                </c:pt>
                <c:pt idx="6">
                  <c:v>21000</c:v>
                </c:pt>
                <c:pt idx="7">
                  <c:v>7050</c:v>
                </c:pt>
                <c:pt idx="8">
                  <c:v>4500</c:v>
                </c:pt>
                <c:pt idx="9">
                  <c:v>3150</c:v>
                </c:pt>
              </c:numCache>
            </c:numRef>
          </c:val>
          <c:extLst>
            <c:ext xmlns:c16="http://schemas.microsoft.com/office/drawing/2014/chart" uri="{C3380CC4-5D6E-409C-BE32-E72D297353CC}">
              <c16:uniqueId val="{00000002-340A-4BB2-8D33-DF1099CDE0F4}"/>
            </c:ext>
          </c:extLst>
        </c:ser>
        <c:dLbls>
          <c:showLegendKey val="0"/>
          <c:showVal val="0"/>
          <c:showCatName val="0"/>
          <c:showSerName val="0"/>
          <c:showPercent val="0"/>
          <c:showBubbleSize val="0"/>
        </c:dLbls>
        <c:gapWidth val="150"/>
        <c:overlap val="100"/>
        <c:axId val="84452223"/>
        <c:axId val="84449311"/>
      </c:barChart>
      <c:catAx>
        <c:axId val="84452223"/>
        <c:scaling>
          <c:orientation val="maxMin"/>
        </c:scaling>
        <c:delete val="0"/>
        <c:axPos val="r"/>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0"/>
          <a:lstStyle/>
          <a:p>
            <a:pPr>
              <a:defRPr sz="900" b="0" i="0" u="none" strike="noStrike" kern="1200" baseline="0">
                <a:solidFill>
                  <a:schemeClr val="tx1">
                    <a:lumMod val="65000"/>
                    <a:lumOff val="35000"/>
                  </a:schemeClr>
                </a:solidFill>
                <a:latin typeface="+mn-lt"/>
                <a:ea typeface="+mn-ea"/>
                <a:cs typeface="+mn-cs"/>
              </a:defRPr>
            </a:pPr>
            <a:endParaRPr lang="en-US"/>
          </a:p>
        </c:txPr>
        <c:crossAx val="84449311"/>
        <c:crosses val="max"/>
        <c:auto val="1"/>
        <c:lblAlgn val="ctr"/>
        <c:lblOffset val="100"/>
        <c:noMultiLvlLbl val="0"/>
      </c:catAx>
      <c:valAx>
        <c:axId val="84449311"/>
        <c:scaling>
          <c:orientation val="minMax"/>
          <c:max val="200000"/>
          <c:min val="-100000"/>
        </c:scaling>
        <c:delete val="0"/>
        <c:axPos val="t"/>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out"/>
        <c:minorTickMark val="none"/>
        <c:tickLblPos val="nextTo"/>
        <c:spPr>
          <a:noFill/>
          <a:ln>
            <a:noFill/>
          </a:ln>
          <a:effectLst/>
        </c:spPr>
        <c:txPr>
          <a:bodyPr rot="0" spcFirstLastPara="1" vertOverflow="ellipsis" wrap="square" anchor="ctr" anchorCtr="0"/>
          <a:lstStyle/>
          <a:p>
            <a:pPr>
              <a:defRPr sz="900" b="0" i="0" u="none" strike="noStrike" kern="1200" baseline="0">
                <a:solidFill>
                  <a:schemeClr val="tx1">
                    <a:lumMod val="65000"/>
                    <a:lumOff val="35000"/>
                  </a:schemeClr>
                </a:solidFill>
                <a:latin typeface="+mn-lt"/>
                <a:ea typeface="+mn-ea"/>
                <a:cs typeface="+mn-cs"/>
              </a:defRPr>
            </a:pPr>
            <a:endParaRPr lang="en-US"/>
          </a:p>
        </c:txPr>
        <c:crossAx val="84452223"/>
        <c:crosses val="autoZero"/>
        <c:crossBetween val="between"/>
      </c:valAx>
      <c:spPr>
        <a:noFill/>
        <a:ln>
          <a:noFill/>
        </a:ln>
        <a:effectLst/>
      </c:spPr>
    </c:plotArea>
    <c:legend>
      <c:legendPos val="b"/>
      <c:legendEntry>
        <c:idx val="2"/>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0</xdr:colOff>
      <xdr:row>1</xdr:row>
      <xdr:rowOff>19050</xdr:rowOff>
    </xdr:from>
    <xdr:to>
      <xdr:col>16</xdr:col>
      <xdr:colOff>590550</xdr:colOff>
      <xdr:row>125</xdr:row>
      <xdr:rowOff>114300</xdr:rowOff>
    </xdr:to>
    <xdr:sp macro="" textlink="">
      <xdr:nvSpPr>
        <xdr:cNvPr id="2" name="TextBox 1">
          <a:extLst>
            <a:ext uri="{FF2B5EF4-FFF2-40B4-BE49-F238E27FC236}">
              <a16:creationId xmlns:a16="http://schemas.microsoft.com/office/drawing/2014/main" id="{914B8270-F0A4-01F3-6CF9-910A370EF3B5}"/>
            </a:ext>
          </a:extLst>
        </xdr:cNvPr>
        <xdr:cNvSpPr txBox="1"/>
      </xdr:nvSpPr>
      <xdr:spPr>
        <a:xfrm>
          <a:off x="1828800" y="209550"/>
          <a:ext cx="8515350" cy="23717250"/>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rtl="0"/>
          <a:r>
            <a:rPr lang="en-US" sz="1100" b="1" i="0" u="none" strike="noStrike">
              <a:solidFill>
                <a:schemeClr val="dk1"/>
              </a:solidFill>
              <a:effectLst/>
              <a:latin typeface="+mn-lt"/>
              <a:ea typeface="+mn-ea"/>
              <a:cs typeface="+mn-cs"/>
            </a:rPr>
            <a:t>			Eagle Airlines: An Analysis of the Purchase of Piper Seneca V</a:t>
          </a:r>
        </a:p>
        <a:p>
          <a:pPr rtl="0"/>
          <a:r>
            <a:rPr lang="en-US" sz="1100" b="0" i="0" u="none" strike="noStrike">
              <a:solidFill>
                <a:schemeClr val="dk1"/>
              </a:solidFill>
              <a:effectLst/>
              <a:latin typeface="+mn-lt"/>
              <a:ea typeface="+mn-ea"/>
              <a:cs typeface="+mn-cs"/>
            </a:rPr>
            <a:t>		By:  Jozef Noka, Chase Eagan, Nicholas Pasquariello, Mark Oddi, Art Greene, Devan Morehouse</a:t>
          </a:r>
        </a:p>
        <a:p>
          <a:endParaRPr lang="en-US" sz="1100" b="1">
            <a:solidFill>
              <a:schemeClr val="dk1"/>
            </a:solidFill>
            <a:effectLst/>
            <a:latin typeface="+mn-lt"/>
            <a:ea typeface="+mn-ea"/>
            <a:cs typeface="+mn-cs"/>
          </a:endParaRPr>
        </a:p>
        <a:p>
          <a:r>
            <a:rPr lang="en-US" sz="1100" b="1">
              <a:solidFill>
                <a:schemeClr val="dk1"/>
              </a:solidFill>
              <a:effectLst/>
              <a:latin typeface="+mn-lt"/>
              <a:ea typeface="+mn-ea"/>
              <a:cs typeface="+mn-cs"/>
            </a:rPr>
            <a:t>				Identification</a:t>
          </a:r>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Table 1: This table is used for visualizing the necessary inputs for calculating the economic value added (EVA) the grayed area are the variable changes in using the Scenario Manager to input the Best, Base, and Worst Scenario.</a:t>
          </a: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Table 2: Shows the Highest and Lowest boundaries of the variables. For example purposes, the colors are highlighted green to represent the best-case scenario (The highest sales variables and lowest cost variables) </a:t>
          </a: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Table 3: This table shows the process of calculating the EAV following an Income Statement guideline.</a:t>
          </a: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Table 4: This table is 9 EAVs for Hours Flown (one of the ten variables). The 90 EAVs are used to calculate the sensitivity analysis in the graph below.</a:t>
          </a: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Graph 1: This graph is a tornado chart, which is a sensitivity analysis that can be used to determine the degree to which each variable will impact the EAV</a:t>
          </a: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Table 5: This table is the value at which each variable need to independently need to change to have EAV break even.</a:t>
          </a:r>
        </a:p>
        <a:p>
          <a:r>
            <a:rPr lang="en-US" sz="1100">
              <a:solidFill>
                <a:schemeClr val="dk1"/>
              </a:solidFill>
              <a:effectLst/>
              <a:latin typeface="+mn-lt"/>
              <a:ea typeface="+mn-ea"/>
              <a:cs typeface="+mn-cs"/>
            </a:rPr>
            <a:t> </a:t>
          </a:r>
        </a:p>
        <a:p>
          <a:endParaRPr lang="en-US" sz="1100"/>
        </a:p>
      </xdr:txBody>
    </xdr:sp>
    <xdr:clientData/>
  </xdr:twoCellAnchor>
  <xdr:twoCellAnchor editAs="oneCell">
    <xdr:from>
      <xdr:col>7</xdr:col>
      <xdr:colOff>238125</xdr:colOff>
      <xdr:row>6</xdr:row>
      <xdr:rowOff>133350</xdr:rowOff>
    </xdr:from>
    <xdr:to>
      <xdr:col>12</xdr:col>
      <xdr:colOff>371919</xdr:colOff>
      <xdr:row>21</xdr:row>
      <xdr:rowOff>28959</xdr:rowOff>
    </xdr:to>
    <xdr:pic>
      <xdr:nvPicPr>
        <xdr:cNvPr id="3" name="Picture 2">
          <a:extLst>
            <a:ext uri="{FF2B5EF4-FFF2-40B4-BE49-F238E27FC236}">
              <a16:creationId xmlns:a16="http://schemas.microsoft.com/office/drawing/2014/main" id="{9C228344-9958-DB4F-DE4B-29D1C4A0A435}"/>
            </a:ext>
          </a:extLst>
        </xdr:cNvPr>
        <xdr:cNvPicPr>
          <a:picLocks noChangeAspect="1"/>
        </xdr:cNvPicPr>
      </xdr:nvPicPr>
      <xdr:blipFill>
        <a:blip xmlns:r="http://schemas.openxmlformats.org/officeDocument/2006/relationships" r:embed="rId1"/>
        <a:stretch>
          <a:fillRect/>
        </a:stretch>
      </xdr:blipFill>
      <xdr:spPr>
        <a:xfrm>
          <a:off x="4505325" y="1276350"/>
          <a:ext cx="3181794" cy="2753109"/>
        </a:xfrm>
        <a:prstGeom prst="rect">
          <a:avLst/>
        </a:prstGeom>
        <a:ln>
          <a:solidFill>
            <a:sysClr val="windowText" lastClr="000000"/>
          </a:solidFill>
        </a:ln>
      </xdr:spPr>
    </xdr:pic>
    <xdr:clientData/>
  </xdr:twoCellAnchor>
  <xdr:twoCellAnchor editAs="oneCell">
    <xdr:from>
      <xdr:col>9</xdr:col>
      <xdr:colOff>447675</xdr:colOff>
      <xdr:row>24</xdr:row>
      <xdr:rowOff>85724</xdr:rowOff>
    </xdr:from>
    <xdr:to>
      <xdr:col>14</xdr:col>
      <xdr:colOff>161925</xdr:colOff>
      <xdr:row>36</xdr:row>
      <xdr:rowOff>143451</xdr:rowOff>
    </xdr:to>
    <xdr:pic>
      <xdr:nvPicPr>
        <xdr:cNvPr id="4" name="Picture 3">
          <a:extLst>
            <a:ext uri="{FF2B5EF4-FFF2-40B4-BE49-F238E27FC236}">
              <a16:creationId xmlns:a16="http://schemas.microsoft.com/office/drawing/2014/main" id="{1D000A09-894C-B056-C427-17524DC318B6}"/>
            </a:ext>
          </a:extLst>
        </xdr:cNvPr>
        <xdr:cNvPicPr>
          <a:picLocks noChangeAspect="1"/>
        </xdr:cNvPicPr>
      </xdr:nvPicPr>
      <xdr:blipFill>
        <a:blip xmlns:r="http://schemas.openxmlformats.org/officeDocument/2006/relationships" r:embed="rId2"/>
        <a:stretch>
          <a:fillRect/>
        </a:stretch>
      </xdr:blipFill>
      <xdr:spPr>
        <a:xfrm>
          <a:off x="5934075" y="4657724"/>
          <a:ext cx="2762250" cy="2343727"/>
        </a:xfrm>
        <a:prstGeom prst="rect">
          <a:avLst/>
        </a:prstGeom>
      </xdr:spPr>
    </xdr:pic>
    <xdr:clientData/>
  </xdr:twoCellAnchor>
  <xdr:twoCellAnchor editAs="oneCell">
    <xdr:from>
      <xdr:col>6</xdr:col>
      <xdr:colOff>180975</xdr:colOff>
      <xdr:row>24</xdr:row>
      <xdr:rowOff>114300</xdr:rowOff>
    </xdr:from>
    <xdr:to>
      <xdr:col>9</xdr:col>
      <xdr:colOff>467020</xdr:colOff>
      <xdr:row>36</xdr:row>
      <xdr:rowOff>76200</xdr:rowOff>
    </xdr:to>
    <xdr:pic>
      <xdr:nvPicPr>
        <xdr:cNvPr id="5" name="Picture 4">
          <a:extLst>
            <a:ext uri="{FF2B5EF4-FFF2-40B4-BE49-F238E27FC236}">
              <a16:creationId xmlns:a16="http://schemas.microsoft.com/office/drawing/2014/main" id="{B6CA1D6F-9C08-294D-B25B-7C78B01EEB91}"/>
            </a:ext>
          </a:extLst>
        </xdr:cNvPr>
        <xdr:cNvPicPr>
          <a:picLocks noChangeAspect="1"/>
        </xdr:cNvPicPr>
      </xdr:nvPicPr>
      <xdr:blipFill>
        <a:blip xmlns:r="http://schemas.openxmlformats.org/officeDocument/2006/relationships" r:embed="rId3"/>
        <a:stretch>
          <a:fillRect/>
        </a:stretch>
      </xdr:blipFill>
      <xdr:spPr>
        <a:xfrm>
          <a:off x="3838575" y="4686300"/>
          <a:ext cx="2114845" cy="2247900"/>
        </a:xfrm>
        <a:prstGeom prst="rect">
          <a:avLst/>
        </a:prstGeom>
      </xdr:spPr>
    </xdr:pic>
    <xdr:clientData/>
  </xdr:twoCellAnchor>
  <xdr:twoCellAnchor editAs="oneCell">
    <xdr:from>
      <xdr:col>6</xdr:col>
      <xdr:colOff>561975</xdr:colOff>
      <xdr:row>42</xdr:row>
      <xdr:rowOff>66675</xdr:rowOff>
    </xdr:from>
    <xdr:to>
      <xdr:col>12</xdr:col>
      <xdr:colOff>543433</xdr:colOff>
      <xdr:row>64</xdr:row>
      <xdr:rowOff>48207</xdr:rowOff>
    </xdr:to>
    <xdr:pic>
      <xdr:nvPicPr>
        <xdr:cNvPr id="6" name="Picture 5">
          <a:extLst>
            <a:ext uri="{FF2B5EF4-FFF2-40B4-BE49-F238E27FC236}">
              <a16:creationId xmlns:a16="http://schemas.microsoft.com/office/drawing/2014/main" id="{6BD0082B-365C-C617-560D-4A15C76F0301}"/>
            </a:ext>
          </a:extLst>
        </xdr:cNvPr>
        <xdr:cNvPicPr>
          <a:picLocks noChangeAspect="1"/>
        </xdr:cNvPicPr>
      </xdr:nvPicPr>
      <xdr:blipFill>
        <a:blip xmlns:r="http://schemas.openxmlformats.org/officeDocument/2006/relationships" r:embed="rId4"/>
        <a:stretch>
          <a:fillRect/>
        </a:stretch>
      </xdr:blipFill>
      <xdr:spPr>
        <a:xfrm>
          <a:off x="4219575" y="8067675"/>
          <a:ext cx="3639058" cy="4172532"/>
        </a:xfrm>
        <a:prstGeom prst="rect">
          <a:avLst/>
        </a:prstGeom>
      </xdr:spPr>
    </xdr:pic>
    <xdr:clientData/>
  </xdr:twoCellAnchor>
  <xdr:twoCellAnchor editAs="oneCell">
    <xdr:from>
      <xdr:col>6</xdr:col>
      <xdr:colOff>352425</xdr:colOff>
      <xdr:row>68</xdr:row>
      <xdr:rowOff>28575</xdr:rowOff>
    </xdr:from>
    <xdr:to>
      <xdr:col>12</xdr:col>
      <xdr:colOff>476778</xdr:colOff>
      <xdr:row>74</xdr:row>
      <xdr:rowOff>152577</xdr:rowOff>
    </xdr:to>
    <xdr:pic>
      <xdr:nvPicPr>
        <xdr:cNvPr id="7" name="Picture 6">
          <a:extLst>
            <a:ext uri="{FF2B5EF4-FFF2-40B4-BE49-F238E27FC236}">
              <a16:creationId xmlns:a16="http://schemas.microsoft.com/office/drawing/2014/main" id="{A8C4504A-DED7-F5D7-0DF4-81F44B434CAA}"/>
            </a:ext>
          </a:extLst>
        </xdr:cNvPr>
        <xdr:cNvPicPr>
          <a:picLocks noChangeAspect="1"/>
        </xdr:cNvPicPr>
      </xdr:nvPicPr>
      <xdr:blipFill>
        <a:blip xmlns:r="http://schemas.openxmlformats.org/officeDocument/2006/relationships" r:embed="rId5"/>
        <a:stretch>
          <a:fillRect/>
        </a:stretch>
      </xdr:blipFill>
      <xdr:spPr>
        <a:xfrm>
          <a:off x="4010025" y="12982575"/>
          <a:ext cx="3781953" cy="1267002"/>
        </a:xfrm>
        <a:prstGeom prst="rect">
          <a:avLst/>
        </a:prstGeom>
        <a:ln>
          <a:solidFill>
            <a:sysClr val="windowText" lastClr="000000"/>
          </a:solidFill>
        </a:ln>
      </xdr:spPr>
    </xdr:pic>
    <xdr:clientData/>
  </xdr:twoCellAnchor>
  <xdr:twoCellAnchor editAs="oneCell">
    <xdr:from>
      <xdr:col>5</xdr:col>
      <xdr:colOff>44993</xdr:colOff>
      <xdr:row>80</xdr:row>
      <xdr:rowOff>133350</xdr:rowOff>
    </xdr:from>
    <xdr:to>
      <xdr:col>15</xdr:col>
      <xdr:colOff>172605</xdr:colOff>
      <xdr:row>96</xdr:row>
      <xdr:rowOff>143443</xdr:rowOff>
    </xdr:to>
    <xdr:pic>
      <xdr:nvPicPr>
        <xdr:cNvPr id="8" name="Picture 7">
          <a:extLst>
            <a:ext uri="{FF2B5EF4-FFF2-40B4-BE49-F238E27FC236}">
              <a16:creationId xmlns:a16="http://schemas.microsoft.com/office/drawing/2014/main" id="{9CEC1F53-758C-B867-B890-5118C9A67E71}"/>
            </a:ext>
          </a:extLst>
        </xdr:cNvPr>
        <xdr:cNvPicPr>
          <a:picLocks noChangeAspect="1"/>
        </xdr:cNvPicPr>
      </xdr:nvPicPr>
      <xdr:blipFill>
        <a:blip xmlns:r="http://schemas.openxmlformats.org/officeDocument/2006/relationships" r:embed="rId6"/>
        <a:stretch>
          <a:fillRect/>
        </a:stretch>
      </xdr:blipFill>
      <xdr:spPr>
        <a:xfrm>
          <a:off x="3092993" y="15373350"/>
          <a:ext cx="6223612" cy="3058093"/>
        </a:xfrm>
        <a:prstGeom prst="rect">
          <a:avLst/>
        </a:prstGeom>
      </xdr:spPr>
    </xdr:pic>
    <xdr:clientData/>
  </xdr:twoCellAnchor>
  <xdr:twoCellAnchor editAs="oneCell">
    <xdr:from>
      <xdr:col>6</xdr:col>
      <xdr:colOff>514350</xdr:colOff>
      <xdr:row>100</xdr:row>
      <xdr:rowOff>123825</xdr:rowOff>
    </xdr:from>
    <xdr:to>
      <xdr:col>13</xdr:col>
      <xdr:colOff>171998</xdr:colOff>
      <xdr:row>113</xdr:row>
      <xdr:rowOff>47960</xdr:rowOff>
    </xdr:to>
    <xdr:pic>
      <xdr:nvPicPr>
        <xdr:cNvPr id="9" name="Picture 8">
          <a:extLst>
            <a:ext uri="{FF2B5EF4-FFF2-40B4-BE49-F238E27FC236}">
              <a16:creationId xmlns:a16="http://schemas.microsoft.com/office/drawing/2014/main" id="{EAD7B9EB-1088-74DF-D48F-802F90B19B2D}"/>
            </a:ext>
          </a:extLst>
        </xdr:cNvPr>
        <xdr:cNvPicPr>
          <a:picLocks noChangeAspect="1"/>
        </xdr:cNvPicPr>
      </xdr:nvPicPr>
      <xdr:blipFill>
        <a:blip xmlns:r="http://schemas.openxmlformats.org/officeDocument/2006/relationships" r:embed="rId7"/>
        <a:stretch>
          <a:fillRect/>
        </a:stretch>
      </xdr:blipFill>
      <xdr:spPr>
        <a:xfrm>
          <a:off x="4171950" y="19173825"/>
          <a:ext cx="3924848" cy="240063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24</xdr:col>
      <xdr:colOff>28574</xdr:colOff>
      <xdr:row>13</xdr:row>
      <xdr:rowOff>148590</xdr:rowOff>
    </xdr:from>
    <xdr:to>
      <xdr:col>31</xdr:col>
      <xdr:colOff>209550</xdr:colOff>
      <xdr:row>33</xdr:row>
      <xdr:rowOff>38100</xdr:rowOff>
    </xdr:to>
    <xdr:graphicFrame macro="">
      <xdr:nvGraphicFramePr>
        <xdr:cNvPr id="4" name="Chart 3">
          <a:extLst>
            <a:ext uri="{FF2B5EF4-FFF2-40B4-BE49-F238E27FC236}">
              <a16:creationId xmlns:a16="http://schemas.microsoft.com/office/drawing/2014/main" id="{84AE370A-66CE-A7A7-07FE-EBCB23DB276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B5C2C-6F9C-4A14-A870-E46D10615845}">
  <dimension ref="A1"/>
  <sheetViews>
    <sheetView showGridLines="0" topLeftCell="A47" workbookViewId="0">
      <selection activeCell="B7" sqref="B7"/>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991522-E002-425E-926D-FC63889981D1}">
  <dimension ref="A1:R22"/>
  <sheetViews>
    <sheetView showGridLines="0" topLeftCell="A3" workbookViewId="0">
      <selection activeCell="B12" sqref="B12"/>
    </sheetView>
  </sheetViews>
  <sheetFormatPr defaultRowHeight="15" x14ac:dyDescent="0.25"/>
  <cols>
    <col min="1" max="1" width="31.42578125" bestFit="1" customWidth="1"/>
    <col min="2" max="2" width="14.28515625" bestFit="1" customWidth="1"/>
    <col min="4" max="4" width="12.5703125" bestFit="1" customWidth="1"/>
    <col min="5" max="5" width="11.140625" bestFit="1" customWidth="1"/>
    <col min="6" max="6" width="13.140625" bestFit="1" customWidth="1"/>
    <col min="7" max="7" width="9.140625" customWidth="1"/>
    <col min="8" max="8" width="33.28515625" customWidth="1"/>
    <col min="9" max="9" width="19.85546875" customWidth="1"/>
    <col min="10" max="10" width="14.28515625" customWidth="1"/>
    <col min="11" max="13" width="13.42578125" customWidth="1"/>
    <col min="14" max="14" width="13.42578125" bestFit="1" customWidth="1"/>
    <col min="15" max="15" width="12.7109375" bestFit="1" customWidth="1"/>
    <col min="16" max="16" width="12.5703125" hidden="1" customWidth="1"/>
    <col min="17" max="17" width="12.5703125" bestFit="1" customWidth="1"/>
    <col min="18" max="18" width="13.42578125" hidden="1" customWidth="1"/>
    <col min="19" max="19" width="13.5703125" bestFit="1" customWidth="1"/>
    <col min="21" max="21" width="26.5703125" bestFit="1" customWidth="1"/>
    <col min="22" max="22" width="13.42578125" bestFit="1" customWidth="1"/>
    <col min="23" max="24" width="12.5703125" bestFit="1" customWidth="1"/>
    <col min="25" max="25" width="12.7109375" bestFit="1" customWidth="1"/>
  </cols>
  <sheetData>
    <row r="1" spans="1:12" x14ac:dyDescent="0.25">
      <c r="A1" s="4" t="s">
        <v>24</v>
      </c>
      <c r="D1" s="8" t="s">
        <v>0</v>
      </c>
      <c r="E1" s="21" t="s">
        <v>1</v>
      </c>
      <c r="F1" s="9" t="s">
        <v>2</v>
      </c>
      <c r="H1" s="4" t="s">
        <v>25</v>
      </c>
    </row>
    <row r="2" spans="1:12" x14ac:dyDescent="0.25">
      <c r="A2" s="8" t="s">
        <v>3</v>
      </c>
      <c r="B2" s="102">
        <v>650</v>
      </c>
      <c r="D2" s="8">
        <v>400</v>
      </c>
      <c r="E2" s="21">
        <v>650</v>
      </c>
      <c r="F2" s="26">
        <v>950</v>
      </c>
      <c r="H2" s="42" t="s">
        <v>27</v>
      </c>
      <c r="I2" s="69">
        <f>B6</f>
        <v>0.5</v>
      </c>
      <c r="J2" s="10"/>
      <c r="L2" s="49"/>
    </row>
    <row r="3" spans="1:12" x14ac:dyDescent="0.25">
      <c r="A3" s="10" t="s">
        <v>4</v>
      </c>
      <c r="B3" s="103">
        <v>1400</v>
      </c>
      <c r="D3" s="22">
        <v>1250</v>
      </c>
      <c r="E3" s="1">
        <v>1400</v>
      </c>
      <c r="F3" s="27">
        <v>1500</v>
      </c>
      <c r="H3" s="41" t="s">
        <v>28</v>
      </c>
      <c r="I3" s="10">
        <f>B2</f>
        <v>650</v>
      </c>
      <c r="J3" s="10"/>
    </row>
    <row r="4" spans="1:12" x14ac:dyDescent="0.25">
      <c r="A4" s="10" t="s">
        <v>5</v>
      </c>
      <c r="B4" s="103">
        <v>375</v>
      </c>
      <c r="D4" s="22">
        <v>325</v>
      </c>
      <c r="E4" s="1">
        <v>375</v>
      </c>
      <c r="F4" s="27">
        <v>410</v>
      </c>
      <c r="H4" s="41" t="s">
        <v>29</v>
      </c>
      <c r="I4" s="22">
        <f>B3</f>
        <v>1400</v>
      </c>
      <c r="J4" s="10"/>
      <c r="L4" s="1"/>
    </row>
    <row r="5" spans="1:12" x14ac:dyDescent="0.25">
      <c r="A5" s="10" t="s">
        <v>23</v>
      </c>
      <c r="B5" s="104">
        <v>0.5</v>
      </c>
      <c r="D5" s="23">
        <v>0.4</v>
      </c>
      <c r="E5" s="24">
        <v>0.5</v>
      </c>
      <c r="F5" s="28">
        <v>0.625</v>
      </c>
      <c r="H5" s="43" t="s">
        <v>13</v>
      </c>
      <c r="I5" s="70">
        <f>I2*I3*I4</f>
        <v>455000</v>
      </c>
      <c r="J5" s="10"/>
      <c r="L5" s="50"/>
    </row>
    <row r="6" spans="1:12" x14ac:dyDescent="0.25">
      <c r="A6" s="10" t="s">
        <v>6</v>
      </c>
      <c r="B6" s="104">
        <v>0.5</v>
      </c>
      <c r="D6" s="23">
        <v>0.45</v>
      </c>
      <c r="E6" s="24">
        <v>0.5</v>
      </c>
      <c r="F6" s="29">
        <v>0.65</v>
      </c>
      <c r="H6" s="41" t="s">
        <v>30</v>
      </c>
      <c r="I6" s="71">
        <f>(1-B6)</f>
        <v>0.5</v>
      </c>
      <c r="J6" s="10"/>
      <c r="L6" s="49"/>
    </row>
    <row r="7" spans="1:12" x14ac:dyDescent="0.25">
      <c r="A7" s="10" t="s">
        <v>7</v>
      </c>
      <c r="B7" s="103">
        <v>950</v>
      </c>
      <c r="D7" s="30">
        <v>800</v>
      </c>
      <c r="E7" s="1">
        <v>950</v>
      </c>
      <c r="F7" s="11">
        <v>1150</v>
      </c>
      <c r="H7" s="41" t="s">
        <v>28</v>
      </c>
      <c r="I7" s="10">
        <f>B2</f>
        <v>650</v>
      </c>
      <c r="J7" s="10"/>
    </row>
    <row r="8" spans="1:12" x14ac:dyDescent="0.25">
      <c r="A8" s="10" t="s">
        <v>8</v>
      </c>
      <c r="B8" s="103">
        <v>60000</v>
      </c>
      <c r="D8" s="30">
        <v>54000</v>
      </c>
      <c r="E8" s="1">
        <v>60000</v>
      </c>
      <c r="F8" s="11">
        <v>75000</v>
      </c>
      <c r="H8" s="41" t="s">
        <v>29</v>
      </c>
      <c r="I8" s="22">
        <f>B4</f>
        <v>375</v>
      </c>
      <c r="J8" s="10"/>
      <c r="L8" s="1"/>
    </row>
    <row r="9" spans="1:12" x14ac:dyDescent="0.25">
      <c r="A9" s="10" t="s">
        <v>9</v>
      </c>
      <c r="B9" s="104">
        <v>0.4</v>
      </c>
      <c r="D9" s="31">
        <v>0.3</v>
      </c>
      <c r="E9" s="24">
        <v>0.4</v>
      </c>
      <c r="F9" s="12">
        <v>0.5</v>
      </c>
      <c r="H9" s="41" t="s">
        <v>26</v>
      </c>
      <c r="I9" s="72">
        <f>$B$12</f>
        <v>5</v>
      </c>
      <c r="J9" s="10"/>
      <c r="L9" s="51"/>
    </row>
    <row r="10" spans="1:12" x14ac:dyDescent="0.25">
      <c r="A10" s="10" t="s">
        <v>10</v>
      </c>
      <c r="B10" s="105">
        <v>0.115</v>
      </c>
      <c r="D10" s="32">
        <v>0.105</v>
      </c>
      <c r="E10" s="25">
        <v>0.115</v>
      </c>
      <c r="F10" s="13">
        <v>0.13</v>
      </c>
      <c r="H10" s="41" t="s">
        <v>31</v>
      </c>
      <c r="I10" s="71">
        <f>B5</f>
        <v>0.5</v>
      </c>
      <c r="J10" s="10"/>
      <c r="L10" s="49"/>
    </row>
    <row r="11" spans="1:12" x14ac:dyDescent="0.25">
      <c r="A11" s="14" t="s">
        <v>11</v>
      </c>
      <c r="B11" s="106">
        <v>450000</v>
      </c>
      <c r="D11" s="33">
        <v>425000</v>
      </c>
      <c r="E11" s="5">
        <v>450000</v>
      </c>
      <c r="F11" s="15">
        <v>500000</v>
      </c>
      <c r="H11" s="43" t="s">
        <v>12</v>
      </c>
      <c r="I11" s="70">
        <f>I6*I7*I8*I9*I10</f>
        <v>304687.5</v>
      </c>
      <c r="J11" s="10"/>
      <c r="L11" s="50"/>
    </row>
    <row r="12" spans="1:12" x14ac:dyDescent="0.25">
      <c r="A12" t="s">
        <v>33</v>
      </c>
      <c r="B12" s="6">
        <v>5</v>
      </c>
      <c r="C12" s="6"/>
      <c r="D12" s="6"/>
      <c r="E12" s="6"/>
      <c r="F12" s="6"/>
      <c r="H12" s="44" t="s">
        <v>14</v>
      </c>
      <c r="I12" s="73">
        <f>I11+I5</f>
        <v>759687.5</v>
      </c>
      <c r="J12" s="10"/>
      <c r="L12" s="7"/>
    </row>
    <row r="13" spans="1:12" x14ac:dyDescent="0.25">
      <c r="A13" t="s">
        <v>32</v>
      </c>
      <c r="B13" s="2">
        <v>0.08</v>
      </c>
      <c r="C13" s="2"/>
      <c r="D13" s="2"/>
      <c r="E13" s="2"/>
      <c r="F13" s="2"/>
      <c r="H13" s="43" t="s">
        <v>15</v>
      </c>
      <c r="I13" s="74">
        <f>B2*B7</f>
        <v>617500</v>
      </c>
      <c r="J13" s="10"/>
      <c r="L13" s="1"/>
    </row>
    <row r="14" spans="1:12" x14ac:dyDescent="0.25">
      <c r="H14" s="45" t="s">
        <v>16</v>
      </c>
      <c r="I14" s="73">
        <f>I12-I13</f>
        <v>142187.5</v>
      </c>
      <c r="J14" s="10"/>
      <c r="L14" s="7"/>
    </row>
    <row r="15" spans="1:12" x14ac:dyDescent="0.25">
      <c r="H15" s="43" t="s">
        <v>17</v>
      </c>
      <c r="I15" s="74">
        <f>B8</f>
        <v>60000</v>
      </c>
      <c r="J15" s="10"/>
      <c r="L15" s="1"/>
    </row>
    <row r="16" spans="1:12" x14ac:dyDescent="0.25">
      <c r="H16" s="46" t="s">
        <v>18</v>
      </c>
      <c r="I16" s="75">
        <f>B9*B10*B11</f>
        <v>20700.000000000004</v>
      </c>
      <c r="J16" s="10"/>
      <c r="L16" s="52"/>
    </row>
    <row r="17" spans="8:12" x14ac:dyDescent="0.25">
      <c r="H17" s="47" t="s">
        <v>19</v>
      </c>
      <c r="I17" s="74">
        <f>SUM(I15:I16)</f>
        <v>80700</v>
      </c>
      <c r="J17" s="10"/>
      <c r="L17" s="1"/>
    </row>
    <row r="18" spans="8:12" x14ac:dyDescent="0.25">
      <c r="H18" s="65" t="s">
        <v>20</v>
      </c>
      <c r="I18" s="101">
        <f>I14-I17</f>
        <v>61487.5</v>
      </c>
      <c r="J18" s="10"/>
      <c r="L18" s="7"/>
    </row>
    <row r="19" spans="8:12" x14ac:dyDescent="0.25">
      <c r="H19" s="42" t="s">
        <v>48</v>
      </c>
      <c r="I19" s="82">
        <f>B11*(1-B9)</f>
        <v>270000</v>
      </c>
      <c r="J19" s="10"/>
      <c r="L19" s="1"/>
    </row>
    <row r="20" spans="8:12" x14ac:dyDescent="0.25">
      <c r="H20" s="78" t="s">
        <v>35</v>
      </c>
      <c r="I20" s="83">
        <f>$B$13</f>
        <v>0.08</v>
      </c>
      <c r="L20" s="7"/>
    </row>
    <row r="21" spans="8:12" x14ac:dyDescent="0.25">
      <c r="H21" s="43" t="s">
        <v>21</v>
      </c>
      <c r="I21" s="89">
        <f>I19*I20</f>
        <v>21600</v>
      </c>
      <c r="J21" s="10"/>
    </row>
    <row r="22" spans="8:12" x14ac:dyDescent="0.25">
      <c r="H22" s="48" t="s">
        <v>22</v>
      </c>
      <c r="I22" s="91">
        <f>I18-I21</f>
        <v>39887.5</v>
      </c>
      <c r="J22" s="10"/>
    </row>
  </sheetData>
  <scenarios current="2" show="2" sqref="J21">
    <scenario name="Worst" locked="1" count="10" user="Devan Morehouse" comment="Created by Devan Morehouse on 11/8/2022">
      <inputCells r="B2" val="400"/>
      <inputCells r="B3" val="1250" numFmtId="6"/>
      <inputCells r="B4" val="325" numFmtId="6"/>
      <inputCells r="B5" val="0.4" numFmtId="9"/>
      <inputCells r="B6" val="0.45" numFmtId="9"/>
      <inputCells r="B7" val="1150" numFmtId="6"/>
      <inputCells r="B8" val="75000" numFmtId="6"/>
      <inputCells r="B9" val="0.5" numFmtId="9"/>
      <inputCells r="B10" val="0.13" numFmtId="164"/>
      <inputCells r="B11" val="500000" numFmtId="6"/>
    </scenario>
    <scenario name="Base" locked="1" count="10" user="Devan Morehouse" comment="Created by Devan Morehouse on 11/8/2022">
      <inputCells r="B2" val="650"/>
      <inputCells r="B3" val="1400" numFmtId="6"/>
      <inputCells r="B4" val="375" numFmtId="6"/>
      <inputCells r="B5" val="0.5" numFmtId="9"/>
      <inputCells r="B6" val="0.5" numFmtId="9"/>
      <inputCells r="B7" val="950" numFmtId="6"/>
      <inputCells r="B8" val="60000" numFmtId="6"/>
      <inputCells r="B9" val="0.4" numFmtId="9"/>
      <inputCells r="B10" val="0.115" numFmtId="164"/>
      <inputCells r="B11" val="450000" numFmtId="6"/>
    </scenario>
    <scenario name="Best" locked="1" count="10" user="Devan Morehouse" comment="Created by Devan Morehouse on 11/8/2022">
      <inputCells r="B2" val="950"/>
      <inputCells r="B3" val="1500" numFmtId="6"/>
      <inputCells r="B4" val="410" numFmtId="6"/>
      <inputCells r="B5" val="0.625" numFmtId="164"/>
      <inputCells r="B6" val="0.65" numFmtId="9"/>
      <inputCells r="B7" val="800" numFmtId="6"/>
      <inputCells r="B8" val="54000" numFmtId="6"/>
      <inputCells r="B9" val="0.3" numFmtId="9"/>
      <inputCells r="B10" val="0.105" numFmtId="164"/>
      <inputCells r="B11" val="425000" numFmtId="6"/>
    </scenario>
  </scenario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572173-86CC-4346-A728-4214692983BA}">
  <dimension ref="A1:AH69"/>
  <sheetViews>
    <sheetView showGridLines="0" tabSelected="1" topLeftCell="M20" workbookViewId="0">
      <selection activeCell="AC13" sqref="AC13"/>
    </sheetView>
  </sheetViews>
  <sheetFormatPr defaultRowHeight="15" x14ac:dyDescent="0.25"/>
  <cols>
    <col min="1" max="1" width="31.42578125" bestFit="1" customWidth="1"/>
    <col min="2" max="2" width="14.28515625" bestFit="1" customWidth="1"/>
    <col min="5" max="5" width="9.140625" customWidth="1"/>
    <col min="6" max="6" width="33.28515625" customWidth="1"/>
    <col min="7" max="7" width="19.85546875" customWidth="1"/>
    <col min="8" max="8" width="14.28515625" customWidth="1"/>
    <col min="9" max="10" width="13.42578125" customWidth="1"/>
    <col min="11" max="12" width="13.42578125" hidden="1" customWidth="1"/>
    <col min="13" max="13" width="13.42578125" bestFit="1" customWidth="1"/>
    <col min="14" max="14" width="12.7109375" style="3" bestFit="1" customWidth="1"/>
    <col min="15" max="15" width="12.5703125" style="3" hidden="1" customWidth="1"/>
    <col min="16" max="16" width="12.5703125" style="3" bestFit="1" customWidth="1"/>
    <col min="17" max="17" width="13.42578125" style="3" hidden="1" customWidth="1"/>
    <col min="18" max="18" width="13.5703125" style="3" bestFit="1" customWidth="1"/>
    <col min="19" max="19" width="13.5703125" style="3" customWidth="1"/>
    <col min="20" max="20" width="12.42578125" hidden="1" customWidth="1"/>
    <col min="21" max="21" width="13.42578125" hidden="1" customWidth="1"/>
    <col min="22" max="23" width="12.5703125" hidden="1" customWidth="1"/>
    <col min="24" max="24" width="9.140625" hidden="1" customWidth="1"/>
    <col min="25" max="25" width="31.42578125" bestFit="1" customWidth="1"/>
    <col min="26" max="26" width="13.42578125" bestFit="1" customWidth="1"/>
    <col min="27" max="28" width="12.5703125" bestFit="1" customWidth="1"/>
    <col min="29" max="29" width="12.7109375" bestFit="1" customWidth="1"/>
    <col min="30" max="30" width="12.42578125" bestFit="1" customWidth="1"/>
    <col min="31" max="31" width="18.7109375" bestFit="1" customWidth="1"/>
    <col min="32" max="32" width="17.85546875" bestFit="1" customWidth="1"/>
    <col min="33" max="33" width="31.42578125" bestFit="1" customWidth="1"/>
    <col min="34" max="34" width="30.42578125" bestFit="1" customWidth="1"/>
  </cols>
  <sheetData>
    <row r="1" spans="1:34" x14ac:dyDescent="0.25">
      <c r="A1" s="4" t="s">
        <v>24</v>
      </c>
      <c r="B1" t="s">
        <v>37</v>
      </c>
      <c r="C1" t="s">
        <v>34</v>
      </c>
      <c r="D1" t="s">
        <v>36</v>
      </c>
      <c r="F1" s="4" t="s">
        <v>25</v>
      </c>
      <c r="G1" t="s">
        <v>37</v>
      </c>
      <c r="H1" t="s">
        <v>34</v>
      </c>
      <c r="I1" t="s">
        <v>36</v>
      </c>
      <c r="L1" t="s">
        <v>3</v>
      </c>
      <c r="M1" s="7" t="str">
        <f>L1</f>
        <v xml:space="preserve">Hours Flown </v>
      </c>
    </row>
    <row r="2" spans="1:34" x14ac:dyDescent="0.25">
      <c r="A2" s="8" t="s">
        <v>3</v>
      </c>
      <c r="B2" s="8">
        <v>950</v>
      </c>
      <c r="C2" s="53">
        <v>650</v>
      </c>
      <c r="D2" s="9">
        <v>400</v>
      </c>
      <c r="F2" s="42" t="s">
        <v>27</v>
      </c>
      <c r="G2" s="84">
        <f>B6</f>
        <v>0.65</v>
      </c>
      <c r="H2" s="16">
        <f>C6</f>
        <v>0.5</v>
      </c>
      <c r="I2" s="16">
        <f>D6</f>
        <v>0.45</v>
      </c>
      <c r="J2" s="49"/>
      <c r="K2" s="49"/>
      <c r="L2" s="76">
        <f>MIN(N4:N6,P4:P6,R4:R6)</f>
        <v>-43187.5</v>
      </c>
      <c r="N2" t="s">
        <v>37</v>
      </c>
      <c r="O2" t="s">
        <v>34</v>
      </c>
      <c r="P2" t="s">
        <v>43</v>
      </c>
      <c r="Q2" s="61"/>
      <c r="R2" s="60" t="s">
        <v>41</v>
      </c>
      <c r="S2" s="60"/>
      <c r="U2" t="s">
        <v>38</v>
      </c>
      <c r="V2" t="s">
        <v>47</v>
      </c>
      <c r="W2" t="s">
        <v>49</v>
      </c>
      <c r="Y2" s="8"/>
      <c r="Z2" s="21" t="s">
        <v>38</v>
      </c>
      <c r="AA2" s="21" t="s">
        <v>39</v>
      </c>
      <c r="AB2" s="9" t="s">
        <v>40</v>
      </c>
      <c r="AC2" s="7"/>
      <c r="AH2" s="7"/>
    </row>
    <row r="3" spans="1:34" x14ac:dyDescent="0.25">
      <c r="A3" s="10" t="s">
        <v>4</v>
      </c>
      <c r="B3" s="22">
        <v>1500</v>
      </c>
      <c r="C3" s="38">
        <v>1400</v>
      </c>
      <c r="D3" s="11">
        <v>1250</v>
      </c>
      <c r="F3" s="41" t="s">
        <v>28</v>
      </c>
      <c r="G3" s="85">
        <f t="shared" ref="G3:I4" si="0">B2</f>
        <v>950</v>
      </c>
      <c r="H3" s="17">
        <f t="shared" si="0"/>
        <v>650</v>
      </c>
      <c r="I3" s="17">
        <f t="shared" si="0"/>
        <v>400</v>
      </c>
      <c r="K3" t="s">
        <v>39</v>
      </c>
      <c r="L3" s="77">
        <f>MAX(N4:N6,P4:P6,R4:R6)</f>
        <v>132265.625</v>
      </c>
      <c r="N3" s="50">
        <f>$G$22</f>
        <v>132265.625</v>
      </c>
      <c r="O3" s="50"/>
      <c r="P3" s="50">
        <f>$H$22</f>
        <v>39887.5</v>
      </c>
      <c r="Q3" s="50"/>
      <c r="R3" s="50">
        <f>$I$22</f>
        <v>-43187.5</v>
      </c>
      <c r="S3" s="50"/>
      <c r="T3" t="str">
        <f>L1</f>
        <v xml:space="preserve">Hours Flown </v>
      </c>
      <c r="U3" s="7">
        <f>MIN(P4:P6)</f>
        <v>-14800</v>
      </c>
      <c r="V3" s="7">
        <f>MAX(P4:P6)</f>
        <v>105512.5</v>
      </c>
      <c r="W3" s="7">
        <f>V3-U3</f>
        <v>120312.5</v>
      </c>
      <c r="Y3" s="100" t="s">
        <v>7</v>
      </c>
      <c r="Z3" s="87">
        <f t="shared" ref="Z3:Z12" si="1">VLOOKUP(Y3,$T$3:$W$66,2,FALSE)</f>
        <v>-90112.5</v>
      </c>
      <c r="AA3" s="87">
        <f t="shared" ref="AA3:AA12" si="2">VLOOKUP(Y3,$T$3:$W$66,3,FALSE)</f>
        <v>137387.5</v>
      </c>
      <c r="AB3" s="87">
        <f t="shared" ref="AB3:AB12" si="3">VLOOKUP(Y3,$T$3:$W$66,4,FALSE)</f>
        <v>227500</v>
      </c>
      <c r="AC3" s="7"/>
    </row>
    <row r="4" spans="1:34" x14ac:dyDescent="0.25">
      <c r="A4" s="10" t="s">
        <v>5</v>
      </c>
      <c r="B4" s="22">
        <v>410</v>
      </c>
      <c r="C4" s="38">
        <v>375</v>
      </c>
      <c r="D4" s="11">
        <v>325</v>
      </c>
      <c r="F4" s="41" t="s">
        <v>29</v>
      </c>
      <c r="G4" s="56">
        <f t="shared" si="0"/>
        <v>1500</v>
      </c>
      <c r="H4" s="11">
        <f t="shared" si="0"/>
        <v>1400</v>
      </c>
      <c r="I4" s="11">
        <f t="shared" si="0"/>
        <v>1250</v>
      </c>
      <c r="J4" s="1"/>
      <c r="K4" s="1" t="s">
        <v>46</v>
      </c>
      <c r="L4" s="77">
        <f>_xlfn.STDEV.P(N4:N6,P4:P6,R4:R6)</f>
        <v>56031.420241267064</v>
      </c>
      <c r="M4">
        <v>950</v>
      </c>
      <c r="N4" s="63">
        <f t="dataTable" ref="N4:N6" dt2D="0" dtr="0" r1="B2"/>
        <v>132265.625</v>
      </c>
      <c r="O4" s="64">
        <f>M4</f>
        <v>950</v>
      </c>
      <c r="P4" s="64">
        <f t="dataTable" ref="P4:P6" dt2D="0" dtr="0" r1="C2"/>
        <v>105512.5</v>
      </c>
      <c r="Q4" s="64">
        <f>M4</f>
        <v>950</v>
      </c>
      <c r="R4" s="64">
        <f t="dataTable" ref="R4:R6" dt2D="0" dtr="0" r1="D2" ca="1"/>
        <v>22812.5</v>
      </c>
      <c r="S4" s="50"/>
      <c r="Y4" s="73" t="s">
        <v>6</v>
      </c>
      <c r="Z4" s="87">
        <f t="shared" si="1"/>
        <v>-43187.5</v>
      </c>
      <c r="AA4" s="87">
        <f t="shared" si="2"/>
        <v>132265.625</v>
      </c>
      <c r="AB4" s="87">
        <f t="shared" si="3"/>
        <v>175453.125</v>
      </c>
      <c r="AC4" s="7"/>
    </row>
    <row r="5" spans="1:34" x14ac:dyDescent="0.25">
      <c r="A5" s="10" t="s">
        <v>23</v>
      </c>
      <c r="B5" s="35">
        <v>0.625</v>
      </c>
      <c r="C5" s="54">
        <v>0.5</v>
      </c>
      <c r="D5" s="12">
        <v>0.4</v>
      </c>
      <c r="F5" s="43" t="s">
        <v>13</v>
      </c>
      <c r="G5" s="87">
        <f>G2*G3*G4</f>
        <v>926250</v>
      </c>
      <c r="H5" s="39">
        <f>H2*H3*H4</f>
        <v>455000</v>
      </c>
      <c r="I5" s="39">
        <f>I2*I3*I4</f>
        <v>225000</v>
      </c>
      <c r="J5" s="50"/>
      <c r="K5" s="50"/>
      <c r="L5" s="58"/>
      <c r="M5">
        <v>650</v>
      </c>
      <c r="N5" s="62">
        <v>50234.375</v>
      </c>
      <c r="O5" s="50">
        <f>M5</f>
        <v>650</v>
      </c>
      <c r="P5" s="50">
        <v>39887.5</v>
      </c>
      <c r="Q5" s="50">
        <f>M5</f>
        <v>650</v>
      </c>
      <c r="R5" s="50">
        <v>-13187.5</v>
      </c>
      <c r="S5" s="50"/>
      <c r="Y5" s="10" t="s">
        <v>23</v>
      </c>
      <c r="Z5" s="87">
        <f t="shared" si="1"/>
        <v>-21050</v>
      </c>
      <c r="AA5" s="87">
        <f t="shared" si="2"/>
        <v>116059.375</v>
      </c>
      <c r="AB5" s="87">
        <f t="shared" si="3"/>
        <v>137109.375</v>
      </c>
      <c r="AC5" s="7"/>
    </row>
    <row r="6" spans="1:34" x14ac:dyDescent="0.25">
      <c r="A6" s="10" t="s">
        <v>6</v>
      </c>
      <c r="B6" s="34">
        <v>0.65</v>
      </c>
      <c r="C6" s="54">
        <v>0.5</v>
      </c>
      <c r="D6" s="12">
        <v>0.45</v>
      </c>
      <c r="F6" s="41" t="s">
        <v>30</v>
      </c>
      <c r="G6" s="84">
        <f>(1-B6)</f>
        <v>0.35</v>
      </c>
      <c r="H6" s="18">
        <f>(1-C6)</f>
        <v>0.5</v>
      </c>
      <c r="I6" s="18">
        <f>(1-D6)</f>
        <v>0.55000000000000004</v>
      </c>
      <c r="J6" s="49"/>
      <c r="K6" s="49"/>
      <c r="L6" s="49"/>
      <c r="M6">
        <v>400</v>
      </c>
      <c r="N6" s="62">
        <v>-18125</v>
      </c>
      <c r="O6" s="50">
        <f>M6</f>
        <v>400</v>
      </c>
      <c r="P6" s="50">
        <v>-14800</v>
      </c>
      <c r="Q6" s="50">
        <f>M6</f>
        <v>400</v>
      </c>
      <c r="R6" s="50">
        <v>-43187.5</v>
      </c>
      <c r="S6" s="50"/>
      <c r="Y6" s="10" t="s">
        <v>3</v>
      </c>
      <c r="Z6" s="87">
        <f t="shared" si="1"/>
        <v>-14800</v>
      </c>
      <c r="AA6" s="87">
        <f t="shared" si="2"/>
        <v>105512.5</v>
      </c>
      <c r="AB6" s="87">
        <f t="shared" si="3"/>
        <v>120312.5</v>
      </c>
      <c r="AC6" s="7"/>
    </row>
    <row r="7" spans="1:34" x14ac:dyDescent="0.25">
      <c r="A7" s="10" t="s">
        <v>7</v>
      </c>
      <c r="B7" s="10">
        <v>1150</v>
      </c>
      <c r="C7" s="38">
        <v>950</v>
      </c>
      <c r="D7" s="17">
        <v>800</v>
      </c>
      <c r="F7" s="41" t="s">
        <v>28</v>
      </c>
      <c r="G7" s="85">
        <f>B2</f>
        <v>950</v>
      </c>
      <c r="H7" s="17">
        <f>C2</f>
        <v>650</v>
      </c>
      <c r="I7" s="17">
        <f>D2</f>
        <v>400</v>
      </c>
      <c r="Y7" s="10" t="s">
        <v>4</v>
      </c>
      <c r="Z7" s="87">
        <f t="shared" si="1"/>
        <v>-8862.5</v>
      </c>
      <c r="AA7" s="87">
        <f t="shared" si="2"/>
        <v>72387.5</v>
      </c>
      <c r="AB7" s="87">
        <f t="shared" si="3"/>
        <v>81250</v>
      </c>
      <c r="AC7" s="7"/>
    </row>
    <row r="8" spans="1:34" x14ac:dyDescent="0.25">
      <c r="A8" s="10" t="s">
        <v>8</v>
      </c>
      <c r="B8" s="10">
        <v>75000</v>
      </c>
      <c r="C8" s="38">
        <v>60000</v>
      </c>
      <c r="D8" s="17">
        <v>54000</v>
      </c>
      <c r="F8" s="41" t="s">
        <v>29</v>
      </c>
      <c r="G8" s="38">
        <f>B4</f>
        <v>410</v>
      </c>
      <c r="H8" s="11">
        <f>C4</f>
        <v>375</v>
      </c>
      <c r="I8" s="11">
        <f>D4</f>
        <v>325</v>
      </c>
      <c r="J8" s="1"/>
      <c r="K8" s="1"/>
      <c r="L8" t="str">
        <f>A3</f>
        <v>Charter Price / Hour</v>
      </c>
      <c r="M8" t="str">
        <f>L8</f>
        <v>Charter Price / Hour</v>
      </c>
      <c r="Y8" s="22" t="s">
        <v>5</v>
      </c>
      <c r="Z8" s="87">
        <f t="shared" si="1"/>
        <v>-737.5</v>
      </c>
      <c r="AA8" s="87">
        <f t="shared" si="2"/>
        <v>68325</v>
      </c>
      <c r="AB8" s="87">
        <f t="shared" si="3"/>
        <v>69062.5</v>
      </c>
      <c r="AC8" s="7"/>
    </row>
    <row r="9" spans="1:34" x14ac:dyDescent="0.25">
      <c r="A9" s="10" t="s">
        <v>9</v>
      </c>
      <c r="B9" s="10">
        <v>0.5</v>
      </c>
      <c r="C9" s="54">
        <v>0.4</v>
      </c>
      <c r="D9" s="17">
        <v>0.3</v>
      </c>
      <c r="F9" s="41" t="s">
        <v>26</v>
      </c>
      <c r="G9" s="86">
        <f>$B$12</f>
        <v>5</v>
      </c>
      <c r="H9" s="19">
        <f>$B$12</f>
        <v>5</v>
      </c>
      <c r="I9" s="19">
        <f>$B$12</f>
        <v>5</v>
      </c>
      <c r="J9" s="51"/>
      <c r="K9" s="49" t="s">
        <v>44</v>
      </c>
      <c r="L9" s="76">
        <f>MIN(N11:N13,P11:P13,R11:R13)</f>
        <v>-43187.5</v>
      </c>
      <c r="N9" t="s">
        <v>37</v>
      </c>
      <c r="O9" t="s">
        <v>34</v>
      </c>
      <c r="P9" t="s">
        <v>43</v>
      </c>
      <c r="Q9" s="61"/>
      <c r="R9" s="60" t="s">
        <v>41</v>
      </c>
      <c r="S9" s="60"/>
      <c r="U9" t="s">
        <v>38</v>
      </c>
      <c r="V9" t="s">
        <v>47</v>
      </c>
      <c r="W9" t="s">
        <v>45</v>
      </c>
      <c r="Y9" s="10" t="s">
        <v>8</v>
      </c>
      <c r="Z9" s="87">
        <f t="shared" si="1"/>
        <v>24887.5</v>
      </c>
      <c r="AA9" s="87">
        <f t="shared" si="2"/>
        <v>45887.5</v>
      </c>
      <c r="AB9" s="87">
        <f t="shared" si="3"/>
        <v>21000</v>
      </c>
      <c r="AC9" s="7"/>
    </row>
    <row r="10" spans="1:34" x14ac:dyDescent="0.25">
      <c r="A10" s="10" t="s">
        <v>10</v>
      </c>
      <c r="B10" s="10">
        <v>0.13</v>
      </c>
      <c r="C10" s="55">
        <v>0.115</v>
      </c>
      <c r="D10" s="17">
        <v>0.105</v>
      </c>
      <c r="F10" s="41" t="s">
        <v>31</v>
      </c>
      <c r="G10" s="83">
        <f>B5</f>
        <v>0.625</v>
      </c>
      <c r="H10" s="18">
        <f>C5</f>
        <v>0.5</v>
      </c>
      <c r="I10" s="18">
        <f>D5</f>
        <v>0.4</v>
      </c>
      <c r="J10" s="49"/>
      <c r="K10" t="s">
        <v>39</v>
      </c>
      <c r="L10" s="77">
        <f>MAX(N11:N13,P11:P13,R11:R13)</f>
        <v>132265.625</v>
      </c>
      <c r="N10" s="50">
        <f>$G$22</f>
        <v>132265.625</v>
      </c>
      <c r="O10" s="50"/>
      <c r="P10" s="50">
        <f>$H$22</f>
        <v>39887.5</v>
      </c>
      <c r="Q10" s="50"/>
      <c r="R10" s="50">
        <f>$I$22</f>
        <v>-43187.5</v>
      </c>
      <c r="S10" s="50"/>
      <c r="T10" t="str">
        <f>L8</f>
        <v>Charter Price / Hour</v>
      </c>
      <c r="U10" s="7">
        <f>MIN(P11:P13)</f>
        <v>-8862.5</v>
      </c>
      <c r="V10" s="7">
        <f>MAX(P11:P13)</f>
        <v>72387.5</v>
      </c>
      <c r="W10" s="7">
        <f>V10-U10</f>
        <v>81250</v>
      </c>
      <c r="Y10" s="73" t="s">
        <v>11</v>
      </c>
      <c r="Z10" s="87">
        <f t="shared" si="1"/>
        <v>35187.5</v>
      </c>
      <c r="AA10" s="87">
        <f t="shared" si="2"/>
        <v>42237.5</v>
      </c>
      <c r="AB10" s="87">
        <f t="shared" si="3"/>
        <v>7050</v>
      </c>
      <c r="AC10" s="7"/>
    </row>
    <row r="11" spans="1:34" x14ac:dyDescent="0.25">
      <c r="A11" s="14" t="s">
        <v>11</v>
      </c>
      <c r="B11" s="14">
        <v>500000</v>
      </c>
      <c r="C11" s="56">
        <v>450000</v>
      </c>
      <c r="D11" s="66">
        <v>425000</v>
      </c>
      <c r="F11" s="43" t="s">
        <v>12</v>
      </c>
      <c r="G11" s="87">
        <f>G6*G7*G8*G9*G10</f>
        <v>426015.625</v>
      </c>
      <c r="H11" s="39">
        <f>H6*H7*H8*H9*H10</f>
        <v>304687.5</v>
      </c>
      <c r="I11" s="39">
        <f>I6*I7*I8*I9*I10</f>
        <v>143000.00000000003</v>
      </c>
      <c r="J11" s="50"/>
      <c r="K11" s="1" t="s">
        <v>46</v>
      </c>
      <c r="L11" s="77">
        <f>_xlfn.STDEV.P(N11:N13,P11:P13,R11:R13)</f>
        <v>54051.528379394913</v>
      </c>
      <c r="M11" s="1">
        <v>1500</v>
      </c>
      <c r="N11" s="63">
        <f t="dataTable" ref="N11:N13" dt2D="0" dtr="0" r1="B3" ca="1"/>
        <v>132265.625</v>
      </c>
      <c r="O11" s="64">
        <f>M11</f>
        <v>1500</v>
      </c>
      <c r="P11" s="64">
        <f t="dataTable" ref="P11:P13" dt2D="0" dtr="0" r1="C3" ca="1"/>
        <v>72387.5</v>
      </c>
      <c r="Q11" s="64">
        <f>M11</f>
        <v>1500</v>
      </c>
      <c r="R11" s="64">
        <f t="dataTable" ref="R11:R13" dt2D="0" dtr="0" r1="D3"/>
        <v>1812.5</v>
      </c>
      <c r="S11" s="50"/>
      <c r="Y11" s="10" t="s">
        <v>10</v>
      </c>
      <c r="Z11" s="87">
        <f t="shared" si="1"/>
        <v>37187.5</v>
      </c>
      <c r="AA11" s="87">
        <f t="shared" si="2"/>
        <v>41687.5</v>
      </c>
      <c r="AB11" s="87">
        <f t="shared" si="3"/>
        <v>4500</v>
      </c>
      <c r="AC11" s="7"/>
    </row>
    <row r="12" spans="1:34" x14ac:dyDescent="0.25">
      <c r="A12" t="s">
        <v>33</v>
      </c>
      <c r="B12" s="6">
        <v>5</v>
      </c>
      <c r="C12" s="6"/>
      <c r="D12" s="6"/>
      <c r="F12" s="44" t="s">
        <v>14</v>
      </c>
      <c r="G12" s="88">
        <f>G11+G5</f>
        <v>1352265.625</v>
      </c>
      <c r="H12" s="79">
        <f>H11+H5</f>
        <v>759687.5</v>
      </c>
      <c r="I12" s="79">
        <f>I11+I5</f>
        <v>368000</v>
      </c>
      <c r="J12" s="7"/>
      <c r="K12" s="50"/>
      <c r="L12" s="58"/>
      <c r="M12" s="1">
        <v>1400</v>
      </c>
      <c r="N12" s="62">
        <v>70515.625</v>
      </c>
      <c r="O12" s="50">
        <f>M12</f>
        <v>1400</v>
      </c>
      <c r="P12" s="50">
        <v>39887.5</v>
      </c>
      <c r="Q12" s="50">
        <f>M12</f>
        <v>1400</v>
      </c>
      <c r="R12" s="50">
        <v>-16187.5</v>
      </c>
      <c r="S12" s="50"/>
      <c r="Y12" s="14" t="s">
        <v>9</v>
      </c>
      <c r="Z12" s="87">
        <f t="shared" si="1"/>
        <v>38312.5</v>
      </c>
      <c r="AA12" s="87">
        <f t="shared" si="2"/>
        <v>41462.5</v>
      </c>
      <c r="AB12" s="87">
        <f t="shared" si="3"/>
        <v>3150</v>
      </c>
    </row>
    <row r="13" spans="1:34" x14ac:dyDescent="0.25">
      <c r="A13" t="s">
        <v>32</v>
      </c>
      <c r="B13" s="2">
        <v>0.08</v>
      </c>
      <c r="C13" s="2"/>
      <c r="D13" s="2"/>
      <c r="F13" s="43" t="s">
        <v>15</v>
      </c>
      <c r="G13" s="89">
        <f>B2*B7</f>
        <v>1092500</v>
      </c>
      <c r="H13" s="40">
        <f>C2*C7</f>
        <v>617500</v>
      </c>
      <c r="I13" s="40">
        <f>D2*D7</f>
        <v>320000</v>
      </c>
      <c r="J13" s="1"/>
      <c r="K13" s="1"/>
      <c r="M13" s="1">
        <v>1250</v>
      </c>
      <c r="N13" s="62">
        <v>-22109.375</v>
      </c>
      <c r="O13" s="50">
        <f>M13</f>
        <v>1250</v>
      </c>
      <c r="P13" s="50">
        <v>-8862.5</v>
      </c>
      <c r="Q13" s="50">
        <f>M13</f>
        <v>1250</v>
      </c>
      <c r="R13" s="50">
        <v>-43187.5</v>
      </c>
      <c r="S13" s="50"/>
      <c r="AB13" s="7"/>
    </row>
    <row r="14" spans="1:34" x14ac:dyDescent="0.25">
      <c r="F14" s="45" t="s">
        <v>16</v>
      </c>
      <c r="G14" s="88">
        <f>G12-G13</f>
        <v>259765.625</v>
      </c>
      <c r="H14" s="79">
        <f>H12-H13</f>
        <v>142187.5</v>
      </c>
      <c r="I14" s="79">
        <f>I12-I13</f>
        <v>48000</v>
      </c>
      <c r="J14" s="7"/>
      <c r="K14" s="7"/>
    </row>
    <row r="15" spans="1:34" x14ac:dyDescent="0.25">
      <c r="F15" s="43" t="s">
        <v>17</v>
      </c>
      <c r="G15" s="89">
        <f>B8</f>
        <v>75000</v>
      </c>
      <c r="H15" s="40">
        <f>C8</f>
        <v>60000</v>
      </c>
      <c r="I15" s="40">
        <f>D8</f>
        <v>54000</v>
      </c>
      <c r="J15" s="1"/>
      <c r="K15" s="1"/>
      <c r="L15" t="str">
        <f>A4</f>
        <v xml:space="preserve">Ticket Price / Hour </v>
      </c>
      <c r="M15" t="str">
        <f>L15</f>
        <v xml:space="preserve">Ticket Price / Hour </v>
      </c>
      <c r="AB15" s="2"/>
    </row>
    <row r="16" spans="1:34" x14ac:dyDescent="0.25">
      <c r="F16" s="46" t="s">
        <v>18</v>
      </c>
      <c r="G16" s="90">
        <f>B9*B10*B11</f>
        <v>32500</v>
      </c>
      <c r="H16" s="20">
        <f>C9*C10*C11</f>
        <v>20700.000000000004</v>
      </c>
      <c r="I16" s="20">
        <f>D9*D10*D11</f>
        <v>13387.5</v>
      </c>
      <c r="J16" s="52"/>
      <c r="K16" s="49" t="s">
        <v>44</v>
      </c>
      <c r="L16" s="76">
        <f>MIN(N18:N20,P18:P20,R18:R20)</f>
        <v>-43187.5</v>
      </c>
      <c r="N16" t="s">
        <v>37</v>
      </c>
      <c r="O16" t="s">
        <v>34</v>
      </c>
      <c r="P16" t="s">
        <v>43</v>
      </c>
      <c r="Q16" s="61"/>
      <c r="R16" s="60" t="s">
        <v>41</v>
      </c>
      <c r="S16" s="60"/>
      <c r="U16" t="s">
        <v>38</v>
      </c>
      <c r="V16" t="s">
        <v>47</v>
      </c>
      <c r="W16" t="s">
        <v>45</v>
      </c>
      <c r="AB16" s="2"/>
    </row>
    <row r="17" spans="6:28" x14ac:dyDescent="0.25">
      <c r="F17" s="47" t="s">
        <v>19</v>
      </c>
      <c r="G17" s="92">
        <f>SUM(G15:G16)</f>
        <v>107500</v>
      </c>
      <c r="H17" s="93">
        <f>SUM(H15:H16)</f>
        <v>80700</v>
      </c>
      <c r="I17" s="93">
        <f>SUM(I15:I16)</f>
        <v>67387.5</v>
      </c>
      <c r="J17" s="1"/>
      <c r="K17" t="s">
        <v>39</v>
      </c>
      <c r="L17" s="77">
        <f>MAX(N18:N20,P18:P20,R18:R20)</f>
        <v>132265.625</v>
      </c>
      <c r="N17" s="50">
        <f>$G$22</f>
        <v>132265.625</v>
      </c>
      <c r="O17" s="50"/>
      <c r="P17" s="50">
        <f>$H$22</f>
        <v>39887.5</v>
      </c>
      <c r="Q17" s="50"/>
      <c r="R17" s="50">
        <f>$I$22</f>
        <v>-43187.5</v>
      </c>
      <c r="S17" s="50"/>
      <c r="T17" t="str">
        <f>L15</f>
        <v xml:space="preserve">Ticket Price / Hour </v>
      </c>
      <c r="U17" s="7">
        <f>MIN(P18:P20)</f>
        <v>-737.5</v>
      </c>
      <c r="V17" s="7">
        <f>MAX(P18:P20)</f>
        <v>68325</v>
      </c>
      <c r="W17" s="7">
        <f>V17-U17</f>
        <v>69062.5</v>
      </c>
      <c r="AB17" s="2"/>
    </row>
    <row r="18" spans="6:28" x14ac:dyDescent="0.25">
      <c r="F18" s="65" t="s">
        <v>20</v>
      </c>
      <c r="G18" s="88">
        <f>G14-G17</f>
        <v>152265.625</v>
      </c>
      <c r="H18" s="79">
        <f>H14-H17</f>
        <v>61487.5</v>
      </c>
      <c r="I18" s="79">
        <f>I14-I17</f>
        <v>-19387.5</v>
      </c>
      <c r="J18" s="7"/>
      <c r="K18" s="1" t="s">
        <v>46</v>
      </c>
      <c r="L18" s="77">
        <f>_xlfn.STDEV.P(N18:N20,P18:P20,R18:R20)</f>
        <v>54356.166463187823</v>
      </c>
      <c r="M18" s="1">
        <v>410</v>
      </c>
      <c r="N18" s="63">
        <f t="dataTable" ref="N18:N20" dt2D="0" dtr="0" r1="B4" ca="1"/>
        <v>132265.625</v>
      </c>
      <c r="O18" s="64">
        <f>M18</f>
        <v>410</v>
      </c>
      <c r="P18" s="64">
        <f t="dataTable" ref="P18:P20" dt2D="0" dtr="0" r1="C4" ca="1"/>
        <v>68325</v>
      </c>
      <c r="Q18" s="64">
        <f>M18</f>
        <v>410</v>
      </c>
      <c r="R18" s="64">
        <f t="dataTable" ref="R18:R20" dt2D="0" dtr="0" r1="D4" ca="1"/>
        <v>-5787.5</v>
      </c>
      <c r="S18" s="50"/>
      <c r="AB18" s="2"/>
    </row>
    <row r="19" spans="6:28" x14ac:dyDescent="0.25">
      <c r="F19" s="42" t="s">
        <v>48</v>
      </c>
      <c r="G19" s="82">
        <f>B11*(1-B9)</f>
        <v>250000</v>
      </c>
      <c r="H19" s="82">
        <f>C11*(1-C9)</f>
        <v>270000</v>
      </c>
      <c r="I19" s="80">
        <f>D11*(1-D9)</f>
        <v>297500</v>
      </c>
      <c r="J19" s="1"/>
      <c r="K19" s="1"/>
      <c r="L19" s="57"/>
      <c r="M19" s="1">
        <v>375</v>
      </c>
      <c r="N19" s="62">
        <v>95898.4375</v>
      </c>
      <c r="O19" s="50">
        <f>M19</f>
        <v>375</v>
      </c>
      <c r="P19" s="50">
        <v>39887.5</v>
      </c>
      <c r="Q19" s="50">
        <f>M19</f>
        <v>375</v>
      </c>
      <c r="R19" s="50">
        <v>-21187.5</v>
      </c>
      <c r="S19" s="50"/>
      <c r="AB19" s="2"/>
    </row>
    <row r="20" spans="6:28" x14ac:dyDescent="0.25">
      <c r="F20" s="78" t="s">
        <v>35</v>
      </c>
      <c r="G20" s="83">
        <f>$B$13</f>
        <v>0.08</v>
      </c>
      <c r="H20" s="83">
        <f>$B$13</f>
        <v>0.08</v>
      </c>
      <c r="I20" s="81">
        <f>$B$13</f>
        <v>0.08</v>
      </c>
      <c r="J20" s="49"/>
      <c r="K20" s="7"/>
      <c r="L20" s="57"/>
      <c r="M20" s="1">
        <v>325</v>
      </c>
      <c r="N20" s="62">
        <v>43945.3125</v>
      </c>
      <c r="O20" s="50">
        <f>M20</f>
        <v>325</v>
      </c>
      <c r="P20" s="50">
        <v>-737.5</v>
      </c>
      <c r="Q20" s="50">
        <f>M20</f>
        <v>325</v>
      </c>
      <c r="R20" s="50">
        <v>-43187.5</v>
      </c>
      <c r="S20" s="50"/>
      <c r="AB20" s="2"/>
    </row>
    <row r="21" spans="6:28" ht="15.75" thickBot="1" x14ac:dyDescent="0.3">
      <c r="F21" s="97" t="s">
        <v>21</v>
      </c>
      <c r="G21" s="98">
        <f>G19*G20</f>
        <v>20000</v>
      </c>
      <c r="H21" s="99">
        <f>H19*H20</f>
        <v>21600</v>
      </c>
      <c r="I21" s="99">
        <f>I19*I20</f>
        <v>23800</v>
      </c>
      <c r="J21" s="1"/>
      <c r="N21" s="50"/>
      <c r="O21" s="50"/>
      <c r="P21" s="50"/>
      <c r="Q21" s="50"/>
      <c r="R21" s="50"/>
      <c r="S21" s="50"/>
      <c r="AB21" s="2"/>
    </row>
    <row r="22" spans="6:28" x14ac:dyDescent="0.25">
      <c r="F22" s="96" t="s">
        <v>22</v>
      </c>
      <c r="G22" s="94">
        <f>G18-G21</f>
        <v>132265.625</v>
      </c>
      <c r="H22" s="95">
        <f>H18-H21</f>
        <v>39887.5</v>
      </c>
      <c r="I22" s="95">
        <f>I18-I21</f>
        <v>-43187.5</v>
      </c>
      <c r="J22" s="7"/>
      <c r="L22" t="str">
        <f>A5</f>
        <v>Seat Occupancy Rate  (Scheduled)</v>
      </c>
      <c r="M22" t="str">
        <f>L22</f>
        <v>Seat Occupancy Rate  (Scheduled)</v>
      </c>
      <c r="N22" s="50"/>
      <c r="O22" s="50"/>
      <c r="P22" s="50"/>
      <c r="Q22" s="50"/>
      <c r="R22" s="50"/>
      <c r="S22" s="50"/>
      <c r="AB22" s="2"/>
    </row>
    <row r="23" spans="6:28" x14ac:dyDescent="0.25">
      <c r="K23" s="49" t="s">
        <v>44</v>
      </c>
      <c r="L23" s="76">
        <f>MIN(N25:N27,P25:P27,R25:R27)</f>
        <v>-43187.5</v>
      </c>
      <c r="N23" t="s">
        <v>37</v>
      </c>
      <c r="O23" t="s">
        <v>34</v>
      </c>
      <c r="P23" t="s">
        <v>43</v>
      </c>
      <c r="Q23" s="61"/>
      <c r="R23" s="60" t="s">
        <v>41</v>
      </c>
      <c r="S23" s="60"/>
      <c r="U23" t="s">
        <v>38</v>
      </c>
      <c r="V23" t="s">
        <v>47</v>
      </c>
      <c r="W23" t="s">
        <v>45</v>
      </c>
      <c r="AB23" s="2"/>
    </row>
    <row r="24" spans="6:28" x14ac:dyDescent="0.25">
      <c r="K24" t="s">
        <v>39</v>
      </c>
      <c r="L24" s="77">
        <f>MAX(N25:N27,P25:P27,R25:R27)</f>
        <v>132265.625</v>
      </c>
      <c r="N24" s="50">
        <f>$G$22</f>
        <v>132265.625</v>
      </c>
      <c r="O24" s="50"/>
      <c r="P24" s="50">
        <f>$H$22</f>
        <v>39887.5</v>
      </c>
      <c r="Q24" s="50"/>
      <c r="R24" s="50">
        <f>$I$22</f>
        <v>-43187.5</v>
      </c>
      <c r="S24" s="50"/>
      <c r="T24" t="str">
        <f>L22</f>
        <v>Seat Occupancy Rate  (Scheduled)</v>
      </c>
      <c r="U24" s="7">
        <f>MIN(P25:P27)</f>
        <v>-21050</v>
      </c>
      <c r="V24" s="7">
        <f>MAX(P25:P27)</f>
        <v>116059.375</v>
      </c>
      <c r="W24" s="7">
        <f>V24-U24</f>
        <v>137109.375</v>
      </c>
      <c r="AB24" s="2"/>
    </row>
    <row r="25" spans="6:28" x14ac:dyDescent="0.25">
      <c r="K25" s="1" t="s">
        <v>46</v>
      </c>
      <c r="L25" s="77">
        <f>_xlfn.STDEV.P(N25:N27,P25:P27,R25:R27)</f>
        <v>57994.87976157057</v>
      </c>
      <c r="M25" s="36">
        <v>0.625</v>
      </c>
      <c r="N25" s="63">
        <f t="dataTable" ref="N25:N27" dt2D="0" dtr="0" r1="B5" ca="1"/>
        <v>132265.625</v>
      </c>
      <c r="O25" s="64">
        <f>M25</f>
        <v>0.625</v>
      </c>
      <c r="P25" s="64">
        <f t="dataTable" ref="P25:P27" dt2D="0" dtr="0" r1="C5" ca="1"/>
        <v>116059.375</v>
      </c>
      <c r="Q25" s="64">
        <f>M25</f>
        <v>0.625</v>
      </c>
      <c r="R25" s="64">
        <f t="dataTable" ref="R25:R27" dt2D="0" dtr="0" r1="D5" ca="1"/>
        <v>37250</v>
      </c>
      <c r="S25" s="50"/>
    </row>
    <row r="26" spans="6:28" x14ac:dyDescent="0.25">
      <c r="L26" s="57"/>
      <c r="M26" s="24">
        <v>0.5</v>
      </c>
      <c r="N26" s="62">
        <v>47062.5</v>
      </c>
      <c r="O26" s="50">
        <f>M26</f>
        <v>0.5</v>
      </c>
      <c r="P26" s="50">
        <v>39887.5</v>
      </c>
      <c r="Q26" s="50">
        <f>M26</f>
        <v>0.5</v>
      </c>
      <c r="R26" s="50">
        <v>-7437.5</v>
      </c>
      <c r="S26" s="50"/>
    </row>
    <row r="27" spans="6:28" x14ac:dyDescent="0.25">
      <c r="L27" s="57"/>
      <c r="M27" s="24">
        <v>0.4</v>
      </c>
      <c r="N27" s="62">
        <v>-21100</v>
      </c>
      <c r="O27" s="50">
        <f>M27</f>
        <v>0.4</v>
      </c>
      <c r="P27" s="50">
        <v>-21050</v>
      </c>
      <c r="Q27" s="50">
        <f>M27</f>
        <v>0.4</v>
      </c>
      <c r="R27" s="50">
        <v>-43187.5</v>
      </c>
      <c r="S27" s="50"/>
    </row>
    <row r="28" spans="6:28" x14ac:dyDescent="0.25">
      <c r="L28" s="57"/>
      <c r="M28" s="1"/>
      <c r="N28" s="50"/>
      <c r="O28" s="50"/>
      <c r="P28" s="50"/>
      <c r="Q28" s="50"/>
      <c r="R28" s="50"/>
      <c r="S28" s="50"/>
    </row>
    <row r="29" spans="6:28" x14ac:dyDescent="0.25">
      <c r="L29" s="7" t="s">
        <v>6</v>
      </c>
      <c r="M29" s="7" t="str">
        <f>L29</f>
        <v xml:space="preserve">Proportion of chartered flights </v>
      </c>
      <c r="N29" s="50"/>
      <c r="O29" s="50"/>
      <c r="P29" s="50"/>
      <c r="Q29" s="50"/>
      <c r="R29" s="60"/>
      <c r="S29" s="60"/>
    </row>
    <row r="30" spans="6:28" x14ac:dyDescent="0.25">
      <c r="K30" s="49" t="s">
        <v>44</v>
      </c>
      <c r="L30" s="76">
        <f>MIN(N32:N34,P32:P34,R32:R34)</f>
        <v>-43187.5</v>
      </c>
      <c r="N30" t="s">
        <v>37</v>
      </c>
      <c r="O30" t="s">
        <v>34</v>
      </c>
      <c r="P30" t="s">
        <v>43</v>
      </c>
      <c r="Q30" s="61"/>
      <c r="R30" s="60" t="s">
        <v>41</v>
      </c>
      <c r="S30" s="60"/>
      <c r="U30" t="s">
        <v>38</v>
      </c>
      <c r="V30" t="s">
        <v>47</v>
      </c>
      <c r="W30" t="s">
        <v>45</v>
      </c>
    </row>
    <row r="31" spans="6:28" x14ac:dyDescent="0.25">
      <c r="K31" t="s">
        <v>39</v>
      </c>
      <c r="L31" s="77">
        <f>MAX(N32:N34,P32:P34,R32:R34)</f>
        <v>132265.625</v>
      </c>
      <c r="N31" s="50">
        <f>$G$22</f>
        <v>132265.625</v>
      </c>
      <c r="O31" s="50"/>
      <c r="P31" s="50">
        <f>$H$22</f>
        <v>39887.5</v>
      </c>
      <c r="Q31" s="50"/>
      <c r="R31" s="50">
        <f>$I$22</f>
        <v>-43187.5</v>
      </c>
      <c r="S31" s="50"/>
      <c r="T31" t="str">
        <f>L29</f>
        <v xml:space="preserve">Proportion of chartered flights </v>
      </c>
      <c r="U31" s="7">
        <f>MIN(P32:P34,N32:N34,R32:R34)</f>
        <v>-43187.5</v>
      </c>
      <c r="V31" s="7">
        <f>MAX(P32:P34,N32:N34,R32:R34)</f>
        <v>132265.625</v>
      </c>
      <c r="W31" s="7">
        <f>V31-U31</f>
        <v>175453.125</v>
      </c>
    </row>
    <row r="32" spans="6:28" x14ac:dyDescent="0.25">
      <c r="K32" s="1" t="s">
        <v>46</v>
      </c>
      <c r="L32" s="77">
        <f>_xlfn.STDEV.P(N32:N34,P32:P34,R32:R34)</f>
        <v>57809.573539128003</v>
      </c>
      <c r="M32" s="37">
        <v>0.65</v>
      </c>
      <c r="N32" s="63">
        <f t="dataTable" ref="N32:N34" dt2D="0" dtr="0" r1="B6" ca="1"/>
        <v>132265.625</v>
      </c>
      <c r="O32" s="64">
        <f>M32</f>
        <v>0.65</v>
      </c>
      <c r="P32" s="64">
        <f t="dataTable" ref="P32:P34" dt2D="0" dtr="0" r1="C6" ca="1"/>
        <v>84981.25</v>
      </c>
      <c r="Q32" s="64">
        <f>M32</f>
        <v>0.65</v>
      </c>
      <c r="R32" s="64">
        <f t="dataTable" ref="R32:R34" dt2D="0" dtr="0" r1="D6" ca="1"/>
        <v>4812.5</v>
      </c>
      <c r="S32" s="50"/>
    </row>
    <row r="33" spans="11:23" x14ac:dyDescent="0.25">
      <c r="L33" s="57"/>
      <c r="M33" s="37">
        <v>0.5</v>
      </c>
      <c r="N33" s="62">
        <v>101093.75</v>
      </c>
      <c r="O33" s="50">
        <f>M33</f>
        <v>0.5</v>
      </c>
      <c r="P33" s="50">
        <v>39887.5</v>
      </c>
      <c r="Q33" s="50">
        <f>M33</f>
        <v>0.5</v>
      </c>
      <c r="R33" s="50">
        <v>-31187.5</v>
      </c>
      <c r="S33" s="50"/>
    </row>
    <row r="34" spans="11:23" x14ac:dyDescent="0.25">
      <c r="L34" s="57"/>
      <c r="M34" s="37">
        <v>0.45</v>
      </c>
      <c r="N34" s="62">
        <v>90703.125</v>
      </c>
      <c r="O34" s="50">
        <f>M34</f>
        <v>0.45</v>
      </c>
      <c r="P34" s="50">
        <v>24856.25</v>
      </c>
      <c r="Q34" s="50">
        <f>M34</f>
        <v>0.45</v>
      </c>
      <c r="R34" s="50">
        <v>-43187.5</v>
      </c>
      <c r="S34" s="50"/>
    </row>
    <row r="35" spans="11:23" x14ac:dyDescent="0.25">
      <c r="N35" s="50"/>
      <c r="O35" s="50"/>
      <c r="P35" s="50"/>
      <c r="Q35" s="50"/>
      <c r="R35" s="50"/>
      <c r="S35" s="50"/>
    </row>
    <row r="36" spans="11:23" x14ac:dyDescent="0.25">
      <c r="L36" s="1" t="s">
        <v>7</v>
      </c>
      <c r="M36" s="1" t="str">
        <f>L36</f>
        <v xml:space="preserve">Operating Cost / Hour </v>
      </c>
      <c r="N36" s="50"/>
      <c r="O36" s="50"/>
      <c r="P36" s="50"/>
      <c r="Q36" s="50"/>
      <c r="R36" s="60"/>
      <c r="S36" s="60"/>
    </row>
    <row r="37" spans="11:23" x14ac:dyDescent="0.25">
      <c r="K37" s="49" t="s">
        <v>44</v>
      </c>
      <c r="L37" s="76">
        <f>MIN(N39:N41,P39:P41,R39:R41)</f>
        <v>-183187.5</v>
      </c>
      <c r="N37" t="s">
        <v>37</v>
      </c>
      <c r="O37" t="s">
        <v>34</v>
      </c>
      <c r="P37" t="s">
        <v>43</v>
      </c>
      <c r="Q37" s="61"/>
      <c r="R37" s="60" t="s">
        <v>41</v>
      </c>
      <c r="S37" s="60"/>
      <c r="U37" t="s">
        <v>38</v>
      </c>
      <c r="V37" t="s">
        <v>47</v>
      </c>
      <c r="W37" t="s">
        <v>45</v>
      </c>
    </row>
    <row r="38" spans="11:23" x14ac:dyDescent="0.25">
      <c r="K38" t="s">
        <v>39</v>
      </c>
      <c r="L38" s="77">
        <f>MAX(N39:N41,P39:P41,R39:R41)</f>
        <v>464765.625</v>
      </c>
      <c r="N38" s="50">
        <f>$G$22</f>
        <v>132265.625</v>
      </c>
      <c r="O38" s="50"/>
      <c r="P38" s="50">
        <f>$H$22</f>
        <v>39887.5</v>
      </c>
      <c r="Q38" s="50"/>
      <c r="R38" s="50">
        <f>$I$22</f>
        <v>-43187.5</v>
      </c>
      <c r="S38" s="50"/>
      <c r="T38" t="str">
        <f>L36</f>
        <v xml:space="preserve">Operating Cost / Hour </v>
      </c>
      <c r="U38" s="7">
        <f>MIN(P39:P41)</f>
        <v>-90112.5</v>
      </c>
      <c r="V38" s="7">
        <f>MAX(P39:P41)</f>
        <v>137387.5</v>
      </c>
      <c r="W38" s="7">
        <f>V38-U38</f>
        <v>227500</v>
      </c>
    </row>
    <row r="39" spans="11:23" x14ac:dyDescent="0.25">
      <c r="K39" s="1" t="s">
        <v>46</v>
      </c>
      <c r="L39" s="77">
        <f>_xlfn.STDEV.P(N39:N41,P39:P41,R39:R41)</f>
        <v>200306.31118078189</v>
      </c>
      <c r="M39" s="59">
        <v>1150</v>
      </c>
      <c r="N39" s="63">
        <f t="dataTable" ref="N39:N41" dt2D="0" dtr="0" r1="B7" ca="1"/>
        <v>132265.625</v>
      </c>
      <c r="O39" s="64">
        <f>M39</f>
        <v>1150</v>
      </c>
      <c r="P39" s="64">
        <f t="dataTable" ref="P39:P41" dt2D="0" dtr="0" r1="C7" ca="1"/>
        <v>-90112.5</v>
      </c>
      <c r="Q39" s="64">
        <f>M39</f>
        <v>1150</v>
      </c>
      <c r="R39" s="64">
        <f t="dataTable" ref="R39:R41" dt2D="0" dtr="0" r1="D7" ca="1"/>
        <v>-183187.5</v>
      </c>
      <c r="S39" s="50"/>
    </row>
    <row r="40" spans="11:23" x14ac:dyDescent="0.25">
      <c r="L40" s="57"/>
      <c r="M40" s="59">
        <v>950</v>
      </c>
      <c r="N40" s="62">
        <v>322265.625</v>
      </c>
      <c r="O40" s="50">
        <f>M40</f>
        <v>950</v>
      </c>
      <c r="P40" s="50">
        <v>39887.5</v>
      </c>
      <c r="Q40" s="50">
        <f>M40</f>
        <v>950</v>
      </c>
      <c r="R40" s="50">
        <v>-103187.5</v>
      </c>
      <c r="S40" s="50"/>
    </row>
    <row r="41" spans="11:23" x14ac:dyDescent="0.25">
      <c r="M41" s="59">
        <v>800</v>
      </c>
      <c r="N41" s="62">
        <v>464765.625</v>
      </c>
      <c r="O41" s="50">
        <f>M41</f>
        <v>800</v>
      </c>
      <c r="P41" s="50">
        <v>137387.5</v>
      </c>
      <c r="Q41" s="50">
        <f>M41</f>
        <v>800</v>
      </c>
      <c r="R41" s="50">
        <v>-43187.5</v>
      </c>
      <c r="S41" s="50"/>
    </row>
    <row r="42" spans="11:23" x14ac:dyDescent="0.25">
      <c r="N42" s="50"/>
      <c r="O42" s="50"/>
      <c r="P42" s="50"/>
      <c r="Q42" s="50"/>
      <c r="R42" s="50"/>
      <c r="S42" s="50"/>
    </row>
    <row r="43" spans="11:23" x14ac:dyDescent="0.25">
      <c r="L43" s="7" t="s">
        <v>8</v>
      </c>
      <c r="M43" s="7" t="str">
        <f>L43</f>
        <v>Annual Insurance Premium</v>
      </c>
      <c r="N43" s="50"/>
      <c r="O43" s="50"/>
      <c r="P43" s="50"/>
      <c r="Q43" s="50"/>
      <c r="R43" s="50"/>
      <c r="S43" s="50"/>
    </row>
    <row r="44" spans="11:23" x14ac:dyDescent="0.25">
      <c r="K44" s="49" t="s">
        <v>44</v>
      </c>
      <c r="L44" s="76">
        <f>MIN(N46:N48,P46:P48,R46:R48)</f>
        <v>-64187.5</v>
      </c>
      <c r="N44" t="s">
        <v>37</v>
      </c>
      <c r="O44" t="s">
        <v>34</v>
      </c>
      <c r="P44" t="s">
        <v>43</v>
      </c>
      <c r="Q44" s="61"/>
      <c r="R44" s="60" t="s">
        <v>41</v>
      </c>
      <c r="S44" s="60"/>
      <c r="U44" t="s">
        <v>38</v>
      </c>
      <c r="V44" t="s">
        <v>47</v>
      </c>
      <c r="W44" t="s">
        <v>45</v>
      </c>
    </row>
    <row r="45" spans="11:23" x14ac:dyDescent="0.25">
      <c r="K45" t="s">
        <v>39</v>
      </c>
      <c r="L45" s="77">
        <f>MAX(N46:N48,P46:P48,R46:R48)</f>
        <v>153265.625</v>
      </c>
      <c r="N45" s="50">
        <f>$G$22</f>
        <v>132265.625</v>
      </c>
      <c r="O45" s="50"/>
      <c r="P45" s="50">
        <f>$H$22</f>
        <v>39887.5</v>
      </c>
      <c r="Q45" s="50"/>
      <c r="R45" s="50">
        <f>$I$22</f>
        <v>-43187.5</v>
      </c>
      <c r="S45" s="50"/>
      <c r="T45" t="str">
        <f>L43</f>
        <v>Annual Insurance Premium</v>
      </c>
      <c r="U45" s="7">
        <f>MIN(P46:P48)</f>
        <v>24887.5</v>
      </c>
      <c r="V45" s="7">
        <f>MAX(P46:P48)</f>
        <v>45887.5</v>
      </c>
      <c r="W45" s="7">
        <f>V45-U45</f>
        <v>21000</v>
      </c>
    </row>
    <row r="46" spans="11:23" x14ac:dyDescent="0.25">
      <c r="K46" s="1" t="s">
        <v>46</v>
      </c>
      <c r="L46" s="77">
        <f>_xlfn.STDEV.P(N46:N48,P46:P48,R46:R48)</f>
        <v>80801.71043004065</v>
      </c>
      <c r="M46" s="59">
        <v>75000</v>
      </c>
      <c r="N46" s="63">
        <f t="dataTable" ref="N46:N48" dt2D="0" dtr="0" r1="B8" ca="1"/>
        <v>132265.625</v>
      </c>
      <c r="O46" s="64">
        <f>M46</f>
        <v>75000</v>
      </c>
      <c r="P46" s="64">
        <f t="dataTable" ref="P46:P48" dt2D="0" dtr="0" r1="C8" ca="1"/>
        <v>24887.5</v>
      </c>
      <c r="Q46" s="64">
        <f>M46</f>
        <v>75000</v>
      </c>
      <c r="R46" s="64">
        <f t="dataTable" ref="R46:R48" dt2D="0" dtr="0" r1="D8" ca="1"/>
        <v>-64187.5</v>
      </c>
      <c r="S46" s="50"/>
    </row>
    <row r="47" spans="11:23" x14ac:dyDescent="0.25">
      <c r="L47" s="57"/>
      <c r="M47" s="59">
        <v>60000</v>
      </c>
      <c r="N47" s="62">
        <v>147265.625</v>
      </c>
      <c r="O47" s="50">
        <f>M47</f>
        <v>60000</v>
      </c>
      <c r="P47" s="50">
        <v>39887.5</v>
      </c>
      <c r="Q47" s="50">
        <f>M47</f>
        <v>60000</v>
      </c>
      <c r="R47" s="50">
        <v>-49187.5</v>
      </c>
      <c r="S47" s="50"/>
    </row>
    <row r="48" spans="11:23" x14ac:dyDescent="0.25">
      <c r="L48" s="57"/>
      <c r="M48" s="59">
        <v>54000</v>
      </c>
      <c r="N48" s="62">
        <v>153265.625</v>
      </c>
      <c r="O48" s="50">
        <f>M48</f>
        <v>54000</v>
      </c>
      <c r="P48" s="50">
        <v>45887.5</v>
      </c>
      <c r="Q48" s="50">
        <f>M48</f>
        <v>54000</v>
      </c>
      <c r="R48" s="50">
        <v>-43187.5</v>
      </c>
      <c r="S48" s="50"/>
    </row>
    <row r="49" spans="11:23" x14ac:dyDescent="0.25">
      <c r="N49" s="50"/>
      <c r="O49" s="50"/>
      <c r="P49" s="50"/>
      <c r="Q49" s="50"/>
      <c r="R49" s="50"/>
      <c r="S49" s="50"/>
    </row>
    <row r="50" spans="11:23" x14ac:dyDescent="0.25">
      <c r="L50" t="s">
        <v>9</v>
      </c>
      <c r="M50" t="str">
        <f>L50</f>
        <v>Propotion Financed</v>
      </c>
      <c r="N50" s="50"/>
      <c r="O50" s="50"/>
      <c r="P50" s="50"/>
      <c r="Q50" s="50"/>
      <c r="R50" s="50"/>
      <c r="S50" s="50"/>
    </row>
    <row r="51" spans="11:23" x14ac:dyDescent="0.25">
      <c r="K51" s="49" t="s">
        <v>44</v>
      </c>
      <c r="L51" s="76">
        <f>MIN(N53:N55,P53:P55,R53:R55)</f>
        <v>-45312.5</v>
      </c>
      <c r="N51" t="s">
        <v>37</v>
      </c>
      <c r="O51" t="s">
        <v>34</v>
      </c>
      <c r="P51" t="s">
        <v>43</v>
      </c>
      <c r="Q51" s="61"/>
      <c r="R51" s="60" t="s">
        <v>41</v>
      </c>
      <c r="S51" s="60"/>
      <c r="U51" t="s">
        <v>38</v>
      </c>
      <c r="V51" t="s">
        <v>47</v>
      </c>
      <c r="W51" t="s">
        <v>45</v>
      </c>
    </row>
    <row r="52" spans="11:23" x14ac:dyDescent="0.25">
      <c r="K52" t="s">
        <v>39</v>
      </c>
      <c r="L52" s="77">
        <f>MAX(N53:N55,P53:P55,R53:R55)</f>
        <v>137265.625</v>
      </c>
      <c r="N52" s="50">
        <f>$G$22</f>
        <v>132265.625</v>
      </c>
      <c r="O52" s="50"/>
      <c r="P52" s="50">
        <f>$H$22</f>
        <v>39887.5</v>
      </c>
      <c r="Q52" s="50"/>
      <c r="R52" s="50">
        <f>$I$22</f>
        <v>-43187.5</v>
      </c>
      <c r="S52" s="50"/>
      <c r="T52" t="str">
        <f>L50</f>
        <v>Propotion Financed</v>
      </c>
      <c r="U52" s="7">
        <f>MIN(P53:P55)</f>
        <v>38312.5</v>
      </c>
      <c r="V52" s="7">
        <f>MAX(P53:P55)</f>
        <v>41462.5</v>
      </c>
      <c r="W52" s="7">
        <f>V52-U52</f>
        <v>3150</v>
      </c>
    </row>
    <row r="53" spans="11:23" x14ac:dyDescent="0.25">
      <c r="K53" s="1" t="s">
        <v>46</v>
      </c>
      <c r="L53" s="77">
        <f>_xlfn.STDEV.P(N53:N55,P53:P55,R53:R55)</f>
        <v>73141.636239715866</v>
      </c>
      <c r="M53" s="37">
        <v>0.5</v>
      </c>
      <c r="N53" s="63">
        <f t="dataTable" ref="N53:N55" dt2D="0" dtr="0" r1="B9" ca="1"/>
        <v>132265.625</v>
      </c>
      <c r="O53" s="64">
        <f>M53</f>
        <v>0.5</v>
      </c>
      <c r="P53" s="64">
        <f t="dataTable" ref="P53:P55" dt2D="0" dtr="0" r1="C9" ca="1"/>
        <v>38312.5</v>
      </c>
      <c r="Q53" s="64">
        <f>M53</f>
        <v>0.5</v>
      </c>
      <c r="R53" s="64">
        <f t="dataTable" ref="R53:R55" dt2D="0" dtr="0" r1="D9" ca="1"/>
        <v>-45312.5</v>
      </c>
      <c r="S53" s="50"/>
    </row>
    <row r="54" spans="11:23" x14ac:dyDescent="0.25">
      <c r="L54" s="57"/>
      <c r="M54" s="37">
        <v>0.4</v>
      </c>
      <c r="N54" s="62">
        <v>134765.625</v>
      </c>
      <c r="O54" s="50">
        <f>M54</f>
        <v>0.4</v>
      </c>
      <c r="P54" s="50">
        <v>39887.5</v>
      </c>
      <c r="Q54" s="50">
        <f>M54</f>
        <v>0.4</v>
      </c>
      <c r="R54" s="50">
        <v>-44250</v>
      </c>
      <c r="S54" s="50"/>
    </row>
    <row r="55" spans="11:23" x14ac:dyDescent="0.25">
      <c r="L55" s="57"/>
      <c r="M55" s="37">
        <v>0.3</v>
      </c>
      <c r="N55" s="62">
        <v>137265.625</v>
      </c>
      <c r="O55" s="50">
        <f>M55</f>
        <v>0.3</v>
      </c>
      <c r="P55" s="50">
        <v>41462.5</v>
      </c>
      <c r="Q55" s="50">
        <f>M55</f>
        <v>0.3</v>
      </c>
      <c r="R55" s="50">
        <v>-43187.5</v>
      </c>
      <c r="S55" s="50"/>
    </row>
    <row r="56" spans="11:23" x14ac:dyDescent="0.25">
      <c r="N56" s="50"/>
      <c r="O56" s="50"/>
      <c r="P56" s="50"/>
      <c r="Q56" s="50"/>
      <c r="R56" s="50"/>
      <c r="S56" s="50"/>
    </row>
    <row r="57" spans="11:23" x14ac:dyDescent="0.25">
      <c r="L57" t="s">
        <v>10</v>
      </c>
      <c r="M57" t="str">
        <f>L57</f>
        <v xml:space="preserve">Interest Rate </v>
      </c>
      <c r="N57" s="50"/>
      <c r="O57" s="50"/>
      <c r="P57" s="50"/>
      <c r="Q57" s="50"/>
      <c r="R57" s="50"/>
      <c r="S57" s="50"/>
    </row>
    <row r="58" spans="11:23" x14ac:dyDescent="0.25">
      <c r="K58" s="49" t="s">
        <v>44</v>
      </c>
      <c r="L58" s="76">
        <f>MIN(N60:N62,P60:P62,R60:R62)</f>
        <v>-46375</v>
      </c>
      <c r="N58" t="s">
        <v>37</v>
      </c>
      <c r="O58" t="s">
        <v>34</v>
      </c>
      <c r="P58" t="s">
        <v>43</v>
      </c>
      <c r="Q58" s="61"/>
      <c r="R58" s="60" t="s">
        <v>41</v>
      </c>
      <c r="S58" s="60"/>
      <c r="U58" t="s">
        <v>38</v>
      </c>
      <c r="V58" t="s">
        <v>47</v>
      </c>
      <c r="W58" t="s">
        <v>45</v>
      </c>
    </row>
    <row r="59" spans="11:23" x14ac:dyDescent="0.25">
      <c r="K59" t="s">
        <v>39</v>
      </c>
      <c r="L59" s="77">
        <f>MAX(N60:N62,P60:P62,R60:R62)</f>
        <v>138515.625</v>
      </c>
      <c r="N59" s="50">
        <f>$G$22</f>
        <v>132265.625</v>
      </c>
      <c r="O59" s="50"/>
      <c r="P59" s="50">
        <f>$H$22</f>
        <v>39887.5</v>
      </c>
      <c r="Q59" s="50"/>
      <c r="R59" s="50">
        <f>$I$22</f>
        <v>-43187.5</v>
      </c>
      <c r="S59" s="50"/>
      <c r="T59" t="str">
        <f>L57</f>
        <v xml:space="preserve">Interest Rate </v>
      </c>
      <c r="U59" s="7">
        <f>MIN(P60:P62)</f>
        <v>37187.5</v>
      </c>
      <c r="V59" s="7">
        <f>MAX(P60:P62)</f>
        <v>41687.5</v>
      </c>
      <c r="W59" s="7">
        <f>V59-U59</f>
        <v>4500</v>
      </c>
    </row>
    <row r="60" spans="11:23" x14ac:dyDescent="0.25">
      <c r="K60" s="1" t="s">
        <v>46</v>
      </c>
      <c r="L60" s="77">
        <f>_xlfn.STDEV.P(N60:N62,P60:P62,R60:R62)</f>
        <v>73675.164343879194</v>
      </c>
      <c r="M60" s="36">
        <v>0.13</v>
      </c>
      <c r="N60" s="63">
        <f t="dataTable" ref="N60:N62" dt2D="0" dtr="0" r1="B10" ca="1"/>
        <v>132265.625</v>
      </c>
      <c r="O60" s="64">
        <f>M60</f>
        <v>0.13</v>
      </c>
      <c r="P60" s="64">
        <f t="dataTable" ref="P60:P62" dt2D="0" dtr="0" r1="C10" ca="1"/>
        <v>37187.5</v>
      </c>
      <c r="Q60" s="64">
        <f>M60</f>
        <v>0.13</v>
      </c>
      <c r="R60" s="64">
        <f t="dataTable" ref="R60:R62" dt2D="0" dtr="0" r1="D10" ca="1"/>
        <v>-46375</v>
      </c>
      <c r="S60" s="50"/>
    </row>
    <row r="61" spans="11:23" x14ac:dyDescent="0.25">
      <c r="L61" s="57"/>
      <c r="M61" s="36">
        <v>0.115</v>
      </c>
      <c r="N61" s="62">
        <v>136015.625</v>
      </c>
      <c r="O61" s="50">
        <f>M61</f>
        <v>0.115</v>
      </c>
      <c r="P61" s="50">
        <v>39887.5</v>
      </c>
      <c r="Q61" s="50">
        <f>M61</f>
        <v>0.115</v>
      </c>
      <c r="R61" s="50">
        <v>-44462.5</v>
      </c>
      <c r="S61" s="50"/>
    </row>
    <row r="62" spans="11:23" x14ac:dyDescent="0.25">
      <c r="L62" s="57"/>
      <c r="M62" s="36">
        <v>0.105</v>
      </c>
      <c r="N62" s="62">
        <v>138515.625</v>
      </c>
      <c r="O62" s="50">
        <f>M62</f>
        <v>0.105</v>
      </c>
      <c r="P62" s="50">
        <v>41687.5</v>
      </c>
      <c r="Q62" s="50">
        <f>M62</f>
        <v>0.105</v>
      </c>
      <c r="R62" s="50">
        <v>-43187.5</v>
      </c>
      <c r="S62" s="50"/>
    </row>
    <row r="63" spans="11:23" x14ac:dyDescent="0.25">
      <c r="N63" s="50"/>
      <c r="O63" s="50"/>
      <c r="P63" s="50"/>
      <c r="Q63" s="50"/>
      <c r="R63" s="50"/>
      <c r="S63" s="50"/>
    </row>
    <row r="64" spans="11:23" x14ac:dyDescent="0.25">
      <c r="L64" t="s">
        <v>11</v>
      </c>
      <c r="M64" t="str">
        <f>L64</f>
        <v>Purchase Price</v>
      </c>
      <c r="N64" s="50"/>
      <c r="O64" s="50"/>
      <c r="P64" s="50"/>
      <c r="Q64" s="50"/>
      <c r="R64" s="50"/>
      <c r="S64" s="50"/>
    </row>
    <row r="65" spans="11:23" x14ac:dyDescent="0.25">
      <c r="K65" s="49" t="s">
        <v>44</v>
      </c>
      <c r="L65" s="76">
        <f>MIN(N67:N69,P67:P69,R67:R69)</f>
        <v>-49750</v>
      </c>
      <c r="M65" s="50"/>
      <c r="N65" t="s">
        <v>37</v>
      </c>
      <c r="O65" t="s">
        <v>34</v>
      </c>
      <c r="P65" t="s">
        <v>43</v>
      </c>
      <c r="Q65" s="61"/>
      <c r="R65" s="60" t="s">
        <v>41</v>
      </c>
      <c r="S65" s="60"/>
      <c r="U65" t="s">
        <v>38</v>
      </c>
      <c r="V65" t="s">
        <v>47</v>
      </c>
      <c r="W65" t="s">
        <v>45</v>
      </c>
    </row>
    <row r="66" spans="11:23" x14ac:dyDescent="0.25">
      <c r="K66" t="s">
        <v>39</v>
      </c>
      <c r="L66" s="77">
        <f>MAX(N67:N69,P67:P69,R67:R69)</f>
        <v>140140.625</v>
      </c>
      <c r="M66" s="50"/>
      <c r="N66" s="50">
        <f>$G$22</f>
        <v>132265.625</v>
      </c>
      <c r="O66" s="50"/>
      <c r="P66" s="50">
        <f>$H$22</f>
        <v>39887.5</v>
      </c>
      <c r="Q66" s="50"/>
      <c r="R66" s="50">
        <f>$I$22</f>
        <v>-43187.5</v>
      </c>
      <c r="S66" s="50"/>
      <c r="T66" t="str">
        <f>L64</f>
        <v>Purchase Price</v>
      </c>
      <c r="U66" s="7">
        <f>MIN(P67:P69)</f>
        <v>35187.5</v>
      </c>
      <c r="V66" s="7">
        <f>MAX(P67:P69)</f>
        <v>42237.5</v>
      </c>
      <c r="W66" s="7">
        <f>V66-U66</f>
        <v>7050</v>
      </c>
    </row>
    <row r="67" spans="11:23" x14ac:dyDescent="0.25">
      <c r="K67" s="1" t="s">
        <v>46</v>
      </c>
      <c r="L67" s="77">
        <f>_xlfn.STDEV.P(N67:N69,P67:P69,R67:R69)</f>
        <v>74721.511331358663</v>
      </c>
      <c r="M67" s="59">
        <v>500000</v>
      </c>
      <c r="N67" s="63">
        <f t="dataTable" ref="N67:N69" dt2D="0" dtr="0" r1="B11" ca="1"/>
        <v>132265.625</v>
      </c>
      <c r="O67" s="64">
        <f>M67</f>
        <v>500000</v>
      </c>
      <c r="P67" s="64">
        <f t="dataTable" ref="P67:P69" dt2D="0" dtr="0" r1="C11" ca="1"/>
        <v>35187.5</v>
      </c>
      <c r="Q67" s="64">
        <f>M67</f>
        <v>500000</v>
      </c>
      <c r="R67" s="64">
        <f t="dataTable" ref="R67:R69" dt2D="0" dtr="0" r1="D11" ca="1"/>
        <v>-49750</v>
      </c>
      <c r="S67" s="50"/>
    </row>
    <row r="68" spans="11:23" x14ac:dyDescent="0.25">
      <c r="L68" s="57"/>
      <c r="M68" s="59">
        <v>450000</v>
      </c>
      <c r="N68" s="62">
        <v>137515.625</v>
      </c>
      <c r="O68" s="50">
        <f>M68</f>
        <v>450000</v>
      </c>
      <c r="P68" s="50">
        <v>39887.5</v>
      </c>
      <c r="Q68" s="50">
        <f>M68</f>
        <v>450000</v>
      </c>
      <c r="R68" s="50">
        <v>-45375</v>
      </c>
      <c r="S68" s="50"/>
    </row>
    <row r="69" spans="11:23" x14ac:dyDescent="0.25">
      <c r="L69" s="57"/>
      <c r="M69" s="59">
        <v>425000</v>
      </c>
      <c r="N69" s="62">
        <v>140140.625</v>
      </c>
      <c r="O69" s="50">
        <f>M69</f>
        <v>425000</v>
      </c>
      <c r="P69" s="50">
        <v>42237.5</v>
      </c>
      <c r="Q69" s="50">
        <f>M69</f>
        <v>425000</v>
      </c>
      <c r="R69" s="50">
        <v>-43187.5</v>
      </c>
      <c r="S69" s="50"/>
    </row>
  </sheetData>
  <scenarios current="2" show="2" sqref="J21">
    <scenario name="Worst" locked="1" count="10" user="Devan Morehouse" comment="Created by Devan Morehouse on 11/8/2022">
      <inputCells r="B2" val="400"/>
      <inputCells r="B3" val="1250" numFmtId="6"/>
      <inputCells r="B4" val="325" numFmtId="6"/>
      <inputCells r="B5" val="0.4" numFmtId="9"/>
      <inputCells r="B6" val="0.45" numFmtId="9"/>
      <inputCells r="B7" val="1150" numFmtId="6"/>
      <inputCells r="B8" val="75000" numFmtId="6"/>
      <inputCells r="B9" val="0.5" numFmtId="9"/>
      <inputCells r="B10" val="0.13" numFmtId="164"/>
      <inputCells r="B11" val="500000" numFmtId="6"/>
    </scenario>
    <scenario name="Base" locked="1" count="10" user="Devan Morehouse" comment="Created by Devan Morehouse on 11/8/2022">
      <inputCells r="B2" val="650"/>
      <inputCells r="B3" val="1400" numFmtId="6"/>
      <inputCells r="B4" val="375" numFmtId="6"/>
      <inputCells r="B5" val="0.5" numFmtId="9"/>
      <inputCells r="B6" val="0.5" numFmtId="9"/>
      <inputCells r="B7" val="950" numFmtId="6"/>
      <inputCells r="B8" val="60000" numFmtId="6"/>
      <inputCells r="B9" val="0.4" numFmtId="9"/>
      <inputCells r="B10" val="0.115" numFmtId="164"/>
      <inputCells r="B11" val="450000" numFmtId="6"/>
    </scenario>
    <scenario name="Best" locked="1" count="10" user="Devan Morehouse" comment="Created by Devan Morehouse on 11/8/2022">
      <inputCells r="B2" val="950"/>
      <inputCells r="B3" val="1500" numFmtId="6"/>
      <inputCells r="B4" val="410" numFmtId="6"/>
      <inputCells r="B5" val="0.625" numFmtId="164"/>
      <inputCells r="B6" val="0.65" numFmtId="9"/>
      <inputCells r="B7" val="800" numFmtId="6"/>
      <inputCells r="B8" val="54000" numFmtId="6"/>
      <inputCells r="B9" val="0.3" numFmtId="9"/>
      <inputCells r="B10" val="0.105" numFmtId="164"/>
      <inputCells r="B11" val="425000" numFmtId="6"/>
    </scenario>
  </scenarios>
  <sortState xmlns:xlrd2="http://schemas.microsoft.com/office/spreadsheetml/2017/richdata2" ref="Y3:AB12">
    <sortCondition descending="1" ref="AB3:AB12"/>
  </sortState>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E9505-9CDF-4567-B4E2-85AF0298066D}">
  <dimension ref="B2:C12"/>
  <sheetViews>
    <sheetView showGridLines="0" workbookViewId="0">
      <selection activeCell="F14" sqref="F14"/>
    </sheetView>
  </sheetViews>
  <sheetFormatPr defaultRowHeight="15" x14ac:dyDescent="0.25"/>
  <cols>
    <col min="2" max="2" width="31.42578125" bestFit="1" customWidth="1"/>
    <col min="3" max="3" width="16.7109375" customWidth="1"/>
  </cols>
  <sheetData>
    <row r="2" spans="2:3" x14ac:dyDescent="0.25">
      <c r="B2" s="107" t="s">
        <v>42</v>
      </c>
      <c r="C2" s="108"/>
    </row>
    <row r="3" spans="2:3" x14ac:dyDescent="0.25">
      <c r="B3" s="8" t="s">
        <v>3</v>
      </c>
      <c r="C3" s="53">
        <v>467.65714285714284</v>
      </c>
    </row>
    <row r="4" spans="2:3" x14ac:dyDescent="0.25">
      <c r="B4" s="10" t="s">
        <v>4</v>
      </c>
      <c r="C4" s="38">
        <v>1277.2692307692307</v>
      </c>
    </row>
    <row r="5" spans="2:3" x14ac:dyDescent="0.25">
      <c r="B5" s="10" t="s">
        <v>5</v>
      </c>
      <c r="C5" s="38">
        <v>325.90769230769229</v>
      </c>
    </row>
    <row r="6" spans="2:3" x14ac:dyDescent="0.25">
      <c r="B6" s="10" t="s">
        <v>23</v>
      </c>
      <c r="C6" s="54">
        <v>0.43454358974358975</v>
      </c>
    </row>
    <row r="7" spans="2:3" x14ac:dyDescent="0.25">
      <c r="B7" s="10" t="s">
        <v>6</v>
      </c>
      <c r="C7" s="54">
        <v>0.36731808731808735</v>
      </c>
    </row>
    <row r="8" spans="2:3" x14ac:dyDescent="0.25">
      <c r="B8" s="10" t="s">
        <v>7</v>
      </c>
      <c r="C8" s="38">
        <v>1011.365</v>
      </c>
    </row>
    <row r="9" spans="2:3" x14ac:dyDescent="0.25">
      <c r="B9" s="10" t="s">
        <v>8</v>
      </c>
      <c r="C9" s="67">
        <v>99887.5</v>
      </c>
    </row>
    <row r="10" spans="2:3" x14ac:dyDescent="0.25">
      <c r="B10" s="10" t="s">
        <v>9</v>
      </c>
      <c r="C10" s="54">
        <v>2.9325000000000001</v>
      </c>
    </row>
    <row r="11" spans="2:3" x14ac:dyDescent="0.25">
      <c r="B11" s="10" t="s">
        <v>10</v>
      </c>
      <c r="C11" s="54">
        <v>0.33659</v>
      </c>
    </row>
    <row r="12" spans="2:3" x14ac:dyDescent="0.25">
      <c r="B12" s="14" t="s">
        <v>11</v>
      </c>
      <c r="C12" s="68">
        <v>874335.10600000003</v>
      </c>
    </row>
  </sheetData>
  <mergeCells count="1">
    <mergeCell ref="B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Identification</vt:lpstr>
      <vt:lpstr>Best.Base.Worst Senerio</vt:lpstr>
      <vt:lpstr>90 EVA</vt:lpstr>
      <vt:lpstr>Break-even Analysis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Devan Morehouse</dc:creator>
  <cp:lastModifiedBy>Devan Morehouse</cp:lastModifiedBy>
  <cp:lastPrinted>2022-11-09T22:39:12Z</cp:lastPrinted>
  <dcterms:created xsi:type="dcterms:W3CDTF">2022-11-03T14:06:31Z</dcterms:created>
  <dcterms:modified xsi:type="dcterms:W3CDTF">2023-09-12T21:50:24Z</dcterms:modified>
</cp:coreProperties>
</file>