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765" yWindow="4080" windowWidth="30840" windowHeight="18975"/>
  </bookViews>
  <sheets>
    <sheet name="Tanks" sheetId="3" r:id="rId1"/>
    <sheet name="Decouplers" sheetId="4" r:id="rId2"/>
    <sheet name="Structural" sheetId="5" r:id="rId3"/>
  </sheets>
  <definedNames>
    <definedName name="_p0">#REF!</definedName>
    <definedName name="_p1">#REF!</definedName>
    <definedName name="_p2">#REF!</definedName>
    <definedName name="_p3">#REF!</definedName>
    <definedName name="_t">#REF!</definedName>
    <definedName name="maxError">#REF!</definedName>
    <definedName name="p0">#REF!</definedName>
    <definedName name="subs">#REF!</definedName>
    <definedName name="thresh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9" i="3"/>
  <c r="W40"/>
  <c r="W41"/>
  <c r="W38"/>
  <c r="Y39"/>
  <c r="Y40"/>
  <c r="Y41"/>
  <c r="Y38"/>
  <c r="V38"/>
  <c r="N3" i="4"/>
  <c r="P3"/>
  <c r="N4"/>
  <c r="P4"/>
  <c r="N5"/>
  <c r="P5"/>
  <c r="N6"/>
  <c r="P6"/>
  <c r="N8"/>
  <c r="P8"/>
  <c r="N9"/>
  <c r="P9"/>
  <c r="N10"/>
  <c r="P10"/>
  <c r="P12"/>
  <c r="P15"/>
  <c r="T12"/>
  <c r="S12"/>
  <c r="S8"/>
  <c r="T8"/>
  <c r="S9"/>
  <c r="T9"/>
  <c r="S10"/>
  <c r="T10"/>
  <c r="S4"/>
  <c r="T4"/>
  <c r="S5"/>
  <c r="T5"/>
  <c r="S6"/>
  <c r="T6"/>
  <c r="S3"/>
  <c r="T3"/>
  <c r="H8"/>
  <c r="H9"/>
  <c r="H10"/>
  <c r="Z8"/>
  <c r="AA8"/>
  <c r="Z9"/>
  <c r="AA9"/>
  <c r="Z10"/>
  <c r="AA10"/>
  <c r="C3"/>
  <c r="L3"/>
  <c r="M3"/>
  <c r="C4"/>
  <c r="L4"/>
  <c r="M4"/>
  <c r="C5"/>
  <c r="L5"/>
  <c r="M5"/>
  <c r="L6"/>
  <c r="M6"/>
  <c r="C8"/>
  <c r="L8"/>
  <c r="M8"/>
  <c r="C9"/>
  <c r="L9"/>
  <c r="M9"/>
  <c r="M12"/>
  <c r="AF3"/>
  <c r="H4"/>
  <c r="H5"/>
  <c r="H6"/>
  <c r="H3"/>
  <c r="W3"/>
  <c r="W4"/>
  <c r="W5"/>
  <c r="W6"/>
  <c r="W8"/>
  <c r="W9"/>
  <c r="W10"/>
  <c r="W12"/>
  <c r="X3"/>
  <c r="X4"/>
  <c r="X5"/>
  <c r="X6"/>
  <c r="X8"/>
  <c r="X9"/>
  <c r="X10"/>
  <c r="X13"/>
  <c r="X12"/>
  <c r="U4"/>
  <c r="U5"/>
  <c r="U6"/>
  <c r="U8"/>
  <c r="U9"/>
  <c r="U10"/>
  <c r="U3"/>
  <c r="Z3"/>
  <c r="AA3"/>
  <c r="AB3"/>
  <c r="Z4"/>
  <c r="AA4"/>
  <c r="AB4"/>
  <c r="Z5"/>
  <c r="AA5"/>
  <c r="AB5"/>
  <c r="Z6"/>
  <c r="AA6"/>
  <c r="AB6"/>
  <c r="AB8"/>
  <c r="AB9"/>
  <c r="AB10"/>
  <c r="AB12"/>
  <c r="AC8"/>
  <c r="AC9"/>
  <c r="AC10"/>
  <c r="AC4"/>
  <c r="AC5"/>
  <c r="AC6"/>
  <c r="AC3"/>
  <c r="AG3"/>
  <c r="AF4"/>
  <c r="AG4"/>
  <c r="AF5"/>
  <c r="AG5"/>
  <c r="AF6"/>
  <c r="AG6"/>
  <c r="AF8"/>
  <c r="AG8"/>
  <c r="AF9"/>
  <c r="AG9"/>
  <c r="L10"/>
  <c r="AF10"/>
  <c r="AG10"/>
  <c r="AG13"/>
  <c r="AG12"/>
  <c r="Q3"/>
  <c r="Q4"/>
  <c r="Q5"/>
  <c r="Q6"/>
  <c r="Q8"/>
  <c r="Q9"/>
  <c r="Q10"/>
  <c r="Q13"/>
  <c r="Q12"/>
  <c r="AD3"/>
  <c r="AD4"/>
  <c r="AD5"/>
  <c r="AD6"/>
  <c r="AD8"/>
  <c r="AD9"/>
  <c r="AD10"/>
  <c r="AD13"/>
  <c r="AD12"/>
  <c r="R17" i="5"/>
  <c r="Q17"/>
  <c r="F40" i="3"/>
  <c r="AB40"/>
  <c r="AA40"/>
  <c r="Z40"/>
  <c r="X40"/>
  <c r="V40"/>
  <c r="U40"/>
  <c r="T40"/>
  <c r="AB16"/>
  <c r="W16"/>
  <c r="X16"/>
  <c r="Z16"/>
  <c r="V16"/>
  <c r="Y16"/>
  <c r="U16"/>
  <c r="T16"/>
  <c r="AB15"/>
  <c r="W15"/>
  <c r="X15"/>
  <c r="Z15"/>
  <c r="V15"/>
  <c r="Y15"/>
  <c r="U15"/>
  <c r="T15"/>
  <c r="AB14"/>
  <c r="W14"/>
  <c r="X14"/>
  <c r="Z14"/>
  <c r="V14"/>
  <c r="Y14"/>
  <c r="U14"/>
  <c r="T14"/>
  <c r="X34"/>
  <c r="V34"/>
  <c r="U34"/>
  <c r="T35"/>
  <c r="U35"/>
  <c r="V35"/>
  <c r="X35"/>
  <c r="X33"/>
  <c r="D33"/>
  <c r="T33"/>
  <c r="V33"/>
  <c r="U33"/>
  <c r="AB46"/>
  <c r="AA46"/>
  <c r="F46"/>
  <c r="Z46"/>
  <c r="Y46"/>
  <c r="X46"/>
  <c r="T46"/>
  <c r="V46"/>
  <c r="U46"/>
  <c r="AB45"/>
  <c r="AA45"/>
  <c r="F45"/>
  <c r="Z45"/>
  <c r="Y45"/>
  <c r="X45"/>
  <c r="T45"/>
  <c r="V45"/>
  <c r="U45"/>
  <c r="AB44"/>
  <c r="AA44"/>
  <c r="F44"/>
  <c r="Z44"/>
  <c r="Y44"/>
  <c r="X44"/>
  <c r="D44"/>
  <c r="T44"/>
  <c r="V44"/>
  <c r="U44"/>
  <c r="AA41"/>
  <c r="AA39"/>
  <c r="AA38"/>
  <c r="F39"/>
  <c r="Z39"/>
  <c r="F41"/>
  <c r="Z41"/>
  <c r="F38"/>
  <c r="Z38"/>
  <c r="Q18" i="5"/>
  <c r="Q34"/>
  <c r="Q35"/>
  <c r="R18"/>
  <c r="Q21"/>
  <c r="R21"/>
  <c r="Q22"/>
  <c r="R22"/>
  <c r="Q30"/>
  <c r="R30"/>
  <c r="R31"/>
  <c r="R34"/>
  <c r="R35"/>
  <c r="Q8"/>
  <c r="Q9"/>
  <c r="Q12"/>
  <c r="Q13"/>
  <c r="Q14"/>
  <c r="Q15"/>
  <c r="Q16"/>
  <c r="Q7"/>
  <c r="D4"/>
  <c r="Q4"/>
  <c r="R4"/>
  <c r="R7"/>
  <c r="R8"/>
  <c r="R9"/>
  <c r="R12"/>
  <c r="R13"/>
  <c r="R14"/>
  <c r="R15"/>
  <c r="R16"/>
  <c r="T4" i="3"/>
  <c r="U4"/>
  <c r="AB5"/>
  <c r="AB6"/>
  <c r="AB7"/>
  <c r="AB8"/>
  <c r="AB9"/>
  <c r="AB10"/>
  <c r="AB11"/>
  <c r="AB12"/>
  <c r="AB13"/>
  <c r="AB19"/>
  <c r="AB20"/>
  <c r="AB21"/>
  <c r="AB22"/>
  <c r="AB23"/>
  <c r="AB26"/>
  <c r="AB27"/>
  <c r="AB28"/>
  <c r="AB29"/>
  <c r="AB30"/>
  <c r="AB38"/>
  <c r="AB39"/>
  <c r="AB41"/>
  <c r="AB4"/>
  <c r="M10" i="4"/>
  <c r="D38" i="3"/>
  <c r="T38"/>
  <c r="U38"/>
  <c r="T41"/>
  <c r="V41"/>
  <c r="T39"/>
  <c r="V39"/>
  <c r="X41"/>
  <c r="X39"/>
  <c r="X38"/>
  <c r="Y5"/>
  <c r="Z5"/>
  <c r="Y6"/>
  <c r="Z6"/>
  <c r="Y7"/>
  <c r="Z7"/>
  <c r="Y8"/>
  <c r="Z8"/>
  <c r="Y9"/>
  <c r="Z9"/>
  <c r="Y10"/>
  <c r="Z10"/>
  <c r="Y11"/>
  <c r="Z11"/>
  <c r="Y12"/>
  <c r="Z12"/>
  <c r="Y13"/>
  <c r="Z13"/>
  <c r="Z4"/>
  <c r="Y4"/>
  <c r="X5"/>
  <c r="X23"/>
  <c r="X22"/>
  <c r="X30"/>
  <c r="X29"/>
  <c r="X28"/>
  <c r="X27"/>
  <c r="X26"/>
  <c r="X20"/>
  <c r="X21"/>
  <c r="X19"/>
  <c r="X6"/>
  <c r="X7"/>
  <c r="X8"/>
  <c r="X9"/>
  <c r="X10"/>
  <c r="X11"/>
  <c r="X12"/>
  <c r="X13"/>
  <c r="X4"/>
  <c r="T26"/>
  <c r="U26"/>
  <c r="T21"/>
  <c r="U21"/>
  <c r="T20"/>
  <c r="V20"/>
  <c r="D19"/>
  <c r="T19"/>
  <c r="V4"/>
  <c r="T13"/>
  <c r="W13"/>
  <c r="V13"/>
  <c r="T10"/>
  <c r="U10"/>
  <c r="T12"/>
  <c r="U12"/>
  <c r="V12"/>
  <c r="T11"/>
  <c r="V11"/>
  <c r="T9"/>
  <c r="U9"/>
  <c r="T6"/>
  <c r="U6"/>
  <c r="T8"/>
  <c r="W8"/>
  <c r="T7"/>
  <c r="W7"/>
  <c r="U7"/>
  <c r="W12"/>
  <c r="V7"/>
  <c r="U13"/>
  <c r="V26"/>
  <c r="U41"/>
  <c r="U39"/>
  <c r="U19"/>
  <c r="V19"/>
  <c r="W11"/>
  <c r="W10"/>
  <c r="U11"/>
  <c r="V10"/>
  <c r="V21"/>
  <c r="U20"/>
  <c r="W4"/>
  <c r="V9"/>
  <c r="W9"/>
  <c r="V6"/>
  <c r="W6"/>
  <c r="U8"/>
  <c r="V8"/>
</calcChain>
</file>

<file path=xl/comments1.xml><?xml version="1.0" encoding="utf-8"?>
<comments xmlns="http://schemas.openxmlformats.org/spreadsheetml/2006/main">
  <authors>
    <author>Chris Wood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ie: match up a tank to closely match the container and not the superstructure</t>
        </r>
      </text>
    </comment>
  </commentList>
</comments>
</file>

<file path=xl/comments2.xml><?xml version="1.0" encoding="utf-8"?>
<comments xmlns="http://schemas.openxmlformats.org/spreadsheetml/2006/main">
  <authors>
    <author>Chris Wood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The best fit does make some reasonable physical sense. The mass of the explosives is minimal (for anything with an ISP better than a fart in a jar) so make the mass proportional to the area. 
This treats all the stock parts as essentially the same length.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 tried a few models here. You'd expect the max to go up on the square, but you rapidly enter the realm of ridiculous impulses. 
This way gives us sensible results.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SO this trial of fit calculated the mass as proportional to the cube of the diameter. 
This would be the case if the length of the part was a fixed ratio to the width (ie: aspect ratio as per nosecones).
It's not a great fit, big variance from stock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 really had high hopes for this equation.
It makes sense - the mass is proportional to the area of the decoupler, plus some mass for the impulse force. If it's a separator then then the decoupler mass is doubled.
The problem is the fit gets worse the more one uses the impulse, plus the specific impuse I calculated would be terrible compared to any known fuel.
The stdev is the worst of the lot.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The old way - mass is proportional to volume.
Unfortunatly since there's no consistency in the stock densities this gives a pretty bad fit.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Our decouplers are 0.2 long, so this is the density if the stock decouplers were also 0.2 long.</t>
        </r>
      </text>
    </comment>
  </commentList>
</comments>
</file>

<file path=xl/sharedStrings.xml><?xml version="1.0" encoding="utf-8"?>
<sst xmlns="http://schemas.openxmlformats.org/spreadsheetml/2006/main" count="248" uniqueCount="169">
  <si>
    <t>dia</t>
  </si>
  <si>
    <t>Len</t>
  </si>
  <si>
    <t>Liq</t>
  </si>
  <si>
    <t>Ox</t>
  </si>
  <si>
    <t>Vol</t>
  </si>
  <si>
    <t>Mass</t>
  </si>
  <si>
    <t>Dens</t>
  </si>
  <si>
    <t>FL-T400</t>
  </si>
  <si>
    <t>FL-T200</t>
  </si>
  <si>
    <t>FL-T100</t>
  </si>
  <si>
    <t>FL-T800</t>
  </si>
  <si>
    <t>X200-16</t>
  </si>
  <si>
    <t>X200-32</t>
  </si>
  <si>
    <t>X200-8</t>
  </si>
  <si>
    <t>Jumbo-64</t>
  </si>
  <si>
    <t>Oscar-B</t>
  </si>
  <si>
    <t>tech</t>
  </si>
  <si>
    <t>start</t>
  </si>
  <si>
    <t>basicRocketry</t>
  </si>
  <si>
    <t>advRocketry</t>
  </si>
  <si>
    <t>heavyRocketry</t>
  </si>
  <si>
    <t>heavierRocketry</t>
  </si>
  <si>
    <t>veryHeavyRocketry</t>
  </si>
  <si>
    <t>advConstruction</t>
  </si>
  <si>
    <t>precisionEngineering</t>
  </si>
  <si>
    <t>FL-R25</t>
  </si>
  <si>
    <t>fuelSystems</t>
  </si>
  <si>
    <t>FL-R1</t>
  </si>
  <si>
    <t>largeControl</t>
  </si>
  <si>
    <t>FL-R10</t>
  </si>
  <si>
    <t>Structural Fuselage</t>
  </si>
  <si>
    <t>Mk1 Fuselage</t>
  </si>
  <si>
    <t>aerodynamicSystems</t>
  </si>
  <si>
    <t>Mk2</t>
  </si>
  <si>
    <t>supersonicFlight</t>
  </si>
  <si>
    <t>Mk2-&gt;Mk1</t>
  </si>
  <si>
    <t>Mk3</t>
  </si>
  <si>
    <t>heavyAerodynamics</t>
  </si>
  <si>
    <t>Mk3-&gt;Mk2</t>
  </si>
  <si>
    <t>Stratus-V</t>
  </si>
  <si>
    <t>Stratus-V Cyl</t>
  </si>
  <si>
    <t>specializedControl</t>
  </si>
  <si>
    <t>Toroidal</t>
  </si>
  <si>
    <t>RT-10</t>
  </si>
  <si>
    <t>BACC</t>
  </si>
  <si>
    <t>generalRocketry</t>
  </si>
  <si>
    <t>Sepatron</t>
  </si>
  <si>
    <t>ang</t>
  </si>
  <si>
    <t>max</t>
  </si>
  <si>
    <t>min</t>
  </si>
  <si>
    <t>Drag</t>
  </si>
  <si>
    <t>crash</t>
  </si>
  <si>
    <t>thrust</t>
  </si>
  <si>
    <t>heat</t>
  </si>
  <si>
    <t>force</t>
  </si>
  <si>
    <t>torque</t>
  </si>
  <si>
    <t>Break</t>
  </si>
  <si>
    <t>heat/thrust</t>
  </si>
  <si>
    <t>TR-18A</t>
  </si>
  <si>
    <t>length</t>
  </si>
  <si>
    <t>Tech</t>
  </si>
  <si>
    <t>TR-2V</t>
  </si>
  <si>
    <t>TR-18D</t>
  </si>
  <si>
    <t>Rocomax</t>
  </si>
  <si>
    <t>TR-XL</t>
  </si>
  <si>
    <t>advMetalworks</t>
  </si>
  <si>
    <t>TR-2C</t>
  </si>
  <si>
    <t>mass</t>
  </si>
  <si>
    <t>Density</t>
  </si>
  <si>
    <t>max temp</t>
  </si>
  <si>
    <t>break/mass</t>
  </si>
  <si>
    <t>RCS Tanks</t>
  </si>
  <si>
    <t>RCS</t>
  </si>
  <si>
    <t>Liquid fuel</t>
  </si>
  <si>
    <t>SRBs</t>
  </si>
  <si>
    <t>Dry fuel</t>
  </si>
  <si>
    <t>Mixed tanks</t>
  </si>
  <si>
    <t>RCS/Vol</t>
  </si>
  <si>
    <t>Lq/Vol</t>
  </si>
  <si>
    <t>Liq/T</t>
  </si>
  <si>
    <t>Ox/T</t>
  </si>
  <si>
    <t>Dry/Vol</t>
  </si>
  <si>
    <t>T/m^3</t>
  </si>
  <si>
    <t>Lq/m^3</t>
  </si>
  <si>
    <t>Ox/m^2</t>
  </si>
  <si>
    <t>fuel/T</t>
  </si>
  <si>
    <t>noseCone</t>
  </si>
  <si>
    <t>stability</t>
  </si>
  <si>
    <t>?</t>
  </si>
  <si>
    <t>rocketNoseCone</t>
  </si>
  <si>
    <t>standardNoseCone</t>
  </si>
  <si>
    <t>advAerodynamics</t>
  </si>
  <si>
    <t>noseConeAdapter</t>
  </si>
  <si>
    <t>adapterSmallMiniShort</t>
  </si>
  <si>
    <t>specializedConstruction</t>
  </si>
  <si>
    <t>adapterSmallMiniTall</t>
  </si>
  <si>
    <t>largeAdapter</t>
  </si>
  <si>
    <t>largeAdapter2</t>
  </si>
  <si>
    <t>Diameter</t>
  </si>
  <si>
    <t>Nose Cones</t>
  </si>
  <si>
    <t>Adapters</t>
  </si>
  <si>
    <t>Trusses</t>
  </si>
  <si>
    <t>trussPiece1x</t>
  </si>
  <si>
    <t>trussPiece3x</t>
  </si>
  <si>
    <t>trussAdapter</t>
  </si>
  <si>
    <t>I-Beams</t>
  </si>
  <si>
    <t>structuralIBeam1</t>
  </si>
  <si>
    <t>structuralIBeam2</t>
  </si>
  <si>
    <t>structuralIBeam3</t>
  </si>
  <si>
    <t>composites</t>
  </si>
  <si>
    <t>Bottom (Width)</t>
  </si>
  <si>
    <t>Top (Depth)</t>
  </si>
  <si>
    <t>Structural Cubes</t>
  </si>
  <si>
    <t>strutCube</t>
  </si>
  <si>
    <t>strutOcto</t>
  </si>
  <si>
    <t>Structural Panels</t>
  </si>
  <si>
    <t>structuralPanel1</t>
  </si>
  <si>
    <t>structuralPanel2</t>
  </si>
  <si>
    <t>area</t>
  </si>
  <si>
    <t>WetMass</t>
  </si>
  <si>
    <t>TWR Dry</t>
  </si>
  <si>
    <t>TWR Wet</t>
  </si>
  <si>
    <t>Aspect</t>
  </si>
  <si>
    <t>SRBs - RF Stock</t>
  </si>
  <si>
    <t>Xenon</t>
  </si>
  <si>
    <t>PartName</t>
  </si>
  <si>
    <t>PB-X150</t>
  </si>
  <si>
    <t>xenonTank</t>
  </si>
  <si>
    <t>ionPropulsion</t>
  </si>
  <si>
    <t>PB-X150R</t>
  </si>
  <si>
    <t>xenonTankRadial</t>
  </si>
  <si>
    <t>^ - Bag Only</t>
  </si>
  <si>
    <t>&lt;-- see note</t>
  </si>
  <si>
    <t>Size3SmallTank</t>
  </si>
  <si>
    <t>Size3LargeTank</t>
  </si>
  <si>
    <t>Size3MediumTank</t>
  </si>
  <si>
    <t>Kerbodyne S3-3600</t>
  </si>
  <si>
    <t>Kerbodyne S3-7200</t>
  </si>
  <si>
    <t>Kerbodyne S3-14400</t>
  </si>
  <si>
    <t>TR-38-D</t>
  </si>
  <si>
    <t>S1 SRB-KD25k</t>
  </si>
  <si>
    <t>MassiveBooster</t>
  </si>
  <si>
    <t>Size3to2Adapter</t>
  </si>
  <si>
    <t>fuelTank1-2</t>
  </si>
  <si>
    <t>fuelTank3-2</t>
  </si>
  <si>
    <t>mass/area</t>
  </si>
  <si>
    <t>name</t>
  </si>
  <si>
    <t>size3Decoupler</t>
  </si>
  <si>
    <t>m/force</t>
  </si>
  <si>
    <t>mass/area/aparatus</t>
  </si>
  <si>
    <t>sides</t>
  </si>
  <si>
    <t>m/aparatus</t>
  </si>
  <si>
    <t>calc mass</t>
  </si>
  <si>
    <t>Fit</t>
  </si>
  <si>
    <t>fit</t>
  </si>
  <si>
    <t>Failed! Mass = dens * vol</t>
  </si>
  <si>
    <t>mass = c * area</t>
  </si>
  <si>
    <t>Failed! Mass = c1 * area * ends + c2 * force</t>
  </si>
  <si>
    <t>Avg</t>
  </si>
  <si>
    <t>StDev</t>
  </si>
  <si>
    <t>max Force = c * dia</t>
  </si>
  <si>
    <t>Impulse</t>
  </si>
  <si>
    <t>mass/dia^3</t>
  </si>
  <si>
    <t>Failed: mass = c * dia^3 (ie: fixed aspect ratio)</t>
  </si>
  <si>
    <t>vol*av dens</t>
  </si>
  <si>
    <t>maxForce</t>
  </si>
  <si>
    <t>impulse</t>
  </si>
  <si>
    <t>heatFactor</t>
  </si>
  <si>
    <t>thrust1m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</si>
</sst>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scheme val="maj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9" fontId="0" fillId="0" borderId="0" xfId="25" applyFont="1"/>
    <xf numFmtId="9" fontId="0" fillId="0" borderId="0" xfId="0" applyNumberFormat="1"/>
    <xf numFmtId="0" fontId="11" fillId="0" borderId="0" xfId="0" applyFont="1"/>
    <xf numFmtId="0" fontId="0" fillId="0" borderId="0" xfId="0" applyAlignment="1">
      <alignment horizontal="center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6"/>
  <sheetViews>
    <sheetView tabSelected="1" workbookViewId="0">
      <pane xSplit="1" ySplit="2" topLeftCell="C21" activePane="bottomRight" state="frozen"/>
      <selection pane="topRight" activeCell="B1" sqref="B1"/>
      <selection pane="bottomLeft" activeCell="A3" sqref="A3"/>
      <selection pane="bottomRight" activeCell="W40" sqref="W40"/>
    </sheetView>
  </sheetViews>
  <sheetFormatPr defaultColWidth="8.85546875" defaultRowHeight="15"/>
  <cols>
    <col min="1" max="1" width="18.140625" bestFit="1" customWidth="1"/>
    <col min="2" max="2" width="18.140625" customWidth="1"/>
    <col min="5" max="5" width="12.7109375" bestFit="1" customWidth="1"/>
    <col min="9" max="9" width="20" bestFit="1" customWidth="1"/>
    <col min="19" max="19" width="3.42578125" customWidth="1"/>
    <col min="25" max="25" width="11" bestFit="1" customWidth="1"/>
  </cols>
  <sheetData>
    <row r="1" spans="1:28">
      <c r="J1" s="9" t="s">
        <v>50</v>
      </c>
      <c r="K1" s="9"/>
      <c r="L1" s="9"/>
      <c r="N1" s="9" t="s">
        <v>56</v>
      </c>
      <c r="O1" s="9"/>
    </row>
    <row r="2" spans="1:28">
      <c r="B2" t="s">
        <v>125</v>
      </c>
      <c r="C2" t="s">
        <v>0</v>
      </c>
      <c r="D2" t="s">
        <v>1</v>
      </c>
      <c r="E2" t="s">
        <v>5</v>
      </c>
      <c r="F2" t="s">
        <v>119</v>
      </c>
      <c r="I2" t="s">
        <v>16</v>
      </c>
      <c r="J2" t="s">
        <v>48</v>
      </c>
      <c r="K2" t="s">
        <v>49</v>
      </c>
      <c r="L2" t="s">
        <v>47</v>
      </c>
      <c r="M2" t="s">
        <v>51</v>
      </c>
      <c r="N2" t="s">
        <v>54</v>
      </c>
      <c r="O2" t="s">
        <v>55</v>
      </c>
      <c r="P2" t="s">
        <v>52</v>
      </c>
      <c r="Q2" t="s">
        <v>53</v>
      </c>
      <c r="R2" t="s">
        <v>69</v>
      </c>
      <c r="T2" t="s">
        <v>4</v>
      </c>
      <c r="U2" t="s">
        <v>82</v>
      </c>
      <c r="X2" t="s">
        <v>85</v>
      </c>
      <c r="AB2" t="s">
        <v>70</v>
      </c>
    </row>
    <row r="3" spans="1:28">
      <c r="A3" s="1" t="s">
        <v>76</v>
      </c>
      <c r="G3" t="s">
        <v>2</v>
      </c>
      <c r="H3" t="s">
        <v>3</v>
      </c>
      <c r="V3" t="s">
        <v>83</v>
      </c>
      <c r="W3" t="s">
        <v>84</v>
      </c>
      <c r="Y3" t="s">
        <v>79</v>
      </c>
      <c r="Z3" t="s">
        <v>80</v>
      </c>
    </row>
    <row r="4" spans="1:28">
      <c r="A4" t="s">
        <v>15</v>
      </c>
      <c r="C4">
        <v>0.625</v>
      </c>
      <c r="D4">
        <v>0.34854740000000001</v>
      </c>
      <c r="E4">
        <v>1.4999999999999999E-2</v>
      </c>
      <c r="G4">
        <v>5.7350000000000003</v>
      </c>
      <c r="H4">
        <v>7</v>
      </c>
      <c r="I4" t="s">
        <v>24</v>
      </c>
      <c r="J4">
        <v>0.2</v>
      </c>
      <c r="L4">
        <v>2</v>
      </c>
      <c r="M4">
        <v>6</v>
      </c>
      <c r="N4">
        <v>50</v>
      </c>
      <c r="O4">
        <v>50</v>
      </c>
      <c r="R4">
        <v>2900</v>
      </c>
      <c r="T4">
        <f>D4*PI()*C4^2*0.25</f>
        <v>0.10693300305349834</v>
      </c>
      <c r="U4">
        <f>E4/$T4</f>
        <v>0.1402747474743184</v>
      </c>
      <c r="V4">
        <f>G4/$T4</f>
        <v>53.631711784347743</v>
      </c>
      <c r="W4">
        <f>H4/$T4</f>
        <v>65.4615488213486</v>
      </c>
      <c r="X4">
        <f t="shared" ref="X4:X16" si="0">SUM(G4:H4)/E4</f>
        <v>849</v>
      </c>
      <c r="Y4">
        <f t="shared" ref="Y4:Y16" si="1">G4/E4</f>
        <v>382.33333333333337</v>
      </c>
      <c r="Z4">
        <f t="shared" ref="Z4:Z16" si="2">H4/E4</f>
        <v>466.66666666666669</v>
      </c>
      <c r="AB4">
        <f>N4/E4</f>
        <v>3333.3333333333335</v>
      </c>
    </row>
    <row r="5" spans="1:28">
      <c r="A5" t="s">
        <v>42</v>
      </c>
      <c r="E5">
        <v>2.5000000000000001E-2</v>
      </c>
      <c r="G5">
        <v>10</v>
      </c>
      <c r="H5">
        <v>12.2</v>
      </c>
      <c r="I5" t="s">
        <v>24</v>
      </c>
      <c r="J5">
        <v>0.2</v>
      </c>
      <c r="X5">
        <f t="shared" si="0"/>
        <v>887.99999999999989</v>
      </c>
      <c r="Y5">
        <f t="shared" si="1"/>
        <v>400</v>
      </c>
      <c r="Z5">
        <f t="shared" si="2"/>
        <v>487.99999999999994</v>
      </c>
      <c r="AB5">
        <f t="shared" ref="AB5:AB41" si="3">N5/E5</f>
        <v>0</v>
      </c>
    </row>
    <row r="6" spans="1:28">
      <c r="A6" t="s">
        <v>9</v>
      </c>
      <c r="C6">
        <v>1.25</v>
      </c>
      <c r="D6">
        <v>0.78125</v>
      </c>
      <c r="E6">
        <v>6.25E-2</v>
      </c>
      <c r="G6">
        <v>45</v>
      </c>
      <c r="H6">
        <v>55</v>
      </c>
      <c r="I6" t="s">
        <v>18</v>
      </c>
      <c r="J6">
        <v>0.2</v>
      </c>
      <c r="L6">
        <v>2</v>
      </c>
      <c r="M6">
        <v>6</v>
      </c>
      <c r="N6">
        <v>50</v>
      </c>
      <c r="O6">
        <v>50</v>
      </c>
      <c r="R6">
        <v>2900</v>
      </c>
      <c r="T6">
        <f t="shared" ref="T6:T16" si="4">D6*PI()*C6^2*0.25</f>
        <v>0.95873799242852575</v>
      </c>
      <c r="U6">
        <f t="shared" ref="U6:U16" si="5">E6/$T6</f>
        <v>6.518986469044033E-2</v>
      </c>
      <c r="V6">
        <f t="shared" ref="V6:W16" si="6">G6/$T6</f>
        <v>46.936702577117039</v>
      </c>
      <c r="W6">
        <f t="shared" si="6"/>
        <v>57.367080927587487</v>
      </c>
      <c r="X6">
        <f t="shared" si="0"/>
        <v>1600</v>
      </c>
      <c r="Y6">
        <f t="shared" si="1"/>
        <v>720</v>
      </c>
      <c r="Z6">
        <f t="shared" si="2"/>
        <v>880</v>
      </c>
      <c r="AB6">
        <f t="shared" si="3"/>
        <v>800</v>
      </c>
    </row>
    <row r="7" spans="1:28">
      <c r="A7" t="s">
        <v>8</v>
      </c>
      <c r="C7">
        <v>1.25</v>
      </c>
      <c r="D7">
        <v>1.1105</v>
      </c>
      <c r="E7">
        <v>0.125</v>
      </c>
      <c r="G7">
        <v>90</v>
      </c>
      <c r="H7">
        <v>110</v>
      </c>
      <c r="I7" t="s">
        <v>17</v>
      </c>
      <c r="J7">
        <v>0.2</v>
      </c>
      <c r="L7">
        <v>2</v>
      </c>
      <c r="M7">
        <v>6</v>
      </c>
      <c r="N7">
        <v>50</v>
      </c>
      <c r="O7">
        <v>50</v>
      </c>
      <c r="R7">
        <v>2900</v>
      </c>
      <c r="T7">
        <f t="shared" si="4"/>
        <v>1.3627885319576036</v>
      </c>
      <c r="U7">
        <f t="shared" si="5"/>
        <v>9.1723695253321039E-2</v>
      </c>
      <c r="V7">
        <f t="shared" si="6"/>
        <v>66.041060582391154</v>
      </c>
      <c r="W7">
        <f t="shared" si="6"/>
        <v>80.716851822922521</v>
      </c>
      <c r="X7">
        <f t="shared" si="0"/>
        <v>1600</v>
      </c>
      <c r="Y7">
        <f t="shared" si="1"/>
        <v>720</v>
      </c>
      <c r="Z7">
        <f t="shared" si="2"/>
        <v>880</v>
      </c>
      <c r="AB7">
        <f t="shared" si="3"/>
        <v>400</v>
      </c>
    </row>
    <row r="8" spans="1:28">
      <c r="A8" t="s">
        <v>7</v>
      </c>
      <c r="C8">
        <v>1.25</v>
      </c>
      <c r="D8">
        <v>1.87819</v>
      </c>
      <c r="E8">
        <v>0.25</v>
      </c>
      <c r="G8">
        <v>180</v>
      </c>
      <c r="H8">
        <v>220</v>
      </c>
      <c r="I8" t="s">
        <v>18</v>
      </c>
      <c r="J8">
        <v>0.2</v>
      </c>
      <c r="L8">
        <v>2</v>
      </c>
      <c r="M8">
        <v>6</v>
      </c>
      <c r="N8">
        <v>50</v>
      </c>
      <c r="O8">
        <v>50</v>
      </c>
      <c r="R8">
        <v>2900</v>
      </c>
      <c r="T8">
        <f t="shared" si="4"/>
        <v>2.304885900799146</v>
      </c>
      <c r="U8">
        <f t="shared" si="5"/>
        <v>0.10846523895752082</v>
      </c>
      <c r="V8">
        <f t="shared" si="6"/>
        <v>78.094972049414991</v>
      </c>
      <c r="W8">
        <f t="shared" si="6"/>
        <v>95.449410282618317</v>
      </c>
      <c r="X8">
        <f t="shared" si="0"/>
        <v>1600</v>
      </c>
      <c r="Y8">
        <f t="shared" si="1"/>
        <v>720</v>
      </c>
      <c r="Z8">
        <f t="shared" si="2"/>
        <v>880</v>
      </c>
      <c r="AB8">
        <f t="shared" si="3"/>
        <v>200</v>
      </c>
    </row>
    <row r="9" spans="1:28">
      <c r="A9" t="s">
        <v>10</v>
      </c>
      <c r="C9">
        <v>1.25</v>
      </c>
      <c r="D9">
        <v>3.75</v>
      </c>
      <c r="E9">
        <v>0.5</v>
      </c>
      <c r="G9">
        <v>360</v>
      </c>
      <c r="H9">
        <v>440</v>
      </c>
      <c r="I9" t="s">
        <v>19</v>
      </c>
      <c r="J9">
        <v>0.2</v>
      </c>
      <c r="L9">
        <v>2</v>
      </c>
      <c r="M9">
        <v>6</v>
      </c>
      <c r="N9">
        <v>50</v>
      </c>
      <c r="O9">
        <v>50</v>
      </c>
      <c r="R9">
        <v>2900</v>
      </c>
      <c r="T9">
        <f t="shared" si="4"/>
        <v>4.6019423636569234</v>
      </c>
      <c r="U9">
        <f t="shared" si="5"/>
        <v>0.10864977448406722</v>
      </c>
      <c r="V9">
        <f t="shared" si="6"/>
        <v>78.227837628528405</v>
      </c>
      <c r="W9">
        <f t="shared" si="6"/>
        <v>95.611801545979162</v>
      </c>
      <c r="X9">
        <f t="shared" si="0"/>
        <v>1600</v>
      </c>
      <c r="Y9">
        <f t="shared" si="1"/>
        <v>720</v>
      </c>
      <c r="Z9">
        <f t="shared" si="2"/>
        <v>880</v>
      </c>
      <c r="AB9">
        <f t="shared" si="3"/>
        <v>100</v>
      </c>
    </row>
    <row r="10" spans="1:28">
      <c r="A10" t="s">
        <v>13</v>
      </c>
      <c r="C10">
        <v>2.5</v>
      </c>
      <c r="D10">
        <v>0.9375</v>
      </c>
      <c r="E10">
        <v>0.5</v>
      </c>
      <c r="G10">
        <v>360</v>
      </c>
      <c r="H10">
        <v>440</v>
      </c>
      <c r="I10" t="s">
        <v>23</v>
      </c>
      <c r="J10">
        <v>0.2</v>
      </c>
      <c r="T10">
        <f t="shared" si="4"/>
        <v>4.6019423636569234</v>
      </c>
      <c r="U10">
        <f t="shared" si="5"/>
        <v>0.10864977448406722</v>
      </c>
      <c r="V10">
        <f t="shared" si="6"/>
        <v>78.227837628528405</v>
      </c>
      <c r="W10">
        <f t="shared" si="6"/>
        <v>95.611801545979162</v>
      </c>
      <c r="X10">
        <f t="shared" si="0"/>
        <v>1600</v>
      </c>
      <c r="Y10">
        <f t="shared" si="1"/>
        <v>720</v>
      </c>
      <c r="Z10">
        <f t="shared" si="2"/>
        <v>880</v>
      </c>
      <c r="AB10">
        <f t="shared" si="3"/>
        <v>0</v>
      </c>
    </row>
    <row r="11" spans="1:28">
      <c r="A11" t="s">
        <v>11</v>
      </c>
      <c r="C11">
        <v>2.5</v>
      </c>
      <c r="D11">
        <v>1.875</v>
      </c>
      <c r="E11">
        <v>1</v>
      </c>
      <c r="G11">
        <v>720</v>
      </c>
      <c r="H11">
        <v>880</v>
      </c>
      <c r="I11" t="s">
        <v>20</v>
      </c>
      <c r="J11">
        <v>0.2</v>
      </c>
      <c r="L11">
        <v>2</v>
      </c>
      <c r="M11">
        <v>6</v>
      </c>
      <c r="N11">
        <v>200</v>
      </c>
      <c r="O11">
        <v>200</v>
      </c>
      <c r="R11">
        <v>2900</v>
      </c>
      <c r="T11">
        <f t="shared" si="4"/>
        <v>9.2038847273138469</v>
      </c>
      <c r="U11">
        <f t="shared" si="5"/>
        <v>0.10864977448406722</v>
      </c>
      <c r="V11">
        <f t="shared" si="6"/>
        <v>78.227837628528405</v>
      </c>
      <c r="W11">
        <f t="shared" si="6"/>
        <v>95.611801545979162</v>
      </c>
      <c r="X11">
        <f t="shared" si="0"/>
        <v>1600</v>
      </c>
      <c r="Y11">
        <f t="shared" si="1"/>
        <v>720</v>
      </c>
      <c r="Z11">
        <f t="shared" si="2"/>
        <v>880</v>
      </c>
      <c r="AB11">
        <f t="shared" si="3"/>
        <v>200</v>
      </c>
    </row>
    <row r="12" spans="1:28">
      <c r="A12" t="s">
        <v>12</v>
      </c>
      <c r="B12" t="s">
        <v>143</v>
      </c>
      <c r="C12">
        <v>2.5</v>
      </c>
      <c r="D12">
        <v>3.75</v>
      </c>
      <c r="E12">
        <v>2</v>
      </c>
      <c r="G12">
        <v>1440</v>
      </c>
      <c r="H12">
        <v>1760</v>
      </c>
      <c r="I12" t="s">
        <v>20</v>
      </c>
      <c r="J12">
        <v>0.2</v>
      </c>
      <c r="L12">
        <v>2</v>
      </c>
      <c r="M12">
        <v>6</v>
      </c>
      <c r="N12">
        <v>200</v>
      </c>
      <c r="O12">
        <v>200</v>
      </c>
      <c r="R12">
        <v>2900</v>
      </c>
      <c r="T12">
        <f t="shared" si="4"/>
        <v>18.407769454627694</v>
      </c>
      <c r="U12">
        <f t="shared" si="5"/>
        <v>0.10864977448406722</v>
      </c>
      <c r="V12">
        <f t="shared" si="6"/>
        <v>78.227837628528405</v>
      </c>
      <c r="W12">
        <f t="shared" si="6"/>
        <v>95.611801545979162</v>
      </c>
      <c r="X12">
        <f t="shared" si="0"/>
        <v>1600</v>
      </c>
      <c r="Y12">
        <f t="shared" si="1"/>
        <v>720</v>
      </c>
      <c r="Z12">
        <f t="shared" si="2"/>
        <v>880</v>
      </c>
      <c r="AB12">
        <f t="shared" si="3"/>
        <v>100</v>
      </c>
    </row>
    <row r="13" spans="1:28">
      <c r="A13" t="s">
        <v>14</v>
      </c>
      <c r="B13" t="s">
        <v>144</v>
      </c>
      <c r="C13">
        <v>2.5</v>
      </c>
      <c r="D13">
        <v>7.5</v>
      </c>
      <c r="E13">
        <v>4</v>
      </c>
      <c r="G13">
        <v>2880</v>
      </c>
      <c r="H13">
        <v>3520</v>
      </c>
      <c r="I13" t="s">
        <v>21</v>
      </c>
      <c r="J13">
        <v>0.2</v>
      </c>
      <c r="L13">
        <v>2</v>
      </c>
      <c r="M13">
        <v>6</v>
      </c>
      <c r="N13">
        <v>200</v>
      </c>
      <c r="O13">
        <v>200</v>
      </c>
      <c r="R13">
        <v>2900</v>
      </c>
      <c r="T13">
        <f t="shared" si="4"/>
        <v>36.815538909255388</v>
      </c>
      <c r="U13">
        <f t="shared" si="5"/>
        <v>0.10864977448406722</v>
      </c>
      <c r="V13">
        <f t="shared" si="6"/>
        <v>78.227837628528405</v>
      </c>
      <c r="W13">
        <f t="shared" si="6"/>
        <v>95.611801545979162</v>
      </c>
      <c r="X13">
        <f t="shared" si="0"/>
        <v>1600</v>
      </c>
      <c r="Y13">
        <f t="shared" si="1"/>
        <v>720</v>
      </c>
      <c r="Z13">
        <f t="shared" si="2"/>
        <v>880</v>
      </c>
      <c r="AB13">
        <f t="shared" si="3"/>
        <v>50</v>
      </c>
    </row>
    <row r="14" spans="1:28">
      <c r="A14" t="s">
        <v>136</v>
      </c>
      <c r="B14" t="s">
        <v>133</v>
      </c>
      <c r="C14">
        <v>3.75</v>
      </c>
      <c r="D14">
        <v>1.927</v>
      </c>
      <c r="E14">
        <v>2.5</v>
      </c>
      <c r="G14">
        <v>1620</v>
      </c>
      <c r="H14">
        <v>1980</v>
      </c>
      <c r="I14" t="s">
        <v>22</v>
      </c>
      <c r="J14">
        <v>0.2</v>
      </c>
      <c r="K14">
        <v>0.3</v>
      </c>
      <c r="L14">
        <v>2</v>
      </c>
      <c r="M14">
        <v>6</v>
      </c>
      <c r="N14">
        <v>200</v>
      </c>
      <c r="O14">
        <v>200</v>
      </c>
      <c r="R14">
        <v>2900</v>
      </c>
      <c r="T14">
        <f t="shared" si="4"/>
        <v>21.283063043440539</v>
      </c>
      <c r="U14">
        <f t="shared" si="5"/>
        <v>0.11746429519554059</v>
      </c>
      <c r="V14">
        <f t="shared" si="6"/>
        <v>76.116863286710299</v>
      </c>
      <c r="W14">
        <f t="shared" si="6"/>
        <v>93.031721794868147</v>
      </c>
      <c r="X14">
        <f t="shared" si="0"/>
        <v>1440</v>
      </c>
      <c r="Y14">
        <f t="shared" si="1"/>
        <v>648</v>
      </c>
      <c r="Z14">
        <f t="shared" si="2"/>
        <v>792</v>
      </c>
      <c r="AB14">
        <f t="shared" si="3"/>
        <v>80</v>
      </c>
    </row>
    <row r="15" spans="1:28">
      <c r="A15" t="s">
        <v>137</v>
      </c>
      <c r="B15" t="s">
        <v>135</v>
      </c>
      <c r="C15">
        <v>3.75</v>
      </c>
      <c r="D15">
        <v>3.8679999999999999</v>
      </c>
      <c r="E15">
        <v>5</v>
      </c>
      <c r="G15">
        <v>3240</v>
      </c>
      <c r="H15">
        <v>3960</v>
      </c>
      <c r="I15" t="s">
        <v>22</v>
      </c>
      <c r="J15">
        <v>0.2</v>
      </c>
      <c r="K15">
        <v>0.3</v>
      </c>
      <c r="L15">
        <v>2</v>
      </c>
      <c r="M15">
        <v>6</v>
      </c>
      <c r="N15">
        <v>300</v>
      </c>
      <c r="O15">
        <v>300</v>
      </c>
      <c r="R15">
        <v>2900</v>
      </c>
      <c r="T15">
        <f t="shared" si="4"/>
        <v>42.720751350299949</v>
      </c>
      <c r="U15">
        <f t="shared" si="5"/>
        <v>0.11703914004229923</v>
      </c>
      <c r="V15">
        <f t="shared" si="6"/>
        <v>75.841362747409903</v>
      </c>
      <c r="W15">
        <f t="shared" si="6"/>
        <v>92.694998913500996</v>
      </c>
      <c r="X15">
        <f t="shared" si="0"/>
        <v>1440</v>
      </c>
      <c r="Y15">
        <f t="shared" si="1"/>
        <v>648</v>
      </c>
      <c r="Z15">
        <f t="shared" si="2"/>
        <v>792</v>
      </c>
      <c r="AB15">
        <f t="shared" si="3"/>
        <v>60</v>
      </c>
    </row>
    <row r="16" spans="1:28">
      <c r="A16" t="s">
        <v>138</v>
      </c>
      <c r="B16" t="s">
        <v>134</v>
      </c>
      <c r="C16">
        <v>3.75</v>
      </c>
      <c r="D16">
        <v>7.48</v>
      </c>
      <c r="E16">
        <v>10</v>
      </c>
      <c r="G16">
        <v>6480</v>
      </c>
      <c r="H16">
        <v>7920</v>
      </c>
      <c r="I16" t="s">
        <v>22</v>
      </c>
      <c r="J16">
        <v>0.2</v>
      </c>
      <c r="K16">
        <v>0.3</v>
      </c>
      <c r="L16">
        <v>2</v>
      </c>
      <c r="M16">
        <v>6</v>
      </c>
      <c r="N16">
        <v>400</v>
      </c>
      <c r="O16">
        <v>400</v>
      </c>
      <c r="R16">
        <v>2900</v>
      </c>
      <c r="T16">
        <f t="shared" si="4"/>
        <v>82.614069312369097</v>
      </c>
      <c r="U16">
        <f t="shared" si="5"/>
        <v>0.12104475766941535</v>
      </c>
      <c r="V16">
        <f t="shared" si="6"/>
        <v>78.437002969781147</v>
      </c>
      <c r="W16">
        <f t="shared" si="6"/>
        <v>95.867448074176949</v>
      </c>
      <c r="X16">
        <f t="shared" si="0"/>
        <v>1440</v>
      </c>
      <c r="Y16">
        <f t="shared" si="1"/>
        <v>648</v>
      </c>
      <c r="Z16">
        <f t="shared" si="2"/>
        <v>792</v>
      </c>
      <c r="AB16">
        <f t="shared" si="3"/>
        <v>40</v>
      </c>
    </row>
    <row r="18" spans="1:28">
      <c r="A18" s="1" t="s">
        <v>71</v>
      </c>
      <c r="B18" s="1"/>
      <c r="G18" t="s">
        <v>72</v>
      </c>
      <c r="V18" t="s">
        <v>77</v>
      </c>
    </row>
    <row r="19" spans="1:28">
      <c r="A19" t="s">
        <v>25</v>
      </c>
      <c r="C19">
        <v>1.25</v>
      </c>
      <c r="D19">
        <f>2*0.2853027</f>
        <v>0.57060540000000004</v>
      </c>
      <c r="E19">
        <v>0.15</v>
      </c>
      <c r="G19">
        <v>100</v>
      </c>
      <c r="I19" t="s">
        <v>26</v>
      </c>
      <c r="J19">
        <v>0.2</v>
      </c>
      <c r="L19">
        <v>2</v>
      </c>
      <c r="M19">
        <v>12</v>
      </c>
      <c r="R19">
        <v>2900</v>
      </c>
      <c r="T19">
        <f>D19*PI()*C19^2*0.25</f>
        <v>0.70023817685104117</v>
      </c>
      <c r="U19">
        <f>E19/$T19</f>
        <v>0.21421282780460124</v>
      </c>
      <c r="V19">
        <f>G19/$T19</f>
        <v>142.80855186973417</v>
      </c>
      <c r="X19">
        <f>SUM(G19:H19)/E19</f>
        <v>666.66666666666674</v>
      </c>
      <c r="AB19">
        <f t="shared" si="3"/>
        <v>0</v>
      </c>
    </row>
    <row r="20" spans="1:28">
      <c r="A20" t="s">
        <v>27</v>
      </c>
      <c r="C20">
        <v>2.5</v>
      </c>
      <c r="D20">
        <v>1</v>
      </c>
      <c r="E20">
        <v>0.4</v>
      </c>
      <c r="G20">
        <v>750</v>
      </c>
      <c r="I20" t="s">
        <v>28</v>
      </c>
      <c r="J20">
        <v>0.2</v>
      </c>
      <c r="L20">
        <v>2</v>
      </c>
      <c r="M20">
        <v>12</v>
      </c>
      <c r="R20">
        <v>2900</v>
      </c>
      <c r="T20">
        <f>D20*PI()*C20^2*0.25</f>
        <v>4.908738521234052</v>
      </c>
      <c r="U20">
        <f>E20/$T20</f>
        <v>8.148733086305042E-2</v>
      </c>
      <c r="V20">
        <f>G20/$T20</f>
        <v>152.78874536821951</v>
      </c>
      <c r="X20">
        <f>SUM(G20:H20)/E20</f>
        <v>1875</v>
      </c>
      <c r="AB20">
        <f t="shared" si="3"/>
        <v>0</v>
      </c>
    </row>
    <row r="21" spans="1:28">
      <c r="A21" t="s">
        <v>29</v>
      </c>
      <c r="C21">
        <v>0.625</v>
      </c>
      <c r="D21">
        <v>0.375</v>
      </c>
      <c r="E21">
        <v>0.05</v>
      </c>
      <c r="G21">
        <v>50</v>
      </c>
      <c r="I21" t="s">
        <v>24</v>
      </c>
      <c r="J21">
        <v>0.2</v>
      </c>
      <c r="L21">
        <v>2</v>
      </c>
      <c r="M21">
        <v>12</v>
      </c>
      <c r="N21">
        <v>50</v>
      </c>
      <c r="O21">
        <v>50</v>
      </c>
      <c r="R21">
        <v>2900</v>
      </c>
      <c r="T21">
        <f>D21*PI()*C21^2*0.25</f>
        <v>0.11504855909142309</v>
      </c>
      <c r="U21">
        <f>E21/$T21</f>
        <v>0.43459909793626889</v>
      </c>
      <c r="V21">
        <f>G21/$T21</f>
        <v>434.59909793626889</v>
      </c>
      <c r="X21">
        <f>SUM(G21:H21)/E21</f>
        <v>1000</v>
      </c>
      <c r="AB21">
        <f t="shared" si="3"/>
        <v>1000</v>
      </c>
    </row>
    <row r="22" spans="1:28">
      <c r="A22" t="s">
        <v>39</v>
      </c>
      <c r="E22">
        <v>7.4999999999999997E-2</v>
      </c>
      <c r="G22">
        <v>40</v>
      </c>
      <c r="I22" t="s">
        <v>26</v>
      </c>
      <c r="J22">
        <v>0.2</v>
      </c>
      <c r="L22">
        <v>2</v>
      </c>
      <c r="M22">
        <v>12</v>
      </c>
      <c r="R22">
        <v>2900</v>
      </c>
      <c r="X22">
        <f>SUM(G22:H22)/E22</f>
        <v>533.33333333333337</v>
      </c>
      <c r="AB22">
        <f t="shared" si="3"/>
        <v>0</v>
      </c>
    </row>
    <row r="23" spans="1:28">
      <c r="A23" t="s">
        <v>40</v>
      </c>
      <c r="E23">
        <v>0.15</v>
      </c>
      <c r="G23">
        <v>150</v>
      </c>
      <c r="I23" t="s">
        <v>41</v>
      </c>
      <c r="J23">
        <v>0.2</v>
      </c>
      <c r="L23">
        <v>2</v>
      </c>
      <c r="M23">
        <v>12</v>
      </c>
      <c r="X23">
        <f>SUM(G23:H23)/E23</f>
        <v>1000</v>
      </c>
      <c r="AB23">
        <f t="shared" si="3"/>
        <v>0</v>
      </c>
    </row>
    <row r="25" spans="1:28">
      <c r="A25" s="1" t="s">
        <v>73</v>
      </c>
      <c r="B25" s="1"/>
      <c r="G25" t="s">
        <v>2</v>
      </c>
      <c r="V25" t="s">
        <v>78</v>
      </c>
    </row>
    <row r="26" spans="1:28">
      <c r="A26" t="s">
        <v>31</v>
      </c>
      <c r="C26">
        <v>1.25</v>
      </c>
      <c r="D26">
        <v>1.875</v>
      </c>
      <c r="E26">
        <v>0.35</v>
      </c>
      <c r="G26">
        <v>150</v>
      </c>
      <c r="I26" t="s">
        <v>32</v>
      </c>
      <c r="J26">
        <v>0.2</v>
      </c>
      <c r="T26">
        <f>D26*PI()*C26^2*0.25</f>
        <v>2.3009711818284617</v>
      </c>
      <c r="U26">
        <f>E26/$T26</f>
        <v>0.15210968427769411</v>
      </c>
      <c r="V26">
        <f>G26/$T26</f>
        <v>65.189864690440331</v>
      </c>
      <c r="X26">
        <f>SUM(G26:H26)/E26</f>
        <v>428.57142857142861</v>
      </c>
      <c r="AB26">
        <f t="shared" si="3"/>
        <v>0</v>
      </c>
    </row>
    <row r="27" spans="1:28">
      <c r="A27" t="s">
        <v>33</v>
      </c>
      <c r="E27">
        <v>0.2</v>
      </c>
      <c r="G27">
        <v>160</v>
      </c>
      <c r="I27" t="s">
        <v>34</v>
      </c>
      <c r="X27">
        <f>SUM(G27:H27)/E27</f>
        <v>800</v>
      </c>
      <c r="AB27">
        <f t="shared" si="3"/>
        <v>0</v>
      </c>
    </row>
    <row r="28" spans="1:28">
      <c r="A28" t="s">
        <v>35</v>
      </c>
      <c r="E28">
        <v>0.1</v>
      </c>
      <c r="G28">
        <v>80</v>
      </c>
      <c r="I28" t="s">
        <v>34</v>
      </c>
      <c r="X28">
        <f>SUM(G28:H28)/E28</f>
        <v>800</v>
      </c>
      <c r="AB28">
        <f t="shared" si="3"/>
        <v>0</v>
      </c>
    </row>
    <row r="29" spans="1:28">
      <c r="A29" t="s">
        <v>36</v>
      </c>
      <c r="E29">
        <v>0.3</v>
      </c>
      <c r="G29">
        <v>240</v>
      </c>
      <c r="I29" t="s">
        <v>37</v>
      </c>
      <c r="X29">
        <f>SUM(G29:H29)/E29</f>
        <v>800</v>
      </c>
      <c r="AB29">
        <f t="shared" si="3"/>
        <v>0</v>
      </c>
    </row>
    <row r="30" spans="1:28">
      <c r="A30" t="s">
        <v>38</v>
      </c>
      <c r="E30">
        <v>0.2</v>
      </c>
      <c r="G30">
        <v>160</v>
      </c>
      <c r="I30" t="s">
        <v>37</v>
      </c>
      <c r="X30">
        <f>SUM(G30:H30)/E30</f>
        <v>800</v>
      </c>
      <c r="AB30">
        <f t="shared" si="3"/>
        <v>0</v>
      </c>
    </row>
    <row r="32" spans="1:28">
      <c r="A32" s="1" t="s">
        <v>124</v>
      </c>
      <c r="B32" s="1"/>
      <c r="G32" t="s">
        <v>124</v>
      </c>
    </row>
    <row r="33" spans="1:28">
      <c r="A33" t="s">
        <v>126</v>
      </c>
      <c r="B33" t="s">
        <v>127</v>
      </c>
      <c r="C33">
        <v>0.625</v>
      </c>
      <c r="D33">
        <f>0.1404661*2</f>
        <v>0.28093220000000002</v>
      </c>
      <c r="E33">
        <v>0.05</v>
      </c>
      <c r="G33">
        <v>700</v>
      </c>
      <c r="I33" t="s">
        <v>128</v>
      </c>
      <c r="J33">
        <v>0.2</v>
      </c>
      <c r="L33">
        <v>2</v>
      </c>
      <c r="M33">
        <v>6</v>
      </c>
      <c r="N33">
        <v>50</v>
      </c>
      <c r="O33">
        <v>50</v>
      </c>
      <c r="R33">
        <v>2900</v>
      </c>
      <c r="T33">
        <f>D33*PI()*C33^2*0.25</f>
        <v>8.6188919499689307E-2</v>
      </c>
      <c r="U33">
        <f>E33/$T33</f>
        <v>0.5801209748334325</v>
      </c>
      <c r="V33">
        <f>G33/$T33</f>
        <v>8121.6936476680548</v>
      </c>
      <c r="X33">
        <f>SUM(G33:H33)/E33</f>
        <v>14000</v>
      </c>
    </row>
    <row r="34" spans="1:28">
      <c r="A34" t="s">
        <v>131</v>
      </c>
      <c r="B34" t="s">
        <v>132</v>
      </c>
      <c r="E34">
        <v>0.05</v>
      </c>
      <c r="G34">
        <v>700</v>
      </c>
      <c r="T34">
        <v>5.5320000000000001E-2</v>
      </c>
      <c r="U34">
        <f>E34/$T34</f>
        <v>0.90383224873463486</v>
      </c>
      <c r="V34">
        <f>G34/$T34</f>
        <v>12653.651482284888</v>
      </c>
      <c r="X34">
        <f>SUM(G34:H34)/E34</f>
        <v>14000</v>
      </c>
    </row>
    <row r="35" spans="1:28">
      <c r="A35" t="s">
        <v>129</v>
      </c>
      <c r="B35" t="s">
        <v>130</v>
      </c>
      <c r="C35">
        <v>0.3</v>
      </c>
      <c r="D35">
        <v>0.52500000000000002</v>
      </c>
      <c r="E35">
        <v>0.03</v>
      </c>
      <c r="G35">
        <v>400</v>
      </c>
      <c r="I35" t="s">
        <v>128</v>
      </c>
      <c r="J35">
        <v>0.2</v>
      </c>
      <c r="L35">
        <v>2</v>
      </c>
      <c r="M35">
        <v>12</v>
      </c>
      <c r="R35">
        <v>2900</v>
      </c>
      <c r="T35">
        <f>D35*PI()*C35^2*0.25</f>
        <v>3.7110063220529427E-2</v>
      </c>
      <c r="U35">
        <f>E35/$T35</f>
        <v>0.80840606014930971</v>
      </c>
      <c r="V35">
        <f>G35/$T35</f>
        <v>10778.747468657464</v>
      </c>
      <c r="X35">
        <f>SUM(G35:H35)/E35</f>
        <v>13333.333333333334</v>
      </c>
    </row>
    <row r="37" spans="1:28">
      <c r="A37" s="1" t="s">
        <v>74</v>
      </c>
      <c r="B37" s="1"/>
      <c r="G37" t="s">
        <v>75</v>
      </c>
      <c r="V37" t="s">
        <v>81</v>
      </c>
      <c r="W37" t="s">
        <v>168</v>
      </c>
      <c r="Y37" t="s">
        <v>167</v>
      </c>
      <c r="Z37" t="s">
        <v>121</v>
      </c>
      <c r="AA37" t="s">
        <v>120</v>
      </c>
    </row>
    <row r="38" spans="1:28">
      <c r="A38" t="s">
        <v>43</v>
      </c>
      <c r="C38">
        <v>1.25</v>
      </c>
      <c r="D38">
        <f>2.4</f>
        <v>2.4</v>
      </c>
      <c r="E38">
        <v>0.5</v>
      </c>
      <c r="F38">
        <f>E38+G38*0.0075</f>
        <v>3.7475000000000001</v>
      </c>
      <c r="G38">
        <v>433</v>
      </c>
      <c r="I38" t="s">
        <v>17</v>
      </c>
      <c r="J38">
        <v>0.3</v>
      </c>
      <c r="L38">
        <v>2</v>
      </c>
      <c r="M38">
        <v>7</v>
      </c>
      <c r="P38">
        <v>250</v>
      </c>
      <c r="Q38">
        <v>550</v>
      </c>
      <c r="R38">
        <v>3600</v>
      </c>
      <c r="T38">
        <f>D38*PI()*C38^2*0.25</f>
        <v>2.9452431127404308</v>
      </c>
      <c r="U38">
        <f>E38/$T38</f>
        <v>0.16976527263135505</v>
      </c>
      <c r="V38">
        <f>G38/$T38</f>
        <v>147.01672609875348</v>
      </c>
      <c r="W38">
        <f>P38/C38^2</f>
        <v>160</v>
      </c>
      <c r="X38">
        <f>SUM(G38:H38)/E38</f>
        <v>866</v>
      </c>
      <c r="Y38">
        <f>(Q38*(1+E38))/P38^(1/2)</f>
        <v>52.177581392778258</v>
      </c>
      <c r="Z38">
        <f>P38/F38</f>
        <v>66.711140760507007</v>
      </c>
      <c r="AA38">
        <f>P38/E38</f>
        <v>500</v>
      </c>
      <c r="AB38">
        <f t="shared" si="3"/>
        <v>0</v>
      </c>
    </row>
    <row r="39" spans="1:28">
      <c r="A39" t="s">
        <v>44</v>
      </c>
      <c r="C39">
        <v>1.25</v>
      </c>
      <c r="D39">
        <v>7.1</v>
      </c>
      <c r="E39">
        <v>1.5</v>
      </c>
      <c r="F39">
        <f t="shared" ref="F39:F41" si="7">E39+G39*0.0075</f>
        <v>7.875</v>
      </c>
      <c r="G39">
        <v>850</v>
      </c>
      <c r="I39" t="s">
        <v>45</v>
      </c>
      <c r="J39">
        <v>0.3</v>
      </c>
      <c r="L39">
        <v>2</v>
      </c>
      <c r="M39">
        <v>7</v>
      </c>
      <c r="P39">
        <v>315</v>
      </c>
      <c r="Q39">
        <v>400</v>
      </c>
      <c r="R39">
        <v>3900</v>
      </c>
      <c r="T39">
        <f>D39*PI()*C39^2*0.25</f>
        <v>8.7130108751904416</v>
      </c>
      <c r="U39">
        <f>E39/$T39</f>
        <v>0.17215633280926146</v>
      </c>
      <c r="V39">
        <f>G39/$T39</f>
        <v>97.555255258581482</v>
      </c>
      <c r="W39">
        <f t="shared" ref="W39:W41" si="8">P39/C39^2</f>
        <v>201.6</v>
      </c>
      <c r="X39">
        <f>SUM(G39:H39)/E39</f>
        <v>566.66666666666663</v>
      </c>
      <c r="Y39">
        <f t="shared" ref="Y39:Y41" si="9">(Q39*(1+E39))/P39^(1/2)</f>
        <v>56.3436169819011</v>
      </c>
      <c r="Z39">
        <f t="shared" ref="Z39:Z41" si="10">P39/F39</f>
        <v>40</v>
      </c>
      <c r="AA39">
        <f>P39/E39</f>
        <v>210</v>
      </c>
      <c r="AB39">
        <f t="shared" si="3"/>
        <v>0</v>
      </c>
    </row>
    <row r="40" spans="1:28">
      <c r="A40" t="s">
        <v>140</v>
      </c>
      <c r="B40" t="s">
        <v>141</v>
      </c>
      <c r="C40">
        <v>1.25</v>
      </c>
      <c r="D40">
        <v>14.9</v>
      </c>
      <c r="E40">
        <v>3</v>
      </c>
      <c r="F40">
        <f t="shared" si="7"/>
        <v>21.75</v>
      </c>
      <c r="G40">
        <v>2500</v>
      </c>
      <c r="I40" t="s">
        <v>20</v>
      </c>
      <c r="J40">
        <v>0.3</v>
      </c>
      <c r="K40">
        <v>0.2</v>
      </c>
      <c r="L40">
        <v>2</v>
      </c>
      <c r="M40">
        <v>7</v>
      </c>
      <c r="N40">
        <v>200</v>
      </c>
      <c r="O40">
        <v>200</v>
      </c>
      <c r="P40">
        <v>650</v>
      </c>
      <c r="Q40">
        <v>400</v>
      </c>
      <c r="R40">
        <v>3900</v>
      </c>
      <c r="T40">
        <f>D40*PI()*C40^2*0.25</f>
        <v>18.285050991596844</v>
      </c>
      <c r="U40">
        <f>E40/$T40</f>
        <v>0.16406845140211493</v>
      </c>
      <c r="V40">
        <f>G40/$T40</f>
        <v>136.72370950176244</v>
      </c>
      <c r="W40">
        <f t="shared" si="8"/>
        <v>416</v>
      </c>
      <c r="X40">
        <f>SUM(G40:H40)/E40</f>
        <v>833.33333333333337</v>
      </c>
      <c r="Y40">
        <f t="shared" si="9"/>
        <v>62.757163244218887</v>
      </c>
      <c r="Z40">
        <f t="shared" si="10"/>
        <v>29.885057471264368</v>
      </c>
      <c r="AA40">
        <f>P40/E40</f>
        <v>216.66666666666666</v>
      </c>
      <c r="AB40">
        <f t="shared" si="3"/>
        <v>66.666666666666671</v>
      </c>
    </row>
    <row r="41" spans="1:28">
      <c r="A41" t="s">
        <v>46</v>
      </c>
      <c r="C41">
        <v>0.15</v>
      </c>
      <c r="D41">
        <v>0.5</v>
      </c>
      <c r="E41">
        <v>1.2500000000000001E-2</v>
      </c>
      <c r="F41">
        <f t="shared" si="7"/>
        <v>7.2499999999999995E-2</v>
      </c>
      <c r="G41">
        <v>8</v>
      </c>
      <c r="I41" t="s">
        <v>45</v>
      </c>
      <c r="J41">
        <v>0.3</v>
      </c>
      <c r="L41">
        <v>2</v>
      </c>
      <c r="M41">
        <v>7</v>
      </c>
      <c r="P41">
        <v>18</v>
      </c>
      <c r="Q41">
        <v>550</v>
      </c>
      <c r="R41">
        <v>3600</v>
      </c>
      <c r="T41">
        <f>D41*PI()*C41^2*0.25</f>
        <v>8.8357293382212935E-3</v>
      </c>
      <c r="U41">
        <f>E41/$T41</f>
        <v>1.4147106052612919</v>
      </c>
      <c r="V41">
        <f>G41/$T41</f>
        <v>905.41478736722684</v>
      </c>
      <c r="W41">
        <f t="shared" si="8"/>
        <v>800</v>
      </c>
      <c r="X41">
        <f>SUM(G41:H41)/E41</f>
        <v>640</v>
      </c>
      <c r="Y41">
        <f t="shared" si="9"/>
        <v>131.25669625775291</v>
      </c>
      <c r="Z41">
        <f t="shared" si="10"/>
        <v>248.27586206896552</v>
      </c>
      <c r="AA41">
        <f>P41/E41</f>
        <v>1440</v>
      </c>
      <c r="AB41">
        <f t="shared" si="3"/>
        <v>0</v>
      </c>
    </row>
    <row r="43" spans="1:28">
      <c r="A43" s="1" t="s">
        <v>123</v>
      </c>
      <c r="B43" s="1"/>
      <c r="G43" t="s">
        <v>75</v>
      </c>
      <c r="V43" t="s">
        <v>81</v>
      </c>
      <c r="Y43" t="s">
        <v>57</v>
      </c>
      <c r="Z43" t="s">
        <v>121</v>
      </c>
      <c r="AA43" t="s">
        <v>120</v>
      </c>
    </row>
    <row r="44" spans="1:28">
      <c r="A44" t="s">
        <v>43</v>
      </c>
      <c r="C44">
        <v>1.25</v>
      </c>
      <c r="D44">
        <f>2.4</f>
        <v>2.4</v>
      </c>
      <c r="E44" s="1">
        <v>0.15625</v>
      </c>
      <c r="F44">
        <f>E44+G44*0.0075</f>
        <v>13.83625</v>
      </c>
      <c r="G44" s="1">
        <v>1824</v>
      </c>
      <c r="I44" t="s">
        <v>17</v>
      </c>
      <c r="J44">
        <v>0.3</v>
      </c>
      <c r="L44">
        <v>2</v>
      </c>
      <c r="M44">
        <v>7</v>
      </c>
      <c r="P44">
        <v>250</v>
      </c>
      <c r="Q44" s="1">
        <v>215</v>
      </c>
      <c r="R44" s="1">
        <v>2220</v>
      </c>
      <c r="T44">
        <f>D44*PI()*C44^2*0.25</f>
        <v>2.9452431127404308</v>
      </c>
      <c r="U44">
        <f>E44/$T44</f>
        <v>5.3051647697298449E-2</v>
      </c>
      <c r="V44">
        <f>G44/$T44</f>
        <v>619.30371455918316</v>
      </c>
      <c r="X44">
        <f>SUM(G44:H44)/E44</f>
        <v>11673.6</v>
      </c>
      <c r="Y44">
        <f>(Q44*F44)/P44</f>
        <v>11.899175</v>
      </c>
      <c r="Z44">
        <f>P44/F44</f>
        <v>18.068479537446922</v>
      </c>
      <c r="AA44">
        <f>P44/E44</f>
        <v>1600</v>
      </c>
      <c r="AB44">
        <f t="shared" ref="AB44:AB46" si="11">N44/E44</f>
        <v>0</v>
      </c>
    </row>
    <row r="45" spans="1:28">
      <c r="A45" t="s">
        <v>44</v>
      </c>
      <c r="C45">
        <v>1.25</v>
      </c>
      <c r="D45">
        <v>7.1</v>
      </c>
      <c r="E45" s="1">
        <v>0.46875</v>
      </c>
      <c r="F45">
        <f t="shared" ref="F45:F46" si="12">E45+G45*0.0075</f>
        <v>27.326249999999998</v>
      </c>
      <c r="G45" s="1">
        <v>3581</v>
      </c>
      <c r="I45" t="s">
        <v>45</v>
      </c>
      <c r="J45">
        <v>0.3</v>
      </c>
      <c r="L45">
        <v>2</v>
      </c>
      <c r="M45">
        <v>7</v>
      </c>
      <c r="P45">
        <v>315</v>
      </c>
      <c r="Q45" s="1">
        <v>187</v>
      </c>
      <c r="R45" s="1">
        <v>1996</v>
      </c>
      <c r="T45">
        <f>D45*PI()*C45^2*0.25</f>
        <v>8.7130108751904416</v>
      </c>
      <c r="U45">
        <f>E45/$T45</f>
        <v>5.3798854002894199E-2</v>
      </c>
      <c r="V45">
        <f>G45/$T45</f>
        <v>410.99455185997681</v>
      </c>
      <c r="X45">
        <f>SUM(G45:H45)/E45</f>
        <v>7639.4666666666662</v>
      </c>
      <c r="Y45">
        <f>(Q45*F45)/P45</f>
        <v>16.222249999999999</v>
      </c>
      <c r="Z45">
        <f t="shared" ref="Z45:Z46" si="13">P45/F45</f>
        <v>11.527377521613834</v>
      </c>
      <c r="AA45">
        <f>P45/E45</f>
        <v>672</v>
      </c>
      <c r="AB45">
        <f t="shared" si="11"/>
        <v>0</v>
      </c>
    </row>
    <row r="46" spans="1:28">
      <c r="A46" t="s">
        <v>46</v>
      </c>
      <c r="C46">
        <v>0.15</v>
      </c>
      <c r="D46">
        <v>0.5</v>
      </c>
      <c r="E46" s="1">
        <v>3.90625E-3</v>
      </c>
      <c r="F46">
        <f t="shared" si="12"/>
        <v>0.25890625</v>
      </c>
      <c r="G46" s="1">
        <v>34</v>
      </c>
      <c r="I46" t="s">
        <v>45</v>
      </c>
      <c r="J46">
        <v>0.3</v>
      </c>
      <c r="L46">
        <v>2</v>
      </c>
      <c r="M46">
        <v>7</v>
      </c>
      <c r="P46">
        <v>18</v>
      </c>
      <c r="Q46">
        <v>550</v>
      </c>
      <c r="R46">
        <v>3600</v>
      </c>
      <c r="T46">
        <f>D46*PI()*C46^2*0.25</f>
        <v>8.8357293382212935E-3</v>
      </c>
      <c r="U46">
        <f>E46/$T46</f>
        <v>0.44209706414415373</v>
      </c>
      <c r="V46">
        <f>G46/$T46</f>
        <v>3848.0128463107139</v>
      </c>
      <c r="X46">
        <f>SUM(G46:H46)/E46</f>
        <v>8704</v>
      </c>
      <c r="Y46">
        <f>(Q46*F46)/P46</f>
        <v>7.9110243055555554</v>
      </c>
      <c r="Z46">
        <f t="shared" si="13"/>
        <v>69.523234761617374</v>
      </c>
      <c r="AA46">
        <f>P46/E46</f>
        <v>4608</v>
      </c>
      <c r="AB46">
        <f t="shared" si="11"/>
        <v>0</v>
      </c>
    </row>
  </sheetData>
  <mergeCells count="2">
    <mergeCell ref="J1:L1"/>
    <mergeCell ref="N1:O1"/>
  </mergeCells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G15"/>
  <sheetViews>
    <sheetView workbookViewId="0">
      <selection activeCell="F21" sqref="F21"/>
    </sheetView>
  </sheetViews>
  <sheetFormatPr defaultColWidth="8.85546875" defaultRowHeight="15"/>
  <cols>
    <col min="2" max="2" width="14.7109375" bestFit="1" customWidth="1"/>
    <col min="17" max="17" width="8.85546875" style="6"/>
  </cols>
  <sheetData>
    <row r="1" spans="1:33">
      <c r="P1" t="s">
        <v>156</v>
      </c>
      <c r="S1" t="s">
        <v>160</v>
      </c>
      <c r="W1" t="s">
        <v>163</v>
      </c>
      <c r="Z1" s="8" t="s">
        <v>157</v>
      </c>
      <c r="AF1" s="1" t="s">
        <v>155</v>
      </c>
    </row>
    <row r="2" spans="1:33">
      <c r="B2" t="s">
        <v>146</v>
      </c>
      <c r="C2" t="s">
        <v>59</v>
      </c>
      <c r="D2" t="s">
        <v>0</v>
      </c>
      <c r="E2" t="s">
        <v>67</v>
      </c>
      <c r="F2" t="s">
        <v>150</v>
      </c>
      <c r="G2" t="s">
        <v>54</v>
      </c>
      <c r="H2" t="s">
        <v>161</v>
      </c>
      <c r="I2" t="s">
        <v>60</v>
      </c>
      <c r="L2" t="s">
        <v>4</v>
      </c>
      <c r="M2" t="s">
        <v>68</v>
      </c>
      <c r="N2" t="s">
        <v>118</v>
      </c>
      <c r="P2" t="s">
        <v>145</v>
      </c>
      <c r="Q2" s="6" t="s">
        <v>154</v>
      </c>
      <c r="S2" t="s">
        <v>165</v>
      </c>
      <c r="T2" t="s">
        <v>166</v>
      </c>
      <c r="W2" t="s">
        <v>162</v>
      </c>
      <c r="Z2" t="s">
        <v>148</v>
      </c>
      <c r="AA2" t="s">
        <v>151</v>
      </c>
      <c r="AB2" t="s">
        <v>149</v>
      </c>
      <c r="AC2" t="s">
        <v>152</v>
      </c>
      <c r="AD2" t="s">
        <v>153</v>
      </c>
      <c r="AF2" t="s">
        <v>164</v>
      </c>
      <c r="AG2" t="s">
        <v>153</v>
      </c>
    </row>
    <row r="3" spans="1:33">
      <c r="A3" t="s">
        <v>61</v>
      </c>
      <c r="C3">
        <f>0.07590994+0.07590994</f>
        <v>0.15181987999999999</v>
      </c>
      <c r="D3">
        <v>0.625</v>
      </c>
      <c r="E3">
        <v>1.4999999999999999E-2</v>
      </c>
      <c r="F3">
        <v>1</v>
      </c>
      <c r="G3">
        <v>15</v>
      </c>
      <c r="H3">
        <f>G3*0.02</f>
        <v>0.3</v>
      </c>
      <c r="I3" t="s">
        <v>24</v>
      </c>
      <c r="L3">
        <f>2*PI()*(D3/2)*C3</f>
        <v>0.29809763729805244</v>
      </c>
      <c r="M3">
        <f>E3/L3</f>
        <v>5.031908382756578E-2</v>
      </c>
      <c r="N3">
        <f>PI()*(D3/2)^2</f>
        <v>0.30679615757712825</v>
      </c>
      <c r="P3">
        <f>E3/N3</f>
        <v>4.8892398517830248E-2</v>
      </c>
      <c r="Q3" s="6">
        <f>P3/P$12</f>
        <v>0.7415399705738106</v>
      </c>
      <c r="S3">
        <f>S$12*D3</f>
        <v>250</v>
      </c>
      <c r="T3">
        <f>S3*0.02</f>
        <v>5</v>
      </c>
      <c r="U3" s="6">
        <f>G3/S3</f>
        <v>0.06</v>
      </c>
      <c r="W3">
        <f>E3/D3^3</f>
        <v>6.1439999999999995E-2</v>
      </c>
      <c r="X3" s="6">
        <f>W3/W$12</f>
        <v>1.5530257639304974</v>
      </c>
      <c r="Z3">
        <f>G3*Z$12</f>
        <v>1.5E-3</v>
      </c>
      <c r="AA3">
        <f>(E3-Z3)/F3</f>
        <v>1.35E-2</v>
      </c>
      <c r="AB3">
        <f>AA3/N3</f>
        <v>4.4003158666047225E-2</v>
      </c>
      <c r="AC3">
        <f>N3*AB$12*F3+G3*Z$12</f>
        <v>1.4759920634920634E-2</v>
      </c>
      <c r="AD3" s="6">
        <f>AC3/E3</f>
        <v>0.98399470899470898</v>
      </c>
      <c r="AF3">
        <f>L3*M$12</f>
        <v>1.8590066827907779E-2</v>
      </c>
      <c r="AG3" s="6">
        <f>AF3/E3</f>
        <v>1.2393377885271852</v>
      </c>
    </row>
    <row r="4" spans="1:33">
      <c r="A4" t="s">
        <v>58</v>
      </c>
      <c r="C4">
        <f>0.0650517+0.1329949</f>
        <v>0.19804660000000002</v>
      </c>
      <c r="D4">
        <v>1.25</v>
      </c>
      <c r="E4">
        <v>0.05</v>
      </c>
      <c r="F4">
        <v>1</v>
      </c>
      <c r="G4">
        <v>250</v>
      </c>
      <c r="H4">
        <f t="shared" ref="H4:H5" si="0">G4*0.02</f>
        <v>5</v>
      </c>
      <c r="I4" t="s">
        <v>18</v>
      </c>
      <c r="L4">
        <f>2*PI()*(D4/2)*C4</f>
        <v>0.77772717953554549</v>
      </c>
      <c r="M4">
        <f>E4/L4</f>
        <v>6.4289896657411069E-2</v>
      </c>
      <c r="N4">
        <f>PI()*(D4/2)^2</f>
        <v>1.227184630308513</v>
      </c>
      <c r="P4">
        <f>E4/N4</f>
        <v>4.074366543152521E-2</v>
      </c>
      <c r="Q4" s="6">
        <f>P4/P$12</f>
        <v>0.61794997547817554</v>
      </c>
      <c r="S4">
        <f>S$12*D4</f>
        <v>500</v>
      </c>
      <c r="T4">
        <f t="shared" ref="T4:T10" si="1">S4*0.02</f>
        <v>10</v>
      </c>
      <c r="U4" s="6">
        <f>G4/S4</f>
        <v>0.5</v>
      </c>
      <c r="W4">
        <f>E4/D4^3</f>
        <v>2.5600000000000001E-2</v>
      </c>
      <c r="X4" s="6">
        <f>W4/W$12</f>
        <v>0.64709406830437399</v>
      </c>
      <c r="Z4">
        <f>G4*Z$12</f>
        <v>2.5000000000000001E-2</v>
      </c>
      <c r="AA4">
        <f>(E4-Z4)/F4</f>
        <v>2.5000000000000001E-2</v>
      </c>
      <c r="AB4">
        <f>AA4/N4</f>
        <v>2.0371832715762605E-2</v>
      </c>
      <c r="AC4">
        <f>N4*AB$12*F4+G4*Z$12</f>
        <v>7.8039682539682548E-2</v>
      </c>
      <c r="AD4" s="6">
        <f>AC4/E4</f>
        <v>1.5607936507936508</v>
      </c>
      <c r="AF4">
        <f t="shared" ref="AF4:AF10" si="2">L4*M$12</f>
        <v>4.8500888408552573E-2</v>
      </c>
      <c r="AG4" s="6">
        <f>AF4/E4</f>
        <v>0.97001776817105145</v>
      </c>
    </row>
    <row r="5" spans="1:33">
      <c r="A5" t="s">
        <v>63</v>
      </c>
      <c r="C5">
        <f>0.4508572+0.3654699</f>
        <v>0.81632710000000008</v>
      </c>
      <c r="D5">
        <v>2.5</v>
      </c>
      <c r="E5">
        <v>0.4</v>
      </c>
      <c r="F5">
        <v>1</v>
      </c>
      <c r="G5">
        <v>250</v>
      </c>
      <c r="H5">
        <f t="shared" si="0"/>
        <v>5</v>
      </c>
      <c r="I5" t="s">
        <v>23</v>
      </c>
      <c r="L5">
        <f>2*PI()*(D5/2)*C5</f>
        <v>6.4114180507156515</v>
      </c>
      <c r="M5">
        <f>E5/L5</f>
        <v>6.2388694175908782E-2</v>
      </c>
      <c r="N5">
        <f>PI()*(D5/2)^2</f>
        <v>4.908738521234052</v>
      </c>
      <c r="P5">
        <f>E5/N5</f>
        <v>8.148733086305042E-2</v>
      </c>
      <c r="Q5" s="6">
        <f>P5/P$12</f>
        <v>1.2358999509563511</v>
      </c>
      <c r="S5">
        <f>S$12*D5</f>
        <v>1000</v>
      </c>
      <c r="T5">
        <f t="shared" si="1"/>
        <v>20</v>
      </c>
      <c r="U5" s="6">
        <f>G5/S5</f>
        <v>0.25</v>
      </c>
      <c r="W5">
        <f>E5/D5^3</f>
        <v>2.5600000000000001E-2</v>
      </c>
      <c r="X5" s="6">
        <f>W5/W$12</f>
        <v>0.64709406830437399</v>
      </c>
      <c r="Z5">
        <f>G5*Z$12</f>
        <v>2.5000000000000001E-2</v>
      </c>
      <c r="AA5">
        <f>(E5-Z5)/F5</f>
        <v>0.375</v>
      </c>
      <c r="AB5">
        <f>AA5/N5</f>
        <v>7.6394372684109757E-2</v>
      </c>
      <c r="AC5">
        <f>N5*AB$12*F5+G5*Z$12</f>
        <v>0.23715873015873015</v>
      </c>
      <c r="AD5" s="6">
        <f>AC5/E5</f>
        <v>0.59289682539682531</v>
      </c>
      <c r="AF5">
        <f t="shared" si="2"/>
        <v>0.39983104564256433</v>
      </c>
      <c r="AG5" s="6">
        <f>AF5/E5</f>
        <v>0.99957761410641077</v>
      </c>
    </row>
    <row r="6" spans="1:33">
      <c r="A6" t="s">
        <v>139</v>
      </c>
      <c r="B6" t="s">
        <v>147</v>
      </c>
      <c r="C6">
        <v>0.87070789999999998</v>
      </c>
      <c r="D6">
        <v>3.75</v>
      </c>
      <c r="E6">
        <v>0.8</v>
      </c>
      <c r="F6">
        <v>1</v>
      </c>
      <c r="G6">
        <v>100</v>
      </c>
      <c r="H6">
        <f>G6*0.02</f>
        <v>2</v>
      </c>
      <c r="I6" t="s">
        <v>22</v>
      </c>
      <c r="L6">
        <f>2*PI()*(D6/2)*C6</f>
        <v>10.257785782734734</v>
      </c>
      <c r="M6">
        <f>E6/L6</f>
        <v>7.7989540525062462E-2</v>
      </c>
      <c r="N6">
        <f>PI()*(D6/2)^2</f>
        <v>11.044661672776616</v>
      </c>
      <c r="P6">
        <f>E6/N6</f>
        <v>7.2433182989378148E-2</v>
      </c>
      <c r="Q6" s="6">
        <f>P6/P$12</f>
        <v>1.0985777341834231</v>
      </c>
      <c r="S6">
        <f>S$12*D6</f>
        <v>1500</v>
      </c>
      <c r="T6">
        <f t="shared" si="1"/>
        <v>30</v>
      </c>
      <c r="U6" s="6">
        <f>G6/S6</f>
        <v>6.6666666666666666E-2</v>
      </c>
      <c r="W6">
        <f>E6/D6^3</f>
        <v>1.5170370370370371E-2</v>
      </c>
      <c r="X6" s="6">
        <f>W6/W$12</f>
        <v>0.38346315158777716</v>
      </c>
      <c r="Z6">
        <f>G6*Z$12</f>
        <v>0.01</v>
      </c>
      <c r="AA6">
        <f>(E6-Z6)/F6</f>
        <v>0.79</v>
      </c>
      <c r="AB6">
        <f>AA6/N6</f>
        <v>7.1527768202010927E-2</v>
      </c>
      <c r="AC6">
        <f>N6*AB$12*F6+G6*Z$12</f>
        <v>0.48735714285714288</v>
      </c>
      <c r="AD6" s="6">
        <f>AC6/E6</f>
        <v>0.60919642857142853</v>
      </c>
      <c r="AF6">
        <f t="shared" si="2"/>
        <v>0.63969954587978506</v>
      </c>
      <c r="AG6" s="6">
        <f>AF6/E6</f>
        <v>0.79962443234973124</v>
      </c>
    </row>
    <row r="7" spans="1:33">
      <c r="U7" s="6"/>
      <c r="X7" s="6"/>
      <c r="AD7" s="6"/>
      <c r="AG7" s="6"/>
    </row>
    <row r="8" spans="1:33">
      <c r="A8" t="s">
        <v>66</v>
      </c>
      <c r="C8">
        <f>0.07590994*2</f>
        <v>0.15181987999999999</v>
      </c>
      <c r="D8">
        <v>0.625</v>
      </c>
      <c r="E8">
        <v>0.02</v>
      </c>
      <c r="F8">
        <v>2</v>
      </c>
      <c r="G8">
        <v>15</v>
      </c>
      <c r="H8">
        <f t="shared" ref="H8:H10" si="3">G8*0.02</f>
        <v>0.3</v>
      </c>
      <c r="I8" t="s">
        <v>65</v>
      </c>
      <c r="L8">
        <f>2*PI()*(D8/2)*C8</f>
        <v>0.29809763729805244</v>
      </c>
      <c r="M8">
        <f>E8/L8</f>
        <v>6.7092111770087712E-2</v>
      </c>
      <c r="N8">
        <f>PI()*(D8/2)^2</f>
        <v>0.30679615757712825</v>
      </c>
      <c r="P8">
        <f>E8/N8</f>
        <v>6.518986469044033E-2</v>
      </c>
      <c r="Q8" s="6">
        <f>P8/P$12</f>
        <v>0.98871996076508084</v>
      </c>
      <c r="S8">
        <f>S$12*D8</f>
        <v>250</v>
      </c>
      <c r="T8">
        <f t="shared" si="1"/>
        <v>5</v>
      </c>
      <c r="U8" s="6">
        <f>G8/S8</f>
        <v>0.06</v>
      </c>
      <c r="W8">
        <f>E8/D8^3</f>
        <v>8.1920000000000007E-2</v>
      </c>
      <c r="X8" s="6">
        <f>W8/W$12</f>
        <v>2.0707010185739967</v>
      </c>
      <c r="Z8">
        <f>G8*Z$12</f>
        <v>1.5E-3</v>
      </c>
      <c r="AA8">
        <f>(E8-Z8)/F8</f>
        <v>9.2499999999999995E-3</v>
      </c>
      <c r="AB8">
        <f>AA8/N8</f>
        <v>3.015031241932865E-2</v>
      </c>
      <c r="AC8">
        <f>N8*AB$12*F8+G8*Z$12</f>
        <v>2.8019841269841271E-2</v>
      </c>
      <c r="AD8" s="6">
        <f>AC8/E8</f>
        <v>1.4009920634920636</v>
      </c>
      <c r="AF8">
        <f t="shared" si="2"/>
        <v>1.8590066827907779E-2</v>
      </c>
      <c r="AG8" s="6">
        <f>AF8/E8</f>
        <v>0.92950334139538893</v>
      </c>
    </row>
    <row r="9" spans="1:33">
      <c r="A9" t="s">
        <v>62</v>
      </c>
      <c r="C9">
        <f>0.1833064*2</f>
        <v>0.36661280000000002</v>
      </c>
      <c r="D9">
        <v>1.25</v>
      </c>
      <c r="E9">
        <v>7.4999999999999997E-2</v>
      </c>
      <c r="F9">
        <v>2</v>
      </c>
      <c r="G9">
        <v>250</v>
      </c>
      <c r="H9">
        <f t="shared" si="3"/>
        <v>5</v>
      </c>
      <c r="I9" t="s">
        <v>65</v>
      </c>
      <c r="L9">
        <f t="shared" ref="L9" si="4">2*PI()*(D9/2)*C9</f>
        <v>1.4396850989899801</v>
      </c>
      <c r="M9">
        <f>E9/L9</f>
        <v>5.2094725473380746E-2</v>
      </c>
      <c r="N9">
        <f>PI()*(D9/2)^2</f>
        <v>1.227184630308513</v>
      </c>
      <c r="P9">
        <f>E9/N9</f>
        <v>6.1115498147287804E-2</v>
      </c>
      <c r="Q9" s="6">
        <f>P9/P$12</f>
        <v>0.92692496321726314</v>
      </c>
      <c r="S9">
        <f>S$12*D9</f>
        <v>500</v>
      </c>
      <c r="T9">
        <f t="shared" si="1"/>
        <v>10</v>
      </c>
      <c r="U9" s="6">
        <f>G9/S9</f>
        <v>0.5</v>
      </c>
      <c r="W9">
        <f>E9/D9^3</f>
        <v>3.8399999999999997E-2</v>
      </c>
      <c r="X9" s="6">
        <f>W9/W$12</f>
        <v>0.97064110245656088</v>
      </c>
      <c r="Z9">
        <f>G9*Z$12</f>
        <v>2.5000000000000001E-2</v>
      </c>
      <c r="AA9">
        <f>(E9-Z9)/F9</f>
        <v>2.4999999999999998E-2</v>
      </c>
      <c r="AB9">
        <f>AA9/N9</f>
        <v>2.0371832715762601E-2</v>
      </c>
      <c r="AC9">
        <f>N9*AB$12*F9+G9*Z$12</f>
        <v>0.13107936507936507</v>
      </c>
      <c r="AD9" s="6">
        <f>AC9/E9</f>
        <v>1.7477248677248678</v>
      </c>
      <c r="AF9">
        <f t="shared" si="2"/>
        <v>8.9782134618554429E-2</v>
      </c>
      <c r="AG9" s="6">
        <f>AF9/E9</f>
        <v>1.1970951282473925</v>
      </c>
    </row>
    <row r="10" spans="1:33">
      <c r="A10" t="s">
        <v>64</v>
      </c>
      <c r="C10">
        <v>0.2</v>
      </c>
      <c r="D10">
        <v>2.5</v>
      </c>
      <c r="E10">
        <v>0.45</v>
      </c>
      <c r="F10">
        <v>2</v>
      </c>
      <c r="G10">
        <v>600</v>
      </c>
      <c r="H10">
        <f t="shared" si="3"/>
        <v>12</v>
      </c>
      <c r="I10" t="s">
        <v>65</v>
      </c>
      <c r="L10">
        <f>2*PI()*(D10/2)*C10</f>
        <v>1.5707963267948966</v>
      </c>
      <c r="M10">
        <f>E10/L10</f>
        <v>0.28647889756541162</v>
      </c>
      <c r="N10">
        <f>PI()*(D10/2)^2</f>
        <v>4.908738521234052</v>
      </c>
      <c r="P10">
        <f>E10/N10</f>
        <v>9.1673247220931717E-2</v>
      </c>
      <c r="Q10" s="6">
        <f>P10/P$12</f>
        <v>1.390387444825895</v>
      </c>
      <c r="S10">
        <f>S$12*D10</f>
        <v>1000</v>
      </c>
      <c r="T10">
        <f t="shared" si="1"/>
        <v>20</v>
      </c>
      <c r="U10" s="6">
        <f>G10/S10</f>
        <v>0.6</v>
      </c>
      <c r="W10">
        <f>E10/D10^3</f>
        <v>2.8799999999999999E-2</v>
      </c>
      <c r="X10" s="6">
        <f>W10/W$12</f>
        <v>0.72798082684242071</v>
      </c>
      <c r="Z10">
        <f>G10*Z$12</f>
        <v>6.0000000000000005E-2</v>
      </c>
      <c r="AA10">
        <f>(E10-Z10)/F10</f>
        <v>0.19500000000000001</v>
      </c>
      <c r="AB10">
        <f>AA10/N10</f>
        <v>3.972507379573708E-2</v>
      </c>
      <c r="AC10">
        <f>N10*AB$12*F10+G10*Z$12</f>
        <v>0.48431746031746031</v>
      </c>
      <c r="AD10" s="6">
        <f>AC10/E10</f>
        <v>1.0762610229276897</v>
      </c>
      <c r="AF10">
        <f t="shared" si="2"/>
        <v>9.7958537856348088E-2</v>
      </c>
      <c r="AG10" s="6">
        <f>AF10/E10</f>
        <v>0.21768563968077353</v>
      </c>
    </row>
    <row r="11" spans="1:33">
      <c r="X11" s="6"/>
    </row>
    <row r="12" spans="1:33">
      <c r="M12">
        <f>AVERAGE(M3:M9)</f>
        <v>6.2362342071569425E-2</v>
      </c>
      <c r="O12" t="s">
        <v>158</v>
      </c>
      <c r="P12">
        <f>AVERAGE(P3:P10)</f>
        <v>6.5933598265777701E-2</v>
      </c>
      <c r="Q12" s="6">
        <f>AVERAGE(Q3:Q10)</f>
        <v>0.99999999999999978</v>
      </c>
      <c r="S12">
        <f>500/1.25</f>
        <v>400</v>
      </c>
      <c r="T12">
        <f>10/1.25</f>
        <v>8</v>
      </c>
      <c r="W12">
        <f>AVERAGE(W3:W10)</f>
        <v>3.9561481481481475E-2</v>
      </c>
      <c r="X12" s="6">
        <f>AVERAGE(X3:X10)</f>
        <v>1.0000000000000002</v>
      </c>
      <c r="Z12">
        <v>1E-4</v>
      </c>
      <c r="AB12">
        <f>AVERAGE(AB3:AB10)</f>
        <v>4.3220621599822692E-2</v>
      </c>
      <c r="AD12" s="7">
        <f>AVERAGE(AD3:AD10)</f>
        <v>1.1388370811287478</v>
      </c>
      <c r="AG12" s="6">
        <f>AVERAGE(AG3:AG10)</f>
        <v>0.90754881606827631</v>
      </c>
    </row>
    <row r="13" spans="1:33">
      <c r="O13" t="s">
        <v>159</v>
      </c>
      <c r="Q13">
        <f>STDEV(Q3:Q10)</f>
        <v>0.26956746896639638</v>
      </c>
      <c r="X13">
        <f>STDEV(X3:X10)</f>
        <v>0.59948553233565693</v>
      </c>
      <c r="AD13">
        <f>STDEV(AD3:AD10)</f>
        <v>0.45165968476742585</v>
      </c>
      <c r="AG13">
        <f>STDEV(AG3:AG10)</f>
        <v>0.3401797404083729</v>
      </c>
    </row>
    <row r="15" spans="1:33">
      <c r="O15" t="s">
        <v>68</v>
      </c>
      <c r="P15">
        <f>P12/0.2</f>
        <v>0.32966799132888847</v>
      </c>
    </row>
  </sheetData>
  <pageMargins left="0.7" right="0.7" top="0.75" bottom="0.75" header="0.3" footer="0.3"/>
  <pageSetup paperSize="9" orientation="portrait" horizontalDpi="0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35"/>
  <sheetViews>
    <sheetView workbookViewId="0">
      <selection activeCell="P17" sqref="P17"/>
    </sheetView>
  </sheetViews>
  <sheetFormatPr defaultColWidth="8.85546875" defaultRowHeight="15"/>
  <cols>
    <col min="1" max="1" width="19" customWidth="1"/>
    <col min="2" max="2" width="13.140625" customWidth="1"/>
    <col min="3" max="3" width="11.42578125" customWidth="1"/>
    <col min="6" max="6" width="18.140625" customWidth="1"/>
    <col min="20" max="20" width="12.140625" bestFit="1" customWidth="1"/>
  </cols>
  <sheetData>
    <row r="1" spans="1:19">
      <c r="B1" s="9" t="s">
        <v>98</v>
      </c>
      <c r="C1" s="9"/>
      <c r="G1" s="9" t="s">
        <v>50</v>
      </c>
      <c r="H1" s="9"/>
      <c r="I1" s="9"/>
      <c r="K1" s="9" t="s">
        <v>56</v>
      </c>
      <c r="L1" s="9"/>
    </row>
    <row r="2" spans="1:19">
      <c r="B2" t="s">
        <v>110</v>
      </c>
      <c r="C2" t="s">
        <v>111</v>
      </c>
      <c r="D2" t="s">
        <v>1</v>
      </c>
      <c r="E2" t="s">
        <v>5</v>
      </c>
      <c r="F2" t="s">
        <v>16</v>
      </c>
      <c r="G2" t="s">
        <v>48</v>
      </c>
      <c r="H2" t="s">
        <v>49</v>
      </c>
      <c r="I2" t="s">
        <v>47</v>
      </c>
      <c r="J2" t="s">
        <v>51</v>
      </c>
      <c r="K2" t="s">
        <v>54</v>
      </c>
      <c r="L2" t="s">
        <v>55</v>
      </c>
      <c r="M2" t="s">
        <v>52</v>
      </c>
      <c r="N2" t="s">
        <v>53</v>
      </c>
      <c r="O2" t="s">
        <v>69</v>
      </c>
      <c r="Q2" t="s">
        <v>4</v>
      </c>
      <c r="R2" t="s">
        <v>6</v>
      </c>
      <c r="S2" t="s">
        <v>122</v>
      </c>
    </row>
    <row r="3" spans="1:19">
      <c r="A3" s="2" t="s">
        <v>30</v>
      </c>
    </row>
    <row r="4" spans="1:19">
      <c r="A4" t="s">
        <v>30</v>
      </c>
      <c r="B4">
        <v>1.25</v>
      </c>
      <c r="C4">
        <v>1.25</v>
      </c>
      <c r="D4">
        <f>0.75*2*1.25</f>
        <v>1.875</v>
      </c>
      <c r="E4">
        <v>0.4</v>
      </c>
      <c r="F4" t="s">
        <v>23</v>
      </c>
      <c r="G4">
        <v>0.2</v>
      </c>
      <c r="I4">
        <v>2</v>
      </c>
      <c r="J4">
        <v>70</v>
      </c>
      <c r="K4">
        <v>50</v>
      </c>
      <c r="L4">
        <v>50</v>
      </c>
      <c r="O4">
        <v>3000</v>
      </c>
      <c r="Q4">
        <f>D4*PI()*B4^2*0.25</f>
        <v>2.3009711818284617</v>
      </c>
      <c r="R4">
        <f>E4/$Q4</f>
        <v>0.17383963917450757</v>
      </c>
    </row>
    <row r="6" spans="1:19">
      <c r="A6" s="2" t="s">
        <v>99</v>
      </c>
    </row>
    <row r="7" spans="1:19">
      <c r="A7" t="s">
        <v>86</v>
      </c>
      <c r="B7">
        <v>1.25</v>
      </c>
      <c r="C7">
        <v>0</v>
      </c>
      <c r="D7" s="3">
        <v>0.56499999999999995</v>
      </c>
      <c r="E7">
        <v>0.03</v>
      </c>
      <c r="F7" t="s">
        <v>87</v>
      </c>
      <c r="G7">
        <v>0.1</v>
      </c>
      <c r="H7">
        <v>0.1</v>
      </c>
      <c r="I7">
        <v>0.5</v>
      </c>
      <c r="J7">
        <v>10</v>
      </c>
      <c r="K7" t="s">
        <v>88</v>
      </c>
      <c r="L7" t="s">
        <v>88</v>
      </c>
      <c r="O7">
        <v>3400</v>
      </c>
      <c r="Q7">
        <f>((((B7/2)^2)+((B7/2)*(C7/2))+((C7/2)^2))*D7*3.14159265)/3</f>
        <v>0.23111977177734375</v>
      </c>
      <c r="R7">
        <f t="shared" ref="R7:R35" si="0">E7/$Q7</f>
        <v>0.12980282807176449</v>
      </c>
    </row>
    <row r="8" spans="1:19">
      <c r="A8" t="s">
        <v>89</v>
      </c>
      <c r="B8">
        <v>2.5</v>
      </c>
      <c r="C8">
        <v>0</v>
      </c>
      <c r="D8" s="3">
        <v>2.0950000000000002</v>
      </c>
      <c r="E8">
        <v>0.4</v>
      </c>
      <c r="F8" t="s">
        <v>37</v>
      </c>
      <c r="G8">
        <v>0.1</v>
      </c>
      <c r="H8">
        <v>0.1</v>
      </c>
      <c r="I8">
        <v>0.5</v>
      </c>
      <c r="J8">
        <v>10</v>
      </c>
      <c r="K8" t="s">
        <v>88</v>
      </c>
      <c r="L8" t="s">
        <v>88</v>
      </c>
      <c r="O8">
        <v>3400</v>
      </c>
      <c r="Q8">
        <f t="shared" ref="Q8:Q18" si="1">((((B8/2)^2)+((B8/2)*(C8/2))+((C8/2)^2))*D8*3.14159265)/3</f>
        <v>3.4279357300781257</v>
      </c>
      <c r="R8">
        <f t="shared" si="0"/>
        <v>0.11668830208519798</v>
      </c>
    </row>
    <row r="9" spans="1:19">
      <c r="A9" t="s">
        <v>90</v>
      </c>
      <c r="B9">
        <v>0.625</v>
      </c>
      <c r="C9">
        <v>0</v>
      </c>
      <c r="D9" s="3">
        <v>0.41499999999999998</v>
      </c>
      <c r="E9">
        <v>0.1</v>
      </c>
      <c r="F9" t="s">
        <v>91</v>
      </c>
      <c r="G9">
        <v>0.1</v>
      </c>
      <c r="H9">
        <v>0.1</v>
      </c>
      <c r="I9">
        <v>0.25</v>
      </c>
      <c r="J9">
        <v>40</v>
      </c>
      <c r="K9" t="s">
        <v>88</v>
      </c>
      <c r="L9" t="s">
        <v>88</v>
      </c>
      <c r="O9">
        <v>3400</v>
      </c>
      <c r="Q9">
        <f t="shared" si="1"/>
        <v>4.2440135083007813E-2</v>
      </c>
      <c r="R9">
        <f t="shared" si="0"/>
        <v>2.356260172226408</v>
      </c>
    </row>
    <row r="11" spans="1:19">
      <c r="A11" s="2" t="s">
        <v>100</v>
      </c>
    </row>
    <row r="12" spans="1:19">
      <c r="A12" t="s">
        <v>92</v>
      </c>
      <c r="B12">
        <v>1.25</v>
      </c>
      <c r="C12">
        <v>0.625</v>
      </c>
      <c r="D12">
        <v>0.995</v>
      </c>
      <c r="E12">
        <v>0.3</v>
      </c>
      <c r="F12" t="s">
        <v>91</v>
      </c>
      <c r="G12">
        <v>0.1</v>
      </c>
      <c r="H12">
        <v>0.1</v>
      </c>
      <c r="I12">
        <v>1</v>
      </c>
      <c r="J12">
        <v>20</v>
      </c>
      <c r="K12" t="s">
        <v>88</v>
      </c>
      <c r="L12" t="s">
        <v>88</v>
      </c>
      <c r="O12">
        <v>3400</v>
      </c>
      <c r="Q12">
        <f t="shared" si="1"/>
        <v>0.71227841169433592</v>
      </c>
      <c r="R12">
        <f t="shared" si="0"/>
        <v>0.42118362016107358</v>
      </c>
    </row>
    <row r="13" spans="1:19">
      <c r="A13" t="s">
        <v>93</v>
      </c>
      <c r="B13">
        <v>1.25</v>
      </c>
      <c r="C13">
        <v>0.625</v>
      </c>
      <c r="D13">
        <v>0.1875</v>
      </c>
      <c r="E13">
        <v>0.04</v>
      </c>
      <c r="F13" t="s">
        <v>94</v>
      </c>
      <c r="G13">
        <v>0.2</v>
      </c>
      <c r="H13">
        <v>0.2</v>
      </c>
      <c r="I13">
        <v>2</v>
      </c>
      <c r="J13">
        <v>6</v>
      </c>
      <c r="K13">
        <v>50</v>
      </c>
      <c r="L13">
        <v>50</v>
      </c>
      <c r="O13">
        <v>2900</v>
      </c>
      <c r="Q13">
        <f t="shared" si="1"/>
        <v>0.13422331878662111</v>
      </c>
      <c r="R13">
        <f t="shared" si="0"/>
        <v>0.29801081035396848</v>
      </c>
    </row>
    <row r="14" spans="1:19">
      <c r="A14" t="s">
        <v>95</v>
      </c>
      <c r="B14">
        <v>1.25</v>
      </c>
      <c r="C14">
        <v>0.625</v>
      </c>
      <c r="D14">
        <v>0.6875</v>
      </c>
      <c r="E14">
        <v>0.05</v>
      </c>
      <c r="F14" t="s">
        <v>94</v>
      </c>
      <c r="G14">
        <v>0.2</v>
      </c>
      <c r="H14">
        <v>0.2</v>
      </c>
      <c r="I14">
        <v>0.2</v>
      </c>
      <c r="J14">
        <v>6</v>
      </c>
      <c r="K14">
        <v>50</v>
      </c>
      <c r="L14">
        <v>50</v>
      </c>
      <c r="O14">
        <v>2900</v>
      </c>
      <c r="Q14">
        <f t="shared" si="1"/>
        <v>0.49215216888427737</v>
      </c>
      <c r="R14">
        <f t="shared" si="0"/>
        <v>0.10159459443885291</v>
      </c>
    </row>
    <row r="15" spans="1:19">
      <c r="A15" t="s">
        <v>96</v>
      </c>
      <c r="B15">
        <v>2.5</v>
      </c>
      <c r="C15">
        <v>1.25</v>
      </c>
      <c r="D15">
        <v>1.2549999999999999</v>
      </c>
      <c r="E15">
        <v>0.1</v>
      </c>
      <c r="F15" t="s">
        <v>23</v>
      </c>
      <c r="G15">
        <v>0.2</v>
      </c>
      <c r="H15">
        <v>0.3</v>
      </c>
      <c r="I15">
        <v>2</v>
      </c>
      <c r="J15">
        <v>6</v>
      </c>
      <c r="K15">
        <v>200</v>
      </c>
      <c r="L15">
        <v>200</v>
      </c>
      <c r="O15">
        <v>2900</v>
      </c>
      <c r="Q15">
        <f t="shared" si="1"/>
        <v>3.5936056549804682</v>
      </c>
      <c r="R15">
        <f t="shared" si="0"/>
        <v>2.7827204652076248E-2</v>
      </c>
    </row>
    <row r="16" spans="1:19">
      <c r="A16" t="s">
        <v>97</v>
      </c>
      <c r="B16">
        <v>2.5</v>
      </c>
      <c r="C16">
        <v>1.25</v>
      </c>
      <c r="D16">
        <v>0.3785</v>
      </c>
      <c r="E16">
        <v>0.08</v>
      </c>
      <c r="F16" t="s">
        <v>23</v>
      </c>
      <c r="G16">
        <v>0.2</v>
      </c>
      <c r="H16">
        <v>0.3</v>
      </c>
      <c r="I16">
        <v>2</v>
      </c>
      <c r="J16">
        <v>6</v>
      </c>
      <c r="K16">
        <v>200</v>
      </c>
      <c r="L16">
        <v>200</v>
      </c>
      <c r="O16">
        <v>2900</v>
      </c>
      <c r="Q16">
        <f t="shared" si="1"/>
        <v>1.0838085580957031</v>
      </c>
      <c r="R16">
        <f t="shared" si="0"/>
        <v>7.381377403087068E-2</v>
      </c>
    </row>
    <row r="17" spans="1:18">
      <c r="A17" s="5" t="s">
        <v>142</v>
      </c>
      <c r="B17" s="5">
        <v>3.75</v>
      </c>
      <c r="C17">
        <v>2.5</v>
      </c>
      <c r="D17">
        <v>2.2000000000000002</v>
      </c>
      <c r="E17">
        <v>0.2</v>
      </c>
      <c r="F17" t="s">
        <v>22</v>
      </c>
      <c r="G17">
        <v>0.2</v>
      </c>
      <c r="H17">
        <v>0.3</v>
      </c>
      <c r="I17">
        <v>2</v>
      </c>
      <c r="J17">
        <v>6</v>
      </c>
      <c r="K17">
        <v>200</v>
      </c>
      <c r="L17">
        <v>200</v>
      </c>
      <c r="O17">
        <v>2900</v>
      </c>
      <c r="Q17">
        <f t="shared" si="1"/>
        <v>17.098772496093751</v>
      </c>
      <c r="R17">
        <f t="shared" si="0"/>
        <v>1.169674607026267E-2</v>
      </c>
    </row>
    <row r="18" spans="1:18">
      <c r="A18" t="s">
        <v>104</v>
      </c>
      <c r="B18">
        <v>1.25</v>
      </c>
      <c r="C18" s="3">
        <v>0.65500000000000003</v>
      </c>
      <c r="D18">
        <v>1.06</v>
      </c>
      <c r="E18">
        <v>0.25</v>
      </c>
      <c r="F18" t="s">
        <v>94</v>
      </c>
      <c r="G18">
        <v>0.2</v>
      </c>
      <c r="H18">
        <v>0.2</v>
      </c>
      <c r="I18">
        <v>1</v>
      </c>
      <c r="J18">
        <v>80</v>
      </c>
      <c r="K18">
        <v>200</v>
      </c>
      <c r="L18">
        <v>200</v>
      </c>
      <c r="O18">
        <v>5000</v>
      </c>
      <c r="Q18" s="3">
        <f t="shared" si="1"/>
        <v>0.77987197012895637</v>
      </c>
      <c r="R18" s="3">
        <f t="shared" si="0"/>
        <v>0.32056543839966584</v>
      </c>
    </row>
    <row r="20" spans="1:18">
      <c r="A20" s="2" t="s">
        <v>101</v>
      </c>
    </row>
    <row r="21" spans="1:18">
      <c r="A21" t="s">
        <v>102</v>
      </c>
      <c r="B21" s="3">
        <v>0.65500000000000003</v>
      </c>
      <c r="C21" s="3">
        <v>0.65500000000000003</v>
      </c>
      <c r="D21">
        <v>1.1185</v>
      </c>
      <c r="E21">
        <v>0.125</v>
      </c>
      <c r="F21" t="s">
        <v>17</v>
      </c>
      <c r="G21">
        <v>0.2</v>
      </c>
      <c r="H21">
        <v>0.2</v>
      </c>
      <c r="I21">
        <v>1</v>
      </c>
      <c r="J21">
        <v>80</v>
      </c>
      <c r="K21">
        <v>200</v>
      </c>
      <c r="L21">
        <v>200</v>
      </c>
      <c r="O21">
        <v>5000</v>
      </c>
      <c r="Q21">
        <f>B21*C21*D21</f>
        <v>0.47986446250000009</v>
      </c>
      <c r="R21">
        <f t="shared" si="0"/>
        <v>0.26049022123616827</v>
      </c>
    </row>
    <row r="22" spans="1:18">
      <c r="A22" t="s">
        <v>103</v>
      </c>
      <c r="B22" s="3">
        <v>0.65500000000000003</v>
      </c>
      <c r="C22" s="3">
        <v>0.65500000000000003</v>
      </c>
      <c r="D22">
        <v>2.9504999999999999</v>
      </c>
      <c r="E22">
        <v>0.375</v>
      </c>
      <c r="F22" t="s">
        <v>65</v>
      </c>
      <c r="G22">
        <v>0.2</v>
      </c>
      <c r="H22">
        <v>0.2</v>
      </c>
      <c r="I22">
        <v>1</v>
      </c>
      <c r="J22">
        <v>80</v>
      </c>
      <c r="K22">
        <v>200</v>
      </c>
      <c r="L22">
        <v>200</v>
      </c>
      <c r="O22">
        <v>5000</v>
      </c>
      <c r="Q22">
        <f>B22*C22*D22</f>
        <v>1.2658382625000002</v>
      </c>
      <c r="R22">
        <f t="shared" si="0"/>
        <v>0.29624637768444761</v>
      </c>
    </row>
    <row r="23" spans="1:18">
      <c r="B23" s="3"/>
      <c r="C23" s="3"/>
    </row>
    <row r="24" spans="1:18">
      <c r="A24" s="2" t="s">
        <v>105</v>
      </c>
      <c r="B24" s="3"/>
      <c r="C24" s="3"/>
    </row>
    <row r="25" spans="1:18">
      <c r="A25" t="s">
        <v>106</v>
      </c>
      <c r="B25" s="3">
        <v>0.55000000000000004</v>
      </c>
      <c r="C25" s="3">
        <v>0.22500000000000001</v>
      </c>
      <c r="D25">
        <v>1.0575000000000001</v>
      </c>
      <c r="E25">
        <v>0.08</v>
      </c>
      <c r="F25" t="s">
        <v>109</v>
      </c>
      <c r="G25">
        <v>0.2</v>
      </c>
      <c r="H25">
        <v>0.2</v>
      </c>
      <c r="I25">
        <v>1</v>
      </c>
      <c r="J25">
        <v>80</v>
      </c>
      <c r="K25">
        <v>200</v>
      </c>
      <c r="L25">
        <v>200</v>
      </c>
      <c r="O25">
        <v>3200</v>
      </c>
      <c r="Q25">
        <v>0</v>
      </c>
    </row>
    <row r="26" spans="1:18">
      <c r="A26" t="s">
        <v>107</v>
      </c>
      <c r="B26" s="3">
        <v>0.25</v>
      </c>
      <c r="C26" s="3">
        <v>0.25</v>
      </c>
      <c r="D26">
        <v>3.1964999999999999</v>
      </c>
      <c r="E26">
        <v>0.375</v>
      </c>
      <c r="F26" t="s">
        <v>109</v>
      </c>
      <c r="G26">
        <v>0.2</v>
      </c>
      <c r="H26">
        <v>0.2</v>
      </c>
      <c r="I26">
        <v>1</v>
      </c>
      <c r="J26">
        <v>80</v>
      </c>
      <c r="K26">
        <v>200</v>
      </c>
      <c r="L26">
        <v>200</v>
      </c>
      <c r="O26">
        <v>3200</v>
      </c>
      <c r="Q26">
        <v>0</v>
      </c>
    </row>
    <row r="27" spans="1:18">
      <c r="A27" t="s">
        <v>108</v>
      </c>
      <c r="B27" s="3">
        <v>0.25</v>
      </c>
      <c r="C27" s="3">
        <v>0.25</v>
      </c>
      <c r="D27">
        <v>1.605</v>
      </c>
      <c r="E27">
        <v>0.1875</v>
      </c>
      <c r="F27" t="s">
        <v>109</v>
      </c>
      <c r="G27">
        <v>0.2</v>
      </c>
      <c r="H27">
        <v>0.2</v>
      </c>
      <c r="I27">
        <v>1</v>
      </c>
      <c r="J27">
        <v>80</v>
      </c>
      <c r="K27">
        <v>200</v>
      </c>
      <c r="L27">
        <v>200</v>
      </c>
      <c r="O27">
        <v>3200</v>
      </c>
      <c r="Q27">
        <v>0</v>
      </c>
    </row>
    <row r="28" spans="1:18">
      <c r="B28" s="3"/>
      <c r="C28" s="3"/>
    </row>
    <row r="29" spans="1:18">
      <c r="A29" s="2" t="s">
        <v>112</v>
      </c>
      <c r="B29" s="3"/>
      <c r="C29" s="3"/>
    </row>
    <row r="30" spans="1:18">
      <c r="A30" t="s">
        <v>113</v>
      </c>
      <c r="B30" s="3">
        <v>0.215</v>
      </c>
      <c r="C30" s="3">
        <v>0.215</v>
      </c>
      <c r="D30">
        <v>0.25750000000000001</v>
      </c>
      <c r="E30" s="1">
        <v>1E-3</v>
      </c>
      <c r="F30" t="s">
        <v>109</v>
      </c>
      <c r="G30">
        <v>0.2</v>
      </c>
      <c r="H30">
        <v>0.2</v>
      </c>
      <c r="I30">
        <v>2</v>
      </c>
      <c r="J30">
        <v>7</v>
      </c>
      <c r="K30" t="s">
        <v>88</v>
      </c>
      <c r="L30" t="s">
        <v>88</v>
      </c>
      <c r="O30">
        <v>3000</v>
      </c>
      <c r="Q30">
        <f>B30*C30*D30</f>
        <v>1.1902937499999999E-2</v>
      </c>
      <c r="R30" s="1">
        <f t="shared" si="0"/>
        <v>8.4012874973089638E-2</v>
      </c>
    </row>
    <row r="31" spans="1:18">
      <c r="A31" t="s">
        <v>114</v>
      </c>
      <c r="B31" s="3">
        <v>0.56000000000000005</v>
      </c>
      <c r="C31" s="3">
        <v>0.56000000000000005</v>
      </c>
      <c r="D31">
        <v>0.25750000000000001</v>
      </c>
      <c r="E31" s="1">
        <v>1E-3</v>
      </c>
      <c r="F31" t="s">
        <v>109</v>
      </c>
      <c r="G31">
        <v>0.2</v>
      </c>
      <c r="H31">
        <v>0.2</v>
      </c>
      <c r="I31">
        <v>2</v>
      </c>
      <c r="J31">
        <v>7</v>
      </c>
      <c r="K31" t="s">
        <v>88</v>
      </c>
      <c r="L31" t="s">
        <v>88</v>
      </c>
      <c r="O31">
        <v>3000</v>
      </c>
      <c r="Q31" s="4">
        <v>6.6908999999999996E-2</v>
      </c>
      <c r="R31" s="1">
        <f t="shared" si="0"/>
        <v>1.4945672480533263E-2</v>
      </c>
    </row>
    <row r="32" spans="1:18">
      <c r="B32" s="3"/>
      <c r="C32" s="3"/>
    </row>
    <row r="33" spans="1:18">
      <c r="A33" s="2" t="s">
        <v>115</v>
      </c>
      <c r="B33" s="3"/>
      <c r="C33" s="3"/>
    </row>
    <row r="34" spans="1:18">
      <c r="A34" t="s">
        <v>116</v>
      </c>
      <c r="B34" s="3">
        <v>1</v>
      </c>
      <c r="C34" s="3">
        <v>1</v>
      </c>
      <c r="D34">
        <v>5.5E-2</v>
      </c>
      <c r="E34">
        <v>7.4999999999999997E-2</v>
      </c>
      <c r="F34" t="s">
        <v>109</v>
      </c>
      <c r="G34">
        <v>0.2</v>
      </c>
      <c r="H34">
        <v>0.2</v>
      </c>
      <c r="I34">
        <v>1</v>
      </c>
      <c r="J34">
        <v>80</v>
      </c>
      <c r="K34">
        <v>200</v>
      </c>
      <c r="L34">
        <v>200</v>
      </c>
      <c r="O34">
        <v>3200</v>
      </c>
      <c r="Q34">
        <f t="shared" ref="Q34:Q35" si="2">B34*C34*D34</f>
        <v>5.5E-2</v>
      </c>
      <c r="R34">
        <f t="shared" si="0"/>
        <v>1.3636363636363635</v>
      </c>
    </row>
    <row r="35" spans="1:18">
      <c r="A35" t="s">
        <v>117</v>
      </c>
      <c r="B35" s="3">
        <v>2</v>
      </c>
      <c r="C35" s="3">
        <v>2</v>
      </c>
      <c r="D35">
        <v>5.5E-2</v>
      </c>
      <c r="E35">
        <v>0.3</v>
      </c>
      <c r="F35" t="s">
        <v>109</v>
      </c>
      <c r="G35">
        <v>0.2</v>
      </c>
      <c r="H35">
        <v>0.2</v>
      </c>
      <c r="I35">
        <v>1</v>
      </c>
      <c r="J35">
        <v>80</v>
      </c>
      <c r="K35">
        <v>200</v>
      </c>
      <c r="L35">
        <v>200</v>
      </c>
      <c r="O35">
        <v>3200</v>
      </c>
      <c r="Q35">
        <f t="shared" si="2"/>
        <v>0.22</v>
      </c>
      <c r="R35">
        <f t="shared" si="0"/>
        <v>1.3636363636363635</v>
      </c>
    </row>
  </sheetData>
  <mergeCells count="3">
    <mergeCell ref="G1:I1"/>
    <mergeCell ref="K1:L1"/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Tanks</vt:lpstr>
      <vt:lpstr>Decouplers</vt:lpstr>
      <vt:lpstr>Structural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2014-01-24T23:10:26Z</dcterms:created>
  <dcterms:modified xsi:type="dcterms:W3CDTF">2014-04-27T13:09:20Z</dcterms:modified>
</cp:coreProperties>
</file>