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60" yWindow="0" windowWidth="28740" windowHeight="7425" activeTab="2"/>
  </bookViews>
  <sheets>
    <sheet name="Tanks" sheetId="3" r:id="rId1"/>
    <sheet name="Decouplers" sheetId="4" r:id="rId2"/>
    <sheet name="Structural" sheetId="5" r:id="rId3"/>
  </sheets>
  <definedNames>
    <definedName name="_p0">#REF!</definedName>
    <definedName name="_p1">#REF!</definedName>
    <definedName name="_p2">#REF!</definedName>
    <definedName name="_p3">#REF!</definedName>
    <definedName name="_t">#REF!</definedName>
    <definedName name="maxError">#REF!</definedName>
    <definedName name="p0">#REF!</definedName>
    <definedName name="subs">#REF!</definedName>
    <definedName name="thresh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4"/>
  <c r="E13"/>
  <c r="P5"/>
  <c r="D6"/>
  <c r="D7"/>
  <c r="D9"/>
  <c r="D10"/>
  <c r="D11"/>
  <c r="D5"/>
  <c r="Q5"/>
  <c r="P6"/>
  <c r="P7"/>
  <c r="P9"/>
  <c r="P10"/>
  <c r="P11"/>
  <c r="Q11"/>
  <c r="Q6"/>
  <c r="Q7"/>
  <c r="Q9"/>
  <c r="Q10"/>
  <c r="Q6" i="5"/>
  <c r="Q7"/>
  <c r="Q9"/>
  <c r="Q10"/>
  <c r="Q11"/>
  <c r="Q12"/>
  <c r="Q13"/>
  <c r="Q5"/>
  <c r="E15"/>
  <c r="G15"/>
  <c r="H15"/>
  <c r="I15"/>
  <c r="J15"/>
  <c r="K15"/>
  <c r="L15"/>
  <c r="O15"/>
  <c r="D3"/>
  <c r="Q3"/>
  <c r="R3"/>
  <c r="R5"/>
  <c r="R6"/>
  <c r="R7"/>
  <c r="R9"/>
  <c r="R10"/>
  <c r="R11"/>
  <c r="R12"/>
  <c r="R13"/>
  <c r="R15"/>
  <c r="Q15"/>
  <c r="O9" i="4"/>
  <c r="O10"/>
  <c r="O11"/>
  <c r="O6"/>
  <c r="O7"/>
  <c r="O5"/>
  <c r="J9"/>
  <c r="N9"/>
  <c r="B10"/>
  <c r="J10"/>
  <c r="N10"/>
  <c r="B11"/>
  <c r="J11"/>
  <c r="N11"/>
  <c r="B6"/>
  <c r="J6"/>
  <c r="N6"/>
  <c r="R4" i="3"/>
  <c r="S4"/>
  <c r="Z5"/>
  <c r="Z6"/>
  <c r="Z7"/>
  <c r="Z8"/>
  <c r="Z9"/>
  <c r="Z10"/>
  <c r="Z11"/>
  <c r="Z12"/>
  <c r="Z13"/>
  <c r="Z16"/>
  <c r="Z17"/>
  <c r="Z18"/>
  <c r="Z19"/>
  <c r="Z20"/>
  <c r="Z23"/>
  <c r="Z24"/>
  <c r="Z25"/>
  <c r="Z26"/>
  <c r="Z27"/>
  <c r="Z30"/>
  <c r="Z31"/>
  <c r="Z32"/>
  <c r="Z4"/>
  <c r="B5" i="4"/>
  <c r="J5"/>
  <c r="K5"/>
  <c r="K6"/>
  <c r="K9"/>
  <c r="B7"/>
  <c r="J7"/>
  <c r="K11"/>
  <c r="K10"/>
  <c r="Y31" i="3"/>
  <c r="Y32"/>
  <c r="Y30"/>
  <c r="C30"/>
  <c r="R30"/>
  <c r="S30"/>
  <c r="R32"/>
  <c r="T32"/>
  <c r="R31"/>
  <c r="T31"/>
  <c r="V32"/>
  <c r="V31"/>
  <c r="V30"/>
  <c r="W5"/>
  <c r="X5"/>
  <c r="W6"/>
  <c r="X6"/>
  <c r="W7"/>
  <c r="X7"/>
  <c r="W8"/>
  <c r="X8"/>
  <c r="W9"/>
  <c r="X9"/>
  <c r="W10"/>
  <c r="X10"/>
  <c r="W11"/>
  <c r="X11"/>
  <c r="W12"/>
  <c r="X12"/>
  <c r="W13"/>
  <c r="X13"/>
  <c r="X4"/>
  <c r="W4"/>
  <c r="V5"/>
  <c r="V20"/>
  <c r="V19"/>
  <c r="V27"/>
  <c r="V26"/>
  <c r="V25"/>
  <c r="V24"/>
  <c r="V23"/>
  <c r="V17"/>
  <c r="V18"/>
  <c r="V16"/>
  <c r="V6"/>
  <c r="V7"/>
  <c r="V8"/>
  <c r="V9"/>
  <c r="V10"/>
  <c r="V11"/>
  <c r="V12"/>
  <c r="V13"/>
  <c r="V4"/>
  <c r="R23"/>
  <c r="S23"/>
  <c r="R18"/>
  <c r="S18"/>
  <c r="R17"/>
  <c r="T17"/>
  <c r="C16"/>
  <c r="R16"/>
  <c r="T4"/>
  <c r="R13"/>
  <c r="U13"/>
  <c r="T13"/>
  <c r="R10"/>
  <c r="S10"/>
  <c r="R12"/>
  <c r="S12"/>
  <c r="T12"/>
  <c r="R11"/>
  <c r="T11"/>
  <c r="R9"/>
  <c r="S9"/>
  <c r="R6"/>
  <c r="S6"/>
  <c r="R8"/>
  <c r="U8"/>
  <c r="R7"/>
  <c r="U7"/>
  <c r="S7"/>
  <c r="N7" i="4"/>
  <c r="K7"/>
  <c r="N5"/>
  <c r="U12" i="3"/>
  <c r="T7"/>
  <c r="S13"/>
  <c r="T23"/>
  <c r="S32"/>
  <c r="S31"/>
  <c r="T30"/>
  <c r="S16"/>
  <c r="T16"/>
  <c r="U11"/>
  <c r="U10"/>
  <c r="S11"/>
  <c r="T10"/>
  <c r="T18"/>
  <c r="S17"/>
  <c r="U4"/>
  <c r="T9"/>
  <c r="U9"/>
  <c r="T6"/>
  <c r="U6"/>
  <c r="S8"/>
  <c r="T8"/>
</calcChain>
</file>

<file path=xl/sharedStrings.xml><?xml version="1.0" encoding="utf-8"?>
<sst xmlns="http://schemas.openxmlformats.org/spreadsheetml/2006/main" count="155" uniqueCount="110">
  <si>
    <t>dia</t>
  </si>
  <si>
    <t>Len</t>
  </si>
  <si>
    <t>Liq</t>
  </si>
  <si>
    <t>Ox</t>
  </si>
  <si>
    <t>Vol</t>
  </si>
  <si>
    <t>Mass</t>
  </si>
  <si>
    <t>Dens</t>
  </si>
  <si>
    <t>FL-T400</t>
  </si>
  <si>
    <t>FL-T200</t>
  </si>
  <si>
    <t>FL-T100</t>
  </si>
  <si>
    <t>FL-T800</t>
  </si>
  <si>
    <t>X200-16</t>
  </si>
  <si>
    <t>X200-32</t>
  </si>
  <si>
    <t>X200-8</t>
  </si>
  <si>
    <t>Jumbo-64</t>
  </si>
  <si>
    <t>Oscar-B</t>
  </si>
  <si>
    <t>tech</t>
  </si>
  <si>
    <t>start</t>
  </si>
  <si>
    <t>basicRocketry</t>
  </si>
  <si>
    <t>advRocketry</t>
  </si>
  <si>
    <t>heavyRocketry</t>
  </si>
  <si>
    <t>heavierRocketry</t>
  </si>
  <si>
    <t>veryHeavyRocketry</t>
  </si>
  <si>
    <t>advConstruction</t>
  </si>
  <si>
    <t>precisionEngineering</t>
  </si>
  <si>
    <t>FL-R25</t>
  </si>
  <si>
    <t>fuelSystems</t>
  </si>
  <si>
    <t>FL-R1</t>
  </si>
  <si>
    <t>largeControl</t>
  </si>
  <si>
    <t>FL-R10</t>
  </si>
  <si>
    <t>Structural Fuselage</t>
  </si>
  <si>
    <t>Mk1 Fuselage</t>
  </si>
  <si>
    <t>aerodynamicSystems</t>
  </si>
  <si>
    <t>Mk2</t>
  </si>
  <si>
    <t>supersonicFlight</t>
  </si>
  <si>
    <t>Mk2-&gt;Mk1</t>
  </si>
  <si>
    <t>Mk3</t>
  </si>
  <si>
    <t>heavyAerodynamics</t>
  </si>
  <si>
    <t>Mk3-&gt;Mk2</t>
  </si>
  <si>
    <t>Stratus-V</t>
  </si>
  <si>
    <t>Stratus-V Cyl</t>
  </si>
  <si>
    <t>specializedControl</t>
  </si>
  <si>
    <t>Toroidal</t>
  </si>
  <si>
    <t>RT-10</t>
  </si>
  <si>
    <t>BACC</t>
  </si>
  <si>
    <t>generalRocketry</t>
  </si>
  <si>
    <t>Sepatron</t>
  </si>
  <si>
    <t>ang</t>
  </si>
  <si>
    <t>max</t>
  </si>
  <si>
    <t>min</t>
  </si>
  <si>
    <t>Drag</t>
  </si>
  <si>
    <t>crash</t>
  </si>
  <si>
    <t>thrust</t>
  </si>
  <si>
    <t>heat</t>
  </si>
  <si>
    <t>force</t>
  </si>
  <si>
    <t>torque</t>
  </si>
  <si>
    <t>Break</t>
  </si>
  <si>
    <t>heat/thrust</t>
  </si>
  <si>
    <t>TR-18A</t>
  </si>
  <si>
    <t>length</t>
  </si>
  <si>
    <t>Tech</t>
  </si>
  <si>
    <t>TR-2V</t>
  </si>
  <si>
    <t>TR-18D</t>
  </si>
  <si>
    <t>Rocomax</t>
  </si>
  <si>
    <t>TR-XL</t>
  </si>
  <si>
    <t>advMetalworks</t>
  </si>
  <si>
    <t>TR-2C</t>
  </si>
  <si>
    <t>mass</t>
  </si>
  <si>
    <t>Density</t>
  </si>
  <si>
    <t>max temp</t>
  </si>
  <si>
    <t>break/mass</t>
  </si>
  <si>
    <t>RCS Tanks</t>
  </si>
  <si>
    <t>RCS</t>
  </si>
  <si>
    <t>Liquid fuel</t>
  </si>
  <si>
    <t>SRBs</t>
  </si>
  <si>
    <t>Dry fuel</t>
  </si>
  <si>
    <t>Mixed tanks</t>
  </si>
  <si>
    <t>RCS/Vol</t>
  </si>
  <si>
    <t>Lq/Vol</t>
  </si>
  <si>
    <t>Liq/T</t>
  </si>
  <si>
    <t>Ox/T</t>
  </si>
  <si>
    <t>Dry/Vol</t>
  </si>
  <si>
    <t>T/m^3</t>
  </si>
  <si>
    <t>Lq/m^3</t>
  </si>
  <si>
    <t>Ox/m^2</t>
  </si>
  <si>
    <t>fuel/T</t>
  </si>
  <si>
    <t>Calc max force</t>
  </si>
  <si>
    <t>force/vol</t>
  </si>
  <si>
    <t>force/dia</t>
  </si>
  <si>
    <t>&lt;- I agree this is a very weird formula, but it does keep true to stock.</t>
  </si>
  <si>
    <t>Makes sense that the force goes up on the square of the diameter for a fixed length.</t>
  </si>
  <si>
    <t>As you can see, no real agreement in any of the force ratios above.</t>
  </si>
  <si>
    <t>noseCone</t>
  </si>
  <si>
    <t>stability</t>
  </si>
  <si>
    <t>?</t>
  </si>
  <si>
    <t>rocketNoseCone</t>
  </si>
  <si>
    <t>standardNoseCone</t>
  </si>
  <si>
    <t>advAerodynamics</t>
  </si>
  <si>
    <t>noseConeAdapter</t>
  </si>
  <si>
    <t>adapterSmallMiniShort</t>
  </si>
  <si>
    <t>specializedConstruction</t>
  </si>
  <si>
    <t>adapterSmallMiniTall</t>
  </si>
  <si>
    <t>largeAdapter</t>
  </si>
  <si>
    <t>largeAdapter2</t>
  </si>
  <si>
    <t>Bottom</t>
  </si>
  <si>
    <t>Top</t>
  </si>
  <si>
    <t>Diameter</t>
  </si>
  <si>
    <t>Average</t>
  </si>
  <si>
    <t>force/area</t>
  </si>
  <si>
    <t>area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</si>
</sst>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workbookViewId="0">
      <selection activeCell="Y29" sqref="Y29"/>
    </sheetView>
  </sheetViews>
  <sheetFormatPr defaultColWidth="8.85546875" defaultRowHeight="15"/>
  <cols>
    <col min="1" max="1" width="18.140625" bestFit="1" customWidth="1"/>
    <col min="7" max="7" width="20" bestFit="1" customWidth="1"/>
    <col min="17" max="17" width="3.42578125" customWidth="1"/>
  </cols>
  <sheetData>
    <row r="1" spans="1:26">
      <c r="H1" s="2" t="s">
        <v>50</v>
      </c>
      <c r="I1" s="2"/>
      <c r="J1" s="2"/>
      <c r="L1" s="2" t="s">
        <v>56</v>
      </c>
      <c r="M1" s="2"/>
    </row>
    <row r="2" spans="1:26">
      <c r="B2" t="s">
        <v>0</v>
      </c>
      <c r="C2" t="s">
        <v>1</v>
      </c>
      <c r="D2" t="s">
        <v>5</v>
      </c>
      <c r="G2" t="s">
        <v>16</v>
      </c>
      <c r="H2" t="s">
        <v>48</v>
      </c>
      <c r="I2" t="s">
        <v>49</v>
      </c>
      <c r="J2" t="s">
        <v>47</v>
      </c>
      <c r="K2" t="s">
        <v>51</v>
      </c>
      <c r="L2" t="s">
        <v>54</v>
      </c>
      <c r="M2" t="s">
        <v>55</v>
      </c>
      <c r="N2" t="s">
        <v>52</v>
      </c>
      <c r="O2" t="s">
        <v>53</v>
      </c>
      <c r="P2" t="s">
        <v>69</v>
      </c>
      <c r="R2" t="s">
        <v>4</v>
      </c>
      <c r="S2" t="s">
        <v>82</v>
      </c>
      <c r="V2" t="s">
        <v>85</v>
      </c>
      <c r="Z2" t="s">
        <v>70</v>
      </c>
    </row>
    <row r="3" spans="1:26">
      <c r="A3" s="1" t="s">
        <v>76</v>
      </c>
      <c r="E3" t="s">
        <v>2</v>
      </c>
      <c r="F3" t="s">
        <v>3</v>
      </c>
      <c r="T3" t="s">
        <v>83</v>
      </c>
      <c r="U3" t="s">
        <v>84</v>
      </c>
      <c r="W3" t="s">
        <v>79</v>
      </c>
      <c r="X3" t="s">
        <v>80</v>
      </c>
    </row>
    <row r="4" spans="1:26">
      <c r="A4" t="s">
        <v>15</v>
      </c>
      <c r="B4">
        <v>0.625</v>
      </c>
      <c r="C4">
        <v>0.34854740000000001</v>
      </c>
      <c r="D4">
        <v>1.4999999999999999E-2</v>
      </c>
      <c r="E4">
        <v>5.7350000000000003</v>
      </c>
      <c r="F4">
        <v>7</v>
      </c>
      <c r="G4" t="s">
        <v>24</v>
      </c>
      <c r="H4">
        <v>0.2</v>
      </c>
      <c r="I4">
        <v>0.15</v>
      </c>
      <c r="J4">
        <v>2</v>
      </c>
      <c r="K4">
        <v>6</v>
      </c>
      <c r="L4">
        <v>50</v>
      </c>
      <c r="M4">
        <v>50</v>
      </c>
      <c r="P4">
        <v>2900</v>
      </c>
      <c r="R4">
        <f>C4*PI()*B4^2*0.25</f>
        <v>0.10693300305349834</v>
      </c>
      <c r="S4">
        <f>D4/$R4</f>
        <v>0.1402747474743184</v>
      </c>
      <c r="T4">
        <f>E4/$R4</f>
        <v>53.631711784347743</v>
      </c>
      <c r="U4">
        <f>F4/$R4</f>
        <v>65.4615488213486</v>
      </c>
      <c r="V4">
        <f t="shared" ref="V4:V13" si="0">SUM(E4:F4)/D4</f>
        <v>849</v>
      </c>
      <c r="W4">
        <f t="shared" ref="W4:W13" si="1">E4/D4</f>
        <v>382.33333333333337</v>
      </c>
      <c r="X4">
        <f t="shared" ref="X4:X13" si="2">F4/D4</f>
        <v>466.66666666666669</v>
      </c>
      <c r="Z4">
        <f>L4/D4</f>
        <v>3333.3333333333335</v>
      </c>
    </row>
    <row r="5" spans="1:26">
      <c r="A5" t="s">
        <v>42</v>
      </c>
      <c r="D5">
        <v>2.5000000000000001E-2</v>
      </c>
      <c r="E5">
        <v>10</v>
      </c>
      <c r="F5">
        <v>12.2</v>
      </c>
      <c r="G5" t="s">
        <v>24</v>
      </c>
      <c r="V5">
        <f t="shared" si="0"/>
        <v>887.99999999999989</v>
      </c>
      <c r="W5">
        <f t="shared" si="1"/>
        <v>400</v>
      </c>
      <c r="X5">
        <f t="shared" si="2"/>
        <v>487.99999999999994</v>
      </c>
      <c r="Z5">
        <f t="shared" ref="Z5:Z32" si="3">L5/D5</f>
        <v>0</v>
      </c>
    </row>
    <row r="6" spans="1:26">
      <c r="A6" t="s">
        <v>9</v>
      </c>
      <c r="B6">
        <v>1.25</v>
      </c>
      <c r="C6">
        <v>0.78125</v>
      </c>
      <c r="D6">
        <v>6.25E-2</v>
      </c>
      <c r="E6">
        <v>45</v>
      </c>
      <c r="F6">
        <v>55</v>
      </c>
      <c r="G6" t="s">
        <v>18</v>
      </c>
      <c r="H6">
        <v>0.2</v>
      </c>
      <c r="I6">
        <v>0.2</v>
      </c>
      <c r="J6">
        <v>2</v>
      </c>
      <c r="K6">
        <v>6</v>
      </c>
      <c r="L6">
        <v>50</v>
      </c>
      <c r="M6">
        <v>50</v>
      </c>
      <c r="P6">
        <v>2900</v>
      </c>
      <c r="R6">
        <f t="shared" ref="R6:R13" si="4">C6*PI()*B6^2*0.25</f>
        <v>0.95873799242852575</v>
      </c>
      <c r="S6">
        <f t="shared" ref="S6:U13" si="5">D6/$R6</f>
        <v>6.518986469044033E-2</v>
      </c>
      <c r="T6">
        <f t="shared" si="5"/>
        <v>46.936702577117039</v>
      </c>
      <c r="U6">
        <f t="shared" si="5"/>
        <v>57.367080927587487</v>
      </c>
      <c r="V6">
        <f t="shared" si="0"/>
        <v>1600</v>
      </c>
      <c r="W6">
        <f t="shared" si="1"/>
        <v>720</v>
      </c>
      <c r="X6">
        <f t="shared" si="2"/>
        <v>880</v>
      </c>
      <c r="Z6">
        <f t="shared" si="3"/>
        <v>800</v>
      </c>
    </row>
    <row r="7" spans="1:26">
      <c r="A7" t="s">
        <v>8</v>
      </c>
      <c r="B7">
        <v>1.25</v>
      </c>
      <c r="C7">
        <v>1.1105</v>
      </c>
      <c r="D7">
        <v>0.125</v>
      </c>
      <c r="E7">
        <v>90</v>
      </c>
      <c r="F7">
        <v>110</v>
      </c>
      <c r="G7" t="s">
        <v>17</v>
      </c>
      <c r="H7">
        <v>0.3</v>
      </c>
      <c r="I7">
        <v>0.2</v>
      </c>
      <c r="J7">
        <v>2</v>
      </c>
      <c r="K7">
        <v>6</v>
      </c>
      <c r="L7">
        <v>50</v>
      </c>
      <c r="M7">
        <v>50</v>
      </c>
      <c r="P7">
        <v>2900</v>
      </c>
      <c r="R7">
        <f t="shared" si="4"/>
        <v>1.3627885319576036</v>
      </c>
      <c r="S7">
        <f t="shared" si="5"/>
        <v>9.1723695253321039E-2</v>
      </c>
      <c r="T7">
        <f t="shared" si="5"/>
        <v>66.041060582391154</v>
      </c>
      <c r="U7">
        <f t="shared" si="5"/>
        <v>80.716851822922521</v>
      </c>
      <c r="V7">
        <f t="shared" si="0"/>
        <v>1600</v>
      </c>
      <c r="W7">
        <f t="shared" si="1"/>
        <v>720</v>
      </c>
      <c r="X7">
        <f t="shared" si="2"/>
        <v>880</v>
      </c>
      <c r="Z7">
        <f t="shared" si="3"/>
        <v>400</v>
      </c>
    </row>
    <row r="8" spans="1:26">
      <c r="A8" t="s">
        <v>7</v>
      </c>
      <c r="B8">
        <v>1.25</v>
      </c>
      <c r="C8">
        <v>1.87819</v>
      </c>
      <c r="D8">
        <v>0.25</v>
      </c>
      <c r="E8">
        <v>180</v>
      </c>
      <c r="F8">
        <v>220</v>
      </c>
      <c r="G8" t="s">
        <v>18</v>
      </c>
      <c r="H8">
        <v>0.3</v>
      </c>
      <c r="I8">
        <v>0.2</v>
      </c>
      <c r="J8">
        <v>2</v>
      </c>
      <c r="K8">
        <v>6</v>
      </c>
      <c r="L8">
        <v>50</v>
      </c>
      <c r="M8">
        <v>50</v>
      </c>
      <c r="P8">
        <v>2900</v>
      </c>
      <c r="R8">
        <f t="shared" si="4"/>
        <v>2.304885900799146</v>
      </c>
      <c r="S8">
        <f t="shared" si="5"/>
        <v>0.10846523895752082</v>
      </c>
      <c r="T8">
        <f t="shared" si="5"/>
        <v>78.094972049414991</v>
      </c>
      <c r="U8">
        <f t="shared" si="5"/>
        <v>95.449410282618317</v>
      </c>
      <c r="V8">
        <f t="shared" si="0"/>
        <v>1600</v>
      </c>
      <c r="W8">
        <f t="shared" si="1"/>
        <v>720</v>
      </c>
      <c r="X8">
        <f t="shared" si="2"/>
        <v>880</v>
      </c>
      <c r="Z8">
        <f t="shared" si="3"/>
        <v>200</v>
      </c>
    </row>
    <row r="9" spans="1:26">
      <c r="A9" t="s">
        <v>10</v>
      </c>
      <c r="B9">
        <v>1.25</v>
      </c>
      <c r="C9">
        <v>3.75</v>
      </c>
      <c r="D9">
        <v>0.5</v>
      </c>
      <c r="E9">
        <v>360</v>
      </c>
      <c r="F9">
        <v>440</v>
      </c>
      <c r="G9" t="s">
        <v>19</v>
      </c>
      <c r="H9">
        <v>0.3</v>
      </c>
      <c r="I9">
        <v>0.2</v>
      </c>
      <c r="J9">
        <v>2</v>
      </c>
      <c r="K9">
        <v>6</v>
      </c>
      <c r="L9">
        <v>50</v>
      </c>
      <c r="M9">
        <v>50</v>
      </c>
      <c r="P9">
        <v>2900</v>
      </c>
      <c r="R9">
        <f t="shared" si="4"/>
        <v>4.6019423636569234</v>
      </c>
      <c r="S9">
        <f t="shared" si="5"/>
        <v>0.10864977448406722</v>
      </c>
      <c r="T9">
        <f t="shared" si="5"/>
        <v>78.227837628528405</v>
      </c>
      <c r="U9">
        <f t="shared" si="5"/>
        <v>95.611801545979162</v>
      </c>
      <c r="V9">
        <f t="shared" si="0"/>
        <v>1600</v>
      </c>
      <c r="W9">
        <f t="shared" si="1"/>
        <v>720</v>
      </c>
      <c r="X9">
        <f t="shared" si="2"/>
        <v>880</v>
      </c>
      <c r="Z9">
        <f t="shared" si="3"/>
        <v>100</v>
      </c>
    </row>
    <row r="10" spans="1:26">
      <c r="A10" t="s">
        <v>13</v>
      </c>
      <c r="B10">
        <v>2.5</v>
      </c>
      <c r="C10">
        <v>0.9375</v>
      </c>
      <c r="D10">
        <v>0.5</v>
      </c>
      <c r="E10">
        <v>360</v>
      </c>
      <c r="F10">
        <v>440</v>
      </c>
      <c r="G10" t="s">
        <v>23</v>
      </c>
      <c r="R10">
        <f t="shared" si="4"/>
        <v>4.6019423636569234</v>
      </c>
      <c r="S10">
        <f t="shared" si="5"/>
        <v>0.10864977448406722</v>
      </c>
      <c r="T10">
        <f t="shared" si="5"/>
        <v>78.227837628528405</v>
      </c>
      <c r="U10">
        <f t="shared" si="5"/>
        <v>95.611801545979162</v>
      </c>
      <c r="V10">
        <f t="shared" si="0"/>
        <v>1600</v>
      </c>
      <c r="W10">
        <f t="shared" si="1"/>
        <v>720</v>
      </c>
      <c r="X10">
        <f t="shared" si="2"/>
        <v>880</v>
      </c>
      <c r="Z10">
        <f t="shared" si="3"/>
        <v>0</v>
      </c>
    </row>
    <row r="11" spans="1:26">
      <c r="A11" t="s">
        <v>11</v>
      </c>
      <c r="B11">
        <v>2.5</v>
      </c>
      <c r="C11">
        <v>1.875</v>
      </c>
      <c r="D11">
        <v>1</v>
      </c>
      <c r="E11">
        <v>720</v>
      </c>
      <c r="F11">
        <v>880</v>
      </c>
      <c r="G11" t="s">
        <v>20</v>
      </c>
      <c r="H11">
        <v>0.3</v>
      </c>
      <c r="I11">
        <v>0.2</v>
      </c>
      <c r="J11">
        <v>2</v>
      </c>
      <c r="K11">
        <v>6</v>
      </c>
      <c r="L11">
        <v>200</v>
      </c>
      <c r="M11">
        <v>200</v>
      </c>
      <c r="P11">
        <v>2900</v>
      </c>
      <c r="R11">
        <f t="shared" si="4"/>
        <v>9.2038847273138469</v>
      </c>
      <c r="S11">
        <f t="shared" si="5"/>
        <v>0.10864977448406722</v>
      </c>
      <c r="T11">
        <f t="shared" si="5"/>
        <v>78.227837628528405</v>
      </c>
      <c r="U11">
        <f t="shared" si="5"/>
        <v>95.611801545979162</v>
      </c>
      <c r="V11">
        <f t="shared" si="0"/>
        <v>1600</v>
      </c>
      <c r="W11">
        <f t="shared" si="1"/>
        <v>720</v>
      </c>
      <c r="X11">
        <f t="shared" si="2"/>
        <v>880</v>
      </c>
      <c r="Z11">
        <f t="shared" si="3"/>
        <v>200</v>
      </c>
    </row>
    <row r="12" spans="1:26">
      <c r="A12" t="s">
        <v>12</v>
      </c>
      <c r="B12">
        <v>2.5</v>
      </c>
      <c r="C12">
        <v>3.75</v>
      </c>
      <c r="D12">
        <v>2</v>
      </c>
      <c r="E12">
        <v>1440</v>
      </c>
      <c r="F12">
        <v>1760</v>
      </c>
      <c r="G12" t="s">
        <v>21</v>
      </c>
      <c r="H12">
        <v>0.3</v>
      </c>
      <c r="I12">
        <v>0.2</v>
      </c>
      <c r="J12">
        <v>2</v>
      </c>
      <c r="K12">
        <v>6</v>
      </c>
      <c r="L12">
        <v>200</v>
      </c>
      <c r="M12">
        <v>200</v>
      </c>
      <c r="P12">
        <v>2900</v>
      </c>
      <c r="R12">
        <f t="shared" si="4"/>
        <v>18.407769454627694</v>
      </c>
      <c r="S12">
        <f t="shared" si="5"/>
        <v>0.10864977448406722</v>
      </c>
      <c r="T12">
        <f t="shared" si="5"/>
        <v>78.227837628528405</v>
      </c>
      <c r="U12">
        <f t="shared" si="5"/>
        <v>95.611801545979162</v>
      </c>
      <c r="V12">
        <f t="shared" si="0"/>
        <v>1600</v>
      </c>
      <c r="W12">
        <f t="shared" si="1"/>
        <v>720</v>
      </c>
      <c r="X12">
        <f t="shared" si="2"/>
        <v>880</v>
      </c>
      <c r="Z12">
        <f t="shared" si="3"/>
        <v>100</v>
      </c>
    </row>
    <row r="13" spans="1:26">
      <c r="A13" t="s">
        <v>14</v>
      </c>
      <c r="B13">
        <v>2.5</v>
      </c>
      <c r="C13">
        <v>7.5</v>
      </c>
      <c r="D13">
        <v>4</v>
      </c>
      <c r="E13">
        <v>2880</v>
      </c>
      <c r="F13">
        <v>3520</v>
      </c>
      <c r="G13" t="s">
        <v>22</v>
      </c>
      <c r="H13">
        <v>0.3</v>
      </c>
      <c r="I13">
        <v>0.2</v>
      </c>
      <c r="J13">
        <v>2</v>
      </c>
      <c r="K13">
        <v>6</v>
      </c>
      <c r="L13">
        <v>200</v>
      </c>
      <c r="M13">
        <v>200</v>
      </c>
      <c r="P13">
        <v>2900</v>
      </c>
      <c r="R13">
        <f t="shared" si="4"/>
        <v>36.815538909255388</v>
      </c>
      <c r="S13">
        <f t="shared" si="5"/>
        <v>0.10864977448406722</v>
      </c>
      <c r="T13">
        <f t="shared" si="5"/>
        <v>78.227837628528405</v>
      </c>
      <c r="U13">
        <f t="shared" si="5"/>
        <v>95.611801545979162</v>
      </c>
      <c r="V13">
        <f t="shared" si="0"/>
        <v>1600</v>
      </c>
      <c r="W13">
        <f t="shared" si="1"/>
        <v>720</v>
      </c>
      <c r="X13">
        <f t="shared" si="2"/>
        <v>880</v>
      </c>
      <c r="Z13">
        <f t="shared" si="3"/>
        <v>50</v>
      </c>
    </row>
    <row r="15" spans="1:26">
      <c r="A15" s="1" t="s">
        <v>71</v>
      </c>
      <c r="E15" t="s">
        <v>72</v>
      </c>
      <c r="T15" t="s">
        <v>77</v>
      </c>
    </row>
    <row r="16" spans="1:26">
      <c r="A16" t="s">
        <v>25</v>
      </c>
      <c r="B16">
        <v>1.25</v>
      </c>
      <c r="C16">
        <f>2*0.2853027</f>
        <v>0.57060540000000004</v>
      </c>
      <c r="D16">
        <v>0.15</v>
      </c>
      <c r="E16">
        <v>100</v>
      </c>
      <c r="G16" t="s">
        <v>26</v>
      </c>
      <c r="H16">
        <v>0.2</v>
      </c>
      <c r="I16">
        <v>0.2</v>
      </c>
      <c r="J16">
        <v>2</v>
      </c>
      <c r="K16">
        <v>12</v>
      </c>
      <c r="P16">
        <v>2900</v>
      </c>
      <c r="R16">
        <f>C16*PI()*B16^2*0.25</f>
        <v>0.70023817685104117</v>
      </c>
      <c r="S16">
        <f t="shared" ref="S16:T18" si="6">D16/$R16</f>
        <v>0.21421282780460124</v>
      </c>
      <c r="T16">
        <f t="shared" si="6"/>
        <v>142.80855186973417</v>
      </c>
      <c r="V16">
        <f>SUM(E16:F16)/D16</f>
        <v>666.66666666666674</v>
      </c>
      <c r="Z16">
        <f t="shared" si="3"/>
        <v>0</v>
      </c>
    </row>
    <row r="17" spans="1:26">
      <c r="A17" t="s">
        <v>27</v>
      </c>
      <c r="B17">
        <v>2.5</v>
      </c>
      <c r="C17">
        <v>1</v>
      </c>
      <c r="D17">
        <v>0.4</v>
      </c>
      <c r="E17">
        <v>750</v>
      </c>
      <c r="G17" t="s">
        <v>28</v>
      </c>
      <c r="H17">
        <v>0.2</v>
      </c>
      <c r="I17">
        <v>0.2</v>
      </c>
      <c r="J17">
        <v>2</v>
      </c>
      <c r="K17">
        <v>12</v>
      </c>
      <c r="P17">
        <v>2900</v>
      </c>
      <c r="R17">
        <f>C17*PI()*B17^2*0.25</f>
        <v>4.908738521234052</v>
      </c>
      <c r="S17">
        <f t="shared" si="6"/>
        <v>8.148733086305042E-2</v>
      </c>
      <c r="T17">
        <f t="shared" si="6"/>
        <v>152.78874536821951</v>
      </c>
      <c r="V17">
        <f>SUM(E17:F17)/D17</f>
        <v>1875</v>
      </c>
      <c r="Z17">
        <f t="shared" si="3"/>
        <v>0</v>
      </c>
    </row>
    <row r="18" spans="1:26">
      <c r="A18" t="s">
        <v>29</v>
      </c>
      <c r="B18">
        <v>0.625</v>
      </c>
      <c r="C18">
        <v>0.375</v>
      </c>
      <c r="D18">
        <v>0.05</v>
      </c>
      <c r="E18">
        <v>50</v>
      </c>
      <c r="G18" t="s">
        <v>24</v>
      </c>
      <c r="H18">
        <v>0.2</v>
      </c>
      <c r="I18">
        <v>0.2</v>
      </c>
      <c r="J18">
        <v>2</v>
      </c>
      <c r="K18">
        <v>12</v>
      </c>
      <c r="L18">
        <v>50</v>
      </c>
      <c r="M18">
        <v>50</v>
      </c>
      <c r="P18">
        <v>2900</v>
      </c>
      <c r="R18">
        <f>C18*PI()*B18^2*0.25</f>
        <v>0.11504855909142309</v>
      </c>
      <c r="S18">
        <f t="shared" si="6"/>
        <v>0.43459909793626889</v>
      </c>
      <c r="T18">
        <f t="shared" si="6"/>
        <v>434.59909793626889</v>
      </c>
      <c r="V18">
        <f>SUM(E18:F18)/D18</f>
        <v>1000</v>
      </c>
      <c r="Z18">
        <f t="shared" si="3"/>
        <v>1000</v>
      </c>
    </row>
    <row r="19" spans="1:26">
      <c r="A19" t="s">
        <v>39</v>
      </c>
      <c r="D19">
        <v>7.4999999999999997E-2</v>
      </c>
      <c r="E19">
        <v>40</v>
      </c>
      <c r="G19" t="s">
        <v>26</v>
      </c>
      <c r="H19">
        <v>0.2</v>
      </c>
      <c r="I19">
        <v>0.2</v>
      </c>
      <c r="J19">
        <v>2</v>
      </c>
      <c r="K19">
        <v>12</v>
      </c>
      <c r="P19">
        <v>2900</v>
      </c>
      <c r="V19">
        <f>SUM(E19:F19)/D19</f>
        <v>533.33333333333337</v>
      </c>
      <c r="Z19">
        <f t="shared" si="3"/>
        <v>0</v>
      </c>
    </row>
    <row r="20" spans="1:26">
      <c r="A20" t="s">
        <v>40</v>
      </c>
      <c r="D20">
        <v>0.15</v>
      </c>
      <c r="E20">
        <v>150</v>
      </c>
      <c r="G20" t="s">
        <v>41</v>
      </c>
      <c r="H20">
        <v>0.2</v>
      </c>
      <c r="I20">
        <v>0.2</v>
      </c>
      <c r="J20">
        <v>2</v>
      </c>
      <c r="K20">
        <v>12</v>
      </c>
      <c r="V20">
        <f>SUM(E20:F20)/D20</f>
        <v>1000</v>
      </c>
      <c r="Z20">
        <f t="shared" si="3"/>
        <v>0</v>
      </c>
    </row>
    <row r="22" spans="1:26">
      <c r="A22" s="1" t="s">
        <v>73</v>
      </c>
      <c r="E22" t="s">
        <v>2</v>
      </c>
      <c r="T22" t="s">
        <v>78</v>
      </c>
    </row>
    <row r="23" spans="1:26">
      <c r="A23" t="s">
        <v>31</v>
      </c>
      <c r="B23">
        <v>1.25</v>
      </c>
      <c r="C23">
        <v>1.875</v>
      </c>
      <c r="D23">
        <v>0.35</v>
      </c>
      <c r="E23">
        <v>150</v>
      </c>
      <c r="G23" t="s">
        <v>32</v>
      </c>
      <c r="R23">
        <f>C23*PI()*B23^2*0.25</f>
        <v>2.3009711818284617</v>
      </c>
      <c r="S23">
        <f>D23/$R23</f>
        <v>0.15210968427769411</v>
      </c>
      <c r="T23">
        <f>E23/$R23</f>
        <v>65.189864690440331</v>
      </c>
      <c r="V23">
        <f>SUM(E23:F23)/D23</f>
        <v>428.57142857142861</v>
      </c>
      <c r="Z23">
        <f t="shared" si="3"/>
        <v>0</v>
      </c>
    </row>
    <row r="24" spans="1:26">
      <c r="A24" t="s">
        <v>33</v>
      </c>
      <c r="D24">
        <v>0.2</v>
      </c>
      <c r="E24">
        <v>160</v>
      </c>
      <c r="G24" t="s">
        <v>34</v>
      </c>
      <c r="V24">
        <f>SUM(E24:F24)/D24</f>
        <v>800</v>
      </c>
      <c r="Z24">
        <f t="shared" si="3"/>
        <v>0</v>
      </c>
    </row>
    <row r="25" spans="1:26">
      <c r="A25" t="s">
        <v>35</v>
      </c>
      <c r="D25">
        <v>0.1</v>
      </c>
      <c r="E25">
        <v>80</v>
      </c>
      <c r="G25" t="s">
        <v>34</v>
      </c>
      <c r="V25">
        <f>SUM(E25:F25)/D25</f>
        <v>800</v>
      </c>
      <c r="Z25">
        <f t="shared" si="3"/>
        <v>0</v>
      </c>
    </row>
    <row r="26" spans="1:26">
      <c r="A26" t="s">
        <v>36</v>
      </c>
      <c r="D26">
        <v>0.3</v>
      </c>
      <c r="E26">
        <v>240</v>
      </c>
      <c r="G26" t="s">
        <v>37</v>
      </c>
      <c r="V26">
        <f>SUM(E26:F26)/D26</f>
        <v>800</v>
      </c>
      <c r="Z26">
        <f t="shared" si="3"/>
        <v>0</v>
      </c>
    </row>
    <row r="27" spans="1:26">
      <c r="A27" t="s">
        <v>38</v>
      </c>
      <c r="D27">
        <v>0.2</v>
      </c>
      <c r="E27">
        <v>160</v>
      </c>
      <c r="G27" t="s">
        <v>37</v>
      </c>
      <c r="V27">
        <f>SUM(E27:F27)/D27</f>
        <v>800</v>
      </c>
      <c r="Z27">
        <f t="shared" si="3"/>
        <v>0</v>
      </c>
    </row>
    <row r="29" spans="1:26">
      <c r="A29" s="1" t="s">
        <v>74</v>
      </c>
      <c r="E29" t="s">
        <v>75</v>
      </c>
      <c r="T29" t="s">
        <v>81</v>
      </c>
      <c r="Y29" t="s">
        <v>57</v>
      </c>
    </row>
    <row r="30" spans="1:26">
      <c r="A30" t="s">
        <v>43</v>
      </c>
      <c r="B30">
        <v>1.25</v>
      </c>
      <c r="C30">
        <f>2.4</f>
        <v>2.4</v>
      </c>
      <c r="D30">
        <v>0.5</v>
      </c>
      <c r="E30">
        <v>433</v>
      </c>
      <c r="G30" t="s">
        <v>17</v>
      </c>
      <c r="H30">
        <v>0.3</v>
      </c>
      <c r="I30">
        <v>0.2</v>
      </c>
      <c r="J30">
        <v>2</v>
      </c>
      <c r="K30">
        <v>7</v>
      </c>
      <c r="N30">
        <v>250</v>
      </c>
      <c r="O30">
        <v>550</v>
      </c>
      <c r="P30">
        <v>3600</v>
      </c>
      <c r="R30">
        <f>C30*PI()*B30^2*0.25</f>
        <v>2.9452431127404308</v>
      </c>
      <c r="S30">
        <f t="shared" ref="S30:T32" si="7">D30/$R30</f>
        <v>0.16976527263135505</v>
      </c>
      <c r="T30">
        <f t="shared" si="7"/>
        <v>147.01672609875348</v>
      </c>
      <c r="V30">
        <f>SUM(E30:F30)/D30</f>
        <v>866</v>
      </c>
      <c r="Y30">
        <f>O30/N30</f>
        <v>2.2000000000000002</v>
      </c>
      <c r="Z30">
        <f t="shared" si="3"/>
        <v>0</v>
      </c>
    </row>
    <row r="31" spans="1:26">
      <c r="A31" t="s">
        <v>44</v>
      </c>
      <c r="B31">
        <v>1.25</v>
      </c>
      <c r="C31">
        <v>7.1</v>
      </c>
      <c r="D31">
        <v>1.5</v>
      </c>
      <c r="E31">
        <v>850</v>
      </c>
      <c r="G31" t="s">
        <v>45</v>
      </c>
      <c r="H31">
        <v>0.3</v>
      </c>
      <c r="I31">
        <v>0.2</v>
      </c>
      <c r="J31">
        <v>2</v>
      </c>
      <c r="K31">
        <v>7</v>
      </c>
      <c r="N31">
        <v>315</v>
      </c>
      <c r="O31">
        <v>400</v>
      </c>
      <c r="P31">
        <v>3900</v>
      </c>
      <c r="R31">
        <f>C31*PI()*B31^2*0.25</f>
        <v>8.7130108751904416</v>
      </c>
      <c r="S31">
        <f t="shared" si="7"/>
        <v>0.17215633280926146</v>
      </c>
      <c r="T31">
        <f t="shared" si="7"/>
        <v>97.555255258581482</v>
      </c>
      <c r="V31">
        <f>SUM(E31:F31)/D31</f>
        <v>566.66666666666663</v>
      </c>
      <c r="Y31">
        <f>O31/N31</f>
        <v>1.2698412698412698</v>
      </c>
      <c r="Z31">
        <f t="shared" si="3"/>
        <v>0</v>
      </c>
    </row>
    <row r="32" spans="1:26">
      <c r="A32" t="s">
        <v>46</v>
      </c>
      <c r="B32">
        <v>0.15</v>
      </c>
      <c r="C32">
        <v>0.5</v>
      </c>
      <c r="D32">
        <v>1.2500000000000001E-2</v>
      </c>
      <c r="E32">
        <v>8</v>
      </c>
      <c r="G32" t="s">
        <v>45</v>
      </c>
      <c r="H32">
        <v>0.3</v>
      </c>
      <c r="I32">
        <v>0.2</v>
      </c>
      <c r="J32">
        <v>2</v>
      </c>
      <c r="K32">
        <v>7</v>
      </c>
      <c r="N32">
        <v>18</v>
      </c>
      <c r="O32">
        <v>550</v>
      </c>
      <c r="P32">
        <v>3600</v>
      </c>
      <c r="R32">
        <f>C32*PI()*B32^2*0.25</f>
        <v>8.8357293382212935E-3</v>
      </c>
      <c r="S32">
        <f t="shared" si="7"/>
        <v>1.4147106052612919</v>
      </c>
      <c r="T32">
        <f t="shared" si="7"/>
        <v>905.41478736722684</v>
      </c>
      <c r="V32">
        <f>SUM(E32:F32)/D32</f>
        <v>640</v>
      </c>
      <c r="Y32">
        <f>O32/N32</f>
        <v>30.555555555555557</v>
      </c>
      <c r="Z32">
        <f t="shared" si="3"/>
        <v>0</v>
      </c>
    </row>
  </sheetData>
  <mergeCells count="2">
    <mergeCell ref="H1:J1"/>
    <mergeCell ref="L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4:Q15"/>
  <sheetViews>
    <sheetView workbookViewId="0">
      <selection activeCell="K19" sqref="K19"/>
    </sheetView>
  </sheetViews>
  <sheetFormatPr defaultColWidth="8.85546875" defaultRowHeight="15"/>
  <sheetData>
    <row r="4" spans="1:17">
      <c r="B4" t="s">
        <v>59</v>
      </c>
      <c r="C4" t="s">
        <v>0</v>
      </c>
      <c r="D4" t="s">
        <v>109</v>
      </c>
      <c r="E4" t="s">
        <v>54</v>
      </c>
      <c r="F4" t="s">
        <v>67</v>
      </c>
      <c r="G4" t="s">
        <v>60</v>
      </c>
      <c r="J4" t="s">
        <v>4</v>
      </c>
      <c r="K4" t="s">
        <v>68</v>
      </c>
      <c r="N4" t="s">
        <v>87</v>
      </c>
      <c r="O4" t="s">
        <v>88</v>
      </c>
      <c r="P4" t="s">
        <v>108</v>
      </c>
    </row>
    <row r="5" spans="1:17">
      <c r="A5" t="s">
        <v>58</v>
      </c>
      <c r="B5">
        <f>0.0650517+0.1329949</f>
        <v>0.19804660000000002</v>
      </c>
      <c r="C5">
        <v>1.25</v>
      </c>
      <c r="D5">
        <f>PI() * (C5/2)^2</f>
        <v>1.227184630308513</v>
      </c>
      <c r="E5">
        <v>250</v>
      </c>
      <c r="F5">
        <v>0.05</v>
      </c>
      <c r="G5" t="s">
        <v>18</v>
      </c>
      <c r="J5">
        <f t="shared" ref="J5:J10" si="0">2*PI()*(C5/2)*B5</f>
        <v>0.77772717953554549</v>
      </c>
      <c r="K5">
        <f t="shared" ref="K5:K10" si="1">F5/J5</f>
        <v>6.4289896657411069E-2</v>
      </c>
      <c r="N5">
        <f>E5/J5</f>
        <v>321.44948328705533</v>
      </c>
      <c r="O5">
        <f>E5/C5</f>
        <v>200</v>
      </c>
      <c r="P5">
        <f>E5/D5</f>
        <v>203.71832715762602</v>
      </c>
      <c r="Q5">
        <f>P5*PI()</f>
        <v>640</v>
      </c>
    </row>
    <row r="6" spans="1:17">
      <c r="A6" t="s">
        <v>61</v>
      </c>
      <c r="B6">
        <f>0.07590994+0.07590994</f>
        <v>0.15181987999999999</v>
      </c>
      <c r="C6">
        <v>0.625</v>
      </c>
      <c r="D6">
        <f t="shared" ref="D6:D13" si="2">PI() * (C6/2)^2</f>
        <v>0.30679615757712825</v>
      </c>
      <c r="E6">
        <v>15</v>
      </c>
      <c r="F6">
        <v>1.4999999999999999E-2</v>
      </c>
      <c r="G6" t="s">
        <v>24</v>
      </c>
      <c r="J6">
        <f t="shared" si="0"/>
        <v>0.29809763729805244</v>
      </c>
      <c r="K6">
        <f t="shared" si="1"/>
        <v>5.031908382756578E-2</v>
      </c>
      <c r="N6">
        <f>E6/J6</f>
        <v>50.319083827565777</v>
      </c>
      <c r="O6">
        <f t="shared" ref="O6:O11" si="3">E6/C6</f>
        <v>24</v>
      </c>
      <c r="P6">
        <f t="shared" ref="P6:P11" si="4">E6/D6</f>
        <v>48.892398517830244</v>
      </c>
      <c r="Q6">
        <f t="shared" ref="Q6:Q11" si="5">P6*PI()</f>
        <v>153.6</v>
      </c>
    </row>
    <row r="7" spans="1:17">
      <c r="A7" t="s">
        <v>63</v>
      </c>
      <c r="B7">
        <f>0.4508572+0.3654699</f>
        <v>0.81632710000000008</v>
      </c>
      <c r="C7">
        <v>2.5</v>
      </c>
      <c r="D7">
        <f t="shared" si="2"/>
        <v>4.908738521234052</v>
      </c>
      <c r="E7">
        <v>250</v>
      </c>
      <c r="F7">
        <v>0.4</v>
      </c>
      <c r="G7" t="s">
        <v>23</v>
      </c>
      <c r="J7">
        <f t="shared" si="0"/>
        <v>6.4114180507156515</v>
      </c>
      <c r="K7">
        <f t="shared" si="1"/>
        <v>6.2388694175908782E-2</v>
      </c>
      <c r="N7">
        <f>E7/J7</f>
        <v>38.992933859942987</v>
      </c>
      <c r="O7">
        <f t="shared" si="3"/>
        <v>100</v>
      </c>
      <c r="P7">
        <f t="shared" si="4"/>
        <v>50.929581789406505</v>
      </c>
      <c r="Q7">
        <f t="shared" si="5"/>
        <v>160</v>
      </c>
    </row>
    <row r="9" spans="1:17">
      <c r="A9" t="s">
        <v>64</v>
      </c>
      <c r="B9">
        <v>0.2</v>
      </c>
      <c r="C9">
        <v>2.5</v>
      </c>
      <c r="D9">
        <f t="shared" si="2"/>
        <v>4.908738521234052</v>
      </c>
      <c r="E9">
        <v>600</v>
      </c>
      <c r="F9">
        <v>0.45</v>
      </c>
      <c r="G9" t="s">
        <v>65</v>
      </c>
      <c r="J9">
        <f t="shared" si="0"/>
        <v>1.5707963267948966</v>
      </c>
      <c r="K9">
        <f t="shared" si="1"/>
        <v>0.28647889756541162</v>
      </c>
      <c r="N9">
        <f>E9/J9</f>
        <v>381.9718634205488</v>
      </c>
      <c r="O9">
        <f t="shared" si="3"/>
        <v>240</v>
      </c>
      <c r="P9">
        <f t="shared" si="4"/>
        <v>122.23099629457562</v>
      </c>
      <c r="Q9">
        <f t="shared" si="5"/>
        <v>384</v>
      </c>
    </row>
    <row r="10" spans="1:17">
      <c r="A10" t="s">
        <v>62</v>
      </c>
      <c r="B10">
        <f>0.1833064*2</f>
        <v>0.36661280000000002</v>
      </c>
      <c r="C10">
        <v>1.25</v>
      </c>
      <c r="D10">
        <f t="shared" si="2"/>
        <v>1.227184630308513</v>
      </c>
      <c r="E10">
        <v>250</v>
      </c>
      <c r="F10">
        <v>7.4999999999999997E-2</v>
      </c>
      <c r="G10" t="s">
        <v>65</v>
      </c>
      <c r="J10">
        <f t="shared" si="0"/>
        <v>1.4396850989899801</v>
      </c>
      <c r="K10">
        <f t="shared" si="1"/>
        <v>5.2094725473380746E-2</v>
      </c>
      <c r="N10">
        <f>E10/J10</f>
        <v>173.64908491126917</v>
      </c>
      <c r="O10">
        <f t="shared" si="3"/>
        <v>200</v>
      </c>
      <c r="P10">
        <f t="shared" si="4"/>
        <v>203.71832715762602</v>
      </c>
      <c r="Q10">
        <f t="shared" si="5"/>
        <v>640</v>
      </c>
    </row>
    <row r="11" spans="1:17">
      <c r="A11" t="s">
        <v>66</v>
      </c>
      <c r="B11">
        <f>0.07590994*2</f>
        <v>0.15181987999999999</v>
      </c>
      <c r="C11">
        <v>0.625</v>
      </c>
      <c r="D11">
        <f t="shared" si="2"/>
        <v>0.30679615757712825</v>
      </c>
      <c r="E11">
        <v>15</v>
      </c>
      <c r="F11">
        <v>0.02</v>
      </c>
      <c r="G11" t="s">
        <v>65</v>
      </c>
      <c r="J11">
        <f>2*PI()*(C11/2)*B11</f>
        <v>0.29809763729805244</v>
      </c>
      <c r="K11">
        <f>F11/J11</f>
        <v>6.7092111770087712E-2</v>
      </c>
      <c r="N11">
        <f>E11/J11</f>
        <v>50.319083827565777</v>
      </c>
      <c r="O11">
        <f t="shared" si="3"/>
        <v>24</v>
      </c>
      <c r="P11">
        <f t="shared" si="4"/>
        <v>48.892398517830244</v>
      </c>
      <c r="Q11">
        <f t="shared" si="5"/>
        <v>153.6</v>
      </c>
    </row>
    <row r="13" spans="1:17">
      <c r="A13" t="s">
        <v>86</v>
      </c>
      <c r="C13">
        <v>4</v>
      </c>
      <c r="D13">
        <f t="shared" si="2"/>
        <v>12.566370614359172</v>
      </c>
      <c r="E13">
        <f>ROUND(IF(D13&lt;D11, 25,
IF(D13&lt;D10, (D13-D11)/(D10-D11)*(300-25)+25,
IF(C13&lt;C9,  (D13-D10)/(D9-D10)*(800-300)+300,
 D13/D9*800)))/5, 0)*5</f>
        <v>2050</v>
      </c>
      <c r="F13" t="s">
        <v>89</v>
      </c>
    </row>
    <row r="14" spans="1:17">
      <c r="F14" t="s">
        <v>90</v>
      </c>
    </row>
    <row r="15" spans="1:17">
      <c r="F15" t="s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D19" sqref="D19"/>
    </sheetView>
  </sheetViews>
  <sheetFormatPr defaultColWidth="8.85546875" defaultRowHeight="15"/>
  <cols>
    <col min="1" max="1" width="21.85546875" bestFit="1" customWidth="1"/>
    <col min="6" max="6" width="18.140625" customWidth="1"/>
  </cols>
  <sheetData>
    <row r="1" spans="1:18">
      <c r="B1" s="2" t="s">
        <v>106</v>
      </c>
      <c r="C1" s="2"/>
      <c r="G1" s="2" t="s">
        <v>50</v>
      </c>
      <c r="H1" s="2"/>
      <c r="I1" s="2"/>
      <c r="K1" s="2" t="s">
        <v>56</v>
      </c>
      <c r="L1" s="2"/>
    </row>
    <row r="2" spans="1:18">
      <c r="B2" t="s">
        <v>104</v>
      </c>
      <c r="C2" t="s">
        <v>105</v>
      </c>
      <c r="D2" t="s">
        <v>1</v>
      </c>
      <c r="E2" t="s">
        <v>5</v>
      </c>
      <c r="F2" t="s">
        <v>16</v>
      </c>
      <c r="G2" t="s">
        <v>48</v>
      </c>
      <c r="H2" t="s">
        <v>49</v>
      </c>
      <c r="I2" t="s">
        <v>47</v>
      </c>
      <c r="J2" t="s">
        <v>51</v>
      </c>
      <c r="K2" t="s">
        <v>54</v>
      </c>
      <c r="L2" t="s">
        <v>55</v>
      </c>
      <c r="M2" t="s">
        <v>52</v>
      </c>
      <c r="N2" t="s">
        <v>53</v>
      </c>
      <c r="O2" t="s">
        <v>69</v>
      </c>
      <c r="Q2" t="s">
        <v>4</v>
      </c>
      <c r="R2" t="s">
        <v>6</v>
      </c>
    </row>
    <row r="3" spans="1:18">
      <c r="A3" t="s">
        <v>30</v>
      </c>
      <c r="B3">
        <v>1.25</v>
      </c>
      <c r="C3">
        <v>1.25</v>
      </c>
      <c r="D3">
        <f>0.75*2*1.25</f>
        <v>1.875</v>
      </c>
      <c r="E3">
        <v>0.4</v>
      </c>
      <c r="F3" t="s">
        <v>23</v>
      </c>
      <c r="G3">
        <v>0.3</v>
      </c>
      <c r="H3">
        <v>0.2</v>
      </c>
      <c r="I3">
        <v>2</v>
      </c>
      <c r="J3">
        <v>70</v>
      </c>
      <c r="K3">
        <v>50</v>
      </c>
      <c r="L3">
        <v>50</v>
      </c>
      <c r="O3">
        <v>3000</v>
      </c>
      <c r="Q3">
        <f>D3*PI()*B3^2*0.25</f>
        <v>2.3009711818284617</v>
      </c>
      <c r="R3">
        <f>E3/$Q3</f>
        <v>0.17383963917450757</v>
      </c>
    </row>
    <row r="5" spans="1:18">
      <c r="A5" t="s">
        <v>92</v>
      </c>
      <c r="B5">
        <v>1.25</v>
      </c>
      <c r="C5">
        <v>0</v>
      </c>
      <c r="D5">
        <v>0.56499999999999995</v>
      </c>
      <c r="E5">
        <v>0.03</v>
      </c>
      <c r="F5" t="s">
        <v>93</v>
      </c>
      <c r="G5">
        <v>0.1</v>
      </c>
      <c r="H5">
        <v>0.1</v>
      </c>
      <c r="I5">
        <v>0.5</v>
      </c>
      <c r="J5">
        <v>10</v>
      </c>
      <c r="K5" t="s">
        <v>94</v>
      </c>
      <c r="L5" t="s">
        <v>94</v>
      </c>
      <c r="O5">
        <v>3400</v>
      </c>
      <c r="Q5">
        <f>((((B5/2)^2)+((B5/2)*(C5/2))+((C5/2)^2))*D5*3.14159265)/3</f>
        <v>0.23111977177734375</v>
      </c>
      <c r="R5">
        <f t="shared" ref="R5:R13" si="0">E5/$Q5</f>
        <v>0.12980282807176449</v>
      </c>
    </row>
    <row r="6" spans="1:18">
      <c r="A6" t="s">
        <v>95</v>
      </c>
      <c r="B6">
        <v>2.5</v>
      </c>
      <c r="C6">
        <v>0</v>
      </c>
      <c r="D6">
        <v>2.0950000000000002</v>
      </c>
      <c r="E6">
        <v>0.4</v>
      </c>
      <c r="F6" t="s">
        <v>37</v>
      </c>
      <c r="G6">
        <v>0.1</v>
      </c>
      <c r="H6">
        <v>0.1</v>
      </c>
      <c r="I6">
        <v>0.5</v>
      </c>
      <c r="J6">
        <v>10</v>
      </c>
      <c r="K6" t="s">
        <v>94</v>
      </c>
      <c r="L6" t="s">
        <v>94</v>
      </c>
      <c r="O6">
        <v>3400</v>
      </c>
      <c r="Q6">
        <f t="shared" ref="Q6:Q13" si="1">((((B6/2)^2)+((B6/2)*(C6/2))+((C6/2)^2))*D6*3.14159265)/3</f>
        <v>3.4279357300781257</v>
      </c>
      <c r="R6">
        <f t="shared" si="0"/>
        <v>0.11668830208519798</v>
      </c>
    </row>
    <row r="7" spans="1:18">
      <c r="A7" t="s">
        <v>96</v>
      </c>
      <c r="B7">
        <v>0.625</v>
      </c>
      <c r="C7">
        <v>0</v>
      </c>
      <c r="D7">
        <v>0.41499999999999998</v>
      </c>
      <c r="E7">
        <v>0.1</v>
      </c>
      <c r="F7" t="s">
        <v>97</v>
      </c>
      <c r="G7">
        <v>0.1</v>
      </c>
      <c r="H7">
        <v>0.1</v>
      </c>
      <c r="I7">
        <v>0.25</v>
      </c>
      <c r="J7">
        <v>40</v>
      </c>
      <c r="K7" t="s">
        <v>94</v>
      </c>
      <c r="L7" t="s">
        <v>94</v>
      </c>
      <c r="O7">
        <v>3400</v>
      </c>
      <c r="Q7">
        <f t="shared" si="1"/>
        <v>4.2440135083007813E-2</v>
      </c>
      <c r="R7">
        <f t="shared" si="0"/>
        <v>2.356260172226408</v>
      </c>
    </row>
    <row r="9" spans="1:18">
      <c r="A9" t="s">
        <v>98</v>
      </c>
      <c r="B9">
        <v>1.25</v>
      </c>
      <c r="C9">
        <v>0.625</v>
      </c>
      <c r="D9">
        <v>0.995</v>
      </c>
      <c r="E9">
        <v>0.3</v>
      </c>
      <c r="F9" t="s">
        <v>97</v>
      </c>
      <c r="G9">
        <v>0.1</v>
      </c>
      <c r="H9">
        <v>0.1</v>
      </c>
      <c r="I9">
        <v>1</v>
      </c>
      <c r="J9">
        <v>20</v>
      </c>
      <c r="K9" t="s">
        <v>94</v>
      </c>
      <c r="L9" t="s">
        <v>94</v>
      </c>
      <c r="O9">
        <v>3400</v>
      </c>
      <c r="Q9">
        <f t="shared" si="1"/>
        <v>0.71227841169433592</v>
      </c>
      <c r="R9">
        <f t="shared" si="0"/>
        <v>0.42118362016107358</v>
      </c>
    </row>
    <row r="10" spans="1:18">
      <c r="A10" t="s">
        <v>99</v>
      </c>
      <c r="B10">
        <v>1.25</v>
      </c>
      <c r="C10">
        <v>0.625</v>
      </c>
      <c r="D10">
        <v>0.1875</v>
      </c>
      <c r="E10">
        <v>0.04</v>
      </c>
      <c r="F10" t="s">
        <v>100</v>
      </c>
      <c r="G10">
        <v>0.2</v>
      </c>
      <c r="H10">
        <v>0.2</v>
      </c>
      <c r="I10">
        <v>2</v>
      </c>
      <c r="J10">
        <v>6</v>
      </c>
      <c r="K10">
        <v>50</v>
      </c>
      <c r="L10">
        <v>50</v>
      </c>
      <c r="O10">
        <v>2900</v>
      </c>
      <c r="Q10">
        <f t="shared" si="1"/>
        <v>0.13422331878662111</v>
      </c>
      <c r="R10">
        <f t="shared" si="0"/>
        <v>0.29801081035396848</v>
      </c>
    </row>
    <row r="11" spans="1:18">
      <c r="A11" t="s">
        <v>101</v>
      </c>
      <c r="B11">
        <v>1.25</v>
      </c>
      <c r="C11">
        <v>0.625</v>
      </c>
      <c r="D11">
        <v>0.6875</v>
      </c>
      <c r="E11">
        <v>0.05</v>
      </c>
      <c r="F11" t="s">
        <v>100</v>
      </c>
      <c r="G11">
        <v>0.2</v>
      </c>
      <c r="H11">
        <v>0.2</v>
      </c>
      <c r="I11">
        <v>0.2</v>
      </c>
      <c r="J11">
        <v>6</v>
      </c>
      <c r="K11">
        <v>50</v>
      </c>
      <c r="L11">
        <v>50</v>
      </c>
      <c r="O11">
        <v>2900</v>
      </c>
      <c r="Q11">
        <f t="shared" si="1"/>
        <v>0.49215216888427737</v>
      </c>
      <c r="R11">
        <f t="shared" si="0"/>
        <v>0.10159459443885291</v>
      </c>
    </row>
    <row r="12" spans="1:18">
      <c r="A12" t="s">
        <v>102</v>
      </c>
      <c r="B12">
        <v>2.5</v>
      </c>
      <c r="C12">
        <v>1.25</v>
      </c>
      <c r="D12">
        <v>1.2549999999999999</v>
      </c>
      <c r="E12">
        <v>0.1</v>
      </c>
      <c r="F12" t="s">
        <v>23</v>
      </c>
      <c r="G12">
        <v>0.2</v>
      </c>
      <c r="H12">
        <v>0.3</v>
      </c>
      <c r="I12">
        <v>2</v>
      </c>
      <c r="J12">
        <v>6</v>
      </c>
      <c r="K12">
        <v>200</v>
      </c>
      <c r="L12">
        <v>200</v>
      </c>
      <c r="O12">
        <v>2900</v>
      </c>
      <c r="Q12">
        <f t="shared" si="1"/>
        <v>3.5936056549804682</v>
      </c>
      <c r="R12">
        <f t="shared" si="0"/>
        <v>2.7827204652076248E-2</v>
      </c>
    </row>
    <row r="13" spans="1:18">
      <c r="A13" t="s">
        <v>103</v>
      </c>
      <c r="B13">
        <v>2.5</v>
      </c>
      <c r="C13">
        <v>1.25</v>
      </c>
      <c r="D13">
        <v>0.3785</v>
      </c>
      <c r="E13">
        <v>0.08</v>
      </c>
      <c r="F13" t="s">
        <v>23</v>
      </c>
      <c r="G13">
        <v>0.2</v>
      </c>
      <c r="H13">
        <v>0.3</v>
      </c>
      <c r="I13">
        <v>2</v>
      </c>
      <c r="J13">
        <v>6</v>
      </c>
      <c r="K13">
        <v>200</v>
      </c>
      <c r="L13">
        <v>200</v>
      </c>
      <c r="O13">
        <v>2900</v>
      </c>
      <c r="Q13">
        <f t="shared" si="1"/>
        <v>1.0838085580957031</v>
      </c>
      <c r="R13">
        <f t="shared" si="0"/>
        <v>7.381377403087068E-2</v>
      </c>
    </row>
    <row r="15" spans="1:18">
      <c r="A15" t="s">
        <v>107</v>
      </c>
      <c r="E15">
        <f t="shared" ref="E15:O15" si="2">SUM(E3:E13)/9</f>
        <v>0.16666666666666669</v>
      </c>
      <c r="G15">
        <f t="shared" si="2"/>
        <v>0.16666666666666663</v>
      </c>
      <c r="H15">
        <f t="shared" si="2"/>
        <v>0.17777777777777778</v>
      </c>
      <c r="I15">
        <f t="shared" si="2"/>
        <v>1.161111111111111</v>
      </c>
      <c r="J15">
        <f t="shared" si="2"/>
        <v>19.333333333333332</v>
      </c>
      <c r="K15">
        <f t="shared" si="2"/>
        <v>61.111111111111114</v>
      </c>
      <c r="L15">
        <f t="shared" si="2"/>
        <v>61.111111111111114</v>
      </c>
      <c r="O15">
        <f t="shared" si="2"/>
        <v>3133.3333333333335</v>
      </c>
      <c r="Q15">
        <f>SUM(Q3:Q13)/9</f>
        <v>1.3353927701342605</v>
      </c>
      <c r="R15">
        <f>SUM(R3:R13)/9</f>
        <v>0.41100232724385782</v>
      </c>
    </row>
  </sheetData>
  <mergeCells count="3">
    <mergeCell ref="G1:I1"/>
    <mergeCell ref="K1:L1"/>
    <mergeCell ref="B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Tanks</vt:lpstr>
      <vt:lpstr>Decouplers</vt:lpstr>
      <vt:lpstr>Structural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Wood</dc:creator>
  <cp:lastModifiedBy>Chris Wood</cp:lastModifiedBy>
  <dcterms:created xsi:type="dcterms:W3CDTF">2014-01-24T23:10:26Z</dcterms:created>
  <dcterms:modified xsi:type="dcterms:W3CDTF">2014-03-15T14:07:26Z</dcterms:modified>
</cp:coreProperties>
</file>