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arts" sheetId="1" r:id="rId1"/>
    <sheet name="dV-Calc-SC-B" sheetId="3" r:id="rId2"/>
    <sheet name="FuelTypes" sheetId="6" r:id="rId3"/>
    <sheet name="engineSpecs" sheetId="8" r:id="rId4"/>
    <sheet name="ChuteCalc" sheetId="9" r:id="rId5"/>
    <sheet name="Sheet2" sheetId="10" r:id="rId6"/>
    <sheet name="StockChuteCalc" sheetId="11" r:id="rId7"/>
    <sheet name="RealRocketDims" sheetId="12" r:id="rId8"/>
  </sheets>
  <calcPr calcId="145621"/>
</workbook>
</file>

<file path=xl/calcChain.xml><?xml version="1.0" encoding="utf-8"?>
<calcChain xmlns="http://schemas.openxmlformats.org/spreadsheetml/2006/main">
  <c r="G72" i="1" l="1"/>
  <c r="O8" i="12" l="1"/>
  <c r="O7" i="12"/>
  <c r="O6" i="12"/>
  <c r="O5" i="12"/>
  <c r="O4" i="12"/>
  <c r="O3" i="12"/>
  <c r="O2" i="12"/>
  <c r="I8" i="12"/>
  <c r="I7" i="12"/>
  <c r="I6" i="12"/>
  <c r="I5" i="12"/>
  <c r="I4" i="12"/>
  <c r="I3" i="12"/>
  <c r="I2" i="12"/>
  <c r="Q8" i="12"/>
  <c r="Q7" i="12"/>
  <c r="Q6" i="12"/>
  <c r="Q5" i="12"/>
  <c r="Q4" i="12"/>
  <c r="Q3" i="12"/>
  <c r="Q2" i="12"/>
  <c r="K8" i="12"/>
  <c r="K7" i="12"/>
  <c r="K6" i="12"/>
  <c r="K5" i="12"/>
  <c r="K4" i="12"/>
  <c r="K3" i="12"/>
  <c r="K2" i="12"/>
  <c r="E3" i="12"/>
  <c r="E4" i="12"/>
  <c r="E5" i="12"/>
  <c r="E6" i="12"/>
  <c r="E7" i="12"/>
  <c r="E8" i="12"/>
  <c r="E2" i="12"/>
  <c r="F2" i="12" s="1"/>
  <c r="F3" i="12" s="1"/>
  <c r="F4" i="12" s="1"/>
  <c r="C3" i="12"/>
  <c r="C4" i="12"/>
  <c r="C5" i="12"/>
  <c r="C6" i="12"/>
  <c r="C7" i="12"/>
  <c r="C8" i="12"/>
  <c r="C2" i="12"/>
  <c r="G61" i="1" l="1"/>
  <c r="B61" i="1"/>
  <c r="B60" i="1"/>
  <c r="N11" i="8" l="1"/>
  <c r="O11" i="8"/>
  <c r="P11" i="8"/>
  <c r="Q11" i="8" s="1"/>
  <c r="T11" i="8" s="1"/>
  <c r="S11" i="8" s="1"/>
  <c r="N12" i="8"/>
  <c r="O12" i="8"/>
  <c r="P12" i="8"/>
  <c r="Q12" i="8" s="1"/>
  <c r="T12" i="8" s="1"/>
  <c r="S12" i="8" s="1"/>
  <c r="I11" i="8"/>
  <c r="J11" i="8"/>
  <c r="U11" i="8" s="1"/>
  <c r="I12" i="8"/>
  <c r="J12" i="8"/>
  <c r="U12" i="8" s="1"/>
  <c r="J61" i="1" l="1"/>
  <c r="G125" i="1" l="1"/>
  <c r="A127" i="1" s="1"/>
  <c r="C133" i="1"/>
  <c r="G133" i="1" s="1"/>
  <c r="G142" i="1" s="1"/>
  <c r="C132" i="1"/>
  <c r="G132" i="1" s="1"/>
  <c r="G141" i="1" s="1"/>
  <c r="C131" i="1"/>
  <c r="G131" i="1" s="1"/>
  <c r="G140" i="1" s="1"/>
  <c r="C130" i="1"/>
  <c r="G130" i="1" s="1"/>
  <c r="G139" i="1" s="1"/>
  <c r="C129" i="1"/>
  <c r="G129" i="1" s="1"/>
  <c r="G138" i="1" s="1"/>
  <c r="C128" i="1"/>
  <c r="G128" i="1" s="1"/>
  <c r="G137" i="1" s="1"/>
  <c r="C126" i="1"/>
  <c r="G126" i="1" s="1"/>
  <c r="G135" i="1" s="1"/>
  <c r="C127" i="1"/>
  <c r="G127" i="1" s="1"/>
  <c r="G136" i="1" s="1"/>
  <c r="B23" i="11" l="1"/>
  <c r="B22" i="11"/>
  <c r="B7" i="11" l="1"/>
  <c r="B5" i="11"/>
  <c r="B6" i="11" s="1"/>
  <c r="B8" i="11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L32" i="9"/>
  <c r="L33" i="9" s="1"/>
  <c r="H2" i="9"/>
  <c r="M2" i="9"/>
  <c r="N2" i="9" s="1"/>
  <c r="Q11" i="9"/>
  <c r="Q13" i="9" s="1"/>
  <c r="B6" i="10" l="1"/>
  <c r="B7" i="10" s="1"/>
  <c r="B8" i="10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3" i="9"/>
  <c r="D4" i="9"/>
  <c r="D5" i="9"/>
  <c r="D2" i="9"/>
  <c r="F2" i="9" s="1"/>
  <c r="G2" i="9" s="1"/>
  <c r="F231" i="9" l="1"/>
  <c r="G231" i="9" s="1"/>
  <c r="F227" i="9"/>
  <c r="G227" i="9" s="1"/>
  <c r="F223" i="9"/>
  <c r="G223" i="9" s="1"/>
  <c r="F219" i="9"/>
  <c r="G219" i="9" s="1"/>
  <c r="F215" i="9"/>
  <c r="G215" i="9" s="1"/>
  <c r="F211" i="9"/>
  <c r="G211" i="9" s="1"/>
  <c r="G207" i="9"/>
  <c r="F207" i="9"/>
  <c r="F203" i="9"/>
  <c r="G203" i="9" s="1"/>
  <c r="F199" i="9"/>
  <c r="G199" i="9" s="1"/>
  <c r="F195" i="9"/>
  <c r="G195" i="9" s="1"/>
  <c r="F191" i="9"/>
  <c r="G191" i="9" s="1"/>
  <c r="F187" i="9"/>
  <c r="G187" i="9" s="1"/>
  <c r="F183" i="9"/>
  <c r="G183" i="9" s="1"/>
  <c r="F179" i="9"/>
  <c r="G179" i="9" s="1"/>
  <c r="F175" i="9"/>
  <c r="G175" i="9" s="1"/>
  <c r="F171" i="9"/>
  <c r="G171" i="9" s="1"/>
  <c r="F167" i="9"/>
  <c r="G167" i="9" s="1"/>
  <c r="F163" i="9"/>
  <c r="G163" i="9" s="1"/>
  <c r="F159" i="9"/>
  <c r="G159" i="9" s="1"/>
  <c r="F155" i="9"/>
  <c r="G155" i="9" s="1"/>
  <c r="F151" i="9"/>
  <c r="G151" i="9" s="1"/>
  <c r="F147" i="9"/>
  <c r="G147" i="9" s="1"/>
  <c r="G143" i="9"/>
  <c r="F143" i="9"/>
  <c r="F139" i="9"/>
  <c r="G139" i="9" s="1"/>
  <c r="F135" i="9"/>
  <c r="G135" i="9" s="1"/>
  <c r="F131" i="9"/>
  <c r="G131" i="9" s="1"/>
  <c r="F127" i="9"/>
  <c r="G127" i="9" s="1"/>
  <c r="F123" i="9"/>
  <c r="G123" i="9" s="1"/>
  <c r="F119" i="9"/>
  <c r="G119" i="9" s="1"/>
  <c r="F115" i="9"/>
  <c r="G115" i="9" s="1"/>
  <c r="F111" i="9"/>
  <c r="G111" i="9" s="1"/>
  <c r="F107" i="9"/>
  <c r="G107" i="9" s="1"/>
  <c r="F103" i="9"/>
  <c r="G103" i="9" s="1"/>
  <c r="F99" i="9"/>
  <c r="G99" i="9" s="1"/>
  <c r="F95" i="9"/>
  <c r="G95" i="9" s="1"/>
  <c r="F91" i="9"/>
  <c r="G91" i="9" s="1"/>
  <c r="G87" i="9"/>
  <c r="F87" i="9"/>
  <c r="F83" i="9"/>
  <c r="G83" i="9" s="1"/>
  <c r="F79" i="9"/>
  <c r="G79" i="9" s="1"/>
  <c r="F75" i="9"/>
  <c r="G75" i="9" s="1"/>
  <c r="F71" i="9"/>
  <c r="G71" i="9" s="1"/>
  <c r="F67" i="9"/>
  <c r="G67" i="9" s="1"/>
  <c r="F63" i="9"/>
  <c r="G63" i="9" s="1"/>
  <c r="F59" i="9"/>
  <c r="G59" i="9" s="1"/>
  <c r="F55" i="9"/>
  <c r="G55" i="9" s="1"/>
  <c r="F51" i="9"/>
  <c r="G51" i="9" s="1"/>
  <c r="F47" i="9"/>
  <c r="G47" i="9" s="1"/>
  <c r="F43" i="9"/>
  <c r="G43" i="9" s="1"/>
  <c r="F39" i="9"/>
  <c r="G39" i="9" s="1"/>
  <c r="F35" i="9"/>
  <c r="G35" i="9" s="1"/>
  <c r="F31" i="9"/>
  <c r="G31" i="9" s="1"/>
  <c r="F27" i="9"/>
  <c r="G27" i="9" s="1"/>
  <c r="F23" i="9"/>
  <c r="G23" i="9" s="1"/>
  <c r="F19" i="9"/>
  <c r="G19" i="9" s="1"/>
  <c r="F15" i="9"/>
  <c r="G15" i="9" s="1"/>
  <c r="F11" i="9"/>
  <c r="G11" i="9" s="1"/>
  <c r="F7" i="9"/>
  <c r="G7" i="9" s="1"/>
  <c r="F3" i="9"/>
  <c r="G3" i="9" s="1"/>
  <c r="F234" i="9"/>
  <c r="G234" i="9" s="1"/>
  <c r="F230" i="9"/>
  <c r="G230" i="9" s="1"/>
  <c r="F226" i="9"/>
  <c r="G226" i="9" s="1"/>
  <c r="F222" i="9"/>
  <c r="G222" i="9" s="1"/>
  <c r="F218" i="9"/>
  <c r="G218" i="9" s="1"/>
  <c r="F214" i="9"/>
  <c r="G214" i="9" s="1"/>
  <c r="F210" i="9"/>
  <c r="G210" i="9" s="1"/>
  <c r="F206" i="9"/>
  <c r="G206" i="9" s="1"/>
  <c r="F202" i="9"/>
  <c r="G202" i="9" s="1"/>
  <c r="F198" i="9"/>
  <c r="G198" i="9" s="1"/>
  <c r="F194" i="9"/>
  <c r="G194" i="9" s="1"/>
  <c r="F190" i="9"/>
  <c r="G190" i="9" s="1"/>
  <c r="F186" i="9"/>
  <c r="G186" i="9" s="1"/>
  <c r="F182" i="9"/>
  <c r="G182" i="9" s="1"/>
  <c r="F178" i="9"/>
  <c r="G178" i="9" s="1"/>
  <c r="F174" i="9"/>
  <c r="G174" i="9" s="1"/>
  <c r="F170" i="9"/>
  <c r="G170" i="9" s="1"/>
  <c r="F166" i="9"/>
  <c r="G166" i="9" s="1"/>
  <c r="F162" i="9"/>
  <c r="G162" i="9" s="1"/>
  <c r="F158" i="9"/>
  <c r="G158" i="9" s="1"/>
  <c r="F154" i="9"/>
  <c r="G154" i="9" s="1"/>
  <c r="F150" i="9"/>
  <c r="G150" i="9" s="1"/>
  <c r="F146" i="9"/>
  <c r="G146" i="9" s="1"/>
  <c r="F142" i="9"/>
  <c r="G142" i="9" s="1"/>
  <c r="F138" i="9"/>
  <c r="G138" i="9" s="1"/>
  <c r="F134" i="9"/>
  <c r="G134" i="9" s="1"/>
  <c r="F130" i="9"/>
  <c r="G130" i="9" s="1"/>
  <c r="F126" i="9"/>
  <c r="G126" i="9" s="1"/>
  <c r="F122" i="9"/>
  <c r="G122" i="9" s="1"/>
  <c r="F118" i="9"/>
  <c r="G118" i="9" s="1"/>
  <c r="F114" i="9"/>
  <c r="G114" i="9" s="1"/>
  <c r="F110" i="9"/>
  <c r="G110" i="9" s="1"/>
  <c r="F106" i="9"/>
  <c r="G106" i="9" s="1"/>
  <c r="F102" i="9"/>
  <c r="G102" i="9" s="1"/>
  <c r="F98" i="9"/>
  <c r="G98" i="9" s="1"/>
  <c r="F94" i="9"/>
  <c r="G94" i="9" s="1"/>
  <c r="F90" i="9"/>
  <c r="G90" i="9" s="1"/>
  <c r="F86" i="9"/>
  <c r="G86" i="9" s="1"/>
  <c r="G82" i="9"/>
  <c r="F82" i="9"/>
  <c r="F78" i="9"/>
  <c r="G78" i="9" s="1"/>
  <c r="F74" i="9"/>
  <c r="G74" i="9" s="1"/>
  <c r="F70" i="9"/>
  <c r="G70" i="9" s="1"/>
  <c r="F66" i="9"/>
  <c r="G66" i="9" s="1"/>
  <c r="F62" i="9"/>
  <c r="G62" i="9" s="1"/>
  <c r="F58" i="9"/>
  <c r="G58" i="9" s="1"/>
  <c r="F54" i="9"/>
  <c r="G54" i="9" s="1"/>
  <c r="F50" i="9"/>
  <c r="G50" i="9" s="1"/>
  <c r="F46" i="9"/>
  <c r="G46" i="9" s="1"/>
  <c r="F42" i="9"/>
  <c r="G42" i="9" s="1"/>
  <c r="F38" i="9"/>
  <c r="G38" i="9" s="1"/>
  <c r="F34" i="9"/>
  <c r="G34" i="9" s="1"/>
  <c r="F30" i="9"/>
  <c r="G30" i="9" s="1"/>
  <c r="F26" i="9"/>
  <c r="G26" i="9" s="1"/>
  <c r="F22" i="9"/>
  <c r="G22" i="9" s="1"/>
  <c r="F18" i="9"/>
  <c r="G18" i="9" s="1"/>
  <c r="F14" i="9"/>
  <c r="G14" i="9" s="1"/>
  <c r="F10" i="9"/>
  <c r="G10" i="9" s="1"/>
  <c r="F6" i="9"/>
  <c r="G6" i="9" s="1"/>
  <c r="F5" i="9"/>
  <c r="G5" i="9" s="1"/>
  <c r="F229" i="9"/>
  <c r="G229" i="9" s="1"/>
  <c r="F221" i="9"/>
  <c r="G221" i="9" s="1"/>
  <c r="F217" i="9"/>
  <c r="G217" i="9" s="1"/>
  <c r="F213" i="9"/>
  <c r="G213" i="9" s="1"/>
  <c r="F209" i="9"/>
  <c r="G209" i="9" s="1"/>
  <c r="F205" i="9"/>
  <c r="G205" i="9" s="1"/>
  <c r="F201" i="9"/>
  <c r="G201" i="9" s="1"/>
  <c r="F197" i="9"/>
  <c r="G197" i="9" s="1"/>
  <c r="F193" i="9"/>
  <c r="G193" i="9" s="1"/>
  <c r="F189" i="9"/>
  <c r="G189" i="9" s="1"/>
  <c r="F185" i="9"/>
  <c r="G185" i="9" s="1"/>
  <c r="F181" i="9"/>
  <c r="G181" i="9" s="1"/>
  <c r="F177" i="9"/>
  <c r="G177" i="9" s="1"/>
  <c r="F173" i="9"/>
  <c r="G173" i="9" s="1"/>
  <c r="F169" i="9"/>
  <c r="G169" i="9" s="1"/>
  <c r="F165" i="9"/>
  <c r="G165" i="9" s="1"/>
  <c r="F161" i="9"/>
  <c r="G161" i="9" s="1"/>
  <c r="F157" i="9"/>
  <c r="G157" i="9" s="1"/>
  <c r="F153" i="9"/>
  <c r="G153" i="9" s="1"/>
  <c r="F149" i="9"/>
  <c r="G149" i="9" s="1"/>
  <c r="F145" i="9"/>
  <c r="G145" i="9" s="1"/>
  <c r="F141" i="9"/>
  <c r="G141" i="9" s="1"/>
  <c r="F137" i="9"/>
  <c r="G137" i="9" s="1"/>
  <c r="F133" i="9"/>
  <c r="G133" i="9" s="1"/>
  <c r="F129" i="9"/>
  <c r="G129" i="9" s="1"/>
  <c r="F125" i="9"/>
  <c r="G125" i="9" s="1"/>
  <c r="F121" i="9"/>
  <c r="G121" i="9" s="1"/>
  <c r="F117" i="9"/>
  <c r="G117" i="9" s="1"/>
  <c r="F113" i="9"/>
  <c r="G113" i="9" s="1"/>
  <c r="F109" i="9"/>
  <c r="G109" i="9" s="1"/>
  <c r="F105" i="9"/>
  <c r="G105" i="9" s="1"/>
  <c r="F101" i="9"/>
  <c r="G101" i="9" s="1"/>
  <c r="F97" i="9"/>
  <c r="G97" i="9" s="1"/>
  <c r="F93" i="9"/>
  <c r="G93" i="9" s="1"/>
  <c r="F89" i="9"/>
  <c r="G89" i="9" s="1"/>
  <c r="F85" i="9"/>
  <c r="G85" i="9" s="1"/>
  <c r="F81" i="9"/>
  <c r="G81" i="9" s="1"/>
  <c r="F77" i="9"/>
  <c r="G77" i="9" s="1"/>
  <c r="F73" i="9"/>
  <c r="G73" i="9" s="1"/>
  <c r="F69" i="9"/>
  <c r="G69" i="9" s="1"/>
  <c r="F65" i="9"/>
  <c r="G65" i="9" s="1"/>
  <c r="F61" i="9"/>
  <c r="G61" i="9" s="1"/>
  <c r="F57" i="9"/>
  <c r="G57" i="9" s="1"/>
  <c r="F53" i="9"/>
  <c r="G53" i="9" s="1"/>
  <c r="F49" i="9"/>
  <c r="G49" i="9" s="1"/>
  <c r="F45" i="9"/>
  <c r="G45" i="9" s="1"/>
  <c r="F41" i="9"/>
  <c r="G41" i="9" s="1"/>
  <c r="F37" i="9"/>
  <c r="G37" i="9" s="1"/>
  <c r="F33" i="9"/>
  <c r="G33" i="9" s="1"/>
  <c r="F29" i="9"/>
  <c r="G29" i="9" s="1"/>
  <c r="F25" i="9"/>
  <c r="G25" i="9" s="1"/>
  <c r="F21" i="9"/>
  <c r="G21" i="9" s="1"/>
  <c r="F17" i="9"/>
  <c r="G17" i="9" s="1"/>
  <c r="F13" i="9"/>
  <c r="G13" i="9" s="1"/>
  <c r="F9" i="9"/>
  <c r="G9" i="9" s="1"/>
  <c r="F233" i="9"/>
  <c r="G233" i="9" s="1"/>
  <c r="F225" i="9"/>
  <c r="G225" i="9" s="1"/>
  <c r="F4" i="9"/>
  <c r="G4" i="9" s="1"/>
  <c r="F232" i="9"/>
  <c r="G232" i="9" s="1"/>
  <c r="F228" i="9"/>
  <c r="G228" i="9" s="1"/>
  <c r="F224" i="9"/>
  <c r="G224" i="9" s="1"/>
  <c r="F220" i="9"/>
  <c r="G220" i="9" s="1"/>
  <c r="F216" i="9"/>
  <c r="G216" i="9" s="1"/>
  <c r="F212" i="9"/>
  <c r="G212" i="9" s="1"/>
  <c r="F208" i="9"/>
  <c r="G208" i="9" s="1"/>
  <c r="F204" i="9"/>
  <c r="G204" i="9" s="1"/>
  <c r="F200" i="9"/>
  <c r="G200" i="9" s="1"/>
  <c r="F196" i="9"/>
  <c r="G196" i="9" s="1"/>
  <c r="F192" i="9"/>
  <c r="G192" i="9" s="1"/>
  <c r="F188" i="9"/>
  <c r="G188" i="9" s="1"/>
  <c r="F184" i="9"/>
  <c r="G184" i="9" s="1"/>
  <c r="F180" i="9"/>
  <c r="G180" i="9" s="1"/>
  <c r="F176" i="9"/>
  <c r="G176" i="9" s="1"/>
  <c r="F172" i="9"/>
  <c r="G172" i="9" s="1"/>
  <c r="F168" i="9"/>
  <c r="G168" i="9" s="1"/>
  <c r="F164" i="9"/>
  <c r="G164" i="9" s="1"/>
  <c r="F160" i="9"/>
  <c r="G160" i="9" s="1"/>
  <c r="F156" i="9"/>
  <c r="G156" i="9" s="1"/>
  <c r="F152" i="9"/>
  <c r="G152" i="9" s="1"/>
  <c r="F148" i="9"/>
  <c r="G148" i="9" s="1"/>
  <c r="F144" i="9"/>
  <c r="G144" i="9" s="1"/>
  <c r="F140" i="9"/>
  <c r="G140" i="9" s="1"/>
  <c r="F136" i="9"/>
  <c r="G136" i="9" s="1"/>
  <c r="F132" i="9"/>
  <c r="G132" i="9" s="1"/>
  <c r="F128" i="9"/>
  <c r="G128" i="9" s="1"/>
  <c r="F124" i="9"/>
  <c r="G124" i="9" s="1"/>
  <c r="F120" i="9"/>
  <c r="G120" i="9" s="1"/>
  <c r="F116" i="9"/>
  <c r="G116" i="9" s="1"/>
  <c r="F112" i="9"/>
  <c r="G112" i="9" s="1"/>
  <c r="F108" i="9"/>
  <c r="G108" i="9" s="1"/>
  <c r="F104" i="9"/>
  <c r="G104" i="9" s="1"/>
  <c r="F100" i="9"/>
  <c r="G100" i="9" s="1"/>
  <c r="F96" i="9"/>
  <c r="G96" i="9" s="1"/>
  <c r="F92" i="9"/>
  <c r="G92" i="9" s="1"/>
  <c r="F88" i="9"/>
  <c r="G88" i="9" s="1"/>
  <c r="F84" i="9"/>
  <c r="G84" i="9" s="1"/>
  <c r="F80" i="9"/>
  <c r="G80" i="9" s="1"/>
  <c r="F76" i="9"/>
  <c r="G76" i="9" s="1"/>
  <c r="F72" i="9"/>
  <c r="G72" i="9" s="1"/>
  <c r="F68" i="9"/>
  <c r="G68" i="9" s="1"/>
  <c r="F64" i="9"/>
  <c r="G64" i="9" s="1"/>
  <c r="F60" i="9"/>
  <c r="G60" i="9" s="1"/>
  <c r="F56" i="9"/>
  <c r="G56" i="9" s="1"/>
  <c r="F52" i="9"/>
  <c r="G52" i="9" s="1"/>
  <c r="F48" i="9"/>
  <c r="G48" i="9" s="1"/>
  <c r="F44" i="9"/>
  <c r="G44" i="9" s="1"/>
  <c r="F40" i="9"/>
  <c r="G40" i="9" s="1"/>
  <c r="F36" i="9"/>
  <c r="G36" i="9" s="1"/>
  <c r="F32" i="9"/>
  <c r="G32" i="9" s="1"/>
  <c r="F28" i="9"/>
  <c r="G28" i="9" s="1"/>
  <c r="F24" i="9"/>
  <c r="G24" i="9" s="1"/>
  <c r="F20" i="9"/>
  <c r="G20" i="9" s="1"/>
  <c r="F16" i="9"/>
  <c r="G16" i="9" s="1"/>
  <c r="F12" i="9"/>
  <c r="G12" i="9" s="1"/>
  <c r="F8" i="9"/>
  <c r="G8" i="9" s="1"/>
  <c r="B9" i="10"/>
  <c r="P65" i="8"/>
  <c r="Q65" i="8" s="1"/>
  <c r="T65" i="8" s="1"/>
  <c r="O65" i="8"/>
  <c r="N65" i="8"/>
  <c r="J65" i="8"/>
  <c r="U65" i="8" s="1"/>
  <c r="I65" i="8"/>
  <c r="P64" i="8"/>
  <c r="Q64" i="8" s="1"/>
  <c r="T64" i="8" s="1"/>
  <c r="O64" i="8"/>
  <c r="N64" i="8"/>
  <c r="J64" i="8"/>
  <c r="U64" i="8" s="1"/>
  <c r="I64" i="8"/>
  <c r="P63" i="8"/>
  <c r="Q63" i="8" s="1"/>
  <c r="T63" i="8" s="1"/>
  <c r="O63" i="8"/>
  <c r="N63" i="8"/>
  <c r="J63" i="8"/>
  <c r="U63" i="8" s="1"/>
  <c r="I63" i="8"/>
  <c r="P62" i="8"/>
  <c r="Q62" i="8" s="1"/>
  <c r="T62" i="8" s="1"/>
  <c r="O62" i="8"/>
  <c r="N62" i="8"/>
  <c r="J62" i="8"/>
  <c r="U62" i="8" s="1"/>
  <c r="I62" i="8"/>
  <c r="P61" i="8"/>
  <c r="Q61" i="8" s="1"/>
  <c r="T61" i="8" s="1"/>
  <c r="O61" i="8"/>
  <c r="N61" i="8"/>
  <c r="J61" i="8"/>
  <c r="U61" i="8" s="1"/>
  <c r="I61" i="8"/>
  <c r="P60" i="8"/>
  <c r="Q60" i="8" s="1"/>
  <c r="T60" i="8" s="1"/>
  <c r="O60" i="8"/>
  <c r="N60" i="8"/>
  <c r="J60" i="8"/>
  <c r="U60" i="8" s="1"/>
  <c r="I60" i="8"/>
  <c r="P59" i="8"/>
  <c r="Q59" i="8" s="1"/>
  <c r="T59" i="8" s="1"/>
  <c r="O59" i="8"/>
  <c r="N59" i="8"/>
  <c r="J59" i="8"/>
  <c r="U59" i="8" s="1"/>
  <c r="I59" i="8"/>
  <c r="P58" i="8"/>
  <c r="Q58" i="8" s="1"/>
  <c r="T58" i="8" s="1"/>
  <c r="S58" i="8" s="1"/>
  <c r="O58" i="8"/>
  <c r="N58" i="8"/>
  <c r="J58" i="8"/>
  <c r="U58" i="8" s="1"/>
  <c r="I58" i="8"/>
  <c r="P57" i="8"/>
  <c r="Q57" i="8" s="1"/>
  <c r="T57" i="8" s="1"/>
  <c r="O57" i="8"/>
  <c r="N57" i="8"/>
  <c r="J57" i="8"/>
  <c r="U57" i="8" s="1"/>
  <c r="I57" i="8"/>
  <c r="P56" i="8"/>
  <c r="Q56" i="8" s="1"/>
  <c r="T56" i="8" s="1"/>
  <c r="O56" i="8"/>
  <c r="N56" i="8"/>
  <c r="J56" i="8"/>
  <c r="U56" i="8" s="1"/>
  <c r="I56" i="8"/>
  <c r="P55" i="8"/>
  <c r="Q55" i="8" s="1"/>
  <c r="T55" i="8" s="1"/>
  <c r="O55" i="8"/>
  <c r="N55" i="8"/>
  <c r="J55" i="8"/>
  <c r="U55" i="8" s="1"/>
  <c r="I55" i="8"/>
  <c r="P54" i="8"/>
  <c r="Q54" i="8" s="1"/>
  <c r="T54" i="8" s="1"/>
  <c r="S54" i="8" s="1"/>
  <c r="O54" i="8"/>
  <c r="N54" i="8"/>
  <c r="J54" i="8"/>
  <c r="U54" i="8" s="1"/>
  <c r="I54" i="8"/>
  <c r="P53" i="8"/>
  <c r="Q53" i="8" s="1"/>
  <c r="T53" i="8" s="1"/>
  <c r="O53" i="8"/>
  <c r="N53" i="8"/>
  <c r="J53" i="8"/>
  <c r="U53" i="8" s="1"/>
  <c r="I53" i="8"/>
  <c r="P52" i="8"/>
  <c r="Q52" i="8" s="1"/>
  <c r="T52" i="8" s="1"/>
  <c r="O52" i="8"/>
  <c r="N52" i="8"/>
  <c r="J52" i="8"/>
  <c r="U52" i="8" s="1"/>
  <c r="I52" i="8"/>
  <c r="P51" i="8"/>
  <c r="Q51" i="8" s="1"/>
  <c r="T51" i="8" s="1"/>
  <c r="O51" i="8"/>
  <c r="N51" i="8"/>
  <c r="J51" i="8"/>
  <c r="U51" i="8" s="1"/>
  <c r="I51" i="8"/>
  <c r="P50" i="8"/>
  <c r="Q50" i="8" s="1"/>
  <c r="T50" i="8" s="1"/>
  <c r="S50" i="8" s="1"/>
  <c r="O50" i="8"/>
  <c r="N50" i="8"/>
  <c r="J50" i="8"/>
  <c r="U50" i="8" s="1"/>
  <c r="I50" i="8"/>
  <c r="P49" i="8"/>
  <c r="Q49" i="8" s="1"/>
  <c r="T49" i="8" s="1"/>
  <c r="O49" i="8"/>
  <c r="N49" i="8"/>
  <c r="J49" i="8"/>
  <c r="U49" i="8" s="1"/>
  <c r="I49" i="8"/>
  <c r="P48" i="8"/>
  <c r="Q48" i="8" s="1"/>
  <c r="T48" i="8" s="1"/>
  <c r="O48" i="8"/>
  <c r="N48" i="8"/>
  <c r="J48" i="8"/>
  <c r="U48" i="8" s="1"/>
  <c r="I48" i="8"/>
  <c r="P47" i="8"/>
  <c r="Q47" i="8" s="1"/>
  <c r="T47" i="8" s="1"/>
  <c r="O47" i="8"/>
  <c r="N47" i="8"/>
  <c r="J47" i="8"/>
  <c r="U47" i="8" s="1"/>
  <c r="I47" i="8"/>
  <c r="P46" i="8"/>
  <c r="Q46" i="8" s="1"/>
  <c r="T46" i="8" s="1"/>
  <c r="O46" i="8"/>
  <c r="N46" i="8"/>
  <c r="J46" i="8"/>
  <c r="U46" i="8" s="1"/>
  <c r="I46" i="8"/>
  <c r="P45" i="8"/>
  <c r="Q45" i="8" s="1"/>
  <c r="T45" i="8" s="1"/>
  <c r="O45" i="8"/>
  <c r="N45" i="8"/>
  <c r="J45" i="8"/>
  <c r="U45" i="8" s="1"/>
  <c r="I45" i="8"/>
  <c r="P44" i="8"/>
  <c r="Q44" i="8" s="1"/>
  <c r="T44" i="8" s="1"/>
  <c r="O44" i="8"/>
  <c r="N44" i="8"/>
  <c r="J44" i="8"/>
  <c r="U44" i="8" s="1"/>
  <c r="I44" i="8"/>
  <c r="P43" i="8"/>
  <c r="Q43" i="8" s="1"/>
  <c r="T43" i="8" s="1"/>
  <c r="O43" i="8"/>
  <c r="N43" i="8"/>
  <c r="J43" i="8"/>
  <c r="U43" i="8" s="1"/>
  <c r="I43" i="8"/>
  <c r="P42" i="8"/>
  <c r="Q42" i="8" s="1"/>
  <c r="T42" i="8" s="1"/>
  <c r="O42" i="8"/>
  <c r="N42" i="8"/>
  <c r="J42" i="8"/>
  <c r="U42" i="8" s="1"/>
  <c r="I42" i="8"/>
  <c r="P41" i="8"/>
  <c r="Q41" i="8" s="1"/>
  <c r="T41" i="8" s="1"/>
  <c r="O41" i="8"/>
  <c r="N41" i="8"/>
  <c r="J41" i="8"/>
  <c r="U41" i="8" s="1"/>
  <c r="I41" i="8"/>
  <c r="P40" i="8"/>
  <c r="Q40" i="8" s="1"/>
  <c r="T40" i="8" s="1"/>
  <c r="O40" i="8"/>
  <c r="N40" i="8"/>
  <c r="I40" i="8"/>
  <c r="H40" i="8"/>
  <c r="J40" i="8" s="1"/>
  <c r="U40" i="8" s="1"/>
  <c r="P39" i="8"/>
  <c r="Q39" i="8" s="1"/>
  <c r="T39" i="8" s="1"/>
  <c r="S39" i="8" s="1"/>
  <c r="O39" i="8"/>
  <c r="J39" i="8"/>
  <c r="U39" i="8" s="1"/>
  <c r="I39" i="8"/>
  <c r="P38" i="8"/>
  <c r="Q38" i="8" s="1"/>
  <c r="T38" i="8" s="1"/>
  <c r="S38" i="8" s="1"/>
  <c r="O38" i="8"/>
  <c r="N38" i="8"/>
  <c r="J38" i="8"/>
  <c r="U38" i="8" s="1"/>
  <c r="I38" i="8"/>
  <c r="P37" i="8"/>
  <c r="Q37" i="8" s="1"/>
  <c r="T37" i="8" s="1"/>
  <c r="O37" i="8"/>
  <c r="J37" i="8"/>
  <c r="U37" i="8" s="1"/>
  <c r="I37" i="8"/>
  <c r="U36" i="8"/>
  <c r="P36" i="8"/>
  <c r="Q36" i="8" s="1"/>
  <c r="T36" i="8" s="1"/>
  <c r="S36" i="8" s="1"/>
  <c r="O36" i="8"/>
  <c r="I36" i="8"/>
  <c r="P35" i="8"/>
  <c r="Q35" i="8" s="1"/>
  <c r="T35" i="8" s="1"/>
  <c r="O35" i="8"/>
  <c r="N35" i="8"/>
  <c r="J35" i="8"/>
  <c r="U35" i="8" s="1"/>
  <c r="I35" i="8"/>
  <c r="P34" i="8"/>
  <c r="Q34" i="8" s="1"/>
  <c r="T34" i="8" s="1"/>
  <c r="O34" i="8"/>
  <c r="N34" i="8"/>
  <c r="J34" i="8"/>
  <c r="U34" i="8" s="1"/>
  <c r="I34" i="8"/>
  <c r="P33" i="8"/>
  <c r="Q33" i="8" s="1"/>
  <c r="T33" i="8" s="1"/>
  <c r="O33" i="8"/>
  <c r="N33" i="8"/>
  <c r="J33" i="8"/>
  <c r="U33" i="8" s="1"/>
  <c r="I33" i="8"/>
  <c r="P32" i="8"/>
  <c r="Q32" i="8" s="1"/>
  <c r="T32" i="8" s="1"/>
  <c r="S32" i="8" s="1"/>
  <c r="O32" i="8"/>
  <c r="N32" i="8"/>
  <c r="J32" i="8"/>
  <c r="U32" i="8" s="1"/>
  <c r="I32" i="8"/>
  <c r="P31" i="8"/>
  <c r="Q31" i="8" s="1"/>
  <c r="T31" i="8" s="1"/>
  <c r="O31" i="8"/>
  <c r="J31" i="8"/>
  <c r="U31" i="8" s="1"/>
  <c r="I31" i="8"/>
  <c r="P30" i="8"/>
  <c r="Q30" i="8" s="1"/>
  <c r="T30" i="8" s="1"/>
  <c r="O30" i="8"/>
  <c r="J30" i="8"/>
  <c r="U30" i="8" s="1"/>
  <c r="I30" i="8"/>
  <c r="P29" i="8"/>
  <c r="Q29" i="8" s="1"/>
  <c r="T29" i="8" s="1"/>
  <c r="O29" i="8"/>
  <c r="N29" i="8"/>
  <c r="J29" i="8"/>
  <c r="U29" i="8" s="1"/>
  <c r="I29" i="8"/>
  <c r="P28" i="8"/>
  <c r="Q28" i="8" s="1"/>
  <c r="T28" i="8" s="1"/>
  <c r="O28" i="8"/>
  <c r="J28" i="8"/>
  <c r="U28" i="8" s="1"/>
  <c r="I28" i="8"/>
  <c r="P27" i="8"/>
  <c r="Q27" i="8" s="1"/>
  <c r="T27" i="8" s="1"/>
  <c r="O27" i="8"/>
  <c r="N27" i="8"/>
  <c r="J27" i="8"/>
  <c r="U27" i="8" s="1"/>
  <c r="I27" i="8"/>
  <c r="P26" i="8"/>
  <c r="Q26" i="8" s="1"/>
  <c r="T26" i="8" s="1"/>
  <c r="O26" i="8"/>
  <c r="N26" i="8"/>
  <c r="J26" i="8"/>
  <c r="U26" i="8" s="1"/>
  <c r="I26" i="8"/>
  <c r="P25" i="8"/>
  <c r="Q25" i="8" s="1"/>
  <c r="T25" i="8" s="1"/>
  <c r="O25" i="8"/>
  <c r="J25" i="8"/>
  <c r="U25" i="8" s="1"/>
  <c r="I25" i="8"/>
  <c r="P24" i="8"/>
  <c r="Q24" i="8" s="1"/>
  <c r="T24" i="8" s="1"/>
  <c r="O24" i="8"/>
  <c r="N24" i="8"/>
  <c r="J24" i="8"/>
  <c r="U24" i="8" s="1"/>
  <c r="I24" i="8"/>
  <c r="P23" i="8"/>
  <c r="Q23" i="8" s="1"/>
  <c r="T23" i="8" s="1"/>
  <c r="O23" i="8"/>
  <c r="J23" i="8"/>
  <c r="U23" i="8" s="1"/>
  <c r="I23" i="8"/>
  <c r="P22" i="8"/>
  <c r="Q22" i="8" s="1"/>
  <c r="T22" i="8" s="1"/>
  <c r="O22" i="8"/>
  <c r="N22" i="8"/>
  <c r="J22" i="8"/>
  <c r="U22" i="8" s="1"/>
  <c r="I22" i="8"/>
  <c r="P21" i="8"/>
  <c r="Q21" i="8" s="1"/>
  <c r="T21" i="8" s="1"/>
  <c r="O21" i="8"/>
  <c r="J21" i="8"/>
  <c r="U21" i="8" s="1"/>
  <c r="I21" i="8"/>
  <c r="B21" i="8"/>
  <c r="P20" i="8"/>
  <c r="Q20" i="8" s="1"/>
  <c r="T20" i="8" s="1"/>
  <c r="O20" i="8"/>
  <c r="N20" i="8"/>
  <c r="J20" i="8"/>
  <c r="U20" i="8" s="1"/>
  <c r="I20" i="8"/>
  <c r="P19" i="8"/>
  <c r="Q19" i="8" s="1"/>
  <c r="T19" i="8" s="1"/>
  <c r="O19" i="8"/>
  <c r="N19" i="8"/>
  <c r="J19" i="8"/>
  <c r="U19" i="8" s="1"/>
  <c r="I19" i="8"/>
  <c r="P18" i="8"/>
  <c r="Q18" i="8" s="1"/>
  <c r="T18" i="8" s="1"/>
  <c r="O18" i="8"/>
  <c r="N18" i="8"/>
  <c r="J18" i="8"/>
  <c r="U18" i="8" s="1"/>
  <c r="I18" i="8"/>
  <c r="P17" i="8"/>
  <c r="Q17" i="8" s="1"/>
  <c r="T17" i="8" s="1"/>
  <c r="O17" i="8"/>
  <c r="N17" i="8"/>
  <c r="J17" i="8"/>
  <c r="U17" i="8" s="1"/>
  <c r="I17" i="8"/>
  <c r="P16" i="8"/>
  <c r="Q16" i="8" s="1"/>
  <c r="T16" i="8" s="1"/>
  <c r="O16" i="8"/>
  <c r="N16" i="8"/>
  <c r="J16" i="8"/>
  <c r="U16" i="8" s="1"/>
  <c r="I16" i="8"/>
  <c r="P15" i="8"/>
  <c r="Q15" i="8" s="1"/>
  <c r="T15" i="8" s="1"/>
  <c r="O15" i="8"/>
  <c r="J15" i="8"/>
  <c r="U15" i="8" s="1"/>
  <c r="I15" i="8"/>
  <c r="P14" i="8"/>
  <c r="Q14" i="8" s="1"/>
  <c r="T14" i="8" s="1"/>
  <c r="O14" i="8"/>
  <c r="N14" i="8"/>
  <c r="J14" i="8"/>
  <c r="U14" i="8" s="1"/>
  <c r="I14" i="8"/>
  <c r="P13" i="8"/>
  <c r="Q13" i="8" s="1"/>
  <c r="T13" i="8" s="1"/>
  <c r="O13" i="8"/>
  <c r="J13" i="8"/>
  <c r="U13" i="8" s="1"/>
  <c r="I13" i="8"/>
  <c r="P10" i="8"/>
  <c r="Q10" i="8" s="1"/>
  <c r="T10" i="8" s="1"/>
  <c r="O10" i="8"/>
  <c r="G10" i="8" s="1"/>
  <c r="I10" i="8" s="1"/>
  <c r="N10" i="8"/>
  <c r="J10" i="8"/>
  <c r="U10" i="8" s="1"/>
  <c r="P9" i="8"/>
  <c r="Q9" i="8" s="1"/>
  <c r="T9" i="8" s="1"/>
  <c r="O9" i="8"/>
  <c r="J9" i="8"/>
  <c r="U9" i="8" s="1"/>
  <c r="I9" i="8"/>
  <c r="P8" i="8"/>
  <c r="Q8" i="8" s="1"/>
  <c r="T8" i="8" s="1"/>
  <c r="O8" i="8"/>
  <c r="N8" i="8"/>
  <c r="J8" i="8"/>
  <c r="U8" i="8" s="1"/>
  <c r="I8" i="8"/>
  <c r="P7" i="8"/>
  <c r="Q7" i="8" s="1"/>
  <c r="T7" i="8" s="1"/>
  <c r="O7" i="8"/>
  <c r="N7" i="8"/>
  <c r="J7" i="8"/>
  <c r="U7" i="8" s="1"/>
  <c r="I7" i="8"/>
  <c r="AB6" i="8"/>
  <c r="P6" i="8"/>
  <c r="Q6" i="8" s="1"/>
  <c r="T6" i="8" s="1"/>
  <c r="O6" i="8"/>
  <c r="J6" i="8"/>
  <c r="U6" i="8" s="1"/>
  <c r="I6" i="8"/>
  <c r="B6" i="8"/>
  <c r="P5" i="8"/>
  <c r="Q5" i="8" s="1"/>
  <c r="T5" i="8" s="1"/>
  <c r="O5" i="8"/>
  <c r="G5" i="8" s="1"/>
  <c r="I5" i="8" s="1"/>
  <c r="N5" i="8"/>
  <c r="J5" i="8"/>
  <c r="U5" i="8" s="1"/>
  <c r="P4" i="8"/>
  <c r="Q4" i="8" s="1"/>
  <c r="T4" i="8" s="1"/>
  <c r="O4" i="8"/>
  <c r="N4" i="8"/>
  <c r="C4" i="8"/>
  <c r="J4" i="8" s="1"/>
  <c r="U4" i="8" s="1"/>
  <c r="P3" i="8"/>
  <c r="Q3" i="8" s="1"/>
  <c r="T3" i="8" s="1"/>
  <c r="O3" i="8"/>
  <c r="N3" i="8"/>
  <c r="J3" i="8"/>
  <c r="U3" i="8" s="1"/>
  <c r="I3" i="8"/>
  <c r="P2" i="8"/>
  <c r="Q2" i="8" s="1"/>
  <c r="T2" i="8" s="1"/>
  <c r="O2" i="8"/>
  <c r="N2" i="8"/>
  <c r="J2" i="8"/>
  <c r="U2" i="8" s="1"/>
  <c r="I2" i="8"/>
  <c r="S52" i="8" l="1"/>
  <c r="S56" i="8"/>
  <c r="S45" i="8"/>
  <c r="S61" i="8"/>
  <c r="S41" i="8"/>
  <c r="S14" i="8"/>
  <c r="S23" i="8"/>
  <c r="S30" i="8"/>
  <c r="S44" i="8"/>
  <c r="S59" i="8"/>
  <c r="S63" i="8"/>
  <c r="S3" i="8"/>
  <c r="S9" i="8"/>
  <c r="S16" i="8"/>
  <c r="S15" i="8"/>
  <c r="S27" i="8"/>
  <c r="S28" i="8"/>
  <c r="S42" i="8"/>
  <c r="S65" i="8"/>
  <c r="S5" i="8"/>
  <c r="S24" i="8"/>
  <c r="S48" i="8"/>
  <c r="S51" i="8"/>
  <c r="S55" i="8"/>
  <c r="S62" i="8"/>
  <c r="S4" i="8"/>
  <c r="S2" i="8"/>
  <c r="S20" i="8"/>
  <c r="S34" i="8"/>
  <c r="S43" i="8"/>
  <c r="S46" i="8"/>
  <c r="S53" i="8"/>
  <c r="S7" i="8"/>
  <c r="S10" i="8"/>
  <c r="S17" i="8"/>
  <c r="S18" i="8"/>
  <c r="S31" i="8"/>
  <c r="S33" i="8"/>
  <c r="S37" i="8"/>
  <c r="S40" i="8"/>
  <c r="S49" i="8"/>
  <c r="S57" i="8"/>
  <c r="S60" i="8"/>
  <c r="S64" i="8"/>
  <c r="AB7" i="8"/>
  <c r="AB8" i="8" s="1"/>
  <c r="R28" i="8" s="1"/>
  <c r="V28" i="8" s="1"/>
  <c r="X28" i="8" s="1"/>
  <c r="S13" i="8"/>
  <c r="S19" i="8"/>
  <c r="S25" i="8"/>
  <c r="S29" i="8"/>
  <c r="S35" i="8"/>
  <c r="S6" i="8"/>
  <c r="S8" i="8"/>
  <c r="S21" i="8"/>
  <c r="S22" i="8"/>
  <c r="S26" i="8"/>
  <c r="I4" i="8"/>
  <c r="S47" i="8"/>
  <c r="R11" i="8" l="1"/>
  <c r="V11" i="8" s="1"/>
  <c r="X11" i="8" s="1"/>
  <c r="R12" i="8"/>
  <c r="V12" i="8" s="1"/>
  <c r="X12" i="8" s="1"/>
  <c r="R51" i="8"/>
  <c r="V51" i="8" s="1"/>
  <c r="X51" i="8" s="1"/>
  <c r="W51" i="8" s="1"/>
  <c r="R35" i="8"/>
  <c r="V35" i="8" s="1"/>
  <c r="X35" i="8" s="1"/>
  <c r="Y35" i="8" s="1"/>
  <c r="Z35" i="8" s="1"/>
  <c r="R34" i="8"/>
  <c r="V34" i="8" s="1"/>
  <c r="X34" i="8" s="1"/>
  <c r="Y34" i="8" s="1"/>
  <c r="Z34" i="8" s="1"/>
  <c r="R14" i="8"/>
  <c r="V14" i="8" s="1"/>
  <c r="X14" i="8" s="1"/>
  <c r="W14" i="8" s="1"/>
  <c r="R40" i="8"/>
  <c r="V40" i="8" s="1"/>
  <c r="X40" i="8" s="1"/>
  <c r="Y40" i="8" s="1"/>
  <c r="Z40" i="8" s="1"/>
  <c r="R25" i="8"/>
  <c r="V25" i="8" s="1"/>
  <c r="X25" i="8" s="1"/>
  <c r="Y25" i="8" s="1"/>
  <c r="Z25" i="8" s="1"/>
  <c r="R47" i="8"/>
  <c r="V47" i="8" s="1"/>
  <c r="X47" i="8" s="1"/>
  <c r="Y47" i="8" s="1"/>
  <c r="R52" i="8"/>
  <c r="V52" i="8" s="1"/>
  <c r="X52" i="8" s="1"/>
  <c r="W52" i="8" s="1"/>
  <c r="R7" i="8"/>
  <c r="V7" i="8" s="1"/>
  <c r="X7" i="8" s="1"/>
  <c r="W7" i="8" s="1"/>
  <c r="R16" i="8"/>
  <c r="V16" i="8" s="1"/>
  <c r="X16" i="8" s="1"/>
  <c r="W16" i="8" s="1"/>
  <c r="R53" i="8"/>
  <c r="V53" i="8" s="1"/>
  <c r="X53" i="8" s="1"/>
  <c r="Y53" i="8" s="1"/>
  <c r="R65" i="8"/>
  <c r="V65" i="8" s="1"/>
  <c r="X65" i="8" s="1"/>
  <c r="Y65" i="8" s="1"/>
  <c r="R22" i="8"/>
  <c r="V22" i="8" s="1"/>
  <c r="X22" i="8" s="1"/>
  <c r="Y22" i="8" s="1"/>
  <c r="Z22" i="8" s="1"/>
  <c r="R46" i="8"/>
  <c r="V46" i="8" s="1"/>
  <c r="X46" i="8" s="1"/>
  <c r="Y46" i="8" s="1"/>
  <c r="R13" i="8"/>
  <c r="V13" i="8" s="1"/>
  <c r="X13" i="8" s="1"/>
  <c r="W13" i="8" s="1"/>
  <c r="R32" i="8"/>
  <c r="V32" i="8" s="1"/>
  <c r="X32" i="8" s="1"/>
  <c r="W32" i="8" s="1"/>
  <c r="R56" i="8"/>
  <c r="V56" i="8" s="1"/>
  <c r="X56" i="8" s="1"/>
  <c r="Y56" i="8" s="1"/>
  <c r="R57" i="8"/>
  <c r="V57" i="8" s="1"/>
  <c r="X57" i="8" s="1"/>
  <c r="W57" i="8" s="1"/>
  <c r="R59" i="8"/>
  <c r="V59" i="8" s="1"/>
  <c r="X59" i="8" s="1"/>
  <c r="W59" i="8" s="1"/>
  <c r="R62" i="8"/>
  <c r="V62" i="8" s="1"/>
  <c r="X62" i="8" s="1"/>
  <c r="Y62" i="8" s="1"/>
  <c r="R36" i="8"/>
  <c r="V36" i="8" s="1"/>
  <c r="X36" i="8" s="1"/>
  <c r="W36" i="8" s="1"/>
  <c r="R43" i="8"/>
  <c r="V43" i="8" s="1"/>
  <c r="X43" i="8" s="1"/>
  <c r="W43" i="8" s="1"/>
  <c r="R9" i="8"/>
  <c r="V9" i="8" s="1"/>
  <c r="X9" i="8" s="1"/>
  <c r="R44" i="8"/>
  <c r="V44" i="8" s="1"/>
  <c r="X44" i="8" s="1"/>
  <c r="Y44" i="8" s="1"/>
  <c r="R18" i="8"/>
  <c r="V18" i="8" s="1"/>
  <c r="X18" i="8" s="1"/>
  <c r="W18" i="8" s="1"/>
  <c r="R27" i="8"/>
  <c r="V27" i="8" s="1"/>
  <c r="X27" i="8" s="1"/>
  <c r="W27" i="8" s="1"/>
  <c r="R37" i="8"/>
  <c r="V37" i="8" s="1"/>
  <c r="X37" i="8" s="1"/>
  <c r="W37" i="8" s="1"/>
  <c r="R48" i="8"/>
  <c r="V48" i="8" s="1"/>
  <c r="X48" i="8" s="1"/>
  <c r="Y48" i="8" s="1"/>
  <c r="R54" i="8"/>
  <c r="V54" i="8" s="1"/>
  <c r="X54" i="8" s="1"/>
  <c r="W54" i="8" s="1"/>
  <c r="R49" i="8"/>
  <c r="V49" i="8" s="1"/>
  <c r="X49" i="8" s="1"/>
  <c r="Y49" i="8" s="1"/>
  <c r="R61" i="8"/>
  <c r="V61" i="8" s="1"/>
  <c r="X61" i="8" s="1"/>
  <c r="R64" i="8"/>
  <c r="V64" i="8" s="1"/>
  <c r="X64" i="8" s="1"/>
  <c r="Y64" i="8" s="1"/>
  <c r="R39" i="8"/>
  <c r="V39" i="8" s="1"/>
  <c r="X39" i="8" s="1"/>
  <c r="Y39" i="8" s="1"/>
  <c r="Z39" i="8" s="1"/>
  <c r="R41" i="8"/>
  <c r="V41" i="8" s="1"/>
  <c r="X41" i="8" s="1"/>
  <c r="Y41" i="8" s="1"/>
  <c r="R21" i="8"/>
  <c r="V21" i="8" s="1"/>
  <c r="X21" i="8" s="1"/>
  <c r="W21" i="8" s="1"/>
  <c r="R42" i="8"/>
  <c r="V42" i="8" s="1"/>
  <c r="X42" i="8" s="1"/>
  <c r="Y42" i="8" s="1"/>
  <c r="R20" i="8"/>
  <c r="V20" i="8" s="1"/>
  <c r="X20" i="8" s="1"/>
  <c r="Y20" i="8" s="1"/>
  <c r="Z20" i="8" s="1"/>
  <c r="R30" i="8"/>
  <c r="V30" i="8" s="1"/>
  <c r="X30" i="8" s="1"/>
  <c r="W30" i="8" s="1"/>
  <c r="R38" i="8"/>
  <c r="V38" i="8" s="1"/>
  <c r="X38" i="8" s="1"/>
  <c r="W38" i="8" s="1"/>
  <c r="R55" i="8"/>
  <c r="V55" i="8" s="1"/>
  <c r="X55" i="8" s="1"/>
  <c r="W55" i="8" s="1"/>
  <c r="R58" i="8"/>
  <c r="V58" i="8" s="1"/>
  <c r="X58" i="8" s="1"/>
  <c r="W58" i="8" s="1"/>
  <c r="R50" i="8"/>
  <c r="V50" i="8" s="1"/>
  <c r="X50" i="8" s="1"/>
  <c r="Y50" i="8" s="1"/>
  <c r="R63" i="8"/>
  <c r="V63" i="8" s="1"/>
  <c r="X63" i="8" s="1"/>
  <c r="Y63" i="8" s="1"/>
  <c r="R31" i="8"/>
  <c r="V31" i="8" s="1"/>
  <c r="X31" i="8" s="1"/>
  <c r="Y31" i="8" s="1"/>
  <c r="Z31" i="8" s="1"/>
  <c r="R3" i="8"/>
  <c r="V3" i="8" s="1"/>
  <c r="X3" i="8" s="1"/>
  <c r="W3" i="8" s="1"/>
  <c r="R26" i="8"/>
  <c r="V26" i="8" s="1"/>
  <c r="X26" i="8" s="1"/>
  <c r="Y26" i="8" s="1"/>
  <c r="Z26" i="8" s="1"/>
  <c r="R5" i="8"/>
  <c r="V5" i="8" s="1"/>
  <c r="X5" i="8" s="1"/>
  <c r="W5" i="8" s="1"/>
  <c r="R4" i="8"/>
  <c r="V4" i="8" s="1"/>
  <c r="X4" i="8" s="1"/>
  <c r="Y4" i="8" s="1"/>
  <c r="Z4" i="8" s="1"/>
  <c r="R17" i="8"/>
  <c r="V17" i="8" s="1"/>
  <c r="X17" i="8" s="1"/>
  <c r="Y17" i="8" s="1"/>
  <c r="Z17" i="8" s="1"/>
  <c r="R29" i="8"/>
  <c r="V29" i="8" s="1"/>
  <c r="X29" i="8" s="1"/>
  <c r="W29" i="8" s="1"/>
  <c r="R15" i="8"/>
  <c r="V15" i="8" s="1"/>
  <c r="X15" i="8" s="1"/>
  <c r="Y15" i="8" s="1"/>
  <c r="Z15" i="8" s="1"/>
  <c r="R60" i="8"/>
  <c r="V60" i="8" s="1"/>
  <c r="X60" i="8" s="1"/>
  <c r="Y60" i="8" s="1"/>
  <c r="R33" i="8"/>
  <c r="V33" i="8" s="1"/>
  <c r="X33" i="8" s="1"/>
  <c r="W33" i="8" s="1"/>
  <c r="R23" i="8"/>
  <c r="V23" i="8" s="1"/>
  <c r="X23" i="8" s="1"/>
  <c r="Y23" i="8" s="1"/>
  <c r="Z23" i="8" s="1"/>
  <c r="R45" i="8"/>
  <c r="V45" i="8" s="1"/>
  <c r="X45" i="8" s="1"/>
  <c r="Y45" i="8" s="1"/>
  <c r="R10" i="8"/>
  <c r="V10" i="8" s="1"/>
  <c r="X10" i="8" s="1"/>
  <c r="W10" i="8" s="1"/>
  <c r="R19" i="8"/>
  <c r="V19" i="8" s="1"/>
  <c r="X19" i="8" s="1"/>
  <c r="Y19" i="8" s="1"/>
  <c r="Z19" i="8" s="1"/>
  <c r="R2" i="8"/>
  <c r="V2" i="8" s="1"/>
  <c r="X2" i="8" s="1"/>
  <c r="Y2" i="8" s="1"/>
  <c r="Z2" i="8" s="1"/>
  <c r="R6" i="8"/>
  <c r="V6" i="8" s="1"/>
  <c r="X6" i="8" s="1"/>
  <c r="W6" i="8" s="1"/>
  <c r="R24" i="8"/>
  <c r="V24" i="8" s="1"/>
  <c r="X24" i="8" s="1"/>
  <c r="R8" i="8"/>
  <c r="V8" i="8" s="1"/>
  <c r="X8" i="8" s="1"/>
  <c r="W8" i="8" s="1"/>
  <c r="W46" i="8"/>
  <c r="W47" i="8"/>
  <c r="Y37" i="8"/>
  <c r="Z37" i="8" s="1"/>
  <c r="Y61" i="8"/>
  <c r="W61" i="8"/>
  <c r="W9" i="8"/>
  <c r="Y9" i="8"/>
  <c r="Z9" i="8" s="1"/>
  <c r="Y38" i="8"/>
  <c r="Z38" i="8" s="1"/>
  <c r="W15" i="8"/>
  <c r="Y6" i="8"/>
  <c r="Z6" i="8" s="1"/>
  <c r="Y21" i="8"/>
  <c r="Z21" i="8" s="1"/>
  <c r="Y28" i="8"/>
  <c r="Z28" i="8" s="1"/>
  <c r="W28" i="8"/>
  <c r="Y13" i="8"/>
  <c r="Z13" i="8" s="1"/>
  <c r="W34" i="8"/>
  <c r="W53" i="8"/>
  <c r="Y59" i="8"/>
  <c r="Y5" i="8"/>
  <c r="Z5" i="8" s="1"/>
  <c r="W12" i="8" l="1"/>
  <c r="Y12" i="8"/>
  <c r="Z12" i="8" s="1"/>
  <c r="Y11" i="8"/>
  <c r="Z11" i="8" s="1"/>
  <c r="W11" i="8"/>
  <c r="Y29" i="8"/>
  <c r="Z29" i="8" s="1"/>
  <c r="Y30" i="8"/>
  <c r="Z30" i="8" s="1"/>
  <c r="Y51" i="8"/>
  <c r="Y3" i="8"/>
  <c r="Z3" i="8" s="1"/>
  <c r="W39" i="8"/>
  <c r="Y27" i="8"/>
  <c r="Z27" i="8" s="1"/>
  <c r="W56" i="8"/>
  <c r="Y36" i="8"/>
  <c r="Z36" i="8" s="1"/>
  <c r="Y18" i="8"/>
  <c r="Z18" i="8" s="1"/>
  <c r="W19" i="8"/>
  <c r="W40" i="8"/>
  <c r="Y54" i="8"/>
  <c r="W50" i="8"/>
  <c r="Y16" i="8"/>
  <c r="Z16" i="8" s="1"/>
  <c r="Y57" i="8"/>
  <c r="W22" i="8"/>
  <c r="Y43" i="8"/>
  <c r="Y58" i="8"/>
  <c r="W35" i="8"/>
  <c r="Y7" i="8"/>
  <c r="Z7" i="8" s="1"/>
  <c r="W25" i="8"/>
  <c r="W26" i="8"/>
  <c r="Y33" i="8"/>
  <c r="Z33" i="8" s="1"/>
  <c r="Y8" i="8"/>
  <c r="Z8" i="8" s="1"/>
  <c r="W20" i="8"/>
  <c r="W17" i="8"/>
  <c r="W49" i="8"/>
  <c r="W23" i="8"/>
  <c r="W2" i="8"/>
  <c r="W31" i="8"/>
  <c r="W60" i="8"/>
  <c r="Y55" i="8"/>
  <c r="W64" i="8"/>
  <c r="W63" i="8"/>
  <c r="W48" i="8"/>
  <c r="Y14" i="8"/>
  <c r="Z14" i="8" s="1"/>
  <c r="W44" i="8"/>
  <c r="W4" i="8"/>
  <c r="W42" i="8"/>
  <c r="W62" i="8"/>
  <c r="W41" i="8"/>
  <c r="Y10" i="8"/>
  <c r="Z10" i="8" s="1"/>
  <c r="W65" i="8"/>
  <c r="Y52" i="8"/>
  <c r="Y32" i="8"/>
  <c r="Z32" i="8" s="1"/>
  <c r="W45" i="8"/>
  <c r="W24" i="8"/>
  <c r="Y24" i="8"/>
  <c r="Z24" i="8" s="1"/>
  <c r="G112" i="1"/>
  <c r="C112" i="1"/>
  <c r="G111" i="1"/>
  <c r="C111" i="1"/>
  <c r="G110" i="1"/>
  <c r="C110" i="1"/>
  <c r="C109" i="1"/>
  <c r="J58" i="1"/>
  <c r="J59" i="1"/>
  <c r="J60" i="1"/>
  <c r="J57" i="1"/>
  <c r="J56" i="1"/>
  <c r="F24" i="6" l="1"/>
  <c r="F25" i="6"/>
  <c r="F26" i="6"/>
  <c r="F27" i="6"/>
  <c r="F28" i="6"/>
  <c r="F29" i="6"/>
  <c r="F30" i="6"/>
  <c r="F31" i="6"/>
  <c r="F32" i="6"/>
  <c r="F33" i="6"/>
  <c r="F34" i="6"/>
  <c r="F35" i="6"/>
  <c r="F23" i="6"/>
  <c r="C32" i="6"/>
  <c r="C31" i="6"/>
  <c r="C24" i="6"/>
  <c r="C23" i="6"/>
  <c r="F10" i="6"/>
  <c r="B10" i="6" s="1"/>
  <c r="C10" i="6"/>
  <c r="C25" i="6" l="1"/>
  <c r="C27" i="6" s="1"/>
  <c r="C33" i="6"/>
  <c r="C35" i="6" s="1"/>
  <c r="AE113" i="3"/>
  <c r="AD113" i="3"/>
  <c r="AC113" i="3"/>
  <c r="AB113" i="3"/>
  <c r="AA113" i="3"/>
  <c r="AE112" i="3"/>
  <c r="AD112" i="3"/>
  <c r="AC112" i="3"/>
  <c r="AB112" i="3"/>
  <c r="AA112" i="3"/>
  <c r="AE111" i="3"/>
  <c r="AD111" i="3"/>
  <c r="AC111" i="3"/>
  <c r="AB111" i="3"/>
  <c r="AA111" i="3"/>
  <c r="AE110" i="3"/>
  <c r="AD110" i="3"/>
  <c r="AC110" i="3"/>
  <c r="AB110" i="3"/>
  <c r="AA110" i="3"/>
  <c r="AE109" i="3"/>
  <c r="AD109" i="3"/>
  <c r="AC109" i="3"/>
  <c r="AB109" i="3"/>
  <c r="AA109" i="3"/>
  <c r="AE108" i="3"/>
  <c r="AD108" i="3"/>
  <c r="AC108" i="3"/>
  <c r="AB108" i="3"/>
  <c r="AA108" i="3"/>
  <c r="AE107" i="3"/>
  <c r="AD107" i="3"/>
  <c r="AC107" i="3"/>
  <c r="AB107" i="3"/>
  <c r="AA107" i="3"/>
  <c r="AE106" i="3"/>
  <c r="AD106" i="3"/>
  <c r="AC106" i="3"/>
  <c r="AB106" i="3"/>
  <c r="AA106" i="3"/>
  <c r="AE105" i="3"/>
  <c r="AD105" i="3"/>
  <c r="AC105" i="3"/>
  <c r="AB105" i="3"/>
  <c r="AA105" i="3"/>
  <c r="AE104" i="3"/>
  <c r="AD104" i="3"/>
  <c r="AC104" i="3"/>
  <c r="AB104" i="3"/>
  <c r="AA104" i="3"/>
  <c r="AE103" i="3"/>
  <c r="AD103" i="3"/>
  <c r="AC103" i="3"/>
  <c r="AB103" i="3"/>
  <c r="AA103" i="3"/>
  <c r="AE102" i="3"/>
  <c r="AD102" i="3"/>
  <c r="AC102" i="3"/>
  <c r="AB102" i="3"/>
  <c r="AA102" i="3"/>
  <c r="AE101" i="3"/>
  <c r="AD101" i="3"/>
  <c r="AC101" i="3"/>
  <c r="AB101" i="3"/>
  <c r="AA101" i="3"/>
  <c r="AE100" i="3"/>
  <c r="AD100" i="3"/>
  <c r="AC100" i="3"/>
  <c r="AB100" i="3"/>
  <c r="AA100" i="3"/>
  <c r="AE99" i="3"/>
  <c r="AD99" i="3"/>
  <c r="AC99" i="3"/>
  <c r="AB99" i="3"/>
  <c r="AA99" i="3"/>
  <c r="AE89" i="3"/>
  <c r="AD89" i="3"/>
  <c r="AC89" i="3"/>
  <c r="AB89" i="3"/>
  <c r="AA89" i="3"/>
  <c r="AE88" i="3"/>
  <c r="AD88" i="3"/>
  <c r="AC88" i="3"/>
  <c r="AB88" i="3"/>
  <c r="AA88" i="3"/>
  <c r="AE87" i="3"/>
  <c r="AD87" i="3"/>
  <c r="AC87" i="3"/>
  <c r="AB87" i="3"/>
  <c r="AA87" i="3"/>
  <c r="AE86" i="3"/>
  <c r="AD86" i="3"/>
  <c r="AC86" i="3"/>
  <c r="AB86" i="3"/>
  <c r="AA86" i="3"/>
  <c r="AE85" i="3"/>
  <c r="AD85" i="3"/>
  <c r="AC85" i="3"/>
  <c r="AB85" i="3"/>
  <c r="AA85" i="3"/>
  <c r="AE84" i="3"/>
  <c r="AD84" i="3"/>
  <c r="AC84" i="3"/>
  <c r="AB84" i="3"/>
  <c r="AA84" i="3"/>
  <c r="AE83" i="3"/>
  <c r="AD83" i="3"/>
  <c r="AC83" i="3"/>
  <c r="AB83" i="3"/>
  <c r="AA83" i="3"/>
  <c r="AE82" i="3"/>
  <c r="AD82" i="3"/>
  <c r="AC82" i="3"/>
  <c r="AB82" i="3"/>
  <c r="AA82" i="3"/>
  <c r="AE81" i="3"/>
  <c r="AD81" i="3"/>
  <c r="AC81" i="3"/>
  <c r="AB81" i="3"/>
  <c r="AA81" i="3"/>
  <c r="AE80" i="3"/>
  <c r="AD80" i="3"/>
  <c r="AC80" i="3"/>
  <c r="AB80" i="3"/>
  <c r="AA80" i="3"/>
  <c r="AE79" i="3"/>
  <c r="AD79" i="3"/>
  <c r="AC79" i="3"/>
  <c r="AB79" i="3"/>
  <c r="AA79" i="3"/>
  <c r="AE78" i="3"/>
  <c r="AD78" i="3"/>
  <c r="AC78" i="3"/>
  <c r="AB78" i="3"/>
  <c r="AA78" i="3"/>
  <c r="AE77" i="3"/>
  <c r="AD77" i="3"/>
  <c r="AC77" i="3"/>
  <c r="AB77" i="3"/>
  <c r="AA77" i="3"/>
  <c r="AE76" i="3"/>
  <c r="AD76" i="3"/>
  <c r="AC76" i="3"/>
  <c r="AB76" i="3"/>
  <c r="AA76" i="3"/>
  <c r="AE75" i="3"/>
  <c r="AD75" i="3"/>
  <c r="AC75" i="3"/>
  <c r="AB75" i="3"/>
  <c r="AA75" i="3"/>
  <c r="AE65" i="3"/>
  <c r="AD65" i="3"/>
  <c r="AC65" i="3"/>
  <c r="AB65" i="3"/>
  <c r="AA65" i="3"/>
  <c r="AE64" i="3"/>
  <c r="AD64" i="3"/>
  <c r="AC64" i="3"/>
  <c r="AB64" i="3"/>
  <c r="AA64" i="3"/>
  <c r="AE63" i="3"/>
  <c r="AD63" i="3"/>
  <c r="AC63" i="3"/>
  <c r="AB63" i="3"/>
  <c r="AA63" i="3"/>
  <c r="AE62" i="3"/>
  <c r="AD62" i="3"/>
  <c r="AC62" i="3"/>
  <c r="AB62" i="3"/>
  <c r="AA62" i="3"/>
  <c r="AE61" i="3"/>
  <c r="AD61" i="3"/>
  <c r="AC61" i="3"/>
  <c r="AB61" i="3"/>
  <c r="AA61" i="3"/>
  <c r="AE60" i="3"/>
  <c r="AD60" i="3"/>
  <c r="AC60" i="3"/>
  <c r="AB60" i="3"/>
  <c r="AA60" i="3"/>
  <c r="AE59" i="3"/>
  <c r="AD59" i="3"/>
  <c r="AC59" i="3"/>
  <c r="AB59" i="3"/>
  <c r="AA59" i="3"/>
  <c r="AE58" i="3"/>
  <c r="AD58" i="3"/>
  <c r="AC58" i="3"/>
  <c r="AB58" i="3"/>
  <c r="AA58" i="3"/>
  <c r="AE57" i="3"/>
  <c r="AD57" i="3"/>
  <c r="AC57" i="3"/>
  <c r="AB57" i="3"/>
  <c r="AA57" i="3"/>
  <c r="AE56" i="3"/>
  <c r="AD56" i="3"/>
  <c r="AC56" i="3"/>
  <c r="AB56" i="3"/>
  <c r="AA56" i="3"/>
  <c r="AE55" i="3"/>
  <c r="AD55" i="3"/>
  <c r="AC55" i="3"/>
  <c r="AB55" i="3"/>
  <c r="AA55" i="3"/>
  <c r="AE54" i="3"/>
  <c r="AD54" i="3"/>
  <c r="AC54" i="3"/>
  <c r="AB54" i="3"/>
  <c r="AA54" i="3"/>
  <c r="AE53" i="3"/>
  <c r="AD53" i="3"/>
  <c r="AC53" i="3"/>
  <c r="AB53" i="3"/>
  <c r="AA53" i="3"/>
  <c r="AE52" i="3"/>
  <c r="AD52" i="3"/>
  <c r="AC52" i="3"/>
  <c r="AB52" i="3"/>
  <c r="AA52" i="3"/>
  <c r="AE51" i="3"/>
  <c r="AD51" i="3"/>
  <c r="AC51" i="3"/>
  <c r="AB51" i="3"/>
  <c r="AA51" i="3"/>
  <c r="AE41" i="3"/>
  <c r="AD41" i="3"/>
  <c r="AC41" i="3"/>
  <c r="AB41" i="3"/>
  <c r="AA41" i="3"/>
  <c r="AE40" i="3"/>
  <c r="AD40" i="3"/>
  <c r="AC40" i="3"/>
  <c r="AB40" i="3"/>
  <c r="AA40" i="3"/>
  <c r="AE39" i="3"/>
  <c r="AD39" i="3"/>
  <c r="AC39" i="3"/>
  <c r="AB39" i="3"/>
  <c r="AA39" i="3"/>
  <c r="AE38" i="3"/>
  <c r="AD38" i="3"/>
  <c r="AC38" i="3"/>
  <c r="AB38" i="3"/>
  <c r="AA38" i="3"/>
  <c r="AE37" i="3"/>
  <c r="AD37" i="3"/>
  <c r="AC37" i="3"/>
  <c r="AB37" i="3"/>
  <c r="AA37" i="3"/>
  <c r="AE36" i="3"/>
  <c r="AD36" i="3"/>
  <c r="AC36" i="3"/>
  <c r="AB36" i="3"/>
  <c r="AA36" i="3"/>
  <c r="AE35" i="3"/>
  <c r="AD35" i="3"/>
  <c r="AC35" i="3"/>
  <c r="AB35" i="3"/>
  <c r="AA35" i="3"/>
  <c r="AE34" i="3"/>
  <c r="AD34" i="3"/>
  <c r="AC34" i="3"/>
  <c r="AB34" i="3"/>
  <c r="AA34" i="3"/>
  <c r="AE33" i="3"/>
  <c r="AD33" i="3"/>
  <c r="AC33" i="3"/>
  <c r="AB33" i="3"/>
  <c r="AA33" i="3"/>
  <c r="AE32" i="3"/>
  <c r="AD32" i="3"/>
  <c r="AC32" i="3"/>
  <c r="AB32" i="3"/>
  <c r="AA32" i="3"/>
  <c r="AE31" i="3"/>
  <c r="AD31" i="3"/>
  <c r="AC31" i="3"/>
  <c r="AB31" i="3"/>
  <c r="AA31" i="3"/>
  <c r="AE30" i="3"/>
  <c r="AD30" i="3"/>
  <c r="AC30" i="3"/>
  <c r="AB30" i="3"/>
  <c r="AA30" i="3"/>
  <c r="AE29" i="3"/>
  <c r="AD29" i="3"/>
  <c r="AC29" i="3"/>
  <c r="AB29" i="3"/>
  <c r="AA29" i="3"/>
  <c r="AE28" i="3"/>
  <c r="AD28" i="3"/>
  <c r="AC28" i="3"/>
  <c r="AB28" i="3"/>
  <c r="AA28" i="3"/>
  <c r="AE27" i="3"/>
  <c r="AD27" i="3"/>
  <c r="AC27" i="3"/>
  <c r="AB27" i="3"/>
  <c r="AA27" i="3"/>
  <c r="Z19" i="3"/>
  <c r="Z43" i="3" s="1"/>
  <c r="Z67" i="3" s="1"/>
  <c r="Z91" i="3" s="1"/>
  <c r="Z115" i="3" s="1"/>
  <c r="AB123" i="3" s="1"/>
  <c r="AE17" i="3"/>
  <c r="AD17" i="3"/>
  <c r="AC17" i="3"/>
  <c r="AB17" i="3"/>
  <c r="AA17" i="3"/>
  <c r="AE16" i="3"/>
  <c r="AD16" i="3"/>
  <c r="AC16" i="3"/>
  <c r="AB16" i="3"/>
  <c r="AA16" i="3"/>
  <c r="AE15" i="3"/>
  <c r="AD15" i="3"/>
  <c r="AC15" i="3"/>
  <c r="AB15" i="3"/>
  <c r="AA15" i="3"/>
  <c r="AE14" i="3"/>
  <c r="AD14" i="3"/>
  <c r="AC14" i="3"/>
  <c r="AB14" i="3"/>
  <c r="AA14" i="3"/>
  <c r="AE13" i="3"/>
  <c r="AD13" i="3"/>
  <c r="AC13" i="3"/>
  <c r="AB13" i="3"/>
  <c r="AA13" i="3"/>
  <c r="AE12" i="3"/>
  <c r="AD12" i="3"/>
  <c r="AC12" i="3"/>
  <c r="AB12" i="3"/>
  <c r="AA12" i="3"/>
  <c r="AE11" i="3"/>
  <c r="AD11" i="3"/>
  <c r="AC11" i="3"/>
  <c r="AB11" i="3"/>
  <c r="AA11" i="3"/>
  <c r="AE10" i="3"/>
  <c r="AD10" i="3"/>
  <c r="AC10" i="3"/>
  <c r="AB10" i="3"/>
  <c r="AA10" i="3"/>
  <c r="AE9" i="3"/>
  <c r="AD9" i="3"/>
  <c r="AC9" i="3"/>
  <c r="AB9" i="3"/>
  <c r="AA9" i="3"/>
  <c r="AE8" i="3"/>
  <c r="AD8" i="3"/>
  <c r="AC8" i="3"/>
  <c r="AB8" i="3"/>
  <c r="AA8" i="3"/>
  <c r="AE7" i="3"/>
  <c r="AD7" i="3"/>
  <c r="AC7" i="3"/>
  <c r="AB7" i="3"/>
  <c r="AA7" i="3"/>
  <c r="AE6" i="3"/>
  <c r="AD6" i="3"/>
  <c r="AC6" i="3"/>
  <c r="AB6" i="3"/>
  <c r="AA6" i="3"/>
  <c r="AE5" i="3"/>
  <c r="AD5" i="3"/>
  <c r="AC5" i="3"/>
  <c r="AB5" i="3"/>
  <c r="AA5" i="3"/>
  <c r="AE4" i="3"/>
  <c r="AD4" i="3"/>
  <c r="AC4" i="3"/>
  <c r="AB4" i="3"/>
  <c r="AA4" i="3"/>
  <c r="AE3" i="3"/>
  <c r="AD3" i="3"/>
  <c r="AC3" i="3"/>
  <c r="AB3" i="3"/>
  <c r="AA3" i="3"/>
  <c r="W113" i="3"/>
  <c r="V113" i="3"/>
  <c r="U113" i="3"/>
  <c r="T113" i="3"/>
  <c r="S113" i="3"/>
  <c r="W112" i="3"/>
  <c r="V112" i="3"/>
  <c r="U112" i="3"/>
  <c r="T112" i="3"/>
  <c r="S112" i="3"/>
  <c r="W111" i="3"/>
  <c r="V111" i="3"/>
  <c r="U111" i="3"/>
  <c r="T111" i="3"/>
  <c r="S111" i="3"/>
  <c r="W110" i="3"/>
  <c r="V110" i="3"/>
  <c r="U110" i="3"/>
  <c r="T110" i="3"/>
  <c r="S110" i="3"/>
  <c r="W109" i="3"/>
  <c r="V109" i="3"/>
  <c r="U109" i="3"/>
  <c r="T109" i="3"/>
  <c r="S109" i="3"/>
  <c r="W108" i="3"/>
  <c r="V108" i="3"/>
  <c r="U108" i="3"/>
  <c r="T108" i="3"/>
  <c r="S108" i="3"/>
  <c r="W107" i="3"/>
  <c r="V107" i="3"/>
  <c r="U107" i="3"/>
  <c r="T107" i="3"/>
  <c r="S107" i="3"/>
  <c r="W106" i="3"/>
  <c r="V106" i="3"/>
  <c r="U106" i="3"/>
  <c r="T106" i="3"/>
  <c r="S106" i="3"/>
  <c r="W105" i="3"/>
  <c r="V105" i="3"/>
  <c r="U105" i="3"/>
  <c r="T105" i="3"/>
  <c r="S105" i="3"/>
  <c r="W104" i="3"/>
  <c r="V104" i="3"/>
  <c r="U104" i="3"/>
  <c r="T104" i="3"/>
  <c r="S104" i="3"/>
  <c r="W103" i="3"/>
  <c r="V103" i="3"/>
  <c r="U103" i="3"/>
  <c r="T103" i="3"/>
  <c r="S103" i="3"/>
  <c r="W102" i="3"/>
  <c r="V102" i="3"/>
  <c r="U102" i="3"/>
  <c r="T102" i="3"/>
  <c r="S102" i="3"/>
  <c r="W101" i="3"/>
  <c r="V101" i="3"/>
  <c r="U101" i="3"/>
  <c r="T101" i="3"/>
  <c r="S101" i="3"/>
  <c r="W100" i="3"/>
  <c r="V100" i="3"/>
  <c r="U100" i="3"/>
  <c r="T100" i="3"/>
  <c r="S100" i="3"/>
  <c r="W99" i="3"/>
  <c r="V99" i="3"/>
  <c r="U99" i="3"/>
  <c r="T99" i="3"/>
  <c r="S99" i="3"/>
  <c r="W89" i="3"/>
  <c r="V89" i="3"/>
  <c r="U89" i="3"/>
  <c r="T89" i="3"/>
  <c r="S89" i="3"/>
  <c r="W88" i="3"/>
  <c r="V88" i="3"/>
  <c r="U88" i="3"/>
  <c r="T88" i="3"/>
  <c r="S88" i="3"/>
  <c r="W87" i="3"/>
  <c r="V87" i="3"/>
  <c r="U87" i="3"/>
  <c r="T87" i="3"/>
  <c r="S87" i="3"/>
  <c r="W86" i="3"/>
  <c r="V86" i="3"/>
  <c r="U86" i="3"/>
  <c r="T86" i="3"/>
  <c r="S86" i="3"/>
  <c r="W85" i="3"/>
  <c r="V85" i="3"/>
  <c r="U85" i="3"/>
  <c r="T85" i="3"/>
  <c r="S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W80" i="3"/>
  <c r="V80" i="3"/>
  <c r="U80" i="3"/>
  <c r="T80" i="3"/>
  <c r="S80" i="3"/>
  <c r="W79" i="3"/>
  <c r="V79" i="3"/>
  <c r="U79" i="3"/>
  <c r="T79" i="3"/>
  <c r="S79" i="3"/>
  <c r="W78" i="3"/>
  <c r="V78" i="3"/>
  <c r="U78" i="3"/>
  <c r="T78" i="3"/>
  <c r="S78" i="3"/>
  <c r="W77" i="3"/>
  <c r="V77" i="3"/>
  <c r="U77" i="3"/>
  <c r="T77" i="3"/>
  <c r="S77" i="3"/>
  <c r="W76" i="3"/>
  <c r="V76" i="3"/>
  <c r="U76" i="3"/>
  <c r="T76" i="3"/>
  <c r="S76" i="3"/>
  <c r="W75" i="3"/>
  <c r="V75" i="3"/>
  <c r="U75" i="3"/>
  <c r="T75" i="3"/>
  <c r="S75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W61" i="3"/>
  <c r="V61" i="3"/>
  <c r="U61" i="3"/>
  <c r="T61" i="3"/>
  <c r="S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W56" i="3"/>
  <c r="V56" i="3"/>
  <c r="U56" i="3"/>
  <c r="T56" i="3"/>
  <c r="S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U27" i="3"/>
  <c r="T27" i="3"/>
  <c r="S27" i="3"/>
  <c r="R19" i="3"/>
  <c r="R43" i="3" s="1"/>
  <c r="R67" i="3" s="1"/>
  <c r="R91" i="3" s="1"/>
  <c r="R115" i="3" s="1"/>
  <c r="T123" i="3" s="1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W10" i="3"/>
  <c r="V10" i="3"/>
  <c r="U10" i="3"/>
  <c r="T10" i="3"/>
  <c r="S10" i="3"/>
  <c r="W9" i="3"/>
  <c r="V9" i="3"/>
  <c r="U9" i="3"/>
  <c r="T9" i="3"/>
  <c r="S9" i="3"/>
  <c r="W8" i="3"/>
  <c r="V8" i="3"/>
  <c r="U8" i="3"/>
  <c r="T8" i="3"/>
  <c r="S8" i="3"/>
  <c r="W7" i="3"/>
  <c r="V7" i="3"/>
  <c r="U7" i="3"/>
  <c r="T7" i="3"/>
  <c r="S7" i="3"/>
  <c r="W6" i="3"/>
  <c r="V6" i="3"/>
  <c r="U6" i="3"/>
  <c r="T6" i="3"/>
  <c r="S6" i="3"/>
  <c r="W5" i="3"/>
  <c r="V5" i="3"/>
  <c r="U5" i="3"/>
  <c r="T5" i="3"/>
  <c r="S5" i="3"/>
  <c r="W4" i="3"/>
  <c r="V4" i="3"/>
  <c r="U4" i="3"/>
  <c r="T4" i="3"/>
  <c r="S4" i="3"/>
  <c r="W3" i="3"/>
  <c r="V3" i="3"/>
  <c r="U3" i="3"/>
  <c r="T3" i="3"/>
  <c r="S3" i="3"/>
  <c r="O113" i="3"/>
  <c r="N113" i="3"/>
  <c r="M113" i="3"/>
  <c r="L113" i="3"/>
  <c r="K113" i="3"/>
  <c r="O112" i="3"/>
  <c r="N112" i="3"/>
  <c r="M112" i="3"/>
  <c r="L112" i="3"/>
  <c r="K112" i="3"/>
  <c r="O111" i="3"/>
  <c r="N111" i="3"/>
  <c r="M111" i="3"/>
  <c r="L111" i="3"/>
  <c r="K111" i="3"/>
  <c r="O110" i="3"/>
  <c r="N110" i="3"/>
  <c r="M110" i="3"/>
  <c r="L110" i="3"/>
  <c r="K110" i="3"/>
  <c r="O109" i="3"/>
  <c r="N109" i="3"/>
  <c r="M109" i="3"/>
  <c r="L109" i="3"/>
  <c r="K109" i="3"/>
  <c r="O108" i="3"/>
  <c r="N108" i="3"/>
  <c r="M108" i="3"/>
  <c r="L108" i="3"/>
  <c r="K108" i="3"/>
  <c r="O107" i="3"/>
  <c r="N107" i="3"/>
  <c r="M107" i="3"/>
  <c r="L107" i="3"/>
  <c r="K107" i="3"/>
  <c r="O106" i="3"/>
  <c r="N106" i="3"/>
  <c r="M106" i="3"/>
  <c r="L106" i="3"/>
  <c r="K106" i="3"/>
  <c r="O105" i="3"/>
  <c r="N105" i="3"/>
  <c r="M105" i="3"/>
  <c r="L105" i="3"/>
  <c r="K105" i="3"/>
  <c r="O104" i="3"/>
  <c r="N104" i="3"/>
  <c r="M104" i="3"/>
  <c r="L104" i="3"/>
  <c r="K104" i="3"/>
  <c r="O103" i="3"/>
  <c r="N103" i="3"/>
  <c r="M103" i="3"/>
  <c r="L103" i="3"/>
  <c r="K103" i="3"/>
  <c r="O102" i="3"/>
  <c r="N102" i="3"/>
  <c r="M102" i="3"/>
  <c r="L102" i="3"/>
  <c r="K102" i="3"/>
  <c r="O101" i="3"/>
  <c r="N101" i="3"/>
  <c r="M101" i="3"/>
  <c r="L101" i="3"/>
  <c r="K101" i="3"/>
  <c r="O100" i="3"/>
  <c r="N100" i="3"/>
  <c r="M100" i="3"/>
  <c r="L100" i="3"/>
  <c r="K100" i="3"/>
  <c r="O99" i="3"/>
  <c r="N99" i="3"/>
  <c r="M99" i="3"/>
  <c r="L99" i="3"/>
  <c r="K99" i="3"/>
  <c r="O89" i="3"/>
  <c r="N89" i="3"/>
  <c r="M89" i="3"/>
  <c r="L89" i="3"/>
  <c r="K89" i="3"/>
  <c r="O88" i="3"/>
  <c r="N88" i="3"/>
  <c r="M88" i="3"/>
  <c r="L88" i="3"/>
  <c r="K88" i="3"/>
  <c r="O87" i="3"/>
  <c r="N87" i="3"/>
  <c r="M87" i="3"/>
  <c r="L87" i="3"/>
  <c r="K87" i="3"/>
  <c r="O86" i="3"/>
  <c r="N86" i="3"/>
  <c r="M86" i="3"/>
  <c r="L86" i="3"/>
  <c r="K86" i="3"/>
  <c r="O85" i="3"/>
  <c r="N85" i="3"/>
  <c r="M85" i="3"/>
  <c r="L85" i="3"/>
  <c r="K85" i="3"/>
  <c r="O84" i="3"/>
  <c r="N84" i="3"/>
  <c r="M84" i="3"/>
  <c r="L84" i="3"/>
  <c r="K84" i="3"/>
  <c r="O83" i="3"/>
  <c r="N83" i="3"/>
  <c r="M83" i="3"/>
  <c r="L83" i="3"/>
  <c r="K83" i="3"/>
  <c r="O82" i="3"/>
  <c r="N82" i="3"/>
  <c r="M82" i="3"/>
  <c r="L82" i="3"/>
  <c r="K82" i="3"/>
  <c r="O81" i="3"/>
  <c r="N81" i="3"/>
  <c r="M81" i="3"/>
  <c r="L81" i="3"/>
  <c r="K81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6" i="3"/>
  <c r="N76" i="3"/>
  <c r="M76" i="3"/>
  <c r="L76" i="3"/>
  <c r="K76" i="3"/>
  <c r="O75" i="3"/>
  <c r="N75" i="3"/>
  <c r="M75" i="3"/>
  <c r="L75" i="3"/>
  <c r="K75" i="3"/>
  <c r="O65" i="3"/>
  <c r="N65" i="3"/>
  <c r="M65" i="3"/>
  <c r="L65" i="3"/>
  <c r="K65" i="3"/>
  <c r="O64" i="3"/>
  <c r="N64" i="3"/>
  <c r="M64" i="3"/>
  <c r="L64" i="3"/>
  <c r="K64" i="3"/>
  <c r="O63" i="3"/>
  <c r="N63" i="3"/>
  <c r="M63" i="3"/>
  <c r="L63" i="3"/>
  <c r="K63" i="3"/>
  <c r="O62" i="3"/>
  <c r="N62" i="3"/>
  <c r="M62" i="3"/>
  <c r="L62" i="3"/>
  <c r="K62" i="3"/>
  <c r="O61" i="3"/>
  <c r="N61" i="3"/>
  <c r="M61" i="3"/>
  <c r="L61" i="3"/>
  <c r="K61" i="3"/>
  <c r="O60" i="3"/>
  <c r="N60" i="3"/>
  <c r="M60" i="3"/>
  <c r="L60" i="3"/>
  <c r="K60" i="3"/>
  <c r="O59" i="3"/>
  <c r="N59" i="3"/>
  <c r="M59" i="3"/>
  <c r="L59" i="3"/>
  <c r="K59" i="3"/>
  <c r="O58" i="3"/>
  <c r="N58" i="3"/>
  <c r="M58" i="3"/>
  <c r="L58" i="3"/>
  <c r="K58" i="3"/>
  <c r="O57" i="3"/>
  <c r="N57" i="3"/>
  <c r="M57" i="3"/>
  <c r="L57" i="3"/>
  <c r="K57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7" i="3"/>
  <c r="N27" i="3"/>
  <c r="M27" i="3"/>
  <c r="L27" i="3"/>
  <c r="K27" i="3"/>
  <c r="J19" i="3"/>
  <c r="J43" i="3" s="1"/>
  <c r="J67" i="3" s="1"/>
  <c r="J91" i="3" s="1"/>
  <c r="J115" i="3" s="1"/>
  <c r="L123" i="3" s="1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M5" i="3"/>
  <c r="L5" i="3"/>
  <c r="K5" i="3"/>
  <c r="O4" i="3"/>
  <c r="N4" i="3"/>
  <c r="M4" i="3"/>
  <c r="L4" i="3"/>
  <c r="K4" i="3"/>
  <c r="O3" i="3"/>
  <c r="N3" i="3"/>
  <c r="M3" i="3"/>
  <c r="L3" i="3"/>
  <c r="K3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E75" i="3"/>
  <c r="D75" i="3"/>
  <c r="C75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G3" i="3"/>
  <c r="F3" i="3"/>
  <c r="N9" i="6"/>
  <c r="M2" i="6"/>
  <c r="O2" i="6" s="1"/>
  <c r="Q2" i="6" s="1"/>
  <c r="M3" i="6"/>
  <c r="O3" i="6" s="1"/>
  <c r="Q3" i="6" s="1"/>
  <c r="M4" i="6"/>
  <c r="O4" i="6" s="1"/>
  <c r="Q4" i="6" s="1"/>
  <c r="M5" i="6"/>
  <c r="O5" i="6" s="1"/>
  <c r="Q5" i="6" s="1"/>
  <c r="M6" i="6"/>
  <c r="O6" i="6" s="1"/>
  <c r="M7" i="6"/>
  <c r="O7" i="6" s="1"/>
  <c r="Q7" i="6" s="1"/>
  <c r="M8" i="6"/>
  <c r="O8" i="6" s="1"/>
  <c r="Q8" i="6" s="1"/>
  <c r="N2" i="6"/>
  <c r="P2" i="6" s="1"/>
  <c r="R2" i="6" s="1"/>
  <c r="N3" i="6"/>
  <c r="P3" i="6" s="1"/>
  <c r="R3" i="6" s="1"/>
  <c r="N4" i="6"/>
  <c r="P4" i="6" s="1"/>
  <c r="R4" i="6" s="1"/>
  <c r="N5" i="6"/>
  <c r="P5" i="6" s="1"/>
  <c r="R5" i="6" s="1"/>
  <c r="N6" i="6"/>
  <c r="P6" i="6" s="1"/>
  <c r="R6" i="6" s="1"/>
  <c r="N7" i="6"/>
  <c r="P7" i="6" s="1"/>
  <c r="R7" i="6" s="1"/>
  <c r="N8" i="6"/>
  <c r="P8" i="6"/>
  <c r="R8" i="6" s="1"/>
  <c r="P9" i="6"/>
  <c r="R9" i="6" s="1"/>
  <c r="O9" i="6"/>
  <c r="Q9" i="6" s="1"/>
  <c r="H9" i="6"/>
  <c r="AD43" i="3" l="1"/>
  <c r="AA67" i="3"/>
  <c r="AE67" i="3"/>
  <c r="AC115" i="3"/>
  <c r="AB115" i="3"/>
  <c r="AB91" i="3"/>
  <c r="AA43" i="3"/>
  <c r="AE43" i="3"/>
  <c r="AB67" i="3"/>
  <c r="AC91" i="3"/>
  <c r="AD115" i="3"/>
  <c r="N19" i="3"/>
  <c r="N43" i="3"/>
  <c r="K67" i="3"/>
  <c r="O67" i="3"/>
  <c r="L91" i="3"/>
  <c r="M115" i="3"/>
  <c r="V19" i="3"/>
  <c r="V43" i="3"/>
  <c r="S67" i="3"/>
  <c r="W67" i="3"/>
  <c r="T91" i="3"/>
  <c r="U115" i="3"/>
  <c r="AD19" i="3"/>
  <c r="L19" i="3"/>
  <c r="L43" i="3"/>
  <c r="M67" i="3"/>
  <c r="N91" i="3"/>
  <c r="K115" i="3"/>
  <c r="O115" i="3"/>
  <c r="T19" i="3"/>
  <c r="T43" i="3"/>
  <c r="U67" i="3"/>
  <c r="V91" i="3"/>
  <c r="S115" i="3"/>
  <c r="W115" i="3"/>
  <c r="AB19" i="3"/>
  <c r="AB43" i="3"/>
  <c r="AC67" i="3"/>
  <c r="AD91" i="3"/>
  <c r="AA115" i="3"/>
  <c r="AE115" i="3"/>
  <c r="M19" i="3"/>
  <c r="J20" i="3" s="1"/>
  <c r="M43" i="3"/>
  <c r="N67" i="3"/>
  <c r="K91" i="3"/>
  <c r="O91" i="3"/>
  <c r="L115" i="3"/>
  <c r="U43" i="3"/>
  <c r="V67" i="3"/>
  <c r="S91" i="3"/>
  <c r="W91" i="3"/>
  <c r="T115" i="3"/>
  <c r="AC19" i="3"/>
  <c r="Z20" i="3" s="1"/>
  <c r="AC43" i="3"/>
  <c r="AD67" i="3"/>
  <c r="AA91" i="3"/>
  <c r="AE91" i="3"/>
  <c r="K43" i="3"/>
  <c r="O43" i="3"/>
  <c r="L67" i="3"/>
  <c r="M91" i="3"/>
  <c r="N115" i="3"/>
  <c r="S43" i="3"/>
  <c r="W43" i="3"/>
  <c r="T67" i="3"/>
  <c r="U91" i="3"/>
  <c r="V115" i="3"/>
  <c r="AA19" i="3"/>
  <c r="Z21" i="3" s="1"/>
  <c r="AE19" i="3"/>
  <c r="S19" i="3"/>
  <c r="R21" i="3" s="1"/>
  <c r="W19" i="3"/>
  <c r="U19" i="3"/>
  <c r="R20" i="3" s="1"/>
  <c r="K19" i="3"/>
  <c r="J21" i="3" s="1"/>
  <c r="O19" i="3"/>
  <c r="Q6" i="6"/>
  <c r="S6" i="6" s="1"/>
  <c r="S9" i="6"/>
  <c r="S7" i="6"/>
  <c r="S8" i="6"/>
  <c r="S4" i="6"/>
  <c r="S5" i="6"/>
  <c r="S3" i="6"/>
  <c r="S2" i="6"/>
  <c r="J22" i="3" l="1"/>
  <c r="Z22" i="3"/>
  <c r="J45" i="3"/>
  <c r="R45" i="3"/>
  <c r="L125" i="3"/>
  <c r="T125" i="3"/>
  <c r="Z44" i="3"/>
  <c r="Z68" i="3" s="1"/>
  <c r="R44" i="3"/>
  <c r="R46" i="3" s="1"/>
  <c r="J44" i="3"/>
  <c r="J46" i="3" s="1"/>
  <c r="AB125" i="3"/>
  <c r="R22" i="3"/>
  <c r="Z45" i="3"/>
  <c r="J23" i="3"/>
  <c r="J24" i="3" s="1"/>
  <c r="Z23" i="3"/>
  <c r="Z24" i="3" s="1"/>
  <c r="R23" i="3"/>
  <c r="R24" i="3" s="1"/>
  <c r="K21" i="6"/>
  <c r="K20" i="6"/>
  <c r="H6" i="6"/>
  <c r="B3" i="6"/>
  <c r="C3" i="6" s="1"/>
  <c r="F3" i="6" s="1"/>
  <c r="B4" i="6"/>
  <c r="C4" i="6" s="1"/>
  <c r="F4" i="6" s="1"/>
  <c r="B5" i="6"/>
  <c r="C5" i="6" s="1"/>
  <c r="B6" i="6"/>
  <c r="C6" i="6" s="1"/>
  <c r="B7" i="6"/>
  <c r="C7" i="6" s="1"/>
  <c r="B8" i="6"/>
  <c r="C8" i="6" s="1"/>
  <c r="B2" i="6"/>
  <c r="C2" i="6" s="1"/>
  <c r="F2" i="6" s="1"/>
  <c r="K16" i="6"/>
  <c r="M16" i="6" s="1"/>
  <c r="K17" i="6"/>
  <c r="L20" i="6" l="1"/>
  <c r="Z47" i="3"/>
  <c r="Z48" i="3" s="1"/>
  <c r="J69" i="3"/>
  <c r="Z46" i="3"/>
  <c r="Z69" i="3"/>
  <c r="Z71" i="3" s="1"/>
  <c r="N17" i="6"/>
  <c r="F8" i="6"/>
  <c r="R68" i="3"/>
  <c r="R93" i="3" s="1"/>
  <c r="J68" i="3"/>
  <c r="J70" i="3" s="1"/>
  <c r="R69" i="3"/>
  <c r="R47" i="3"/>
  <c r="R48" i="3" s="1"/>
  <c r="J47" i="3"/>
  <c r="J48" i="3" s="1"/>
  <c r="Z70" i="3"/>
  <c r="Z92" i="3"/>
  <c r="Z93" i="3"/>
  <c r="F5" i="6"/>
  <c r="E5" i="6"/>
  <c r="L21" i="6"/>
  <c r="L22" i="6" s="1"/>
  <c r="M17" i="6"/>
  <c r="F6" i="6"/>
  <c r="F7" i="6"/>
  <c r="R70" i="3" l="1"/>
  <c r="R71" i="3"/>
  <c r="R72" i="3" s="1"/>
  <c r="J71" i="3"/>
  <c r="J72" i="3" s="1"/>
  <c r="R92" i="3"/>
  <c r="R95" i="3" s="1"/>
  <c r="J93" i="3"/>
  <c r="J92" i="3"/>
  <c r="J116" i="3" s="1"/>
  <c r="Z72" i="3"/>
  <c r="Z95" i="3"/>
  <c r="Z116" i="3"/>
  <c r="Z117" i="3"/>
  <c r="Z94" i="3"/>
  <c r="R116" i="3" l="1"/>
  <c r="T124" i="3" s="1"/>
  <c r="T126" i="3" s="1"/>
  <c r="R94" i="3"/>
  <c r="R117" i="3"/>
  <c r="J94" i="3"/>
  <c r="J117" i="3"/>
  <c r="J119" i="3" s="1"/>
  <c r="J95" i="3"/>
  <c r="J96" i="3" s="1"/>
  <c r="Z96" i="3"/>
  <c r="R96" i="3"/>
  <c r="AB124" i="3"/>
  <c r="AB126" i="3" s="1"/>
  <c r="Z119" i="3"/>
  <c r="Z118" i="3"/>
  <c r="L124" i="3"/>
  <c r="L126" i="3" s="1"/>
  <c r="J118" i="3"/>
  <c r="E3" i="6"/>
  <c r="E4" i="6"/>
  <c r="E2" i="6"/>
  <c r="Z120" i="3" l="1"/>
  <c r="AB127" i="3" s="1"/>
  <c r="R118" i="3"/>
  <c r="R119" i="3"/>
  <c r="R120" i="3" s="1"/>
  <c r="T127" i="3" s="1"/>
  <c r="J120" i="3"/>
  <c r="L127" i="3" s="1"/>
  <c r="J151" i="1" l="1"/>
  <c r="T151" i="1"/>
  <c r="J152" i="1"/>
  <c r="T152" i="1"/>
  <c r="J153" i="1"/>
  <c r="T153" i="1"/>
  <c r="J154" i="1"/>
  <c r="T154" i="1"/>
  <c r="J155" i="1"/>
  <c r="T155" i="1"/>
  <c r="J156" i="1"/>
  <c r="T156" i="1"/>
  <c r="J157" i="1"/>
  <c r="T157" i="1"/>
  <c r="J158" i="1"/>
  <c r="T158" i="1"/>
  <c r="J159" i="1"/>
  <c r="T159" i="1"/>
  <c r="J160" i="1"/>
  <c r="T160" i="1"/>
  <c r="J161" i="1"/>
  <c r="T161" i="1"/>
  <c r="J162" i="1"/>
  <c r="T162" i="1"/>
  <c r="J163" i="1"/>
  <c r="T163" i="1"/>
  <c r="J164" i="1"/>
  <c r="T164" i="1"/>
  <c r="J165" i="1"/>
  <c r="T165" i="1"/>
  <c r="J166" i="1"/>
  <c r="T166" i="1"/>
  <c r="J167" i="1"/>
  <c r="T167" i="1"/>
  <c r="J168" i="1"/>
  <c r="T168" i="1"/>
  <c r="J169" i="1"/>
  <c r="T169" i="1"/>
  <c r="J170" i="1"/>
  <c r="T170" i="1"/>
  <c r="J171" i="1"/>
  <c r="T171" i="1"/>
  <c r="J172" i="1"/>
  <c r="T172" i="1"/>
  <c r="J173" i="1"/>
  <c r="T173" i="1"/>
  <c r="J174" i="1"/>
  <c r="T174" i="1"/>
  <c r="J175" i="1"/>
  <c r="T175" i="1"/>
  <c r="J176" i="1"/>
  <c r="T176" i="1"/>
  <c r="J177" i="1"/>
  <c r="T177" i="1"/>
  <c r="J178" i="1"/>
  <c r="T178" i="1"/>
  <c r="J179" i="1"/>
  <c r="T179" i="1"/>
  <c r="J180" i="1"/>
  <c r="T180" i="1"/>
  <c r="J181" i="1"/>
  <c r="T181" i="1"/>
  <c r="J182" i="1"/>
  <c r="T182" i="1"/>
  <c r="J183" i="1"/>
  <c r="T183" i="1"/>
  <c r="J184" i="1"/>
  <c r="T184" i="1"/>
  <c r="J185" i="1"/>
  <c r="T185" i="1"/>
  <c r="J186" i="1"/>
  <c r="T186" i="1"/>
  <c r="J187" i="1"/>
  <c r="T187" i="1"/>
  <c r="J188" i="1"/>
  <c r="T188" i="1"/>
  <c r="J189" i="1"/>
  <c r="T189" i="1"/>
  <c r="J190" i="1"/>
  <c r="T190" i="1"/>
  <c r="J191" i="1"/>
  <c r="T191" i="1"/>
  <c r="J192" i="1"/>
  <c r="T192" i="1"/>
  <c r="J193" i="1"/>
  <c r="T193" i="1"/>
  <c r="J194" i="1"/>
  <c r="T194" i="1"/>
  <c r="J195" i="1"/>
  <c r="T195" i="1"/>
  <c r="J196" i="1"/>
  <c r="T196" i="1"/>
  <c r="J197" i="1"/>
  <c r="T197" i="1"/>
  <c r="J198" i="1"/>
  <c r="T198" i="1"/>
  <c r="J199" i="1"/>
  <c r="T199" i="1"/>
  <c r="J200" i="1"/>
  <c r="T200" i="1"/>
  <c r="J201" i="1"/>
  <c r="T201" i="1"/>
  <c r="J202" i="1"/>
  <c r="T202" i="1"/>
  <c r="J203" i="1"/>
  <c r="T203" i="1"/>
  <c r="J204" i="1"/>
  <c r="T204" i="1"/>
  <c r="J205" i="1"/>
  <c r="T205" i="1"/>
  <c r="J206" i="1"/>
  <c r="T206" i="1"/>
  <c r="J207" i="1"/>
  <c r="T207" i="1"/>
  <c r="J208" i="1"/>
  <c r="T208" i="1"/>
  <c r="J209" i="1"/>
  <c r="T209" i="1"/>
  <c r="J210" i="1"/>
  <c r="T210" i="1"/>
  <c r="J211" i="1"/>
  <c r="T211" i="1"/>
  <c r="J212" i="1"/>
  <c r="T212" i="1"/>
  <c r="J213" i="1"/>
  <c r="T213" i="1"/>
  <c r="J214" i="1"/>
  <c r="T214" i="1"/>
  <c r="J215" i="1"/>
  <c r="M215" i="1" s="1"/>
  <c r="T215" i="1"/>
  <c r="J216" i="1"/>
  <c r="T216" i="1"/>
  <c r="J217" i="1"/>
  <c r="T217" i="1"/>
  <c r="J218" i="1"/>
  <c r="T218" i="1"/>
  <c r="J219" i="1"/>
  <c r="T219" i="1"/>
  <c r="J220" i="1"/>
  <c r="T220" i="1"/>
  <c r="J221" i="1"/>
  <c r="T221" i="1"/>
  <c r="J222" i="1"/>
  <c r="T222" i="1"/>
  <c r="J223" i="1"/>
  <c r="T223" i="1"/>
  <c r="J224" i="1"/>
  <c r="T224" i="1"/>
  <c r="J225" i="1"/>
  <c r="M225" i="1" s="1"/>
  <c r="T225" i="1"/>
  <c r="J226" i="1"/>
  <c r="T226" i="1"/>
  <c r="J227" i="1"/>
  <c r="T227" i="1"/>
  <c r="J228" i="1"/>
  <c r="T228" i="1"/>
  <c r="J229" i="1"/>
  <c r="T229" i="1"/>
  <c r="J230" i="1"/>
  <c r="T230" i="1"/>
  <c r="J231" i="1"/>
  <c r="T231" i="1"/>
  <c r="J232" i="1"/>
  <c r="T232" i="1"/>
  <c r="J233" i="1"/>
  <c r="T233" i="1"/>
  <c r="J234" i="1"/>
  <c r="T234" i="1"/>
  <c r="J235" i="1"/>
  <c r="T235" i="1"/>
  <c r="J236" i="1"/>
  <c r="M236" i="1" s="1"/>
  <c r="T236" i="1"/>
  <c r="J237" i="1"/>
  <c r="T237" i="1"/>
  <c r="J238" i="1"/>
  <c r="T238" i="1"/>
  <c r="J239" i="1"/>
  <c r="T239" i="1"/>
  <c r="J240" i="1"/>
  <c r="T240" i="1"/>
  <c r="J241" i="1"/>
  <c r="T241" i="1"/>
  <c r="J242" i="1"/>
  <c r="T242" i="1"/>
  <c r="J243" i="1"/>
  <c r="T243" i="1"/>
  <c r="J244" i="1"/>
  <c r="T244" i="1"/>
  <c r="J245" i="1"/>
  <c r="T245" i="1"/>
  <c r="J246" i="1"/>
  <c r="T246" i="1"/>
  <c r="J247" i="1"/>
  <c r="T247" i="1"/>
  <c r="J248" i="1"/>
  <c r="T248" i="1"/>
  <c r="J249" i="1"/>
  <c r="T249" i="1"/>
  <c r="J250" i="1"/>
  <c r="T250" i="1"/>
  <c r="J251" i="1"/>
  <c r="T251" i="1"/>
  <c r="J252" i="1"/>
  <c r="T252" i="1"/>
  <c r="J253" i="1"/>
  <c r="T253" i="1"/>
  <c r="J254" i="1"/>
  <c r="T254" i="1"/>
  <c r="J255" i="1"/>
  <c r="T255" i="1"/>
  <c r="J256" i="1"/>
  <c r="T256" i="1"/>
  <c r="J257" i="1"/>
  <c r="T257" i="1"/>
  <c r="J258" i="1"/>
  <c r="T258" i="1"/>
  <c r="J259" i="1"/>
  <c r="T259" i="1"/>
  <c r="J260" i="1"/>
  <c r="T260" i="1"/>
  <c r="J261" i="1"/>
  <c r="T261" i="1"/>
  <c r="J262" i="1"/>
  <c r="T262" i="1"/>
  <c r="J263" i="1"/>
  <c r="T263" i="1"/>
  <c r="J264" i="1"/>
  <c r="T264" i="1"/>
  <c r="J265" i="1"/>
  <c r="T265" i="1"/>
  <c r="J266" i="1"/>
  <c r="T266" i="1"/>
  <c r="J267" i="1"/>
  <c r="T267" i="1"/>
  <c r="J268" i="1"/>
  <c r="T268" i="1"/>
  <c r="J269" i="1"/>
  <c r="T269" i="1"/>
  <c r="J270" i="1"/>
  <c r="T270" i="1"/>
  <c r="J271" i="1"/>
  <c r="T271" i="1"/>
  <c r="J272" i="1"/>
  <c r="T272" i="1"/>
  <c r="J273" i="1"/>
  <c r="T273" i="1"/>
  <c r="J274" i="1"/>
  <c r="T274" i="1"/>
  <c r="J275" i="1"/>
  <c r="T275" i="1"/>
  <c r="J276" i="1"/>
  <c r="T276" i="1"/>
  <c r="J277" i="1"/>
  <c r="T277" i="1"/>
  <c r="J278" i="1"/>
  <c r="T278" i="1"/>
  <c r="J279" i="1"/>
  <c r="T279" i="1"/>
  <c r="J280" i="1"/>
  <c r="T280" i="1"/>
  <c r="J281" i="1"/>
  <c r="T281" i="1"/>
  <c r="J282" i="1"/>
  <c r="T282" i="1"/>
  <c r="J283" i="1"/>
  <c r="T283" i="1"/>
  <c r="J284" i="1"/>
  <c r="T284" i="1"/>
  <c r="J285" i="1"/>
  <c r="T285" i="1"/>
  <c r="J286" i="1"/>
  <c r="T286" i="1"/>
  <c r="J287" i="1"/>
  <c r="T287" i="1"/>
  <c r="J288" i="1"/>
  <c r="T288" i="1"/>
  <c r="J289" i="1"/>
  <c r="T289" i="1"/>
  <c r="J290" i="1"/>
  <c r="T290" i="1"/>
  <c r="J291" i="1"/>
  <c r="T291" i="1"/>
  <c r="J292" i="1"/>
  <c r="T292" i="1"/>
  <c r="J293" i="1"/>
  <c r="T293" i="1"/>
  <c r="J294" i="1"/>
  <c r="T294" i="1"/>
  <c r="J295" i="1"/>
  <c r="T295" i="1"/>
  <c r="J296" i="1"/>
  <c r="T296" i="1"/>
  <c r="J297" i="1"/>
  <c r="T297" i="1"/>
  <c r="J298" i="1"/>
  <c r="T298" i="1"/>
  <c r="J299" i="1"/>
  <c r="T299" i="1"/>
  <c r="J300" i="1"/>
  <c r="T300" i="1"/>
  <c r="J301" i="1"/>
  <c r="T301" i="1"/>
  <c r="K236" i="1" l="1"/>
  <c r="L236" i="1" s="1"/>
  <c r="Z236" i="1" s="1"/>
  <c r="M280" i="1"/>
  <c r="Q280" i="1"/>
  <c r="P280" i="1"/>
  <c r="M298" i="1"/>
  <c r="Q298" i="1"/>
  <c r="P298" i="1"/>
  <c r="M290" i="1"/>
  <c r="U290" i="1" s="1"/>
  <c r="Q290" i="1"/>
  <c r="P290" i="1"/>
  <c r="M278" i="1"/>
  <c r="P278" i="1"/>
  <c r="Q278" i="1"/>
  <c r="M270" i="1"/>
  <c r="Q270" i="1"/>
  <c r="P270" i="1"/>
  <c r="M258" i="1"/>
  <c r="P258" i="1"/>
  <c r="Q258" i="1"/>
  <c r="M246" i="1"/>
  <c r="W246" i="1" s="1"/>
  <c r="Y246" i="1" s="1"/>
  <c r="P246" i="1"/>
  <c r="Q246" i="1"/>
  <c r="M238" i="1"/>
  <c r="Q238" i="1"/>
  <c r="P238" i="1"/>
  <c r="M224" i="1"/>
  <c r="Q224" i="1"/>
  <c r="P224" i="1"/>
  <c r="Q215" i="1"/>
  <c r="P215" i="1"/>
  <c r="M299" i="1"/>
  <c r="Q299" i="1"/>
  <c r="P299" i="1"/>
  <c r="M295" i="1"/>
  <c r="Q295" i="1"/>
  <c r="P295" i="1"/>
  <c r="M291" i="1"/>
  <c r="Q291" i="1"/>
  <c r="P291" i="1"/>
  <c r="M287" i="1"/>
  <c r="O287" i="1" s="1"/>
  <c r="Q287" i="1"/>
  <c r="P287" i="1"/>
  <c r="M283" i="1"/>
  <c r="Q283" i="1"/>
  <c r="P283" i="1"/>
  <c r="M279" i="1"/>
  <c r="Q279" i="1"/>
  <c r="P279" i="1"/>
  <c r="M275" i="1"/>
  <c r="Q275" i="1"/>
  <c r="P275" i="1"/>
  <c r="M271" i="1"/>
  <c r="U271" i="1" s="1"/>
  <c r="Q271" i="1"/>
  <c r="P271" i="1"/>
  <c r="M267" i="1"/>
  <c r="Q267" i="1"/>
  <c r="P267" i="1"/>
  <c r="M263" i="1"/>
  <c r="Q263" i="1"/>
  <c r="P263" i="1"/>
  <c r="M259" i="1"/>
  <c r="Q259" i="1"/>
  <c r="P259" i="1"/>
  <c r="M255" i="1"/>
  <c r="O255" i="1" s="1"/>
  <c r="Q255" i="1"/>
  <c r="P255" i="1"/>
  <c r="M251" i="1"/>
  <c r="Q251" i="1"/>
  <c r="P251" i="1"/>
  <c r="M247" i="1"/>
  <c r="Q247" i="1"/>
  <c r="P247" i="1"/>
  <c r="M243" i="1"/>
  <c r="Q243" i="1"/>
  <c r="P243" i="1"/>
  <c r="M239" i="1"/>
  <c r="O239" i="1" s="1"/>
  <c r="Q239" i="1"/>
  <c r="P239" i="1"/>
  <c r="M234" i="1"/>
  <c r="W234" i="1" s="1"/>
  <c r="Y234" i="1" s="1"/>
  <c r="Q234" i="1"/>
  <c r="P234" i="1"/>
  <c r="M230" i="1"/>
  <c r="Q230" i="1"/>
  <c r="P230" i="1"/>
  <c r="M226" i="1"/>
  <c r="P226" i="1"/>
  <c r="Q226" i="1"/>
  <c r="P225" i="1"/>
  <c r="Q225" i="1"/>
  <c r="M221" i="1"/>
  <c r="P221" i="1"/>
  <c r="Q221" i="1"/>
  <c r="M217" i="1"/>
  <c r="P217" i="1"/>
  <c r="Q217" i="1"/>
  <c r="M212" i="1"/>
  <c r="O212" i="1" s="1"/>
  <c r="Q212" i="1"/>
  <c r="P212" i="1"/>
  <c r="M208" i="1"/>
  <c r="Q208" i="1"/>
  <c r="P208" i="1"/>
  <c r="M204" i="1"/>
  <c r="Q204" i="1"/>
  <c r="P204" i="1"/>
  <c r="M200" i="1"/>
  <c r="O200" i="1" s="1"/>
  <c r="Q200" i="1"/>
  <c r="P200" i="1"/>
  <c r="M196" i="1"/>
  <c r="W196" i="1" s="1"/>
  <c r="Y196" i="1" s="1"/>
  <c r="Q196" i="1"/>
  <c r="P196" i="1"/>
  <c r="M192" i="1"/>
  <c r="W192" i="1" s="1"/>
  <c r="Y192" i="1" s="1"/>
  <c r="Q192" i="1"/>
  <c r="P192" i="1"/>
  <c r="M188" i="1"/>
  <c r="Q188" i="1"/>
  <c r="P188" i="1"/>
  <c r="M184" i="1"/>
  <c r="W184" i="1" s="1"/>
  <c r="Y184" i="1" s="1"/>
  <c r="Q184" i="1"/>
  <c r="P184" i="1"/>
  <c r="M180" i="1"/>
  <c r="O180" i="1" s="1"/>
  <c r="Q180" i="1"/>
  <c r="P180" i="1"/>
  <c r="M176" i="1"/>
  <c r="Q176" i="1"/>
  <c r="P176" i="1"/>
  <c r="M172" i="1"/>
  <c r="Q172" i="1"/>
  <c r="P172" i="1"/>
  <c r="M168" i="1"/>
  <c r="W168" i="1" s="1"/>
  <c r="Y168" i="1" s="1"/>
  <c r="Q168" i="1"/>
  <c r="P168" i="1"/>
  <c r="M164" i="1"/>
  <c r="W164" i="1" s="1"/>
  <c r="Y164" i="1" s="1"/>
  <c r="Q164" i="1"/>
  <c r="P164" i="1"/>
  <c r="M160" i="1"/>
  <c r="Q160" i="1"/>
  <c r="P160" i="1"/>
  <c r="M156" i="1"/>
  <c r="Q156" i="1"/>
  <c r="P156" i="1"/>
  <c r="M152" i="1"/>
  <c r="O152" i="1" s="1"/>
  <c r="Q152" i="1"/>
  <c r="P152" i="1"/>
  <c r="M296" i="1"/>
  <c r="O296" i="1" s="1"/>
  <c r="Q296" i="1"/>
  <c r="P296" i="1"/>
  <c r="M268" i="1"/>
  <c r="Q268" i="1"/>
  <c r="P268" i="1"/>
  <c r="M264" i="1"/>
  <c r="W264" i="1" s="1"/>
  <c r="Y264" i="1" s="1"/>
  <c r="Q264" i="1"/>
  <c r="P264" i="1"/>
  <c r="M256" i="1"/>
  <c r="Q256" i="1"/>
  <c r="P256" i="1"/>
  <c r="M252" i="1"/>
  <c r="O252" i="1" s="1"/>
  <c r="Q252" i="1"/>
  <c r="P252" i="1"/>
  <c r="M222" i="1"/>
  <c r="W222" i="1" s="1"/>
  <c r="Y222" i="1" s="1"/>
  <c r="Q222" i="1"/>
  <c r="P222" i="1"/>
  <c r="M218" i="1"/>
  <c r="Q218" i="1"/>
  <c r="P218" i="1"/>
  <c r="K215" i="1"/>
  <c r="L215" i="1" s="1"/>
  <c r="Z215" i="1" s="1"/>
  <c r="M213" i="1"/>
  <c r="W213" i="1" s="1"/>
  <c r="Y213" i="1" s="1"/>
  <c r="P213" i="1"/>
  <c r="Q213" i="1"/>
  <c r="M209" i="1"/>
  <c r="P209" i="1"/>
  <c r="Q209" i="1"/>
  <c r="M205" i="1"/>
  <c r="U205" i="1" s="1"/>
  <c r="P205" i="1"/>
  <c r="Q205" i="1"/>
  <c r="M201" i="1"/>
  <c r="W201" i="1" s="1"/>
  <c r="Y201" i="1" s="1"/>
  <c r="P201" i="1"/>
  <c r="Q201" i="1"/>
  <c r="M197" i="1"/>
  <c r="W197" i="1" s="1"/>
  <c r="Y197" i="1" s="1"/>
  <c r="P197" i="1"/>
  <c r="Q197" i="1"/>
  <c r="M193" i="1"/>
  <c r="W193" i="1" s="1"/>
  <c r="Y193" i="1" s="1"/>
  <c r="P193" i="1"/>
  <c r="Q193" i="1"/>
  <c r="M189" i="1"/>
  <c r="O189" i="1" s="1"/>
  <c r="P189" i="1"/>
  <c r="Q189" i="1"/>
  <c r="M185" i="1"/>
  <c r="W185" i="1" s="1"/>
  <c r="Y185" i="1" s="1"/>
  <c r="P185" i="1"/>
  <c r="Q185" i="1"/>
  <c r="M181" i="1"/>
  <c r="W181" i="1" s="1"/>
  <c r="Y181" i="1" s="1"/>
  <c r="P181" i="1"/>
  <c r="Q181" i="1"/>
  <c r="M177" i="1"/>
  <c r="P177" i="1"/>
  <c r="Q177" i="1"/>
  <c r="M173" i="1"/>
  <c r="W173" i="1" s="1"/>
  <c r="Y173" i="1" s="1"/>
  <c r="P173" i="1"/>
  <c r="Q173" i="1"/>
  <c r="M169" i="1"/>
  <c r="P169" i="1"/>
  <c r="Q169" i="1"/>
  <c r="M165" i="1"/>
  <c r="W165" i="1" s="1"/>
  <c r="Y165" i="1" s="1"/>
  <c r="P165" i="1"/>
  <c r="Q165" i="1"/>
  <c r="M161" i="1"/>
  <c r="P161" i="1"/>
  <c r="Q161" i="1"/>
  <c r="M157" i="1"/>
  <c r="U157" i="1" s="1"/>
  <c r="P157" i="1"/>
  <c r="Q157" i="1"/>
  <c r="M153" i="1"/>
  <c r="P153" i="1"/>
  <c r="Q153" i="1"/>
  <c r="M284" i="1"/>
  <c r="O284" i="1" s="1"/>
  <c r="Q284" i="1"/>
  <c r="P284" i="1"/>
  <c r="M276" i="1"/>
  <c r="W276" i="1" s="1"/>
  <c r="Y276" i="1" s="1"/>
  <c r="Q276" i="1"/>
  <c r="P276" i="1"/>
  <c r="M260" i="1"/>
  <c r="W260" i="1" s="1"/>
  <c r="Y260" i="1" s="1"/>
  <c r="Q260" i="1"/>
  <c r="P260" i="1"/>
  <c r="M248" i="1"/>
  <c r="Q248" i="1"/>
  <c r="P248" i="1"/>
  <c r="M244" i="1"/>
  <c r="W244" i="1" s="1"/>
  <c r="Y244" i="1" s="1"/>
  <c r="Q244" i="1"/>
  <c r="P244" i="1"/>
  <c r="M240" i="1"/>
  <c r="O240" i="1" s="1"/>
  <c r="Q240" i="1"/>
  <c r="P240" i="1"/>
  <c r="M235" i="1"/>
  <c r="U235" i="1" s="1"/>
  <c r="Q235" i="1"/>
  <c r="P235" i="1"/>
  <c r="M231" i="1"/>
  <c r="Q231" i="1"/>
  <c r="P231" i="1"/>
  <c r="M227" i="1"/>
  <c r="W227" i="1" s="1"/>
  <c r="Y227" i="1" s="1"/>
  <c r="Q227" i="1"/>
  <c r="P227" i="1"/>
  <c r="M301" i="1"/>
  <c r="W301" i="1" s="1"/>
  <c r="Y301" i="1" s="1"/>
  <c r="P301" i="1"/>
  <c r="Q301" i="1"/>
  <c r="M297" i="1"/>
  <c r="W297" i="1" s="1"/>
  <c r="Y297" i="1" s="1"/>
  <c r="Q297" i="1"/>
  <c r="P297" i="1"/>
  <c r="M293" i="1"/>
  <c r="U293" i="1" s="1"/>
  <c r="P293" i="1"/>
  <c r="Q293" i="1"/>
  <c r="M289" i="1"/>
  <c r="W289" i="1" s="1"/>
  <c r="Y289" i="1" s="1"/>
  <c r="P289" i="1"/>
  <c r="Q289" i="1"/>
  <c r="M285" i="1"/>
  <c r="O285" i="1" s="1"/>
  <c r="P285" i="1"/>
  <c r="Q285" i="1"/>
  <c r="M281" i="1"/>
  <c r="W281" i="1" s="1"/>
  <c r="Y281" i="1" s="1"/>
  <c r="P281" i="1"/>
  <c r="Q281" i="1"/>
  <c r="M277" i="1"/>
  <c r="P277" i="1"/>
  <c r="Q277" i="1"/>
  <c r="M273" i="1"/>
  <c r="W273" i="1" s="1"/>
  <c r="Y273" i="1" s="1"/>
  <c r="P273" i="1"/>
  <c r="Q273" i="1"/>
  <c r="M269" i="1"/>
  <c r="O269" i="1" s="1"/>
  <c r="P269" i="1"/>
  <c r="Q269" i="1"/>
  <c r="M265" i="1"/>
  <c r="O265" i="1" s="1"/>
  <c r="P265" i="1"/>
  <c r="Q265" i="1"/>
  <c r="M261" i="1"/>
  <c r="W261" i="1" s="1"/>
  <c r="Y261" i="1" s="1"/>
  <c r="P261" i="1"/>
  <c r="Q261" i="1"/>
  <c r="M257" i="1"/>
  <c r="O257" i="1" s="1"/>
  <c r="P257" i="1"/>
  <c r="Q257" i="1"/>
  <c r="M253" i="1"/>
  <c r="W253" i="1" s="1"/>
  <c r="Y253" i="1" s="1"/>
  <c r="P253" i="1"/>
  <c r="Q253" i="1"/>
  <c r="M249" i="1"/>
  <c r="U249" i="1" s="1"/>
  <c r="P249" i="1"/>
  <c r="Q249" i="1"/>
  <c r="M245" i="1"/>
  <c r="O245" i="1" s="1"/>
  <c r="P245" i="1"/>
  <c r="Q245" i="1"/>
  <c r="M241" i="1"/>
  <c r="W241" i="1" s="1"/>
  <c r="Y241" i="1" s="1"/>
  <c r="P241" i="1"/>
  <c r="Q241" i="1"/>
  <c r="M237" i="1"/>
  <c r="W237" i="1" s="1"/>
  <c r="Y237" i="1" s="1"/>
  <c r="P237" i="1"/>
  <c r="Q237" i="1"/>
  <c r="Q236" i="1"/>
  <c r="P236" i="1"/>
  <c r="M232" i="1"/>
  <c r="W232" i="1" s="1"/>
  <c r="Y232" i="1" s="1"/>
  <c r="Q232" i="1"/>
  <c r="P232" i="1"/>
  <c r="M228" i="1"/>
  <c r="O228" i="1" s="1"/>
  <c r="Q228" i="1"/>
  <c r="P228" i="1"/>
  <c r="K225" i="1"/>
  <c r="L225" i="1" s="1"/>
  <c r="S225" i="1" s="1"/>
  <c r="M223" i="1"/>
  <c r="W223" i="1" s="1"/>
  <c r="Y223" i="1" s="1"/>
  <c r="Q223" i="1"/>
  <c r="P223" i="1"/>
  <c r="M219" i="1"/>
  <c r="W219" i="1" s="1"/>
  <c r="Y219" i="1" s="1"/>
  <c r="Q219" i="1"/>
  <c r="P219" i="1"/>
  <c r="M214" i="1"/>
  <c r="W214" i="1" s="1"/>
  <c r="Y214" i="1" s="1"/>
  <c r="Q214" i="1"/>
  <c r="P214" i="1"/>
  <c r="M210" i="1"/>
  <c r="W210" i="1" s="1"/>
  <c r="Y210" i="1" s="1"/>
  <c r="P210" i="1"/>
  <c r="Q210" i="1"/>
  <c r="M206" i="1"/>
  <c r="W206" i="1" s="1"/>
  <c r="Y206" i="1" s="1"/>
  <c r="P206" i="1"/>
  <c r="Q206" i="1"/>
  <c r="M202" i="1"/>
  <c r="U202" i="1" s="1"/>
  <c r="Q202" i="1"/>
  <c r="P202" i="1"/>
  <c r="M198" i="1"/>
  <c r="W198" i="1" s="1"/>
  <c r="Y198" i="1" s="1"/>
  <c r="Q198" i="1"/>
  <c r="P198" i="1"/>
  <c r="M194" i="1"/>
  <c r="W194" i="1" s="1"/>
  <c r="Y194" i="1" s="1"/>
  <c r="P194" i="1"/>
  <c r="Q194" i="1"/>
  <c r="M190" i="1"/>
  <c r="O190" i="1" s="1"/>
  <c r="P190" i="1"/>
  <c r="Q190" i="1"/>
  <c r="M186" i="1"/>
  <c r="W186" i="1" s="1"/>
  <c r="Y186" i="1" s="1"/>
  <c r="Q186" i="1"/>
  <c r="P186" i="1"/>
  <c r="M182" i="1"/>
  <c r="W182" i="1" s="1"/>
  <c r="Y182" i="1" s="1"/>
  <c r="Q182" i="1"/>
  <c r="P182" i="1"/>
  <c r="M178" i="1"/>
  <c r="W178" i="1" s="1"/>
  <c r="Y178" i="1" s="1"/>
  <c r="P178" i="1"/>
  <c r="Q178" i="1"/>
  <c r="M174" i="1"/>
  <c r="P174" i="1"/>
  <c r="Q174" i="1"/>
  <c r="M170" i="1"/>
  <c r="U170" i="1" s="1"/>
  <c r="Q170" i="1"/>
  <c r="P170" i="1"/>
  <c r="M166" i="1"/>
  <c r="U166" i="1" s="1"/>
  <c r="P166" i="1"/>
  <c r="Q166" i="1"/>
  <c r="M162" i="1"/>
  <c r="W162" i="1" s="1"/>
  <c r="Y162" i="1" s="1"/>
  <c r="P162" i="1"/>
  <c r="Q162" i="1"/>
  <c r="M158" i="1"/>
  <c r="W158" i="1" s="1"/>
  <c r="Y158" i="1" s="1"/>
  <c r="Q158" i="1"/>
  <c r="P158" i="1"/>
  <c r="M154" i="1"/>
  <c r="W154" i="1" s="1"/>
  <c r="Y154" i="1" s="1"/>
  <c r="Q154" i="1"/>
  <c r="P154" i="1"/>
  <c r="M300" i="1"/>
  <c r="W300" i="1" s="1"/>
  <c r="Y300" i="1" s="1"/>
  <c r="Q300" i="1"/>
  <c r="P300" i="1"/>
  <c r="M292" i="1"/>
  <c r="W292" i="1" s="1"/>
  <c r="Y292" i="1" s="1"/>
  <c r="Q292" i="1"/>
  <c r="P292" i="1"/>
  <c r="M288" i="1"/>
  <c r="Q288" i="1"/>
  <c r="P288" i="1"/>
  <c r="M272" i="1"/>
  <c r="O272" i="1" s="1"/>
  <c r="Q272" i="1"/>
  <c r="P272" i="1"/>
  <c r="M294" i="1"/>
  <c r="W294" i="1" s="1"/>
  <c r="Y294" i="1" s="1"/>
  <c r="P294" i="1"/>
  <c r="Q294" i="1"/>
  <c r="M286" i="1"/>
  <c r="W286" i="1" s="1"/>
  <c r="Y286" i="1" s="1"/>
  <c r="Q286" i="1"/>
  <c r="P286" i="1"/>
  <c r="M282" i="1"/>
  <c r="W282" i="1" s="1"/>
  <c r="Y282" i="1" s="1"/>
  <c r="Q282" i="1"/>
  <c r="P282" i="1"/>
  <c r="M274" i="1"/>
  <c r="O274" i="1" s="1"/>
  <c r="Q274" i="1"/>
  <c r="P274" i="1"/>
  <c r="M266" i="1"/>
  <c r="O266" i="1" s="1"/>
  <c r="Q266" i="1"/>
  <c r="P266" i="1"/>
  <c r="M262" i="1"/>
  <c r="O262" i="1" s="1"/>
  <c r="Q262" i="1"/>
  <c r="P262" i="1"/>
  <c r="M254" i="1"/>
  <c r="W254" i="1" s="1"/>
  <c r="Y254" i="1" s="1"/>
  <c r="Q254" i="1"/>
  <c r="P254" i="1"/>
  <c r="M250" i="1"/>
  <c r="W250" i="1" s="1"/>
  <c r="Y250" i="1" s="1"/>
  <c r="Q250" i="1"/>
  <c r="P250" i="1"/>
  <c r="M242" i="1"/>
  <c r="O242" i="1" s="1"/>
  <c r="P242" i="1"/>
  <c r="Q242" i="1"/>
  <c r="M233" i="1"/>
  <c r="O233" i="1" s="1"/>
  <c r="P233" i="1"/>
  <c r="Q233" i="1"/>
  <c r="M229" i="1"/>
  <c r="W229" i="1" s="1"/>
  <c r="Y229" i="1" s="1"/>
  <c r="P229" i="1"/>
  <c r="Q229" i="1"/>
  <c r="M220" i="1"/>
  <c r="U220" i="1" s="1"/>
  <c r="Q220" i="1"/>
  <c r="P220" i="1"/>
  <c r="M216" i="1"/>
  <c r="W216" i="1" s="1"/>
  <c r="Y216" i="1" s="1"/>
  <c r="Q216" i="1"/>
  <c r="P216" i="1"/>
  <c r="M211" i="1"/>
  <c r="W211" i="1" s="1"/>
  <c r="Y211" i="1" s="1"/>
  <c r="Q211" i="1"/>
  <c r="P211" i="1"/>
  <c r="M207" i="1"/>
  <c r="W207" i="1" s="1"/>
  <c r="Y207" i="1" s="1"/>
  <c r="Q207" i="1"/>
  <c r="P207" i="1"/>
  <c r="M203" i="1"/>
  <c r="W203" i="1" s="1"/>
  <c r="Y203" i="1" s="1"/>
  <c r="Q203" i="1"/>
  <c r="P203" i="1"/>
  <c r="M199" i="1"/>
  <c r="W199" i="1" s="1"/>
  <c r="Y199" i="1" s="1"/>
  <c r="Q199" i="1"/>
  <c r="P199" i="1"/>
  <c r="M195" i="1"/>
  <c r="W195" i="1" s="1"/>
  <c r="Y195" i="1" s="1"/>
  <c r="Q195" i="1"/>
  <c r="P195" i="1"/>
  <c r="M191" i="1"/>
  <c r="W191" i="1" s="1"/>
  <c r="Y191" i="1" s="1"/>
  <c r="Q191" i="1"/>
  <c r="P191" i="1"/>
  <c r="M187" i="1"/>
  <c r="W187" i="1" s="1"/>
  <c r="Y187" i="1" s="1"/>
  <c r="Q187" i="1"/>
  <c r="P187" i="1"/>
  <c r="M183" i="1"/>
  <c r="W183" i="1" s="1"/>
  <c r="Y183" i="1" s="1"/>
  <c r="Q183" i="1"/>
  <c r="P183" i="1"/>
  <c r="M179" i="1"/>
  <c r="W179" i="1" s="1"/>
  <c r="Y179" i="1" s="1"/>
  <c r="Q179" i="1"/>
  <c r="P179" i="1"/>
  <c r="M175" i="1"/>
  <c r="W175" i="1" s="1"/>
  <c r="Y175" i="1" s="1"/>
  <c r="Q175" i="1"/>
  <c r="P175" i="1"/>
  <c r="M171" i="1"/>
  <c r="O171" i="1" s="1"/>
  <c r="Q171" i="1"/>
  <c r="P171" i="1"/>
  <c r="M167" i="1"/>
  <c r="O167" i="1" s="1"/>
  <c r="Q167" i="1"/>
  <c r="P167" i="1"/>
  <c r="M163" i="1"/>
  <c r="W163" i="1" s="1"/>
  <c r="Y163" i="1" s="1"/>
  <c r="Q163" i="1"/>
  <c r="P163" i="1"/>
  <c r="M159" i="1"/>
  <c r="W159" i="1" s="1"/>
  <c r="Y159" i="1" s="1"/>
  <c r="Q159" i="1"/>
  <c r="P159" i="1"/>
  <c r="M155" i="1"/>
  <c r="W155" i="1" s="1"/>
  <c r="Y155" i="1" s="1"/>
  <c r="Q155" i="1"/>
  <c r="P155" i="1"/>
  <c r="M151" i="1"/>
  <c r="O151" i="1" s="1"/>
  <c r="Q151" i="1"/>
  <c r="P151" i="1"/>
  <c r="W218" i="1"/>
  <c r="Y218" i="1" s="1"/>
  <c r="W170" i="1"/>
  <c r="Y170" i="1" s="1"/>
  <c r="W298" i="1"/>
  <c r="Y298" i="1" s="1"/>
  <c r="W224" i="1"/>
  <c r="Y224" i="1" s="1"/>
  <c r="W205" i="1"/>
  <c r="Y205" i="1" s="1"/>
  <c r="W215" i="1"/>
  <c r="Y215" i="1" s="1"/>
  <c r="W299" i="1"/>
  <c r="Y299" i="1" s="1"/>
  <c r="W295" i="1"/>
  <c r="Y295" i="1" s="1"/>
  <c r="W228" i="1"/>
  <c r="Y228" i="1" s="1"/>
  <c r="W221" i="1"/>
  <c r="Y221" i="1" s="1"/>
  <c r="W156" i="1"/>
  <c r="Y156" i="1" s="1"/>
  <c r="W225" i="1"/>
  <c r="Y225" i="1" s="1"/>
  <c r="W236" i="1"/>
  <c r="Y236" i="1" s="1"/>
  <c r="W235" i="1"/>
  <c r="Y235" i="1" s="1"/>
  <c r="W204" i="1"/>
  <c r="Y204" i="1" s="1"/>
  <c r="O276" i="1"/>
  <c r="W200" i="1"/>
  <c r="Y200" i="1" s="1"/>
  <c r="O283" i="1"/>
  <c r="W283" i="1"/>
  <c r="Y283" i="1" s="1"/>
  <c r="O278" i="1"/>
  <c r="W278" i="1"/>
  <c r="Y278" i="1" s="1"/>
  <c r="O264" i="1"/>
  <c r="O251" i="1"/>
  <c r="W251" i="1"/>
  <c r="Y251" i="1" s="1"/>
  <c r="O243" i="1"/>
  <c r="W243" i="1"/>
  <c r="Y243" i="1" s="1"/>
  <c r="O226" i="1"/>
  <c r="W226" i="1"/>
  <c r="Y226" i="1" s="1"/>
  <c r="W208" i="1"/>
  <c r="Y208" i="1" s="1"/>
  <c r="O192" i="1"/>
  <c r="O173" i="1"/>
  <c r="W152" i="1"/>
  <c r="Y152" i="1" s="1"/>
  <c r="O280" i="1"/>
  <c r="W280" i="1"/>
  <c r="Y280" i="1" s="1"/>
  <c r="O267" i="1"/>
  <c r="W267" i="1"/>
  <c r="Y267" i="1" s="1"/>
  <c r="W255" i="1"/>
  <c r="Y255" i="1" s="1"/>
  <c r="W240" i="1"/>
  <c r="Y240" i="1" s="1"/>
  <c r="U297" i="1"/>
  <c r="W285" i="1"/>
  <c r="Y285" i="1" s="1"/>
  <c r="W274" i="1"/>
  <c r="Y274" i="1" s="1"/>
  <c r="O258" i="1"/>
  <c r="W258" i="1"/>
  <c r="Y258" i="1" s="1"/>
  <c r="W252" i="1"/>
  <c r="Y252" i="1" s="1"/>
  <c r="W209" i="1"/>
  <c r="Y209" i="1" s="1"/>
  <c r="O186" i="1"/>
  <c r="O279" i="1"/>
  <c r="W279" i="1"/>
  <c r="Y279" i="1" s="1"/>
  <c r="O275" i="1"/>
  <c r="W275" i="1"/>
  <c r="Y275" i="1" s="1"/>
  <c r="O260" i="1"/>
  <c r="O259" i="1"/>
  <c r="W259" i="1"/>
  <c r="Y259" i="1" s="1"/>
  <c r="O246" i="1"/>
  <c r="W245" i="1"/>
  <c r="Y245" i="1" s="1"/>
  <c r="O217" i="1"/>
  <c r="W217" i="1"/>
  <c r="Y217" i="1" s="1"/>
  <c r="W171" i="1"/>
  <c r="Y171" i="1" s="1"/>
  <c r="O160" i="1"/>
  <c r="W160" i="1"/>
  <c r="Y160" i="1" s="1"/>
  <c r="O153" i="1"/>
  <c r="W153" i="1"/>
  <c r="Y153" i="1" s="1"/>
  <c r="O288" i="1"/>
  <c r="W288" i="1"/>
  <c r="Y288" i="1" s="1"/>
  <c r="O268" i="1"/>
  <c r="W268" i="1"/>
  <c r="Y268" i="1" s="1"/>
  <c r="O248" i="1"/>
  <c r="W248" i="1"/>
  <c r="Y248" i="1" s="1"/>
  <c r="W238" i="1"/>
  <c r="Y238" i="1" s="1"/>
  <c r="W188" i="1"/>
  <c r="Y188" i="1" s="1"/>
  <c r="U174" i="1"/>
  <c r="W174" i="1"/>
  <c r="Y174" i="1" s="1"/>
  <c r="O161" i="1"/>
  <c r="W161" i="1"/>
  <c r="Y161" i="1" s="1"/>
  <c r="W291" i="1"/>
  <c r="Y291" i="1" s="1"/>
  <c r="O261" i="1"/>
  <c r="O247" i="1"/>
  <c r="W247" i="1"/>
  <c r="Y247" i="1" s="1"/>
  <c r="O206" i="1"/>
  <c r="O172" i="1"/>
  <c r="W172" i="1"/>
  <c r="Y172" i="1" s="1"/>
  <c r="O281" i="1"/>
  <c r="O277" i="1"/>
  <c r="W277" i="1"/>
  <c r="Y277" i="1" s="1"/>
  <c r="O273" i="1"/>
  <c r="W271" i="1"/>
  <c r="Y271" i="1" s="1"/>
  <c r="O270" i="1"/>
  <c r="W270" i="1"/>
  <c r="Y270" i="1" s="1"/>
  <c r="W269" i="1"/>
  <c r="Y269" i="1" s="1"/>
  <c r="O263" i="1"/>
  <c r="W263" i="1"/>
  <c r="Y263" i="1" s="1"/>
  <c r="O256" i="1"/>
  <c r="W256" i="1"/>
  <c r="Y256" i="1" s="1"/>
  <c r="O250" i="1"/>
  <c r="O241" i="1"/>
  <c r="U231" i="1"/>
  <c r="W231" i="1"/>
  <c r="Y231" i="1" s="1"/>
  <c r="O230" i="1"/>
  <c r="W230" i="1"/>
  <c r="Y230" i="1" s="1"/>
  <c r="U182" i="1"/>
  <c r="O177" i="1"/>
  <c r="W177" i="1"/>
  <c r="Y177" i="1" s="1"/>
  <c r="O176" i="1"/>
  <c r="W176" i="1"/>
  <c r="Y176" i="1" s="1"/>
  <c r="O169" i="1"/>
  <c r="W169" i="1"/>
  <c r="Y169" i="1" s="1"/>
  <c r="O164" i="1"/>
  <c r="R236" i="1"/>
  <c r="S236" i="1"/>
  <c r="U215" i="1"/>
  <c r="U245" i="1"/>
  <c r="U243" i="1"/>
  <c r="R215" i="1"/>
  <c r="S215" i="1"/>
  <c r="U154" i="1"/>
  <c r="U251" i="1"/>
  <c r="U160" i="1"/>
  <c r="U253" i="1"/>
  <c r="O209" i="1"/>
  <c r="U241" i="1"/>
  <c r="U176" i="1"/>
  <c r="N215" i="1"/>
  <c r="AC215" i="1" s="1"/>
  <c r="U162" i="1"/>
  <c r="U214" i="1"/>
  <c r="U247" i="1"/>
  <c r="U222" i="1"/>
  <c r="O299" i="1"/>
  <c r="O295" i="1"/>
  <c r="O225" i="1"/>
  <c r="O168" i="1"/>
  <c r="U168" i="1"/>
  <c r="O291" i="1"/>
  <c r="O220" i="1"/>
  <c r="O156" i="1"/>
  <c r="U156" i="1"/>
  <c r="U237" i="1"/>
  <c r="O237" i="1"/>
  <c r="U228" i="1"/>
  <c r="U223" i="1"/>
  <c r="U212" i="1"/>
  <c r="O204" i="1"/>
  <c r="U204" i="1"/>
  <c r="O188" i="1"/>
  <c r="U188" i="1"/>
  <c r="O184" i="1"/>
  <c r="U184" i="1"/>
  <c r="U301" i="1"/>
  <c r="U279" i="1"/>
  <c r="U200" i="1"/>
  <c r="U269" i="1"/>
  <c r="U267" i="1"/>
  <c r="U263" i="1"/>
  <c r="U261" i="1"/>
  <c r="U259" i="1"/>
  <c r="U257" i="1"/>
  <c r="U239" i="1"/>
  <c r="U194" i="1"/>
  <c r="O294" i="1"/>
  <c r="O290" i="1"/>
  <c r="U298" i="1"/>
  <c r="O298" i="1"/>
  <c r="U277" i="1"/>
  <c r="U273" i="1"/>
  <c r="O236" i="1"/>
  <c r="U236" i="1"/>
  <c r="U234" i="1"/>
  <c r="U229" i="1"/>
  <c r="O229" i="1"/>
  <c r="O224" i="1"/>
  <c r="U224" i="1"/>
  <c r="O205" i="1"/>
  <c r="O158" i="1"/>
  <c r="U158" i="1"/>
  <c r="U299" i="1"/>
  <c r="U295" i="1"/>
  <c r="U291" i="1"/>
  <c r="U288" i="1"/>
  <c r="U284" i="1"/>
  <c r="U280" i="1"/>
  <c r="U278" i="1"/>
  <c r="U276" i="1"/>
  <c r="U272" i="1"/>
  <c r="U270" i="1"/>
  <c r="U268" i="1"/>
  <c r="U264" i="1"/>
  <c r="U260" i="1"/>
  <c r="U258" i="1"/>
  <c r="U256" i="1"/>
  <c r="U250" i="1"/>
  <c r="U248" i="1"/>
  <c r="U246" i="1"/>
  <c r="U244" i="1"/>
  <c r="U242" i="1"/>
  <c r="U240" i="1"/>
  <c r="U238" i="1"/>
  <c r="O238" i="1"/>
  <c r="O234" i="1"/>
  <c r="O232" i="1"/>
  <c r="U232" i="1"/>
  <c r="U230" i="1"/>
  <c r="O227" i="1"/>
  <c r="U227" i="1"/>
  <c r="U210" i="1"/>
  <c r="O187" i="1"/>
  <c r="O289" i="1"/>
  <c r="U285" i="1"/>
  <c r="U283" i="1"/>
  <c r="U275" i="1"/>
  <c r="O301" i="1"/>
  <c r="O293" i="1"/>
  <c r="U289" i="1"/>
  <c r="U218" i="1"/>
  <c r="U213" i="1"/>
  <c r="O213" i="1"/>
  <c r="U201" i="1"/>
  <c r="O201" i="1"/>
  <c r="U226" i="1"/>
  <c r="U221" i="1"/>
  <c r="O221" i="1"/>
  <c r="O218" i="1"/>
  <c r="U216" i="1"/>
  <c r="U211" i="1"/>
  <c r="O207" i="1"/>
  <c r="O170" i="1"/>
  <c r="N236" i="1"/>
  <c r="AC236" i="1" s="1"/>
  <c r="O231" i="1"/>
  <c r="O223" i="1"/>
  <c r="O215" i="1"/>
  <c r="O208" i="1"/>
  <c r="U208" i="1"/>
  <c r="O182" i="1"/>
  <c r="U197" i="1"/>
  <c r="U193" i="1"/>
  <c r="O193" i="1"/>
  <c r="U189" i="1"/>
  <c r="U185" i="1"/>
  <c r="O185" i="1"/>
  <c r="O174" i="1"/>
  <c r="O166" i="1"/>
  <c r="U233" i="1"/>
  <c r="U225" i="1"/>
  <c r="U217" i="1"/>
  <c r="U209" i="1"/>
  <c r="U172" i="1"/>
  <c r="U152" i="1"/>
  <c r="U183" i="1"/>
  <c r="U181" i="1"/>
  <c r="U177" i="1"/>
  <c r="U175" i="1"/>
  <c r="U171" i="1"/>
  <c r="U169" i="1"/>
  <c r="U167" i="1"/>
  <c r="U165" i="1"/>
  <c r="U161" i="1"/>
  <c r="U159" i="1"/>
  <c r="U153" i="1"/>
  <c r="U151" i="1"/>
  <c r="T7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2" i="1"/>
  <c r="U192" i="1" l="1"/>
  <c r="W189" i="1"/>
  <c r="Y189" i="1" s="1"/>
  <c r="U199" i="1"/>
  <c r="U155" i="1"/>
  <c r="U173" i="1"/>
  <c r="U180" i="1"/>
  <c r="O297" i="1"/>
  <c r="U187" i="1"/>
  <c r="R225" i="1"/>
  <c r="U252" i="1"/>
  <c r="U274" i="1"/>
  <c r="U281" i="1"/>
  <c r="U186" i="1"/>
  <c r="U255" i="1"/>
  <c r="U196" i="1"/>
  <c r="U287" i="1"/>
  <c r="W157" i="1"/>
  <c r="Y157" i="1" s="1"/>
  <c r="W249" i="1"/>
  <c r="Y249" i="1" s="1"/>
  <c r="O271" i="1"/>
  <c r="W265" i="1"/>
  <c r="Y265" i="1" s="1"/>
  <c r="W202" i="1"/>
  <c r="Y202" i="1" s="1"/>
  <c r="W287" i="1"/>
  <c r="Y287" i="1" s="1"/>
  <c r="O154" i="1"/>
  <c r="N225" i="1"/>
  <c r="AC225" i="1" s="1"/>
  <c r="U296" i="1"/>
  <c r="O157" i="1"/>
  <c r="W180" i="1"/>
  <c r="Y180" i="1" s="1"/>
  <c r="W220" i="1"/>
  <c r="Y220" i="1" s="1"/>
  <c r="O202" i="1"/>
  <c r="W239" i="1"/>
  <c r="Y239" i="1" s="1"/>
  <c r="Z225" i="1"/>
  <c r="W212" i="1"/>
  <c r="Y212" i="1" s="1"/>
  <c r="W290" i="1"/>
  <c r="Y290" i="1" s="1"/>
  <c r="W296" i="1"/>
  <c r="Y296" i="1" s="1"/>
  <c r="O235" i="1"/>
  <c r="O203" i="1"/>
  <c r="U219" i="1"/>
  <c r="U265" i="1"/>
  <c r="O249" i="1"/>
  <c r="W272" i="1"/>
  <c r="Y272" i="1" s="1"/>
  <c r="U164" i="1"/>
  <c r="U203" i="1"/>
  <c r="O219" i="1"/>
  <c r="O155" i="1"/>
  <c r="O191" i="1"/>
  <c r="W190" i="1"/>
  <c r="Y190" i="1" s="1"/>
  <c r="O254" i="1"/>
  <c r="W257" i="1"/>
  <c r="Y257" i="1" s="1"/>
  <c r="W284" i="1"/>
  <c r="Y284" i="1" s="1"/>
  <c r="O162" i="1"/>
  <c r="O195" i="1"/>
  <c r="U300" i="1"/>
  <c r="O214" i="1"/>
  <c r="O194" i="1"/>
  <c r="O244" i="1"/>
  <c r="O165" i="1"/>
  <c r="O181" i="1"/>
  <c r="O178" i="1"/>
  <c r="O199" i="1"/>
  <c r="O211" i="1"/>
  <c r="U254" i="1"/>
  <c r="U294" i="1"/>
  <c r="U190" i="1"/>
  <c r="U198" i="1"/>
  <c r="O253" i="1"/>
  <c r="U191" i="1"/>
  <c r="U207" i="1"/>
  <c r="O216" i="1"/>
  <c r="U266" i="1"/>
  <c r="U282" i="1"/>
  <c r="U292" i="1"/>
  <c r="O300" i="1"/>
  <c r="U206" i="1"/>
  <c r="O183" i="1"/>
  <c r="W242" i="1"/>
  <c r="Y242" i="1" s="1"/>
  <c r="O282" i="1"/>
  <c r="O222" i="1"/>
  <c r="W166" i="1"/>
  <c r="Y166" i="1" s="1"/>
  <c r="W266" i="1"/>
  <c r="Y266" i="1" s="1"/>
  <c r="O210" i="1"/>
  <c r="W293" i="1"/>
  <c r="Y293" i="1" s="1"/>
  <c r="W151" i="1"/>
  <c r="Y151" i="1" s="1"/>
  <c r="O198" i="1"/>
  <c r="W262" i="1"/>
  <c r="Y262" i="1" s="1"/>
  <c r="O179" i="1"/>
  <c r="W167" i="1"/>
  <c r="Y167" i="1" s="1"/>
  <c r="W233" i="1"/>
  <c r="Y233" i="1" s="1"/>
  <c r="O175" i="1"/>
  <c r="O286" i="1"/>
  <c r="U262" i="1"/>
  <c r="U286" i="1"/>
  <c r="O292" i="1"/>
  <c r="U178" i="1"/>
  <c r="O163" i="1"/>
  <c r="O159" i="1"/>
  <c r="U163" i="1"/>
  <c r="U179" i="1"/>
  <c r="U195" i="1"/>
  <c r="AB225" i="1"/>
  <c r="K163" i="1"/>
  <c r="L163" i="1" s="1"/>
  <c r="K179" i="1"/>
  <c r="L179" i="1" s="1"/>
  <c r="K195" i="1"/>
  <c r="L195" i="1" s="1"/>
  <c r="K211" i="1"/>
  <c r="L211" i="1" s="1"/>
  <c r="K233" i="1"/>
  <c r="L233" i="1" s="1"/>
  <c r="K262" i="1"/>
  <c r="L262" i="1" s="1"/>
  <c r="K286" i="1"/>
  <c r="L286" i="1" s="1"/>
  <c r="K292" i="1"/>
  <c r="L292" i="1" s="1"/>
  <c r="K162" i="1"/>
  <c r="L162" i="1" s="1"/>
  <c r="K178" i="1"/>
  <c r="L178" i="1" s="1"/>
  <c r="K194" i="1"/>
  <c r="L194" i="1" s="1"/>
  <c r="K210" i="1"/>
  <c r="L210" i="1" s="1"/>
  <c r="K249" i="1"/>
  <c r="L249" i="1" s="1"/>
  <c r="K265" i="1"/>
  <c r="L265" i="1" s="1"/>
  <c r="K281" i="1"/>
  <c r="L281" i="1" s="1"/>
  <c r="K297" i="1"/>
  <c r="L297" i="1" s="1"/>
  <c r="K235" i="1"/>
  <c r="L235" i="1" s="1"/>
  <c r="K260" i="1"/>
  <c r="L260" i="1" s="1"/>
  <c r="K157" i="1"/>
  <c r="L157" i="1" s="1"/>
  <c r="K173" i="1"/>
  <c r="L173" i="1" s="1"/>
  <c r="K189" i="1"/>
  <c r="L189" i="1" s="1"/>
  <c r="K205" i="1"/>
  <c r="L205" i="1" s="1"/>
  <c r="AB215" i="1"/>
  <c r="K218" i="1"/>
  <c r="L218" i="1" s="1"/>
  <c r="K264" i="1"/>
  <c r="L264" i="1" s="1"/>
  <c r="K156" i="1"/>
  <c r="L156" i="1" s="1"/>
  <c r="K172" i="1"/>
  <c r="L172" i="1" s="1"/>
  <c r="K188" i="1"/>
  <c r="L188" i="1" s="1"/>
  <c r="K204" i="1"/>
  <c r="L204" i="1" s="1"/>
  <c r="K221" i="1"/>
  <c r="L221" i="1" s="1"/>
  <c r="K230" i="1"/>
  <c r="L230" i="1" s="1"/>
  <c r="K247" i="1"/>
  <c r="L247" i="1" s="1"/>
  <c r="K263" i="1"/>
  <c r="L263" i="1" s="1"/>
  <c r="K279" i="1"/>
  <c r="L279" i="1" s="1"/>
  <c r="K295" i="1"/>
  <c r="L295" i="1" s="1"/>
  <c r="K224" i="1"/>
  <c r="L224" i="1" s="1"/>
  <c r="K270" i="1"/>
  <c r="L270" i="1" s="1"/>
  <c r="K280" i="1"/>
  <c r="L280" i="1" s="1"/>
  <c r="K159" i="1"/>
  <c r="L159" i="1" s="1"/>
  <c r="K175" i="1"/>
  <c r="L175" i="1" s="1"/>
  <c r="K191" i="1"/>
  <c r="L191" i="1" s="1"/>
  <c r="K207" i="1"/>
  <c r="L207" i="1" s="1"/>
  <c r="K229" i="1"/>
  <c r="L229" i="1" s="1"/>
  <c r="K254" i="1"/>
  <c r="L254" i="1" s="1"/>
  <c r="K282" i="1"/>
  <c r="L282" i="1" s="1"/>
  <c r="K288" i="1"/>
  <c r="L288" i="1" s="1"/>
  <c r="K158" i="1"/>
  <c r="L158" i="1" s="1"/>
  <c r="K174" i="1"/>
  <c r="L174" i="1" s="1"/>
  <c r="K190" i="1"/>
  <c r="L190" i="1" s="1"/>
  <c r="K206" i="1"/>
  <c r="L206" i="1" s="1"/>
  <c r="K223" i="1"/>
  <c r="L223" i="1" s="1"/>
  <c r="K245" i="1"/>
  <c r="L245" i="1" s="1"/>
  <c r="K261" i="1"/>
  <c r="L261" i="1" s="1"/>
  <c r="K277" i="1"/>
  <c r="L277" i="1" s="1"/>
  <c r="K293" i="1"/>
  <c r="L293" i="1" s="1"/>
  <c r="K231" i="1"/>
  <c r="L231" i="1" s="1"/>
  <c r="K248" i="1"/>
  <c r="L248" i="1" s="1"/>
  <c r="K153" i="1"/>
  <c r="L153" i="1" s="1"/>
  <c r="K169" i="1"/>
  <c r="L169" i="1" s="1"/>
  <c r="K185" i="1"/>
  <c r="L185" i="1" s="1"/>
  <c r="K201" i="1"/>
  <c r="L201" i="1" s="1"/>
  <c r="K256" i="1"/>
  <c r="L256" i="1" s="1"/>
  <c r="K152" i="1"/>
  <c r="L152" i="1" s="1"/>
  <c r="K168" i="1"/>
  <c r="L168" i="1" s="1"/>
  <c r="K184" i="1"/>
  <c r="L184" i="1" s="1"/>
  <c r="K200" i="1"/>
  <c r="L200" i="1" s="1"/>
  <c r="K217" i="1"/>
  <c r="L217" i="1" s="1"/>
  <c r="K226" i="1"/>
  <c r="L226" i="1" s="1"/>
  <c r="K243" i="1"/>
  <c r="L243" i="1" s="1"/>
  <c r="K259" i="1"/>
  <c r="L259" i="1" s="1"/>
  <c r="K275" i="1"/>
  <c r="L275" i="1" s="1"/>
  <c r="K291" i="1"/>
  <c r="L291" i="1" s="1"/>
  <c r="K258" i="1"/>
  <c r="L258" i="1" s="1"/>
  <c r="K298" i="1"/>
  <c r="L298" i="1" s="1"/>
  <c r="K155" i="1"/>
  <c r="L155" i="1" s="1"/>
  <c r="K171" i="1"/>
  <c r="L171" i="1" s="1"/>
  <c r="K187" i="1"/>
  <c r="L187" i="1" s="1"/>
  <c r="K203" i="1"/>
  <c r="L203" i="1" s="1"/>
  <c r="K220" i="1"/>
  <c r="L220" i="1" s="1"/>
  <c r="K250" i="1"/>
  <c r="L250" i="1" s="1"/>
  <c r="K274" i="1"/>
  <c r="L274" i="1" s="1"/>
  <c r="K272" i="1"/>
  <c r="L272" i="1" s="1"/>
  <c r="K154" i="1"/>
  <c r="L154" i="1" s="1"/>
  <c r="K170" i="1"/>
  <c r="L170" i="1" s="1"/>
  <c r="K186" i="1"/>
  <c r="L186" i="1" s="1"/>
  <c r="K202" i="1"/>
  <c r="L202" i="1" s="1"/>
  <c r="K219" i="1"/>
  <c r="L219" i="1" s="1"/>
  <c r="K232" i="1"/>
  <c r="L232" i="1" s="1"/>
  <c r="K241" i="1"/>
  <c r="L241" i="1" s="1"/>
  <c r="K257" i="1"/>
  <c r="L257" i="1" s="1"/>
  <c r="K273" i="1"/>
  <c r="L273" i="1" s="1"/>
  <c r="K289" i="1"/>
  <c r="L289" i="1" s="1"/>
  <c r="K227" i="1"/>
  <c r="L227" i="1" s="1"/>
  <c r="K244" i="1"/>
  <c r="L244" i="1" s="1"/>
  <c r="K284" i="1"/>
  <c r="L284" i="1" s="1"/>
  <c r="K165" i="1"/>
  <c r="L165" i="1" s="1"/>
  <c r="K181" i="1"/>
  <c r="L181" i="1" s="1"/>
  <c r="K197" i="1"/>
  <c r="L197" i="1" s="1"/>
  <c r="K213" i="1"/>
  <c r="L213" i="1" s="1"/>
  <c r="K252" i="1"/>
  <c r="L252" i="1" s="1"/>
  <c r="K296" i="1"/>
  <c r="L296" i="1" s="1"/>
  <c r="K164" i="1"/>
  <c r="L164" i="1" s="1"/>
  <c r="K180" i="1"/>
  <c r="L180" i="1" s="1"/>
  <c r="K196" i="1"/>
  <c r="L196" i="1" s="1"/>
  <c r="K212" i="1"/>
  <c r="L212" i="1" s="1"/>
  <c r="K239" i="1"/>
  <c r="L239" i="1" s="1"/>
  <c r="K255" i="1"/>
  <c r="L255" i="1" s="1"/>
  <c r="K271" i="1"/>
  <c r="L271" i="1" s="1"/>
  <c r="K287" i="1"/>
  <c r="L287" i="1" s="1"/>
  <c r="K246" i="1"/>
  <c r="L246" i="1" s="1"/>
  <c r="K290" i="1"/>
  <c r="L290" i="1" s="1"/>
  <c r="K151" i="1"/>
  <c r="L151" i="1" s="1"/>
  <c r="K167" i="1"/>
  <c r="L167" i="1" s="1"/>
  <c r="K183" i="1"/>
  <c r="L183" i="1" s="1"/>
  <c r="K199" i="1"/>
  <c r="L199" i="1" s="1"/>
  <c r="K216" i="1"/>
  <c r="L216" i="1" s="1"/>
  <c r="K242" i="1"/>
  <c r="L242" i="1" s="1"/>
  <c r="K266" i="1"/>
  <c r="L266" i="1" s="1"/>
  <c r="K294" i="1"/>
  <c r="L294" i="1" s="1"/>
  <c r="K300" i="1"/>
  <c r="L300" i="1" s="1"/>
  <c r="K166" i="1"/>
  <c r="L166" i="1" s="1"/>
  <c r="K182" i="1"/>
  <c r="L182" i="1" s="1"/>
  <c r="K198" i="1"/>
  <c r="L198" i="1" s="1"/>
  <c r="K214" i="1"/>
  <c r="L214" i="1" s="1"/>
  <c r="K228" i="1"/>
  <c r="L228" i="1" s="1"/>
  <c r="K237" i="1"/>
  <c r="L237" i="1" s="1"/>
  <c r="K253" i="1"/>
  <c r="L253" i="1" s="1"/>
  <c r="K269" i="1"/>
  <c r="L269" i="1" s="1"/>
  <c r="K285" i="1"/>
  <c r="L285" i="1" s="1"/>
  <c r="K301" i="1"/>
  <c r="L301" i="1" s="1"/>
  <c r="K240" i="1"/>
  <c r="L240" i="1" s="1"/>
  <c r="K276" i="1"/>
  <c r="L276" i="1" s="1"/>
  <c r="K161" i="1"/>
  <c r="L161" i="1" s="1"/>
  <c r="K177" i="1"/>
  <c r="L177" i="1" s="1"/>
  <c r="K193" i="1"/>
  <c r="L193" i="1" s="1"/>
  <c r="K209" i="1"/>
  <c r="L209" i="1" s="1"/>
  <c r="K222" i="1"/>
  <c r="L222" i="1" s="1"/>
  <c r="K268" i="1"/>
  <c r="L268" i="1" s="1"/>
  <c r="K160" i="1"/>
  <c r="L160" i="1" s="1"/>
  <c r="K176" i="1"/>
  <c r="L176" i="1" s="1"/>
  <c r="K192" i="1"/>
  <c r="L192" i="1" s="1"/>
  <c r="K208" i="1"/>
  <c r="L208" i="1" s="1"/>
  <c r="K234" i="1"/>
  <c r="L234" i="1" s="1"/>
  <c r="K251" i="1"/>
  <c r="L251" i="1" s="1"/>
  <c r="K267" i="1"/>
  <c r="L267" i="1" s="1"/>
  <c r="K283" i="1"/>
  <c r="L283" i="1" s="1"/>
  <c r="K299" i="1"/>
  <c r="L299" i="1" s="1"/>
  <c r="K238" i="1"/>
  <c r="L238" i="1" s="1"/>
  <c r="K278" i="1"/>
  <c r="L278" i="1" s="1"/>
  <c r="AB236" i="1"/>
  <c r="T72" i="1"/>
  <c r="T71" i="1"/>
  <c r="T73" i="1"/>
  <c r="AB173" i="1" l="1"/>
  <c r="AB193" i="1"/>
  <c r="AB153" i="1"/>
  <c r="AB289" i="1"/>
  <c r="AB209" i="1"/>
  <c r="AB177" i="1"/>
  <c r="AB163" i="1"/>
  <c r="AB206" i="1"/>
  <c r="AB250" i="1"/>
  <c r="AB247" i="1"/>
  <c r="AB252" i="1"/>
  <c r="AB291" i="1"/>
  <c r="AB243" i="1"/>
  <c r="AB282" i="1"/>
  <c r="AB280" i="1"/>
  <c r="AB188" i="1"/>
  <c r="AB170" i="1"/>
  <c r="AB168" i="1"/>
  <c r="AB210" i="1"/>
  <c r="AB237" i="1"/>
  <c r="AB271" i="1"/>
  <c r="AB269" i="1"/>
  <c r="AB197" i="1"/>
  <c r="AB272" i="1"/>
  <c r="AB155" i="1"/>
  <c r="AB152" i="1"/>
  <c r="AB156" i="1"/>
  <c r="AB178" i="1"/>
  <c r="AB300" i="1"/>
  <c r="AB239" i="1"/>
  <c r="AB257" i="1"/>
  <c r="AB231" i="1"/>
  <c r="AB224" i="1"/>
  <c r="AB221" i="1"/>
  <c r="AB260" i="1"/>
  <c r="AB179" i="1"/>
  <c r="AB251" i="1"/>
  <c r="AB283" i="1"/>
  <c r="AB176" i="1"/>
  <c r="AB222" i="1"/>
  <c r="AB301" i="1"/>
  <c r="AB216" i="1"/>
  <c r="AB167" i="1"/>
  <c r="AB246" i="1"/>
  <c r="AB164" i="1"/>
  <c r="AB244" i="1"/>
  <c r="AB202" i="1"/>
  <c r="AB274" i="1"/>
  <c r="AB258" i="1"/>
  <c r="AB185" i="1"/>
  <c r="AB245" i="1"/>
  <c r="AB207" i="1"/>
  <c r="AB175" i="1"/>
  <c r="AB204" i="1"/>
  <c r="AB172" i="1"/>
  <c r="AB205" i="1"/>
  <c r="AB265" i="1"/>
  <c r="AB211" i="1"/>
  <c r="AB238" i="1"/>
  <c r="AB276" i="1"/>
  <c r="AB214" i="1"/>
  <c r="AB166" i="1"/>
  <c r="AB196" i="1"/>
  <c r="AB165" i="1"/>
  <c r="AB232" i="1"/>
  <c r="AB203" i="1"/>
  <c r="AB259" i="1"/>
  <c r="AB226" i="1"/>
  <c r="AB277" i="1"/>
  <c r="AB190" i="1"/>
  <c r="AB288" i="1"/>
  <c r="AB254" i="1"/>
  <c r="AB191" i="1"/>
  <c r="AB218" i="1"/>
  <c r="AB297" i="1"/>
  <c r="AB194" i="1"/>
  <c r="AB162" i="1"/>
  <c r="AB262" i="1"/>
  <c r="S299" i="1"/>
  <c r="N299" i="1"/>
  <c r="AC299" i="1" s="1"/>
  <c r="Z299" i="1"/>
  <c r="R299" i="1"/>
  <c r="Z253" i="1"/>
  <c r="R253" i="1"/>
  <c r="N253" i="1"/>
  <c r="AC253" i="1" s="1"/>
  <c r="S253" i="1"/>
  <c r="S199" i="1"/>
  <c r="N199" i="1"/>
  <c r="Z199" i="1"/>
  <c r="S180" i="1"/>
  <c r="Z180" i="1"/>
  <c r="N180" i="1"/>
  <c r="Z284" i="1"/>
  <c r="N284" i="1"/>
  <c r="AC284" i="1" s="1"/>
  <c r="S284" i="1"/>
  <c r="R284" i="1"/>
  <c r="Z267" i="1"/>
  <c r="S267" i="1"/>
  <c r="N267" i="1"/>
  <c r="AC267" i="1" s="1"/>
  <c r="R267" i="1"/>
  <c r="Z192" i="1"/>
  <c r="R192" i="1"/>
  <c r="N192" i="1"/>
  <c r="AC192" i="1" s="1"/>
  <c r="S192" i="1"/>
  <c r="Z222" i="1"/>
  <c r="N222" i="1"/>
  <c r="AC222" i="1" s="1"/>
  <c r="R222" i="1"/>
  <c r="S222" i="1"/>
  <c r="AB240" i="1"/>
  <c r="Z228" i="1"/>
  <c r="R228" i="1"/>
  <c r="N228" i="1"/>
  <c r="AC228" i="1" s="1"/>
  <c r="S228" i="1"/>
  <c r="AB198" i="1"/>
  <c r="S242" i="1"/>
  <c r="N242" i="1"/>
  <c r="AC242" i="1" s="1"/>
  <c r="Z242" i="1"/>
  <c r="R242" i="1"/>
  <c r="S151" i="1"/>
  <c r="N151" i="1"/>
  <c r="AC151" i="1" s="1"/>
  <c r="Z151" i="1"/>
  <c r="AB290" i="1"/>
  <c r="Z296" i="1"/>
  <c r="R296" i="1"/>
  <c r="N296" i="1"/>
  <c r="AC296" i="1" s="1"/>
  <c r="S296" i="1"/>
  <c r="S181" i="1"/>
  <c r="Z181" i="1"/>
  <c r="N181" i="1"/>
  <c r="AC181" i="1" s="1"/>
  <c r="Z274" i="1"/>
  <c r="N274" i="1"/>
  <c r="AC274" i="1" s="1"/>
  <c r="R274" i="1"/>
  <c r="S274" i="1"/>
  <c r="Z258" i="1"/>
  <c r="R258" i="1"/>
  <c r="S258" i="1"/>
  <c r="N258" i="1"/>
  <c r="AC258" i="1" s="1"/>
  <c r="AB278" i="1"/>
  <c r="Z283" i="1"/>
  <c r="R283" i="1"/>
  <c r="S283" i="1"/>
  <c r="N283" i="1"/>
  <c r="AC283" i="1" s="1"/>
  <c r="AB267" i="1"/>
  <c r="Z208" i="1"/>
  <c r="R208" i="1"/>
  <c r="S208" i="1"/>
  <c r="N208" i="1"/>
  <c r="AC208" i="1" s="1"/>
  <c r="AB192" i="1"/>
  <c r="S268" i="1"/>
  <c r="N268" i="1"/>
  <c r="AC268" i="1" s="1"/>
  <c r="Z268" i="1"/>
  <c r="R268" i="1"/>
  <c r="Z177" i="1"/>
  <c r="S177" i="1"/>
  <c r="N177" i="1"/>
  <c r="AB161" i="1"/>
  <c r="Z301" i="1"/>
  <c r="N301" i="1"/>
  <c r="AC301" i="1" s="1"/>
  <c r="S301" i="1"/>
  <c r="R301" i="1"/>
  <c r="AB285" i="1"/>
  <c r="N237" i="1"/>
  <c r="AC237" i="1" s="1"/>
  <c r="S237" i="1"/>
  <c r="R237" i="1"/>
  <c r="Z237" i="1"/>
  <c r="AB228" i="1"/>
  <c r="AB182" i="1"/>
  <c r="Z166" i="1"/>
  <c r="N166" i="1"/>
  <c r="S166" i="1"/>
  <c r="N266" i="1"/>
  <c r="AC266" i="1" s="1"/>
  <c r="S266" i="1"/>
  <c r="Z266" i="1"/>
  <c r="R266" i="1"/>
  <c r="AB242" i="1"/>
  <c r="AB151" i="1"/>
  <c r="Z246" i="1"/>
  <c r="R246" i="1"/>
  <c r="S246" i="1"/>
  <c r="N246" i="1"/>
  <c r="AC246" i="1" s="1"/>
  <c r="AB287" i="1"/>
  <c r="Z239" i="1"/>
  <c r="S239" i="1"/>
  <c r="N239" i="1"/>
  <c r="AC239" i="1" s="1"/>
  <c r="R239" i="1"/>
  <c r="AB212" i="1"/>
  <c r="S164" i="1"/>
  <c r="Z164" i="1"/>
  <c r="N164" i="1"/>
  <c r="AB296" i="1"/>
  <c r="Z197" i="1"/>
  <c r="N197" i="1"/>
  <c r="R197" i="1" s="1"/>
  <c r="S197" i="1"/>
  <c r="AB181" i="1"/>
  <c r="Z244" i="1"/>
  <c r="N244" i="1"/>
  <c r="AC244" i="1" s="1"/>
  <c r="R244" i="1"/>
  <c r="S244" i="1"/>
  <c r="AB227" i="1"/>
  <c r="Z257" i="1"/>
  <c r="N257" i="1"/>
  <c r="AC257" i="1" s="1"/>
  <c r="R257" i="1"/>
  <c r="S257" i="1"/>
  <c r="AB241" i="1"/>
  <c r="Z202" i="1"/>
  <c r="R202" i="1"/>
  <c r="N202" i="1"/>
  <c r="AC202" i="1" s="1"/>
  <c r="S202" i="1"/>
  <c r="AB186" i="1"/>
  <c r="Z272" i="1"/>
  <c r="N272" i="1"/>
  <c r="AC272" i="1" s="1"/>
  <c r="S272" i="1"/>
  <c r="R272" i="1"/>
  <c r="Z203" i="1"/>
  <c r="S203" i="1"/>
  <c r="R203" i="1"/>
  <c r="N203" i="1"/>
  <c r="AC203" i="1" s="1"/>
  <c r="AB187" i="1"/>
  <c r="Z298" i="1"/>
  <c r="N298" i="1"/>
  <c r="AC298" i="1" s="1"/>
  <c r="S298" i="1"/>
  <c r="R298" i="1"/>
  <c r="Z259" i="1"/>
  <c r="R259" i="1"/>
  <c r="S259" i="1"/>
  <c r="N259" i="1"/>
  <c r="AC259" i="1" s="1"/>
  <c r="Z200" i="1"/>
  <c r="R200" i="1"/>
  <c r="N200" i="1"/>
  <c r="AC200" i="1" s="1"/>
  <c r="S200" i="1"/>
  <c r="AB184" i="1"/>
  <c r="Z256" i="1"/>
  <c r="N256" i="1"/>
  <c r="AC256" i="1" s="1"/>
  <c r="R256" i="1"/>
  <c r="S256" i="1"/>
  <c r="AB201" i="1"/>
  <c r="S153" i="1"/>
  <c r="N153" i="1"/>
  <c r="Z153" i="1"/>
  <c r="AB248" i="1"/>
  <c r="Z277" i="1"/>
  <c r="N277" i="1"/>
  <c r="AC277" i="1" s="1"/>
  <c r="R277" i="1"/>
  <c r="S277" i="1"/>
  <c r="AB261" i="1"/>
  <c r="Z206" i="1"/>
  <c r="N206" i="1"/>
  <c r="AC206" i="1" s="1"/>
  <c r="R206" i="1"/>
  <c r="S206" i="1"/>
  <c r="Z288" i="1"/>
  <c r="S288" i="1"/>
  <c r="N288" i="1"/>
  <c r="AC288" i="1" s="1"/>
  <c r="R288" i="1"/>
  <c r="R207" i="1"/>
  <c r="S207" i="1"/>
  <c r="N207" i="1"/>
  <c r="AC207" i="1" s="1"/>
  <c r="Z207" i="1"/>
  <c r="Z191" i="1"/>
  <c r="R191" i="1"/>
  <c r="N191" i="1"/>
  <c r="AC191" i="1" s="1"/>
  <c r="S191" i="1"/>
  <c r="Z280" i="1"/>
  <c r="R280" i="1"/>
  <c r="S280" i="1"/>
  <c r="N280" i="1"/>
  <c r="AC280" i="1" s="1"/>
  <c r="AB270" i="1"/>
  <c r="Z279" i="1"/>
  <c r="R279" i="1"/>
  <c r="S279" i="1"/>
  <c r="N279" i="1"/>
  <c r="AC279" i="1" s="1"/>
  <c r="AB263" i="1"/>
  <c r="Z221" i="1"/>
  <c r="R221" i="1"/>
  <c r="S221" i="1"/>
  <c r="N221" i="1"/>
  <c r="AC221" i="1" s="1"/>
  <c r="Z156" i="1"/>
  <c r="S156" i="1"/>
  <c r="N156" i="1"/>
  <c r="AB264" i="1"/>
  <c r="S173" i="1"/>
  <c r="Z173" i="1"/>
  <c r="N173" i="1"/>
  <c r="AC173" i="1" s="1"/>
  <c r="AB157" i="1"/>
  <c r="Z297" i="1"/>
  <c r="R297" i="1"/>
  <c r="S297" i="1"/>
  <c r="N297" i="1"/>
  <c r="AC297" i="1" s="1"/>
  <c r="AB281" i="1"/>
  <c r="N210" i="1"/>
  <c r="AC210" i="1" s="1"/>
  <c r="R210" i="1"/>
  <c r="S210" i="1"/>
  <c r="Z210" i="1"/>
  <c r="Z292" i="1"/>
  <c r="S292" i="1"/>
  <c r="N292" i="1"/>
  <c r="AC292" i="1" s="1"/>
  <c r="R292" i="1"/>
  <c r="AB286" i="1"/>
  <c r="R211" i="1"/>
  <c r="N211" i="1"/>
  <c r="AC211" i="1" s="1"/>
  <c r="S211" i="1"/>
  <c r="Z211" i="1"/>
  <c r="AB195" i="1"/>
  <c r="S179" i="1"/>
  <c r="Z179" i="1"/>
  <c r="N179" i="1"/>
  <c r="Z240" i="1"/>
  <c r="N240" i="1"/>
  <c r="AC240" i="1" s="1"/>
  <c r="R240" i="1"/>
  <c r="S240" i="1"/>
  <c r="S182" i="1"/>
  <c r="Z182" i="1"/>
  <c r="N182" i="1"/>
  <c r="AC182" i="1" s="1"/>
  <c r="Z255" i="1"/>
  <c r="S255" i="1"/>
  <c r="N255" i="1"/>
  <c r="AC255" i="1" s="1"/>
  <c r="R255" i="1"/>
  <c r="Z213" i="1"/>
  <c r="R213" i="1"/>
  <c r="N213" i="1"/>
  <c r="AC213" i="1" s="1"/>
  <c r="S213" i="1"/>
  <c r="Z273" i="1"/>
  <c r="N273" i="1"/>
  <c r="AC273" i="1" s="1"/>
  <c r="R273" i="1"/>
  <c r="S273" i="1"/>
  <c r="Z219" i="1"/>
  <c r="R219" i="1"/>
  <c r="N219" i="1"/>
  <c r="AC219" i="1" s="1"/>
  <c r="S219" i="1"/>
  <c r="Z154" i="1"/>
  <c r="S154" i="1"/>
  <c r="N154" i="1"/>
  <c r="N220" i="1"/>
  <c r="AC220" i="1" s="1"/>
  <c r="S220" i="1"/>
  <c r="Z220" i="1"/>
  <c r="R220" i="1"/>
  <c r="S187" i="1"/>
  <c r="Z187" i="1"/>
  <c r="N187" i="1"/>
  <c r="Z275" i="1"/>
  <c r="S275" i="1"/>
  <c r="N275" i="1"/>
  <c r="AC275" i="1" s="1"/>
  <c r="R275" i="1"/>
  <c r="Z217" i="1"/>
  <c r="S217" i="1"/>
  <c r="N217" i="1"/>
  <c r="AC217" i="1" s="1"/>
  <c r="R217" i="1"/>
  <c r="Z169" i="1"/>
  <c r="S169" i="1"/>
  <c r="N169" i="1"/>
  <c r="AC169" i="1" s="1"/>
  <c r="N293" i="1"/>
  <c r="AC293" i="1" s="1"/>
  <c r="S293" i="1"/>
  <c r="R293" i="1"/>
  <c r="Z293" i="1"/>
  <c r="Z223" i="1"/>
  <c r="N223" i="1"/>
  <c r="AC223" i="1" s="1"/>
  <c r="R223" i="1"/>
  <c r="S223" i="1"/>
  <c r="Z158" i="1"/>
  <c r="S158" i="1"/>
  <c r="N158" i="1"/>
  <c r="Z229" i="1"/>
  <c r="R229" i="1"/>
  <c r="N229" i="1"/>
  <c r="AC229" i="1" s="1"/>
  <c r="S229" i="1"/>
  <c r="Z159" i="1"/>
  <c r="S159" i="1"/>
  <c r="N159" i="1"/>
  <c r="Z295" i="1"/>
  <c r="R295" i="1"/>
  <c r="S295" i="1"/>
  <c r="N295" i="1"/>
  <c r="AC295" i="1" s="1"/>
  <c r="Z230" i="1"/>
  <c r="N230" i="1"/>
  <c r="AC230" i="1" s="1"/>
  <c r="S230" i="1"/>
  <c r="R230" i="1"/>
  <c r="Z189" i="1"/>
  <c r="R189" i="1"/>
  <c r="S189" i="1"/>
  <c r="N189" i="1"/>
  <c r="AC189" i="1" s="1"/>
  <c r="S235" i="1"/>
  <c r="R235" i="1"/>
  <c r="Z235" i="1"/>
  <c r="N235" i="1"/>
  <c r="AC235" i="1" s="1"/>
  <c r="Z249" i="1"/>
  <c r="S249" i="1"/>
  <c r="N249" i="1"/>
  <c r="AC249" i="1" s="1"/>
  <c r="R249" i="1"/>
  <c r="S233" i="1"/>
  <c r="R233" i="1"/>
  <c r="Z233" i="1"/>
  <c r="N233" i="1"/>
  <c r="AC233" i="1" s="1"/>
  <c r="Z238" i="1"/>
  <c r="N238" i="1"/>
  <c r="AC238" i="1" s="1"/>
  <c r="S238" i="1"/>
  <c r="R238" i="1"/>
  <c r="AB299" i="1"/>
  <c r="Z251" i="1"/>
  <c r="R251" i="1"/>
  <c r="N251" i="1"/>
  <c r="AC251" i="1" s="1"/>
  <c r="S251" i="1"/>
  <c r="AB234" i="1"/>
  <c r="AB208" i="1"/>
  <c r="S176" i="1"/>
  <c r="N176" i="1"/>
  <c r="Z176" i="1"/>
  <c r="AB160" i="1"/>
  <c r="AB268" i="1"/>
  <c r="Z209" i="1"/>
  <c r="N209" i="1"/>
  <c r="AC209" i="1" s="1"/>
  <c r="R209" i="1"/>
  <c r="S209" i="1"/>
  <c r="Z193" i="1"/>
  <c r="R193" i="1"/>
  <c r="N193" i="1"/>
  <c r="AC193" i="1" s="1"/>
  <c r="S193" i="1"/>
  <c r="S276" i="1"/>
  <c r="R276" i="1"/>
  <c r="N276" i="1"/>
  <c r="AC276" i="1" s="1"/>
  <c r="Z276" i="1"/>
  <c r="Z269" i="1"/>
  <c r="N269" i="1"/>
  <c r="AC269" i="1" s="1"/>
  <c r="R269" i="1"/>
  <c r="S269" i="1"/>
  <c r="AB253" i="1"/>
  <c r="S214" i="1"/>
  <c r="Z214" i="1"/>
  <c r="N214" i="1"/>
  <c r="AC214" i="1" s="1"/>
  <c r="R214" i="1"/>
  <c r="Z300" i="1"/>
  <c r="R300" i="1"/>
  <c r="S300" i="1"/>
  <c r="N300" i="1"/>
  <c r="AC300" i="1" s="1"/>
  <c r="AB294" i="1"/>
  <c r="AB266" i="1"/>
  <c r="Z216" i="1"/>
  <c r="N216" i="1"/>
  <c r="AC216" i="1" s="1"/>
  <c r="S216" i="1"/>
  <c r="R216" i="1"/>
  <c r="AB199" i="1"/>
  <c r="AB183" i="1"/>
  <c r="Z271" i="1"/>
  <c r="R271" i="1"/>
  <c r="S271" i="1"/>
  <c r="N271" i="1"/>
  <c r="AC271" i="1" s="1"/>
  <c r="AB255" i="1"/>
  <c r="Z196" i="1"/>
  <c r="S196" i="1"/>
  <c r="N196" i="1"/>
  <c r="AB180" i="1"/>
  <c r="R252" i="1"/>
  <c r="S252" i="1"/>
  <c r="Z252" i="1"/>
  <c r="N252" i="1"/>
  <c r="AC252" i="1" s="1"/>
  <c r="AB213" i="1"/>
  <c r="N165" i="1"/>
  <c r="S165" i="1"/>
  <c r="Z165" i="1"/>
  <c r="AB284" i="1"/>
  <c r="R289" i="1"/>
  <c r="S289" i="1"/>
  <c r="N289" i="1"/>
  <c r="AC289" i="1" s="1"/>
  <c r="Z289" i="1"/>
  <c r="AB273" i="1"/>
  <c r="N232" i="1"/>
  <c r="AC232" i="1" s="1"/>
  <c r="S232" i="1"/>
  <c r="Z232" i="1"/>
  <c r="R232" i="1"/>
  <c r="Z170" i="1"/>
  <c r="N170" i="1"/>
  <c r="S170" i="1"/>
  <c r="AB154" i="1"/>
  <c r="Z250" i="1"/>
  <c r="R250" i="1"/>
  <c r="S250" i="1"/>
  <c r="N250" i="1"/>
  <c r="AC250" i="1" s="1"/>
  <c r="AB220" i="1"/>
  <c r="AB171" i="1"/>
  <c r="AB298" i="1"/>
  <c r="S291" i="1"/>
  <c r="Z291" i="1"/>
  <c r="R291" i="1"/>
  <c r="N291" i="1"/>
  <c r="AC291" i="1" s="1"/>
  <c r="AB275" i="1"/>
  <c r="R226" i="1"/>
  <c r="S226" i="1"/>
  <c r="Z226" i="1"/>
  <c r="N226" i="1"/>
  <c r="AC226" i="1" s="1"/>
  <c r="AB217" i="1"/>
  <c r="AB200" i="1"/>
  <c r="Z168" i="1"/>
  <c r="N168" i="1"/>
  <c r="S168" i="1"/>
  <c r="S152" i="1"/>
  <c r="N152" i="1"/>
  <c r="Z152" i="1"/>
  <c r="AB256" i="1"/>
  <c r="Z185" i="1"/>
  <c r="S185" i="1"/>
  <c r="N185" i="1"/>
  <c r="AB169" i="1"/>
  <c r="Z231" i="1"/>
  <c r="N231" i="1"/>
  <c r="AC231" i="1" s="1"/>
  <c r="R231" i="1"/>
  <c r="S231" i="1"/>
  <c r="AB293" i="1"/>
  <c r="Z245" i="1"/>
  <c r="S245" i="1"/>
  <c r="N245" i="1"/>
  <c r="AC245" i="1" s="1"/>
  <c r="R245" i="1"/>
  <c r="AB223" i="1"/>
  <c r="AB174" i="1"/>
  <c r="AB158" i="1"/>
  <c r="S254" i="1"/>
  <c r="N254" i="1"/>
  <c r="AC254" i="1" s="1"/>
  <c r="Z254" i="1"/>
  <c r="R254" i="1"/>
  <c r="AB229" i="1"/>
  <c r="Z175" i="1"/>
  <c r="N175" i="1"/>
  <c r="S175" i="1"/>
  <c r="AB159" i="1"/>
  <c r="Z224" i="1"/>
  <c r="S224" i="1"/>
  <c r="R224" i="1"/>
  <c r="N224" i="1"/>
  <c r="AC224" i="1" s="1"/>
  <c r="AB295" i="1"/>
  <c r="AB279" i="1"/>
  <c r="Z247" i="1"/>
  <c r="R247" i="1"/>
  <c r="S247" i="1"/>
  <c r="N247" i="1"/>
  <c r="AC247" i="1" s="1"/>
  <c r="Z188" i="1"/>
  <c r="S188" i="1"/>
  <c r="N188" i="1"/>
  <c r="AC188" i="1" s="1"/>
  <c r="R188" i="1"/>
  <c r="N172" i="1"/>
  <c r="S172" i="1"/>
  <c r="Z172" i="1"/>
  <c r="S218" i="1"/>
  <c r="Z218" i="1"/>
  <c r="N218" i="1"/>
  <c r="AC218" i="1" s="1"/>
  <c r="R218" i="1"/>
  <c r="S205" i="1"/>
  <c r="Z205" i="1"/>
  <c r="R205" i="1"/>
  <c r="N205" i="1"/>
  <c r="AC205" i="1" s="1"/>
  <c r="AB189" i="1"/>
  <c r="Z260" i="1"/>
  <c r="N260" i="1"/>
  <c r="AC260" i="1" s="1"/>
  <c r="R260" i="1"/>
  <c r="S260" i="1"/>
  <c r="AB235" i="1"/>
  <c r="Z265" i="1"/>
  <c r="N265" i="1"/>
  <c r="AC265" i="1" s="1"/>
  <c r="R265" i="1"/>
  <c r="S265" i="1"/>
  <c r="AB249" i="1"/>
  <c r="S178" i="1"/>
  <c r="Z178" i="1"/>
  <c r="N178" i="1"/>
  <c r="S162" i="1"/>
  <c r="Z162" i="1"/>
  <c r="N162" i="1"/>
  <c r="AB292" i="1"/>
  <c r="Z262" i="1"/>
  <c r="R262" i="1"/>
  <c r="S262" i="1"/>
  <c r="N262" i="1"/>
  <c r="AC262" i="1" s="1"/>
  <c r="AB233" i="1"/>
  <c r="Z163" i="1"/>
  <c r="S163" i="1"/>
  <c r="N163" i="1"/>
  <c r="Z234" i="1"/>
  <c r="R234" i="1"/>
  <c r="S234" i="1"/>
  <c r="N234" i="1"/>
  <c r="AC234" i="1" s="1"/>
  <c r="Z160" i="1"/>
  <c r="S160" i="1"/>
  <c r="N160" i="1"/>
  <c r="Z198" i="1"/>
  <c r="S198" i="1"/>
  <c r="N198" i="1"/>
  <c r="N294" i="1"/>
  <c r="AC294" i="1" s="1"/>
  <c r="S294" i="1"/>
  <c r="R294" i="1"/>
  <c r="Z294" i="1"/>
  <c r="Z183" i="1"/>
  <c r="S183" i="1"/>
  <c r="N183" i="1"/>
  <c r="S290" i="1"/>
  <c r="Z290" i="1"/>
  <c r="N290" i="1"/>
  <c r="AC290" i="1" s="1"/>
  <c r="R290" i="1"/>
  <c r="Z278" i="1"/>
  <c r="S278" i="1"/>
  <c r="N278" i="1"/>
  <c r="AC278" i="1" s="1"/>
  <c r="R278" i="1"/>
  <c r="N161" i="1"/>
  <c r="S161" i="1"/>
  <c r="Z161" i="1"/>
  <c r="Z285" i="1"/>
  <c r="N285" i="1"/>
  <c r="AC285" i="1" s="1"/>
  <c r="R285" i="1"/>
  <c r="S285" i="1"/>
  <c r="S167" i="1"/>
  <c r="Z167" i="1"/>
  <c r="N167" i="1"/>
  <c r="Z287" i="1"/>
  <c r="R287" i="1"/>
  <c r="N287" i="1"/>
  <c r="AC287" i="1" s="1"/>
  <c r="S287" i="1"/>
  <c r="Z212" i="1"/>
  <c r="R212" i="1"/>
  <c r="N212" i="1"/>
  <c r="AC212" i="1" s="1"/>
  <c r="S212" i="1"/>
  <c r="Z227" i="1"/>
  <c r="R227" i="1"/>
  <c r="S227" i="1"/>
  <c r="N227" i="1"/>
  <c r="AC227" i="1" s="1"/>
  <c r="Z241" i="1"/>
  <c r="S241" i="1"/>
  <c r="N241" i="1"/>
  <c r="AC241" i="1" s="1"/>
  <c r="R241" i="1"/>
  <c r="AB219" i="1"/>
  <c r="S186" i="1"/>
  <c r="Z186" i="1"/>
  <c r="N186" i="1"/>
  <c r="Z171" i="1"/>
  <c r="N171" i="1"/>
  <c r="S171" i="1"/>
  <c r="Z155" i="1"/>
  <c r="N155" i="1"/>
  <c r="AC155" i="1" s="1"/>
  <c r="S155" i="1"/>
  <c r="Z243" i="1"/>
  <c r="R243" i="1"/>
  <c r="S243" i="1"/>
  <c r="N243" i="1"/>
  <c r="AC243" i="1" s="1"/>
  <c r="N184" i="1"/>
  <c r="S184" i="1"/>
  <c r="Z184" i="1"/>
  <c r="Z201" i="1"/>
  <c r="S201" i="1"/>
  <c r="N201" i="1"/>
  <c r="AC201" i="1" s="1"/>
  <c r="R201" i="1"/>
  <c r="R248" i="1"/>
  <c r="S248" i="1"/>
  <c r="Z248" i="1"/>
  <c r="N248" i="1"/>
  <c r="AC248" i="1" s="1"/>
  <c r="Z261" i="1"/>
  <c r="R261" i="1"/>
  <c r="N261" i="1"/>
  <c r="AC261" i="1" s="1"/>
  <c r="S261" i="1"/>
  <c r="Z190" i="1"/>
  <c r="R190" i="1"/>
  <c r="N190" i="1"/>
  <c r="AC190" i="1" s="1"/>
  <c r="S190" i="1"/>
  <c r="Z174" i="1"/>
  <c r="S174" i="1"/>
  <c r="N174" i="1"/>
  <c r="R282" i="1"/>
  <c r="S282" i="1"/>
  <c r="Z282" i="1"/>
  <c r="N282" i="1"/>
  <c r="AC282" i="1" s="1"/>
  <c r="R270" i="1"/>
  <c r="S270" i="1"/>
  <c r="N270" i="1"/>
  <c r="AC270" i="1" s="1"/>
  <c r="Z270" i="1"/>
  <c r="Z263" i="1"/>
  <c r="S263" i="1"/>
  <c r="N263" i="1"/>
  <c r="AC263" i="1" s="1"/>
  <c r="R263" i="1"/>
  <c r="AB230" i="1"/>
  <c r="Z204" i="1"/>
  <c r="S204" i="1"/>
  <c r="R204" i="1"/>
  <c r="N204" i="1"/>
  <c r="AC204" i="1" s="1"/>
  <c r="S264" i="1"/>
  <c r="N264" i="1"/>
  <c r="AC264" i="1" s="1"/>
  <c r="Z264" i="1"/>
  <c r="R264" i="1"/>
  <c r="N157" i="1"/>
  <c r="S157" i="1"/>
  <c r="Z157" i="1"/>
  <c r="Z281" i="1"/>
  <c r="N281" i="1"/>
  <c r="AC281" i="1" s="1"/>
  <c r="R281" i="1"/>
  <c r="S281" i="1"/>
  <c r="Z194" i="1"/>
  <c r="R194" i="1"/>
  <c r="N194" i="1"/>
  <c r="AC194" i="1" s="1"/>
  <c r="S194" i="1"/>
  <c r="R286" i="1"/>
  <c r="Z286" i="1"/>
  <c r="N286" i="1"/>
  <c r="AC286" i="1" s="1"/>
  <c r="S286" i="1"/>
  <c r="Z195" i="1"/>
  <c r="S195" i="1"/>
  <c r="R195" i="1"/>
  <c r="N195" i="1"/>
  <c r="AC195" i="1" s="1"/>
  <c r="R182" i="1" l="1"/>
  <c r="R181" i="1"/>
  <c r="R151" i="1"/>
  <c r="R169" i="1"/>
  <c r="R183" i="1"/>
  <c r="AC183" i="1"/>
  <c r="AC159" i="1"/>
  <c r="R159" i="1"/>
  <c r="R164" i="1"/>
  <c r="AC164" i="1"/>
  <c r="R166" i="1"/>
  <c r="AC166" i="1"/>
  <c r="R174" i="1"/>
  <c r="AC174" i="1"/>
  <c r="AC186" i="1"/>
  <c r="R186" i="1"/>
  <c r="R167" i="1"/>
  <c r="AC167" i="1"/>
  <c r="R163" i="1"/>
  <c r="AC163" i="1"/>
  <c r="R178" i="1"/>
  <c r="AC178" i="1"/>
  <c r="AC172" i="1"/>
  <c r="R172" i="1"/>
  <c r="O196" i="1"/>
  <c r="AC196" i="1"/>
  <c r="R196" i="1"/>
  <c r="R176" i="1"/>
  <c r="AC176" i="1"/>
  <c r="R154" i="1"/>
  <c r="AC154" i="1"/>
  <c r="R173" i="1"/>
  <c r="O197" i="1"/>
  <c r="AC197" i="1"/>
  <c r="R180" i="1"/>
  <c r="AC180" i="1"/>
  <c r="R199" i="1"/>
  <c r="AC199" i="1"/>
  <c r="R157" i="1"/>
  <c r="AC157" i="1"/>
  <c r="R170" i="1"/>
  <c r="AC170" i="1"/>
  <c r="R184" i="1"/>
  <c r="AC184" i="1"/>
  <c r="R161" i="1"/>
  <c r="AC161" i="1"/>
  <c r="R160" i="1"/>
  <c r="AC160" i="1"/>
  <c r="R162" i="1"/>
  <c r="AC162" i="1"/>
  <c r="R175" i="1"/>
  <c r="AC175" i="1"/>
  <c r="AC185" i="1"/>
  <c r="R185" i="1"/>
  <c r="R168" i="1"/>
  <c r="AC168" i="1"/>
  <c r="AC165" i="1"/>
  <c r="R165" i="1"/>
  <c r="AC187" i="1"/>
  <c r="R187" i="1"/>
  <c r="R177" i="1"/>
  <c r="AC177" i="1"/>
  <c r="R171" i="1"/>
  <c r="AC171" i="1"/>
  <c r="R198" i="1"/>
  <c r="AC198" i="1"/>
  <c r="R152" i="1"/>
  <c r="AC152" i="1"/>
  <c r="R158" i="1"/>
  <c r="AC158" i="1"/>
  <c r="R179" i="1"/>
  <c r="AC179" i="1"/>
  <c r="R156" i="1"/>
  <c r="AC156" i="1"/>
  <c r="AC153" i="1"/>
  <c r="R153" i="1"/>
  <c r="R155" i="1"/>
  <c r="B19" i="3"/>
  <c r="B43" i="3" s="1"/>
  <c r="B67" i="3" s="1"/>
  <c r="B91" i="3" s="1"/>
  <c r="B115" i="3" s="1"/>
  <c r="D123" i="3" s="1"/>
  <c r="G91" i="3" l="1"/>
  <c r="F91" i="3"/>
  <c r="C115" i="3"/>
  <c r="G115" i="3"/>
  <c r="F115" i="3"/>
  <c r="D115" i="3"/>
  <c r="F67" i="3"/>
  <c r="G43" i="3"/>
  <c r="F43" i="3"/>
  <c r="G67" i="3"/>
  <c r="E115" i="3"/>
  <c r="F19" i="3"/>
  <c r="G19" i="3"/>
  <c r="J54" i="1" l="1"/>
  <c r="J55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M109" i="1" l="1"/>
  <c r="W109" i="1" s="1"/>
  <c r="Y109" i="1" s="1"/>
  <c r="P109" i="1"/>
  <c r="Q109" i="1"/>
  <c r="M103" i="1"/>
  <c r="U103" i="1" s="1"/>
  <c r="Q103" i="1"/>
  <c r="P103" i="1"/>
  <c r="M95" i="1"/>
  <c r="W95" i="1" s="1"/>
  <c r="Y95" i="1" s="1"/>
  <c r="Q95" i="1"/>
  <c r="P95" i="1"/>
  <c r="M89" i="1"/>
  <c r="W89" i="1" s="1"/>
  <c r="Y89" i="1" s="1"/>
  <c r="P89" i="1"/>
  <c r="Q89" i="1"/>
  <c r="M85" i="1"/>
  <c r="W85" i="1" s="1"/>
  <c r="Y85" i="1" s="1"/>
  <c r="P85" i="1"/>
  <c r="Q85" i="1"/>
  <c r="M79" i="1"/>
  <c r="U79" i="1" s="1"/>
  <c r="Q79" i="1"/>
  <c r="P79" i="1"/>
  <c r="M73" i="1"/>
  <c r="P73" i="1"/>
  <c r="Q73" i="1"/>
  <c r="P69" i="1"/>
  <c r="Q69" i="1"/>
  <c r="M65" i="1"/>
  <c r="U65" i="1" s="1"/>
  <c r="P65" i="1"/>
  <c r="Q65" i="1"/>
  <c r="M59" i="1"/>
  <c r="U59" i="1" s="1"/>
  <c r="Q59" i="1"/>
  <c r="P59" i="1"/>
  <c r="M55" i="1"/>
  <c r="W55" i="1" s="1"/>
  <c r="Y55" i="1" s="1"/>
  <c r="Q55" i="1"/>
  <c r="P55" i="1"/>
  <c r="M147" i="1"/>
  <c r="Q147" i="1"/>
  <c r="P147" i="1"/>
  <c r="M141" i="1"/>
  <c r="W141" i="1" s="1"/>
  <c r="Y141" i="1" s="1"/>
  <c r="P141" i="1"/>
  <c r="Q141" i="1"/>
  <c r="M137" i="1"/>
  <c r="P137" i="1"/>
  <c r="Q137" i="1"/>
  <c r="M133" i="1"/>
  <c r="W133" i="1" s="1"/>
  <c r="Y133" i="1" s="1"/>
  <c r="P133" i="1"/>
  <c r="Q133" i="1"/>
  <c r="M129" i="1"/>
  <c r="W129" i="1" s="1"/>
  <c r="Y129" i="1" s="1"/>
  <c r="P129" i="1"/>
  <c r="Q129" i="1"/>
  <c r="M125" i="1"/>
  <c r="P125" i="1"/>
  <c r="Q125" i="1"/>
  <c r="M121" i="1"/>
  <c r="W121" i="1" s="1"/>
  <c r="Y121" i="1" s="1"/>
  <c r="P121" i="1"/>
  <c r="Q121" i="1"/>
  <c r="M115" i="1"/>
  <c r="U115" i="1" s="1"/>
  <c r="Q115" i="1"/>
  <c r="P115" i="1"/>
  <c r="M150" i="1"/>
  <c r="W150" i="1" s="1"/>
  <c r="Y150" i="1" s="1"/>
  <c r="Q150" i="1"/>
  <c r="P150" i="1"/>
  <c r="M148" i="1"/>
  <c r="O148" i="1" s="1"/>
  <c r="Q148" i="1"/>
  <c r="P148" i="1"/>
  <c r="M146" i="1"/>
  <c r="W146" i="1" s="1"/>
  <c r="Y146" i="1" s="1"/>
  <c r="P146" i="1"/>
  <c r="Q146" i="1"/>
  <c r="M144" i="1"/>
  <c r="W144" i="1" s="1"/>
  <c r="Y144" i="1" s="1"/>
  <c r="Q144" i="1"/>
  <c r="P144" i="1"/>
  <c r="M142" i="1"/>
  <c r="W142" i="1" s="1"/>
  <c r="Y142" i="1" s="1"/>
  <c r="Q142" i="1"/>
  <c r="P142" i="1"/>
  <c r="M140" i="1"/>
  <c r="W140" i="1" s="1"/>
  <c r="Y140" i="1" s="1"/>
  <c r="Q140" i="1"/>
  <c r="P140" i="1"/>
  <c r="M138" i="1"/>
  <c r="W138" i="1" s="1"/>
  <c r="Y138" i="1" s="1"/>
  <c r="Q138" i="1"/>
  <c r="P138" i="1"/>
  <c r="M136" i="1"/>
  <c r="Q136" i="1"/>
  <c r="P136" i="1"/>
  <c r="M134" i="1"/>
  <c r="W134" i="1" s="1"/>
  <c r="Y134" i="1" s="1"/>
  <c r="Q134" i="1"/>
  <c r="P134" i="1"/>
  <c r="M132" i="1"/>
  <c r="Q132" i="1"/>
  <c r="P132" i="1"/>
  <c r="M130" i="1"/>
  <c r="W130" i="1" s="1"/>
  <c r="Y130" i="1" s="1"/>
  <c r="P130" i="1"/>
  <c r="Q130" i="1"/>
  <c r="M128" i="1"/>
  <c r="W128" i="1" s="1"/>
  <c r="Y128" i="1" s="1"/>
  <c r="Q128" i="1"/>
  <c r="P128" i="1"/>
  <c r="M126" i="1"/>
  <c r="W126" i="1" s="1"/>
  <c r="Y126" i="1" s="1"/>
  <c r="P126" i="1"/>
  <c r="Q126" i="1"/>
  <c r="M124" i="1"/>
  <c r="U124" i="1" s="1"/>
  <c r="Q124" i="1"/>
  <c r="P124" i="1"/>
  <c r="M122" i="1"/>
  <c r="W122" i="1" s="1"/>
  <c r="Y122" i="1" s="1"/>
  <c r="Q122" i="1"/>
  <c r="P122" i="1"/>
  <c r="M120" i="1"/>
  <c r="U120" i="1" s="1"/>
  <c r="Q120" i="1"/>
  <c r="P120" i="1"/>
  <c r="Q118" i="1"/>
  <c r="P118" i="1"/>
  <c r="M116" i="1"/>
  <c r="Q116" i="1"/>
  <c r="P116" i="1"/>
  <c r="M111" i="1"/>
  <c r="W111" i="1" s="1"/>
  <c r="Y111" i="1" s="1"/>
  <c r="Q111" i="1"/>
  <c r="P111" i="1"/>
  <c r="M105" i="1"/>
  <c r="W105" i="1" s="1"/>
  <c r="Y105" i="1" s="1"/>
  <c r="P105" i="1"/>
  <c r="Q105" i="1"/>
  <c r="M99" i="1"/>
  <c r="W99" i="1" s="1"/>
  <c r="Y99" i="1" s="1"/>
  <c r="Q99" i="1"/>
  <c r="P99" i="1"/>
  <c r="M91" i="1"/>
  <c r="W91" i="1" s="1"/>
  <c r="Y91" i="1" s="1"/>
  <c r="Q91" i="1"/>
  <c r="P91" i="1"/>
  <c r="M83" i="1"/>
  <c r="Q83" i="1"/>
  <c r="P83" i="1"/>
  <c r="M75" i="1"/>
  <c r="W75" i="1" s="1"/>
  <c r="Y75" i="1" s="1"/>
  <c r="Q75" i="1"/>
  <c r="P75" i="1"/>
  <c r="M61" i="1"/>
  <c r="W61" i="1" s="1"/>
  <c r="Y61" i="1" s="1"/>
  <c r="P61" i="1"/>
  <c r="Q61" i="1"/>
  <c r="M145" i="1"/>
  <c r="U145" i="1" s="1"/>
  <c r="P145" i="1"/>
  <c r="Q145" i="1"/>
  <c r="M119" i="1"/>
  <c r="U119" i="1" s="1"/>
  <c r="Q119" i="1"/>
  <c r="P119" i="1"/>
  <c r="M113" i="1"/>
  <c r="W113" i="1" s="1"/>
  <c r="Y113" i="1" s="1"/>
  <c r="P113" i="1"/>
  <c r="Q113" i="1"/>
  <c r="M107" i="1"/>
  <c r="U107" i="1" s="1"/>
  <c r="Q107" i="1"/>
  <c r="P107" i="1"/>
  <c r="M101" i="1"/>
  <c r="U101" i="1" s="1"/>
  <c r="P101" i="1"/>
  <c r="Q101" i="1"/>
  <c r="M97" i="1"/>
  <c r="W97" i="1" s="1"/>
  <c r="Y97" i="1" s="1"/>
  <c r="P97" i="1"/>
  <c r="Q97" i="1"/>
  <c r="M93" i="1"/>
  <c r="W93" i="1" s="1"/>
  <c r="Y93" i="1" s="1"/>
  <c r="P93" i="1"/>
  <c r="Q93" i="1"/>
  <c r="M87" i="1"/>
  <c r="W87" i="1" s="1"/>
  <c r="Y87" i="1" s="1"/>
  <c r="Q87" i="1"/>
  <c r="P87" i="1"/>
  <c r="M81" i="1"/>
  <c r="W81" i="1" s="1"/>
  <c r="Y81" i="1" s="1"/>
  <c r="P81" i="1"/>
  <c r="Q81" i="1"/>
  <c r="M77" i="1"/>
  <c r="W77" i="1" s="1"/>
  <c r="Y77" i="1" s="1"/>
  <c r="P77" i="1"/>
  <c r="Q77" i="1"/>
  <c r="Q71" i="1"/>
  <c r="P71" i="1"/>
  <c r="M67" i="1"/>
  <c r="W67" i="1" s="1"/>
  <c r="Y67" i="1" s="1"/>
  <c r="Q67" i="1"/>
  <c r="P67" i="1"/>
  <c r="Q63" i="1"/>
  <c r="P63" i="1"/>
  <c r="M57" i="1"/>
  <c r="U57" i="1" s="1"/>
  <c r="P57" i="1"/>
  <c r="Q57" i="1"/>
  <c r="M149" i="1"/>
  <c r="W149" i="1" s="1"/>
  <c r="Y149" i="1" s="1"/>
  <c r="P149" i="1"/>
  <c r="Q149" i="1"/>
  <c r="Q143" i="1"/>
  <c r="P143" i="1"/>
  <c r="M139" i="1"/>
  <c r="U139" i="1" s="1"/>
  <c r="Q139" i="1"/>
  <c r="P139" i="1"/>
  <c r="M135" i="1"/>
  <c r="W135" i="1" s="1"/>
  <c r="Y135" i="1" s="1"/>
  <c r="Q135" i="1"/>
  <c r="P135" i="1"/>
  <c r="M131" i="1"/>
  <c r="W131" i="1" s="1"/>
  <c r="Y131" i="1" s="1"/>
  <c r="Q131" i="1"/>
  <c r="P131" i="1"/>
  <c r="M127" i="1"/>
  <c r="W127" i="1" s="1"/>
  <c r="Y127" i="1" s="1"/>
  <c r="Q127" i="1"/>
  <c r="P127" i="1"/>
  <c r="M123" i="1"/>
  <c r="U123" i="1" s="1"/>
  <c r="Q123" i="1"/>
  <c r="P123" i="1"/>
  <c r="P117" i="1"/>
  <c r="Q117" i="1"/>
  <c r="P114" i="1"/>
  <c r="Q114" i="1"/>
  <c r="M112" i="1"/>
  <c r="W112" i="1" s="1"/>
  <c r="Y112" i="1" s="1"/>
  <c r="Q112" i="1"/>
  <c r="P112" i="1"/>
  <c r="M110" i="1"/>
  <c r="U110" i="1" s="1"/>
  <c r="P110" i="1"/>
  <c r="Q110" i="1"/>
  <c r="M108" i="1"/>
  <c r="W108" i="1" s="1"/>
  <c r="Y108" i="1" s="1"/>
  <c r="Q108" i="1"/>
  <c r="P108" i="1"/>
  <c r="M106" i="1"/>
  <c r="W106" i="1" s="1"/>
  <c r="Y106" i="1" s="1"/>
  <c r="Q106" i="1"/>
  <c r="P106" i="1"/>
  <c r="M104" i="1"/>
  <c r="W104" i="1" s="1"/>
  <c r="Y104" i="1" s="1"/>
  <c r="Q104" i="1"/>
  <c r="P104" i="1"/>
  <c r="M102" i="1"/>
  <c r="W102" i="1" s="1"/>
  <c r="Y102" i="1" s="1"/>
  <c r="Q102" i="1"/>
  <c r="P102" i="1"/>
  <c r="M100" i="1"/>
  <c r="W100" i="1" s="1"/>
  <c r="Y100" i="1" s="1"/>
  <c r="Q100" i="1"/>
  <c r="P100" i="1"/>
  <c r="M98" i="1"/>
  <c r="W98" i="1" s="1"/>
  <c r="Y98" i="1" s="1"/>
  <c r="Q98" i="1"/>
  <c r="P98" i="1"/>
  <c r="M96" i="1"/>
  <c r="W96" i="1" s="1"/>
  <c r="Y96" i="1" s="1"/>
  <c r="Q96" i="1"/>
  <c r="P96" i="1"/>
  <c r="M94" i="1"/>
  <c r="W94" i="1" s="1"/>
  <c r="Y94" i="1" s="1"/>
  <c r="Q94" i="1"/>
  <c r="P94" i="1"/>
  <c r="M92" i="1"/>
  <c r="U92" i="1" s="1"/>
  <c r="Q92" i="1"/>
  <c r="P92" i="1"/>
  <c r="M90" i="1"/>
  <c r="U90" i="1" s="1"/>
  <c r="Q90" i="1"/>
  <c r="P90" i="1"/>
  <c r="M88" i="1"/>
  <c r="W88" i="1" s="1"/>
  <c r="Y88" i="1" s="1"/>
  <c r="P88" i="1"/>
  <c r="Q88" i="1"/>
  <c r="M86" i="1"/>
  <c r="W86" i="1" s="1"/>
  <c r="Y86" i="1" s="1"/>
  <c r="Q86" i="1"/>
  <c r="P86" i="1"/>
  <c r="M84" i="1"/>
  <c r="W84" i="1" s="1"/>
  <c r="Y84" i="1" s="1"/>
  <c r="P84" i="1"/>
  <c r="Q84" i="1"/>
  <c r="M82" i="1"/>
  <c r="W82" i="1" s="1"/>
  <c r="Y82" i="1" s="1"/>
  <c r="Q82" i="1"/>
  <c r="P82" i="1"/>
  <c r="M80" i="1"/>
  <c r="W80" i="1" s="1"/>
  <c r="Y80" i="1" s="1"/>
  <c r="P80" i="1"/>
  <c r="Q80" i="1"/>
  <c r="M78" i="1"/>
  <c r="W78" i="1" s="1"/>
  <c r="Y78" i="1" s="1"/>
  <c r="Q78" i="1"/>
  <c r="P78" i="1"/>
  <c r="M76" i="1"/>
  <c r="W76" i="1" s="1"/>
  <c r="Y76" i="1" s="1"/>
  <c r="P76" i="1"/>
  <c r="Q76" i="1"/>
  <c r="Q74" i="1"/>
  <c r="P74" i="1"/>
  <c r="M72" i="1"/>
  <c r="U72" i="1" s="1"/>
  <c r="P72" i="1"/>
  <c r="Q72" i="1"/>
  <c r="M70" i="1"/>
  <c r="U70" i="1" s="1"/>
  <c r="Q70" i="1"/>
  <c r="P70" i="1"/>
  <c r="M68" i="1"/>
  <c r="W68" i="1" s="1"/>
  <c r="Y68" i="1" s="1"/>
  <c r="P68" i="1"/>
  <c r="Q68" i="1"/>
  <c r="M66" i="1"/>
  <c r="W66" i="1" s="1"/>
  <c r="Y66" i="1" s="1"/>
  <c r="Q66" i="1"/>
  <c r="P66" i="1"/>
  <c r="P64" i="1"/>
  <c r="Q64" i="1"/>
  <c r="Q62" i="1"/>
  <c r="P62" i="1"/>
  <c r="P60" i="1"/>
  <c r="Q60" i="1"/>
  <c r="M58" i="1"/>
  <c r="U58" i="1" s="1"/>
  <c r="Q58" i="1"/>
  <c r="P58" i="1"/>
  <c r="P56" i="1"/>
  <c r="Q56" i="1"/>
  <c r="Q54" i="1"/>
  <c r="P54" i="1"/>
  <c r="W145" i="1"/>
  <c r="Y145" i="1" s="1"/>
  <c r="W90" i="1"/>
  <c r="Y90" i="1" s="1"/>
  <c r="W103" i="1"/>
  <c r="Y103" i="1" s="1"/>
  <c r="W65" i="1"/>
  <c r="Y65" i="1" s="1"/>
  <c r="W59" i="1"/>
  <c r="Y59" i="1" s="1"/>
  <c r="W139" i="1"/>
  <c r="Y139" i="1" s="1"/>
  <c r="W119" i="1"/>
  <c r="Y119" i="1" s="1"/>
  <c r="W147" i="1"/>
  <c r="Y147" i="1" s="1"/>
  <c r="W137" i="1"/>
  <c r="Y137" i="1" s="1"/>
  <c r="W115" i="1"/>
  <c r="Y115" i="1" s="1"/>
  <c r="W148" i="1"/>
  <c r="Y148" i="1" s="1"/>
  <c r="W136" i="1"/>
  <c r="Y136" i="1" s="1"/>
  <c r="W124" i="1"/>
  <c r="Y124" i="1" s="1"/>
  <c r="W116" i="1"/>
  <c r="Y116" i="1" s="1"/>
  <c r="W120" i="1"/>
  <c r="Y120" i="1" s="1"/>
  <c r="W83" i="1"/>
  <c r="Y83" i="1" s="1"/>
  <c r="U73" i="1"/>
  <c r="W73" i="1"/>
  <c r="Y73" i="1" s="1"/>
  <c r="C91" i="3"/>
  <c r="U147" i="1"/>
  <c r="U141" i="1"/>
  <c r="U137" i="1"/>
  <c r="U133" i="1"/>
  <c r="U121" i="1"/>
  <c r="U109" i="1"/>
  <c r="U97" i="1"/>
  <c r="U95" i="1"/>
  <c r="U85" i="1"/>
  <c r="U83" i="1"/>
  <c r="U77" i="1"/>
  <c r="U61" i="1"/>
  <c r="U55" i="1"/>
  <c r="U144" i="1"/>
  <c r="U136" i="1"/>
  <c r="U132" i="1"/>
  <c r="U128" i="1"/>
  <c r="U116" i="1"/>
  <c r="U98" i="1"/>
  <c r="U68" i="1"/>
  <c r="M71" i="1"/>
  <c r="M69" i="1"/>
  <c r="M63" i="1"/>
  <c r="M143" i="1"/>
  <c r="M64" i="1"/>
  <c r="M62" i="1"/>
  <c r="M60" i="1"/>
  <c r="M56" i="1"/>
  <c r="M54" i="1"/>
  <c r="M118" i="1"/>
  <c r="M114" i="1"/>
  <c r="M117" i="1"/>
  <c r="M74" i="1"/>
  <c r="O144" i="1"/>
  <c r="O142" i="1"/>
  <c r="O121" i="1"/>
  <c r="O137" i="1"/>
  <c r="O138" i="1"/>
  <c r="O139" i="1"/>
  <c r="O146" i="1"/>
  <c r="O147" i="1"/>
  <c r="O145" i="1"/>
  <c r="O136" i="1"/>
  <c r="O122" i="1"/>
  <c r="O120" i="1"/>
  <c r="O55" i="1"/>
  <c r="U129" i="1" l="1"/>
  <c r="U125" i="1"/>
  <c r="U111" i="1"/>
  <c r="O149" i="1"/>
  <c r="U86" i="1"/>
  <c r="U134" i="1"/>
  <c r="O150" i="1"/>
  <c r="U150" i="1"/>
  <c r="W58" i="1"/>
  <c r="Y58" i="1" s="1"/>
  <c r="O124" i="1"/>
  <c r="O140" i="1"/>
  <c r="O141" i="1"/>
  <c r="U82" i="1"/>
  <c r="U148" i="1"/>
  <c r="U99" i="1"/>
  <c r="W132" i="1"/>
  <c r="Y132" i="1" s="1"/>
  <c r="W57" i="1"/>
  <c r="Y57" i="1" s="1"/>
  <c r="W79" i="1"/>
  <c r="Y79" i="1" s="1"/>
  <c r="W123" i="1"/>
  <c r="Y123" i="1" s="1"/>
  <c r="O68" i="1"/>
  <c r="U87" i="1"/>
  <c r="U106" i="1"/>
  <c r="W125" i="1"/>
  <c r="Y125" i="1" s="1"/>
  <c r="W107" i="1"/>
  <c r="Y107" i="1" s="1"/>
  <c r="O123" i="1"/>
  <c r="U140" i="1"/>
  <c r="U142" i="1"/>
  <c r="U89" i="1"/>
  <c r="U131" i="1"/>
  <c r="W110" i="1"/>
  <c r="Y110" i="1" s="1"/>
  <c r="W70" i="1"/>
  <c r="Y70" i="1" s="1"/>
  <c r="U100" i="1"/>
  <c r="W92" i="1"/>
  <c r="Y92" i="1" s="1"/>
  <c r="U94" i="1"/>
  <c r="U84" i="1"/>
  <c r="U67" i="1"/>
  <c r="U149" i="1"/>
  <c r="U76" i="1"/>
  <c r="U108" i="1"/>
  <c r="U126" i="1"/>
  <c r="U81" i="1"/>
  <c r="W101" i="1"/>
  <c r="Y101" i="1" s="1"/>
  <c r="O135" i="1"/>
  <c r="U78" i="1"/>
  <c r="U102" i="1"/>
  <c r="U122" i="1"/>
  <c r="U130" i="1"/>
  <c r="U138" i="1"/>
  <c r="U146" i="1"/>
  <c r="U75" i="1"/>
  <c r="U105" i="1"/>
  <c r="U113" i="1"/>
  <c r="U135" i="1"/>
  <c r="U93" i="1"/>
  <c r="W72" i="1"/>
  <c r="Y72" i="1" s="1"/>
  <c r="U91" i="1"/>
  <c r="U127" i="1"/>
  <c r="U88" i="1"/>
  <c r="U96" i="1"/>
  <c r="U104" i="1"/>
  <c r="U112" i="1"/>
  <c r="U66" i="1"/>
  <c r="U80" i="1"/>
  <c r="K69" i="1"/>
  <c r="L69" i="1" s="1"/>
  <c r="N69" i="1" s="1"/>
  <c r="R69" i="1" s="1"/>
  <c r="K117" i="1"/>
  <c r="L117" i="1" s="1"/>
  <c r="K56" i="1"/>
  <c r="L56" i="1" s="1"/>
  <c r="N56" i="1" s="1"/>
  <c r="AC56" i="1" s="1"/>
  <c r="K114" i="1"/>
  <c r="L114" i="1" s="1"/>
  <c r="N114" i="1" s="1"/>
  <c r="O114" i="1" s="1"/>
  <c r="K60" i="1"/>
  <c r="L60" i="1" s="1"/>
  <c r="N60" i="1" s="1"/>
  <c r="AC60" i="1" s="1"/>
  <c r="K63" i="1"/>
  <c r="L63" i="1" s="1"/>
  <c r="N63" i="1" s="1"/>
  <c r="O63" i="1" s="1"/>
  <c r="K58" i="1"/>
  <c r="L58" i="1" s="1"/>
  <c r="K68" i="1"/>
  <c r="L68" i="1" s="1"/>
  <c r="K82" i="1"/>
  <c r="L82" i="1" s="1"/>
  <c r="K90" i="1"/>
  <c r="L90" i="1" s="1"/>
  <c r="K98" i="1"/>
  <c r="L98" i="1" s="1"/>
  <c r="K106" i="1"/>
  <c r="L106" i="1" s="1"/>
  <c r="K123" i="1"/>
  <c r="L123" i="1" s="1"/>
  <c r="K139" i="1"/>
  <c r="L139" i="1" s="1"/>
  <c r="K57" i="1"/>
  <c r="L57" i="1" s="1"/>
  <c r="K87" i="1"/>
  <c r="L87" i="1" s="1"/>
  <c r="R87" i="1" s="1"/>
  <c r="K107" i="1"/>
  <c r="L107" i="1" s="1"/>
  <c r="K61" i="1"/>
  <c r="L61" i="1" s="1"/>
  <c r="K99" i="1"/>
  <c r="L99" i="1" s="1"/>
  <c r="K124" i="1"/>
  <c r="L124" i="1" s="1"/>
  <c r="K132" i="1"/>
  <c r="L132" i="1" s="1"/>
  <c r="K140" i="1"/>
  <c r="L140" i="1" s="1"/>
  <c r="K148" i="1"/>
  <c r="L148" i="1" s="1"/>
  <c r="K125" i="1"/>
  <c r="L125" i="1" s="1"/>
  <c r="K141" i="1"/>
  <c r="L141" i="1" s="1"/>
  <c r="K65" i="1"/>
  <c r="L65" i="1" s="1"/>
  <c r="K79" i="1"/>
  <c r="L79" i="1" s="1"/>
  <c r="K103" i="1"/>
  <c r="L103" i="1" s="1"/>
  <c r="D3" i="3"/>
  <c r="K62" i="1"/>
  <c r="L62" i="1" s="1"/>
  <c r="N62" i="1" s="1"/>
  <c r="AC62" i="1" s="1"/>
  <c r="K66" i="1"/>
  <c r="L66" i="1" s="1"/>
  <c r="K80" i="1"/>
  <c r="L80" i="1" s="1"/>
  <c r="K88" i="1"/>
  <c r="L88" i="1" s="1"/>
  <c r="K96" i="1"/>
  <c r="L96" i="1" s="1"/>
  <c r="K104" i="1"/>
  <c r="L104" i="1" s="1"/>
  <c r="D4" i="3"/>
  <c r="K112" i="1"/>
  <c r="L112" i="1" s="1"/>
  <c r="K135" i="1"/>
  <c r="L135" i="1" s="1"/>
  <c r="K149" i="1"/>
  <c r="L149" i="1" s="1"/>
  <c r="K67" i="1"/>
  <c r="L67" i="1" s="1"/>
  <c r="K81" i="1"/>
  <c r="L81" i="1" s="1"/>
  <c r="K101" i="1"/>
  <c r="L101" i="1" s="1"/>
  <c r="K145" i="1"/>
  <c r="L145" i="1" s="1"/>
  <c r="K91" i="1"/>
  <c r="L91" i="1" s="1"/>
  <c r="K116" i="1"/>
  <c r="L116" i="1" s="1"/>
  <c r="K122" i="1"/>
  <c r="L122" i="1" s="1"/>
  <c r="K130" i="1"/>
  <c r="L130" i="1" s="1"/>
  <c r="K138" i="1"/>
  <c r="L138" i="1" s="1"/>
  <c r="K146" i="1"/>
  <c r="L146" i="1" s="1"/>
  <c r="K121" i="1"/>
  <c r="L121" i="1" s="1"/>
  <c r="K137" i="1"/>
  <c r="L137" i="1" s="1"/>
  <c r="K59" i="1"/>
  <c r="L59" i="1" s="1"/>
  <c r="K73" i="1"/>
  <c r="L73" i="1" s="1"/>
  <c r="K95" i="1"/>
  <c r="L95" i="1" s="1"/>
  <c r="K74" i="1"/>
  <c r="L74" i="1" s="1"/>
  <c r="N74" i="1" s="1"/>
  <c r="K54" i="1"/>
  <c r="L54" i="1" s="1"/>
  <c r="K64" i="1"/>
  <c r="L64" i="1" s="1"/>
  <c r="N64" i="1" s="1"/>
  <c r="AC64" i="1" s="1"/>
  <c r="K71" i="1"/>
  <c r="L71" i="1" s="1"/>
  <c r="N71" i="1" s="1"/>
  <c r="K72" i="1"/>
  <c r="L72" i="1" s="1"/>
  <c r="K78" i="1"/>
  <c r="L78" i="1" s="1"/>
  <c r="K86" i="1"/>
  <c r="L86" i="1" s="1"/>
  <c r="K94" i="1"/>
  <c r="L94" i="1" s="1"/>
  <c r="D27" i="3"/>
  <c r="D43" i="3" s="1"/>
  <c r="K102" i="1"/>
  <c r="L102" i="1" s="1"/>
  <c r="K110" i="1"/>
  <c r="L110" i="1" s="1"/>
  <c r="K131" i="1"/>
  <c r="L131" i="1" s="1"/>
  <c r="K77" i="1"/>
  <c r="L77" i="1" s="1"/>
  <c r="K97" i="1"/>
  <c r="L97" i="1" s="1"/>
  <c r="K119" i="1"/>
  <c r="L119" i="1" s="1"/>
  <c r="K83" i="1"/>
  <c r="L83" i="1" s="1"/>
  <c r="K111" i="1"/>
  <c r="L111" i="1" s="1"/>
  <c r="K120" i="1"/>
  <c r="L120" i="1" s="1"/>
  <c r="K128" i="1"/>
  <c r="L128" i="1" s="1"/>
  <c r="K136" i="1"/>
  <c r="L136" i="1" s="1"/>
  <c r="K144" i="1"/>
  <c r="L144" i="1" s="1"/>
  <c r="K115" i="1"/>
  <c r="L115" i="1" s="1"/>
  <c r="K133" i="1"/>
  <c r="L133" i="1" s="1"/>
  <c r="K55" i="1"/>
  <c r="L55" i="1" s="1"/>
  <c r="K89" i="1"/>
  <c r="L89" i="1" s="1"/>
  <c r="K118" i="1"/>
  <c r="L118" i="1" s="1"/>
  <c r="N118" i="1" s="1"/>
  <c r="AC118" i="1" s="1"/>
  <c r="K143" i="1"/>
  <c r="L143" i="1" s="1"/>
  <c r="N143" i="1" s="1"/>
  <c r="AC143" i="1" s="1"/>
  <c r="K70" i="1"/>
  <c r="L70" i="1" s="1"/>
  <c r="K76" i="1"/>
  <c r="L76" i="1" s="1"/>
  <c r="K84" i="1"/>
  <c r="L84" i="1" s="1"/>
  <c r="K92" i="1"/>
  <c r="L92" i="1" s="1"/>
  <c r="K100" i="1"/>
  <c r="L100" i="1" s="1"/>
  <c r="K108" i="1"/>
  <c r="L108" i="1" s="1"/>
  <c r="K127" i="1"/>
  <c r="L127" i="1" s="1"/>
  <c r="K93" i="1"/>
  <c r="L93" i="1" s="1"/>
  <c r="K113" i="1"/>
  <c r="L113" i="1" s="1"/>
  <c r="K75" i="1"/>
  <c r="L75" i="1" s="1"/>
  <c r="K105" i="1"/>
  <c r="L105" i="1" s="1"/>
  <c r="R105" i="1" s="1"/>
  <c r="K126" i="1"/>
  <c r="L126" i="1" s="1"/>
  <c r="K134" i="1"/>
  <c r="L134" i="1" s="1"/>
  <c r="K142" i="1"/>
  <c r="L142" i="1" s="1"/>
  <c r="K150" i="1"/>
  <c r="L150" i="1" s="1"/>
  <c r="K129" i="1"/>
  <c r="L129" i="1" s="1"/>
  <c r="K147" i="1"/>
  <c r="L147" i="1" s="1"/>
  <c r="K85" i="1"/>
  <c r="L85" i="1" s="1"/>
  <c r="K109" i="1"/>
  <c r="L109" i="1" s="1"/>
  <c r="W117" i="1"/>
  <c r="Y117" i="1" s="1"/>
  <c r="W54" i="1"/>
  <c r="Y54" i="1" s="1"/>
  <c r="W143" i="1"/>
  <c r="Y143" i="1" s="1"/>
  <c r="W71" i="1"/>
  <c r="Y71" i="1" s="1"/>
  <c r="W118" i="1"/>
  <c r="Y118" i="1" s="1"/>
  <c r="O119" i="1"/>
  <c r="S114" i="1"/>
  <c r="W62" i="1"/>
  <c r="Y62" i="1" s="1"/>
  <c r="O69" i="1"/>
  <c r="W69" i="1"/>
  <c r="Y69" i="1" s="1"/>
  <c r="U74" i="1"/>
  <c r="W74" i="1"/>
  <c r="Y74" i="1" s="1"/>
  <c r="W64" i="1"/>
  <c r="Y64" i="1" s="1"/>
  <c r="W56" i="1"/>
  <c r="Y56" i="1" s="1"/>
  <c r="U114" i="1"/>
  <c r="W114" i="1"/>
  <c r="Y114" i="1" s="1"/>
  <c r="W60" i="1"/>
  <c r="Y60" i="1" s="1"/>
  <c r="W63" i="1"/>
  <c r="Y63" i="1" s="1"/>
  <c r="E91" i="3"/>
  <c r="U71" i="1"/>
  <c r="D91" i="3"/>
  <c r="O89" i="1"/>
  <c r="O113" i="1"/>
  <c r="O108" i="1"/>
  <c r="O103" i="1"/>
  <c r="O107" i="1"/>
  <c r="O106" i="1"/>
  <c r="O92" i="1"/>
  <c r="O90" i="1"/>
  <c r="O85" i="1"/>
  <c r="O86" i="1"/>
  <c r="U62" i="1"/>
  <c r="U143" i="1"/>
  <c r="U69" i="1"/>
  <c r="U54" i="1"/>
  <c r="U64" i="1"/>
  <c r="U56" i="1"/>
  <c r="U63" i="1"/>
  <c r="U117" i="1"/>
  <c r="U118" i="1"/>
  <c r="U60" i="1"/>
  <c r="O54" i="1"/>
  <c r="N117" i="1"/>
  <c r="O117" i="1" s="1"/>
  <c r="O56" i="1"/>
  <c r="O143" i="1"/>
  <c r="C67" i="3"/>
  <c r="D67" i="3"/>
  <c r="O115" i="1"/>
  <c r="O116" i="1"/>
  <c r="O62" i="1" l="1"/>
  <c r="O60" i="1"/>
  <c r="Z114" i="1"/>
  <c r="AB101" i="1"/>
  <c r="AB139" i="1"/>
  <c r="AB59" i="1"/>
  <c r="AB147" i="1"/>
  <c r="AB142" i="1"/>
  <c r="AB109" i="1"/>
  <c r="AB105" i="1"/>
  <c r="AB55" i="1"/>
  <c r="AB102" i="1"/>
  <c r="AB88" i="1"/>
  <c r="AB57" i="1"/>
  <c r="AB138" i="1"/>
  <c r="AB135" i="1"/>
  <c r="AB124" i="1"/>
  <c r="AB70" i="1"/>
  <c r="AB97" i="1"/>
  <c r="R74" i="1"/>
  <c r="AC74" i="1"/>
  <c r="AC71" i="1"/>
  <c r="R71" i="1"/>
  <c r="R62" i="1"/>
  <c r="AB113" i="1"/>
  <c r="AB127" i="1"/>
  <c r="AB92" i="1"/>
  <c r="AB83" i="1"/>
  <c r="AB86" i="1"/>
  <c r="AB72" i="1"/>
  <c r="AB95" i="1"/>
  <c r="AB122" i="1"/>
  <c r="AB91" i="1"/>
  <c r="AB103" i="1"/>
  <c r="AB87" i="1"/>
  <c r="AB106" i="1"/>
  <c r="AB56" i="1"/>
  <c r="AB134" i="1"/>
  <c r="AB93" i="1"/>
  <c r="AB84" i="1"/>
  <c r="AB110" i="1"/>
  <c r="AB71" i="1"/>
  <c r="AB121" i="1"/>
  <c r="AB116" i="1"/>
  <c r="AB67" i="1"/>
  <c r="AB96" i="1"/>
  <c r="AB80" i="1"/>
  <c r="AB62" i="1"/>
  <c r="AB125" i="1"/>
  <c r="AB107" i="1"/>
  <c r="AB123" i="1"/>
  <c r="AB68" i="1"/>
  <c r="AB114" i="1"/>
  <c r="Z89" i="1"/>
  <c r="S89" i="1"/>
  <c r="N89" i="1"/>
  <c r="S131" i="1"/>
  <c r="Z131" i="1"/>
  <c r="N131" i="1"/>
  <c r="O131" i="1" s="1"/>
  <c r="AB129" i="1"/>
  <c r="N134" i="1"/>
  <c r="O134" i="1" s="1"/>
  <c r="S134" i="1"/>
  <c r="Z134" i="1"/>
  <c r="AB126" i="1"/>
  <c r="Z113" i="1"/>
  <c r="S113" i="1"/>
  <c r="N113" i="1"/>
  <c r="N100" i="1"/>
  <c r="S100" i="1"/>
  <c r="Z100" i="1"/>
  <c r="Z70" i="1"/>
  <c r="S70" i="1"/>
  <c r="N70" i="1"/>
  <c r="AB143" i="1"/>
  <c r="Z55" i="1"/>
  <c r="N55" i="1"/>
  <c r="AC55" i="1" s="1"/>
  <c r="S55" i="1"/>
  <c r="AB133" i="1"/>
  <c r="AB128" i="1"/>
  <c r="Z83" i="1"/>
  <c r="S83" i="1"/>
  <c r="N83" i="1"/>
  <c r="AB119" i="1"/>
  <c r="AB131" i="1"/>
  <c r="N110" i="1"/>
  <c r="O110" i="1" s="1"/>
  <c r="S110" i="1"/>
  <c r="Z110" i="1"/>
  <c r="AB94" i="1"/>
  <c r="N78" i="1"/>
  <c r="Z78" i="1"/>
  <c r="S78" i="1"/>
  <c r="N72" i="1"/>
  <c r="S72" i="1"/>
  <c r="Z72" i="1"/>
  <c r="AB54" i="1"/>
  <c r="AB74" i="1"/>
  <c r="N59" i="1"/>
  <c r="O59" i="1" s="1"/>
  <c r="S59" i="1"/>
  <c r="Z59" i="1"/>
  <c r="AB137" i="1"/>
  <c r="S138" i="1"/>
  <c r="Z138" i="1"/>
  <c r="N138" i="1"/>
  <c r="AB130" i="1"/>
  <c r="S91" i="1"/>
  <c r="Z91" i="1"/>
  <c r="N91" i="1"/>
  <c r="AB145" i="1"/>
  <c r="Z67" i="1"/>
  <c r="N67" i="1"/>
  <c r="O67" i="1" s="1"/>
  <c r="S67" i="1"/>
  <c r="AB149" i="1"/>
  <c r="N96" i="1"/>
  <c r="S96" i="1"/>
  <c r="Z96" i="1"/>
  <c r="S88" i="1"/>
  <c r="N88" i="1"/>
  <c r="Z88" i="1"/>
  <c r="Z62" i="1"/>
  <c r="S62" i="1"/>
  <c r="C3" i="3"/>
  <c r="S103" i="1"/>
  <c r="N103" i="1"/>
  <c r="Z103" i="1"/>
  <c r="AB79" i="1"/>
  <c r="AB65" i="1"/>
  <c r="N125" i="1"/>
  <c r="O125" i="1" s="1"/>
  <c r="S125" i="1"/>
  <c r="Z125" i="1"/>
  <c r="AB148" i="1"/>
  <c r="AB140" i="1"/>
  <c r="S124" i="1"/>
  <c r="Z124" i="1"/>
  <c r="N124" i="1"/>
  <c r="AB99" i="1"/>
  <c r="AB61" i="1"/>
  <c r="S87" i="1"/>
  <c r="N87" i="1"/>
  <c r="Z87" i="1"/>
  <c r="Z106" i="1"/>
  <c r="N106" i="1"/>
  <c r="S106" i="1"/>
  <c r="AB98" i="1"/>
  <c r="S68" i="1"/>
  <c r="Z68" i="1"/>
  <c r="N68" i="1"/>
  <c r="AB58" i="1"/>
  <c r="AC63" i="1"/>
  <c r="AC117" i="1"/>
  <c r="S64" i="1"/>
  <c r="Z64" i="1"/>
  <c r="Z54" i="1"/>
  <c r="R54" i="1"/>
  <c r="S54" i="1"/>
  <c r="N146" i="1"/>
  <c r="S146" i="1"/>
  <c r="Z146" i="1"/>
  <c r="S81" i="1"/>
  <c r="Z81" i="1"/>
  <c r="N81" i="1"/>
  <c r="S112" i="1"/>
  <c r="Z112" i="1"/>
  <c r="N112" i="1"/>
  <c r="O112" i="1" s="1"/>
  <c r="C4" i="3"/>
  <c r="S104" i="1"/>
  <c r="Z104" i="1"/>
  <c r="N104" i="1"/>
  <c r="N66" i="1"/>
  <c r="O66" i="1" s="1"/>
  <c r="S66" i="1"/>
  <c r="Z66" i="1"/>
  <c r="Z141" i="1"/>
  <c r="S141" i="1"/>
  <c r="N141" i="1"/>
  <c r="AC141" i="1" s="1"/>
  <c r="R141" i="1"/>
  <c r="S132" i="1"/>
  <c r="Z132" i="1"/>
  <c r="N132" i="1"/>
  <c r="O132" i="1" s="1"/>
  <c r="Z82" i="1"/>
  <c r="N82" i="1"/>
  <c r="S82" i="1"/>
  <c r="S60" i="1"/>
  <c r="Z60" i="1"/>
  <c r="Z69" i="1"/>
  <c r="S69" i="1"/>
  <c r="Z144" i="1"/>
  <c r="R144" i="1"/>
  <c r="N144" i="1"/>
  <c r="AC144" i="1" s="1"/>
  <c r="S144" i="1"/>
  <c r="S111" i="1"/>
  <c r="N111" i="1"/>
  <c r="O111" i="1" s="1"/>
  <c r="Z111" i="1"/>
  <c r="S73" i="1"/>
  <c r="Z73" i="1"/>
  <c r="N73" i="1"/>
  <c r="N54" i="1"/>
  <c r="AC54" i="1" s="1"/>
  <c r="S109" i="1"/>
  <c r="Z109" i="1"/>
  <c r="N109" i="1"/>
  <c r="O109" i="1" s="1"/>
  <c r="Z147" i="1"/>
  <c r="S147" i="1"/>
  <c r="R147" i="1"/>
  <c r="N147" i="1"/>
  <c r="AC147" i="1" s="1"/>
  <c r="AB150" i="1"/>
  <c r="Z142" i="1"/>
  <c r="S142" i="1"/>
  <c r="N142" i="1"/>
  <c r="AC142" i="1" s="1"/>
  <c r="R142" i="1"/>
  <c r="Z105" i="1"/>
  <c r="N105" i="1"/>
  <c r="S105" i="1"/>
  <c r="AB75" i="1"/>
  <c r="Z127" i="1"/>
  <c r="S127" i="1"/>
  <c r="N127" i="1"/>
  <c r="AB100" i="1"/>
  <c r="S84" i="1"/>
  <c r="Z84" i="1"/>
  <c r="N84" i="1"/>
  <c r="AB118" i="1"/>
  <c r="AB115" i="1"/>
  <c r="AB136" i="1"/>
  <c r="AB120" i="1"/>
  <c r="AB111" i="1"/>
  <c r="Z97" i="1"/>
  <c r="N97" i="1"/>
  <c r="S97" i="1"/>
  <c r="N102" i="1"/>
  <c r="S102" i="1"/>
  <c r="Z102" i="1"/>
  <c r="Z86" i="1"/>
  <c r="S86" i="1"/>
  <c r="N86" i="1"/>
  <c r="AB78" i="1"/>
  <c r="S71" i="1"/>
  <c r="Z71" i="1"/>
  <c r="AB64" i="1"/>
  <c r="N95" i="1"/>
  <c r="S95" i="1"/>
  <c r="Z95" i="1"/>
  <c r="Z121" i="1"/>
  <c r="S121" i="1"/>
  <c r="N121" i="1"/>
  <c r="S122" i="1"/>
  <c r="Z122" i="1"/>
  <c r="N122" i="1"/>
  <c r="Z116" i="1"/>
  <c r="S116" i="1"/>
  <c r="N116" i="1"/>
  <c r="S101" i="1"/>
  <c r="Z101" i="1"/>
  <c r="N101" i="1"/>
  <c r="S135" i="1"/>
  <c r="Z135" i="1"/>
  <c r="N135" i="1"/>
  <c r="AB112" i="1"/>
  <c r="AB104" i="1"/>
  <c r="S80" i="1"/>
  <c r="Z80" i="1"/>
  <c r="N80" i="1"/>
  <c r="AB66" i="1"/>
  <c r="N65" i="1"/>
  <c r="S65" i="1"/>
  <c r="Z65" i="1"/>
  <c r="AB141" i="1"/>
  <c r="Z140" i="1"/>
  <c r="N140" i="1"/>
  <c r="AC140" i="1" s="1"/>
  <c r="R140" i="1"/>
  <c r="S140" i="1"/>
  <c r="S61" i="1"/>
  <c r="Z61" i="1"/>
  <c r="N61" i="1"/>
  <c r="O61" i="1" s="1"/>
  <c r="S107" i="1"/>
  <c r="Z107" i="1"/>
  <c r="N107" i="1"/>
  <c r="S123" i="1"/>
  <c r="Z123" i="1"/>
  <c r="N123" i="1"/>
  <c r="N90" i="1"/>
  <c r="S90" i="1"/>
  <c r="Z90" i="1"/>
  <c r="AB82" i="1"/>
  <c r="Z63" i="1"/>
  <c r="S63" i="1"/>
  <c r="AC114" i="1"/>
  <c r="S117" i="1"/>
  <c r="Z117" i="1"/>
  <c r="AC69" i="1"/>
  <c r="S85" i="1"/>
  <c r="Z85" i="1"/>
  <c r="N85" i="1"/>
  <c r="Z75" i="1"/>
  <c r="S75" i="1"/>
  <c r="N75" i="1"/>
  <c r="S108" i="1"/>
  <c r="N108" i="1"/>
  <c r="Z108" i="1"/>
  <c r="S76" i="1"/>
  <c r="Z76" i="1"/>
  <c r="N76" i="1"/>
  <c r="N136" i="1"/>
  <c r="S136" i="1"/>
  <c r="Z136" i="1"/>
  <c r="S77" i="1"/>
  <c r="Z77" i="1"/>
  <c r="N77" i="1"/>
  <c r="AB85" i="1"/>
  <c r="S129" i="1"/>
  <c r="N129" i="1"/>
  <c r="Z129" i="1"/>
  <c r="Z150" i="1"/>
  <c r="N150" i="1"/>
  <c r="S150" i="1"/>
  <c r="S126" i="1"/>
  <c r="Z126" i="1"/>
  <c r="N126" i="1"/>
  <c r="O126" i="1" s="1"/>
  <c r="N93" i="1"/>
  <c r="S93" i="1"/>
  <c r="Z93" i="1"/>
  <c r="AB108" i="1"/>
  <c r="N92" i="1"/>
  <c r="S92" i="1"/>
  <c r="Z92" i="1"/>
  <c r="AB76" i="1"/>
  <c r="Z143" i="1"/>
  <c r="S143" i="1"/>
  <c r="R143" i="1"/>
  <c r="S118" i="1"/>
  <c r="Z118" i="1"/>
  <c r="AB89" i="1"/>
  <c r="Z133" i="1"/>
  <c r="N133" i="1"/>
  <c r="O133" i="1" s="1"/>
  <c r="S133" i="1"/>
  <c r="S115" i="1"/>
  <c r="N115" i="1"/>
  <c r="Z115" i="1"/>
  <c r="AB144" i="1"/>
  <c r="Z128" i="1"/>
  <c r="S128" i="1"/>
  <c r="N128" i="1"/>
  <c r="O128" i="1" s="1"/>
  <c r="S120" i="1"/>
  <c r="Z120" i="1"/>
  <c r="N120" i="1"/>
  <c r="S119" i="1"/>
  <c r="Z119" i="1"/>
  <c r="N119" i="1"/>
  <c r="AB77" i="1"/>
  <c r="C27" i="3"/>
  <c r="C43" i="3" s="1"/>
  <c r="N94" i="1"/>
  <c r="S94" i="1"/>
  <c r="Z94" i="1"/>
  <c r="Z74" i="1"/>
  <c r="S74" i="1"/>
  <c r="AB73" i="1"/>
  <c r="S137" i="1"/>
  <c r="N137" i="1"/>
  <c r="Z137" i="1"/>
  <c r="AB146" i="1"/>
  <c r="S130" i="1"/>
  <c r="Z130" i="1"/>
  <c r="N130" i="1"/>
  <c r="O130" i="1" s="1"/>
  <c r="Z145" i="1"/>
  <c r="R145" i="1"/>
  <c r="S145" i="1"/>
  <c r="N145" i="1"/>
  <c r="AC145" i="1" s="1"/>
  <c r="AB81" i="1"/>
  <c r="Z149" i="1"/>
  <c r="S149" i="1"/>
  <c r="N149" i="1"/>
  <c r="AC149" i="1" s="1"/>
  <c r="R149" i="1"/>
  <c r="Z79" i="1"/>
  <c r="N79" i="1"/>
  <c r="S79" i="1"/>
  <c r="Z148" i="1"/>
  <c r="R148" i="1"/>
  <c r="N148" i="1"/>
  <c r="AC148" i="1" s="1"/>
  <c r="S148" i="1"/>
  <c r="AB132" i="1"/>
  <c r="S99" i="1"/>
  <c r="Z99" i="1"/>
  <c r="N99" i="1"/>
  <c r="Z57" i="1"/>
  <c r="S57" i="1"/>
  <c r="N57" i="1"/>
  <c r="Z139" i="1"/>
  <c r="S139" i="1"/>
  <c r="N139" i="1"/>
  <c r="Z98" i="1"/>
  <c r="S98" i="1"/>
  <c r="N98" i="1"/>
  <c r="AB90" i="1"/>
  <c r="Z58" i="1"/>
  <c r="S58" i="1"/>
  <c r="N58" i="1"/>
  <c r="R58" i="1" s="1"/>
  <c r="AB63" i="1"/>
  <c r="AB60" i="1"/>
  <c r="Z56" i="1"/>
  <c r="S56" i="1"/>
  <c r="R56" i="1"/>
  <c r="AB117" i="1"/>
  <c r="AB69" i="1"/>
  <c r="O71" i="1"/>
  <c r="R117" i="1"/>
  <c r="R63" i="1"/>
  <c r="R60" i="1"/>
  <c r="R118" i="1"/>
  <c r="O118" i="1"/>
  <c r="O74" i="1"/>
  <c r="O64" i="1"/>
  <c r="R64" i="1"/>
  <c r="R114" i="1"/>
  <c r="D19" i="3"/>
  <c r="D125" i="3" s="1"/>
  <c r="E67" i="3"/>
  <c r="J46" i="1"/>
  <c r="J47" i="1"/>
  <c r="J48" i="1"/>
  <c r="J49" i="1"/>
  <c r="J50" i="1"/>
  <c r="J51" i="1"/>
  <c r="J52" i="1"/>
  <c r="J53" i="1"/>
  <c r="AC129" i="1" l="1"/>
  <c r="O129" i="1"/>
  <c r="R129" i="1"/>
  <c r="AC127" i="1"/>
  <c r="O127" i="1"/>
  <c r="R127" i="1"/>
  <c r="AC57" i="1"/>
  <c r="O57" i="1"/>
  <c r="AC58" i="1"/>
  <c r="O58" i="1"/>
  <c r="R57" i="1"/>
  <c r="R55" i="1"/>
  <c r="R61" i="1"/>
  <c r="AC61" i="1"/>
  <c r="M53" i="1"/>
  <c r="U53" i="1" s="1"/>
  <c r="P53" i="1"/>
  <c r="Q53" i="1"/>
  <c r="M51" i="1"/>
  <c r="U51" i="1" s="1"/>
  <c r="Q51" i="1"/>
  <c r="P51" i="1"/>
  <c r="M49" i="1"/>
  <c r="U49" i="1" s="1"/>
  <c r="P49" i="1"/>
  <c r="Q49" i="1"/>
  <c r="M47" i="1"/>
  <c r="U47" i="1" s="1"/>
  <c r="Q47" i="1"/>
  <c r="P47" i="1"/>
  <c r="R139" i="1"/>
  <c r="AC139" i="1"/>
  <c r="O79" i="1"/>
  <c r="R79" i="1"/>
  <c r="AC79" i="1"/>
  <c r="R137" i="1"/>
  <c r="AC137" i="1"/>
  <c r="R128" i="1"/>
  <c r="AC128" i="1"/>
  <c r="R133" i="1"/>
  <c r="AC133" i="1"/>
  <c r="R126" i="1"/>
  <c r="AC126" i="1"/>
  <c r="R150" i="1"/>
  <c r="AC150" i="1"/>
  <c r="R136" i="1"/>
  <c r="AC136" i="1"/>
  <c r="R116" i="1"/>
  <c r="AC116" i="1"/>
  <c r="R86" i="1"/>
  <c r="AC86" i="1"/>
  <c r="R66" i="1"/>
  <c r="AC66" i="1"/>
  <c r="R81" i="1"/>
  <c r="AC81" i="1"/>
  <c r="O81" i="1"/>
  <c r="AC72" i="1"/>
  <c r="O72" i="1"/>
  <c r="R72" i="1"/>
  <c r="O70" i="1"/>
  <c r="R70" i="1"/>
  <c r="AC70" i="1"/>
  <c r="R134" i="1"/>
  <c r="AC134" i="1"/>
  <c r="R115" i="1"/>
  <c r="AC115" i="1"/>
  <c r="R108" i="1"/>
  <c r="AC108" i="1"/>
  <c r="AC82" i="1"/>
  <c r="O82" i="1"/>
  <c r="R82" i="1"/>
  <c r="AC104" i="1"/>
  <c r="E4" i="3"/>
  <c r="O104" i="1"/>
  <c r="R112" i="1"/>
  <c r="AC112" i="1"/>
  <c r="R146" i="1"/>
  <c r="AC146" i="1"/>
  <c r="R125" i="1"/>
  <c r="AC125" i="1"/>
  <c r="R103" i="1"/>
  <c r="AC103" i="1"/>
  <c r="E3" i="3"/>
  <c r="O91" i="1"/>
  <c r="AC91" i="1"/>
  <c r="R91" i="1"/>
  <c r="R138" i="1"/>
  <c r="AC138" i="1"/>
  <c r="O100" i="1"/>
  <c r="R100" i="1"/>
  <c r="AC100" i="1"/>
  <c r="R89" i="1"/>
  <c r="AC89" i="1"/>
  <c r="R98" i="1"/>
  <c r="AC98" i="1"/>
  <c r="O98" i="1"/>
  <c r="R120" i="1"/>
  <c r="AC120" i="1"/>
  <c r="R76" i="1"/>
  <c r="AC76" i="1"/>
  <c r="O76" i="1"/>
  <c r="O80" i="1"/>
  <c r="AC80" i="1"/>
  <c r="R80" i="1"/>
  <c r="R101" i="1"/>
  <c r="AC101" i="1"/>
  <c r="O101" i="1"/>
  <c r="R102" i="1"/>
  <c r="AC102" i="1"/>
  <c r="O102" i="1"/>
  <c r="M52" i="1"/>
  <c r="U52" i="1" s="1"/>
  <c r="P52" i="1"/>
  <c r="Q52" i="1"/>
  <c r="M50" i="1"/>
  <c r="O50" i="1" s="1"/>
  <c r="Q50" i="1"/>
  <c r="P50" i="1"/>
  <c r="M48" i="1"/>
  <c r="W48" i="1" s="1"/>
  <c r="Y48" i="1" s="1"/>
  <c r="P48" i="1"/>
  <c r="Q48" i="1"/>
  <c r="M46" i="1"/>
  <c r="W46" i="1" s="1"/>
  <c r="Y46" i="1" s="1"/>
  <c r="Q46" i="1"/>
  <c r="P46" i="1"/>
  <c r="R119" i="1"/>
  <c r="AC119" i="1"/>
  <c r="R104" i="1"/>
  <c r="R85" i="1"/>
  <c r="AC85" i="1"/>
  <c r="R90" i="1"/>
  <c r="AC90" i="1"/>
  <c r="R107" i="1"/>
  <c r="AC107" i="1"/>
  <c r="R135" i="1"/>
  <c r="AC135" i="1"/>
  <c r="R121" i="1"/>
  <c r="AC121" i="1"/>
  <c r="O84" i="1"/>
  <c r="AC84" i="1"/>
  <c r="R84" i="1"/>
  <c r="R109" i="1"/>
  <c r="AC109" i="1"/>
  <c r="O73" i="1"/>
  <c r="AC73" i="1"/>
  <c r="R73" i="1"/>
  <c r="R111" i="1"/>
  <c r="AC111" i="1"/>
  <c r="R68" i="1"/>
  <c r="AC68" i="1"/>
  <c r="O87" i="1"/>
  <c r="AC87" i="1"/>
  <c r="R124" i="1"/>
  <c r="AC124" i="1"/>
  <c r="R67" i="1"/>
  <c r="AC67" i="1"/>
  <c r="AC83" i="1"/>
  <c r="R83" i="1"/>
  <c r="O83" i="1"/>
  <c r="R113" i="1"/>
  <c r="AC113" i="1"/>
  <c r="R131" i="1"/>
  <c r="AC131" i="1"/>
  <c r="R99" i="1"/>
  <c r="AC99" i="1"/>
  <c r="O99" i="1"/>
  <c r="R130" i="1"/>
  <c r="AC130" i="1"/>
  <c r="O94" i="1"/>
  <c r="AC94" i="1"/>
  <c r="R94" i="1"/>
  <c r="E27" i="3"/>
  <c r="E43" i="3" s="1"/>
  <c r="R92" i="1"/>
  <c r="AC92" i="1"/>
  <c r="R93" i="1"/>
  <c r="AC93" i="1"/>
  <c r="O93" i="1"/>
  <c r="R77" i="1"/>
  <c r="AC77" i="1"/>
  <c r="O77" i="1"/>
  <c r="AC75" i="1"/>
  <c r="R75" i="1"/>
  <c r="O75" i="1"/>
  <c r="R123" i="1"/>
  <c r="AC123" i="1"/>
  <c r="R65" i="1"/>
  <c r="AC65" i="1"/>
  <c r="O65" i="1"/>
  <c r="R122" i="1"/>
  <c r="AC122" i="1"/>
  <c r="R95" i="1"/>
  <c r="O95" i="1"/>
  <c r="AC95" i="1"/>
  <c r="R97" i="1"/>
  <c r="AC97" i="1"/>
  <c r="O97" i="1"/>
  <c r="O105" i="1"/>
  <c r="AC105" i="1"/>
  <c r="R132" i="1"/>
  <c r="AC132" i="1"/>
  <c r="R106" i="1"/>
  <c r="AC106" i="1"/>
  <c r="C19" i="3"/>
  <c r="B21" i="3" s="1"/>
  <c r="R88" i="1"/>
  <c r="AC88" i="1"/>
  <c r="O88" i="1"/>
  <c r="R96" i="1"/>
  <c r="O96" i="1"/>
  <c r="AC96" i="1"/>
  <c r="R59" i="1"/>
  <c r="AC59" i="1"/>
  <c r="O78" i="1"/>
  <c r="R78" i="1"/>
  <c r="AC78" i="1"/>
  <c r="R110" i="1"/>
  <c r="AC110" i="1"/>
  <c r="W51" i="1"/>
  <c r="Y51" i="1" s="1"/>
  <c r="W49" i="1"/>
  <c r="Y49" i="1" s="1"/>
  <c r="W47" i="1"/>
  <c r="Y47" i="1" s="1"/>
  <c r="W50" i="1"/>
  <c r="Y50" i="1" s="1"/>
  <c r="U50" i="1"/>
  <c r="O47" i="1"/>
  <c r="O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U46" i="1" l="1"/>
  <c r="O46" i="1"/>
  <c r="O49" i="1"/>
  <c r="U48" i="1"/>
  <c r="O48" i="1"/>
  <c r="E19" i="3"/>
  <c r="B20" i="3" s="1"/>
  <c r="B45" i="3" s="1"/>
  <c r="M42" i="1"/>
  <c r="Q42" i="1"/>
  <c r="P42" i="1"/>
  <c r="M38" i="1"/>
  <c r="U38" i="1" s="1"/>
  <c r="Q38" i="1"/>
  <c r="P38" i="1"/>
  <c r="M32" i="1"/>
  <c r="O32" i="1" s="1"/>
  <c r="P32" i="1"/>
  <c r="Q32" i="1"/>
  <c r="M26" i="1"/>
  <c r="U26" i="1" s="1"/>
  <c r="Q26" i="1"/>
  <c r="P26" i="1"/>
  <c r="M20" i="1"/>
  <c r="P20" i="1"/>
  <c r="Q20" i="1"/>
  <c r="M14" i="1"/>
  <c r="W14" i="1" s="1"/>
  <c r="Y14" i="1" s="1"/>
  <c r="Q14" i="1"/>
  <c r="P14" i="1"/>
  <c r="M10" i="1"/>
  <c r="W10" i="1" s="1"/>
  <c r="Y10" i="1" s="1"/>
  <c r="Q10" i="1"/>
  <c r="P10" i="1"/>
  <c r="M6" i="1"/>
  <c r="U6" i="1" s="1"/>
  <c r="Q6" i="1"/>
  <c r="P6" i="1"/>
  <c r="K52" i="1"/>
  <c r="L52" i="1" s="1"/>
  <c r="M45" i="1"/>
  <c r="W45" i="1" s="1"/>
  <c r="Y45" i="1" s="1"/>
  <c r="P45" i="1"/>
  <c r="Q45" i="1"/>
  <c r="P41" i="1"/>
  <c r="Q41" i="1"/>
  <c r="M37" i="1"/>
  <c r="U37" i="1" s="1"/>
  <c r="P37" i="1"/>
  <c r="Q37" i="1"/>
  <c r="M33" i="1"/>
  <c r="W33" i="1" s="1"/>
  <c r="Y33" i="1" s="1"/>
  <c r="P33" i="1"/>
  <c r="Q33" i="1"/>
  <c r="M29" i="1"/>
  <c r="O29" i="1" s="1"/>
  <c r="P29" i="1"/>
  <c r="Q29" i="1"/>
  <c r="M25" i="1"/>
  <c r="W25" i="1" s="1"/>
  <c r="Y25" i="1" s="1"/>
  <c r="P25" i="1"/>
  <c r="Q25" i="1"/>
  <c r="M21" i="1"/>
  <c r="W21" i="1" s="1"/>
  <c r="Y21" i="1" s="1"/>
  <c r="P21" i="1"/>
  <c r="Q21" i="1"/>
  <c r="M17" i="1"/>
  <c r="O17" i="1" s="1"/>
  <c r="P17" i="1"/>
  <c r="Q17" i="1"/>
  <c r="M13" i="1"/>
  <c r="U13" i="1" s="1"/>
  <c r="P13" i="1"/>
  <c r="Q13" i="1"/>
  <c r="M9" i="1"/>
  <c r="W9" i="1" s="1"/>
  <c r="Y9" i="1" s="1"/>
  <c r="P9" i="1"/>
  <c r="Q9" i="1"/>
  <c r="M5" i="1"/>
  <c r="U5" i="1" s="1"/>
  <c r="P5" i="1"/>
  <c r="Q5" i="1"/>
  <c r="O53" i="1"/>
  <c r="M2" i="1"/>
  <c r="W2" i="1" s="1"/>
  <c r="Y2" i="1" s="1"/>
  <c r="Q2" i="1"/>
  <c r="P2" i="1"/>
  <c r="O52" i="1"/>
  <c r="K46" i="1"/>
  <c r="L46" i="1" s="1"/>
  <c r="K47" i="1"/>
  <c r="L47" i="1" s="1"/>
  <c r="M28" i="1"/>
  <c r="U28" i="1" s="1"/>
  <c r="P28" i="1"/>
  <c r="Q28" i="1"/>
  <c r="M40" i="1"/>
  <c r="U40" i="1" s="1"/>
  <c r="P40" i="1"/>
  <c r="Q40" i="1"/>
  <c r="M34" i="1"/>
  <c r="W34" i="1" s="1"/>
  <c r="Y34" i="1" s="1"/>
  <c r="Q34" i="1"/>
  <c r="P34" i="1"/>
  <c r="M22" i="1"/>
  <c r="W22" i="1" s="1"/>
  <c r="Y22" i="1" s="1"/>
  <c r="Q22" i="1"/>
  <c r="P22" i="1"/>
  <c r="P16" i="1"/>
  <c r="Q16" i="1"/>
  <c r="M8" i="1"/>
  <c r="U8" i="1" s="1"/>
  <c r="P8" i="1"/>
  <c r="Q8" i="1"/>
  <c r="K53" i="1"/>
  <c r="L53" i="1" s="1"/>
  <c r="W52" i="1"/>
  <c r="Y52" i="1" s="1"/>
  <c r="W53" i="1"/>
  <c r="Y53" i="1" s="1"/>
  <c r="K50" i="1"/>
  <c r="L50" i="1" s="1"/>
  <c r="K51" i="1"/>
  <c r="L51" i="1" s="1"/>
  <c r="M44" i="1"/>
  <c r="W44" i="1" s="1"/>
  <c r="Y44" i="1" s="1"/>
  <c r="P44" i="1"/>
  <c r="Q44" i="1"/>
  <c r="M36" i="1"/>
  <c r="W36" i="1" s="1"/>
  <c r="Y36" i="1" s="1"/>
  <c r="P36" i="1"/>
  <c r="Q36" i="1"/>
  <c r="M30" i="1"/>
  <c r="O30" i="1" s="1"/>
  <c r="Q30" i="1"/>
  <c r="P30" i="1"/>
  <c r="M24" i="1"/>
  <c r="W24" i="1" s="1"/>
  <c r="Y24" i="1" s="1"/>
  <c r="P24" i="1"/>
  <c r="Q24" i="1"/>
  <c r="M18" i="1"/>
  <c r="U18" i="1" s="1"/>
  <c r="Q18" i="1"/>
  <c r="P18" i="1"/>
  <c r="M12" i="1"/>
  <c r="U12" i="1" s="1"/>
  <c r="P12" i="1"/>
  <c r="Q12" i="1"/>
  <c r="M4" i="1"/>
  <c r="W4" i="1" s="1"/>
  <c r="Y4" i="1" s="1"/>
  <c r="P4" i="1"/>
  <c r="Q4" i="1"/>
  <c r="M43" i="1"/>
  <c r="U43" i="1" s="1"/>
  <c r="Q43" i="1"/>
  <c r="P43" i="1"/>
  <c r="M39" i="1"/>
  <c r="W39" i="1" s="1"/>
  <c r="Y39" i="1" s="1"/>
  <c r="Q39" i="1"/>
  <c r="P39" i="1"/>
  <c r="M35" i="1"/>
  <c r="W35" i="1" s="1"/>
  <c r="Y35" i="1" s="1"/>
  <c r="Q35" i="1"/>
  <c r="P35" i="1"/>
  <c r="M31" i="1"/>
  <c r="W31" i="1" s="1"/>
  <c r="Y31" i="1" s="1"/>
  <c r="Q31" i="1"/>
  <c r="P31" i="1"/>
  <c r="M27" i="1"/>
  <c r="W27" i="1" s="1"/>
  <c r="Y27" i="1" s="1"/>
  <c r="Q27" i="1"/>
  <c r="P27" i="1"/>
  <c r="M23" i="1"/>
  <c r="W23" i="1" s="1"/>
  <c r="Y23" i="1" s="1"/>
  <c r="Q23" i="1"/>
  <c r="P23" i="1"/>
  <c r="M19" i="1"/>
  <c r="W19" i="1" s="1"/>
  <c r="Y19" i="1" s="1"/>
  <c r="Q19" i="1"/>
  <c r="P19" i="1"/>
  <c r="M15" i="1"/>
  <c r="U15" i="1" s="1"/>
  <c r="Q15" i="1"/>
  <c r="P15" i="1"/>
  <c r="M11" i="1"/>
  <c r="U11" i="1" s="1"/>
  <c r="Q11" i="1"/>
  <c r="P11" i="1"/>
  <c r="M7" i="1"/>
  <c r="O7" i="1" s="1"/>
  <c r="Q7" i="1"/>
  <c r="P7" i="1"/>
  <c r="M3" i="1"/>
  <c r="Q3" i="1"/>
  <c r="P3" i="1"/>
  <c r="K48" i="1"/>
  <c r="L48" i="1" s="1"/>
  <c r="K49" i="1"/>
  <c r="L49" i="1" s="1"/>
  <c r="W42" i="1"/>
  <c r="Y42" i="1" s="1"/>
  <c r="W38" i="1"/>
  <c r="Y38" i="1" s="1"/>
  <c r="W30" i="1"/>
  <c r="Y30" i="1" s="1"/>
  <c r="W26" i="1"/>
  <c r="Y26" i="1" s="1"/>
  <c r="W20" i="1"/>
  <c r="Y20" i="1" s="1"/>
  <c r="U20" i="1"/>
  <c r="U42" i="1"/>
  <c r="M16" i="1"/>
  <c r="M41" i="1"/>
  <c r="O31" i="1"/>
  <c r="O28" i="1"/>
  <c r="O26" i="1"/>
  <c r="O20" i="1"/>
  <c r="U14" i="1" l="1"/>
  <c r="U45" i="1"/>
  <c r="U17" i="1"/>
  <c r="U9" i="1"/>
  <c r="W28" i="1"/>
  <c r="Y28" i="1" s="1"/>
  <c r="U30" i="1"/>
  <c r="U33" i="1"/>
  <c r="W15" i="1"/>
  <c r="Y15" i="1" s="1"/>
  <c r="U31" i="1"/>
  <c r="O10" i="1"/>
  <c r="O33" i="1"/>
  <c r="U4" i="1"/>
  <c r="W6" i="1"/>
  <c r="Y6" i="1" s="1"/>
  <c r="O2" i="1"/>
  <c r="W5" i="1"/>
  <c r="Y5" i="1" s="1"/>
  <c r="U34" i="1"/>
  <c r="W37" i="1"/>
  <c r="Y37" i="1" s="1"/>
  <c r="O35" i="1"/>
  <c r="U44" i="1"/>
  <c r="O37" i="1"/>
  <c r="U21" i="1"/>
  <c r="W17" i="1"/>
  <c r="Y17" i="1" s="1"/>
  <c r="O18" i="1"/>
  <c r="W8" i="1"/>
  <c r="Y8" i="1" s="1"/>
  <c r="O14" i="1"/>
  <c r="U24" i="1"/>
  <c r="O38" i="1"/>
  <c r="U7" i="1"/>
  <c r="O9" i="1"/>
  <c r="U25" i="1"/>
  <c r="O12" i="1"/>
  <c r="U39" i="1"/>
  <c r="W18" i="1"/>
  <c r="Y18" i="1" s="1"/>
  <c r="O8" i="1"/>
  <c r="O19" i="1"/>
  <c r="U22" i="1"/>
  <c r="U23" i="1"/>
  <c r="W7" i="1"/>
  <c r="Y7" i="1" s="1"/>
  <c r="O39" i="1"/>
  <c r="U35" i="1"/>
  <c r="W11" i="1"/>
  <c r="Y11" i="1" s="1"/>
  <c r="O27" i="1"/>
  <c r="U27" i="1"/>
  <c r="W40" i="1"/>
  <c r="Y40" i="1" s="1"/>
  <c r="W43" i="1"/>
  <c r="Y43" i="1" s="1"/>
  <c r="O11" i="1"/>
  <c r="AB50" i="1"/>
  <c r="B23" i="3"/>
  <c r="B24" i="3" s="1"/>
  <c r="B22" i="3"/>
  <c r="B44" i="3"/>
  <c r="AB48" i="1"/>
  <c r="AB46" i="1"/>
  <c r="K12" i="1"/>
  <c r="L12" i="1" s="1"/>
  <c r="O36" i="1"/>
  <c r="U10" i="1"/>
  <c r="Z48" i="1"/>
  <c r="R48" i="1"/>
  <c r="N48" i="1"/>
  <c r="AC48" i="1" s="1"/>
  <c r="S48" i="1"/>
  <c r="K7" i="1"/>
  <c r="L7" i="1" s="1"/>
  <c r="K23" i="1"/>
  <c r="L23" i="1" s="1"/>
  <c r="K39" i="1"/>
  <c r="L39" i="1" s="1"/>
  <c r="K18" i="1"/>
  <c r="L18" i="1" s="1"/>
  <c r="K44" i="1"/>
  <c r="L44" i="1" s="1"/>
  <c r="S50" i="1"/>
  <c r="N50" i="1"/>
  <c r="Z50" i="1"/>
  <c r="K28" i="1"/>
  <c r="L28" i="1" s="1"/>
  <c r="Z46" i="1"/>
  <c r="N46" i="1"/>
  <c r="S46" i="1"/>
  <c r="K17" i="1"/>
  <c r="L17" i="1" s="1"/>
  <c r="K33" i="1"/>
  <c r="L33" i="1" s="1"/>
  <c r="K45" i="1"/>
  <c r="L45" i="1" s="1"/>
  <c r="K14" i="1"/>
  <c r="L14" i="1" s="1"/>
  <c r="K38" i="1"/>
  <c r="L38" i="1" s="1"/>
  <c r="Z49" i="1"/>
  <c r="N49" i="1"/>
  <c r="AC49" i="1" s="1"/>
  <c r="R49" i="1"/>
  <c r="S49" i="1"/>
  <c r="S53" i="1"/>
  <c r="N53" i="1"/>
  <c r="Z53" i="1"/>
  <c r="K40" i="1"/>
  <c r="L40" i="1" s="1"/>
  <c r="S47" i="1"/>
  <c r="N47" i="1"/>
  <c r="Z47" i="1"/>
  <c r="K29" i="1"/>
  <c r="L29" i="1" s="1"/>
  <c r="K10" i="1"/>
  <c r="L10" i="1" s="1"/>
  <c r="K32" i="1"/>
  <c r="L32" i="1" s="1"/>
  <c r="K3" i="1"/>
  <c r="L3" i="1" s="1"/>
  <c r="K36" i="1"/>
  <c r="L36" i="1" s="1"/>
  <c r="K13" i="1"/>
  <c r="L13" i="1" s="1"/>
  <c r="K41" i="1"/>
  <c r="L41" i="1" s="1"/>
  <c r="U32" i="1"/>
  <c r="W3" i="1"/>
  <c r="Y3" i="1" s="1"/>
  <c r="K15" i="1"/>
  <c r="L15" i="1" s="1"/>
  <c r="K31" i="1"/>
  <c r="L31" i="1" s="1"/>
  <c r="K4" i="1"/>
  <c r="L4" i="1" s="1"/>
  <c r="K30" i="1"/>
  <c r="L30" i="1" s="1"/>
  <c r="AB51" i="1"/>
  <c r="K8" i="1"/>
  <c r="L8" i="1" s="1"/>
  <c r="K34" i="1"/>
  <c r="L34" i="1" s="1"/>
  <c r="AB47" i="1"/>
  <c r="K9" i="1"/>
  <c r="L9" i="1" s="1"/>
  <c r="K25" i="1"/>
  <c r="L25" i="1" s="1"/>
  <c r="S52" i="1"/>
  <c r="Z52" i="1"/>
  <c r="N52" i="1"/>
  <c r="K6" i="1"/>
  <c r="L6" i="1" s="1"/>
  <c r="K26" i="1"/>
  <c r="L26" i="1" s="1"/>
  <c r="K19" i="1"/>
  <c r="L19" i="1" s="1"/>
  <c r="K35" i="1"/>
  <c r="L35" i="1" s="1"/>
  <c r="Z51" i="1"/>
  <c r="S51" i="1"/>
  <c r="N51" i="1"/>
  <c r="K16" i="1"/>
  <c r="L16" i="1" s="1"/>
  <c r="U19" i="1"/>
  <c r="U29" i="1"/>
  <c r="U36" i="1"/>
  <c r="W12" i="1"/>
  <c r="Y12" i="1" s="1"/>
  <c r="W32" i="1"/>
  <c r="Y32" i="1" s="1"/>
  <c r="W13" i="1"/>
  <c r="Y13" i="1" s="1"/>
  <c r="W29" i="1"/>
  <c r="Y29" i="1" s="1"/>
  <c r="AB49" i="1"/>
  <c r="K11" i="1"/>
  <c r="L11" i="1" s="1"/>
  <c r="K27" i="1"/>
  <c r="L27" i="1" s="1"/>
  <c r="K43" i="1"/>
  <c r="L43" i="1" s="1"/>
  <c r="K24" i="1"/>
  <c r="L24" i="1" s="1"/>
  <c r="AB53" i="1"/>
  <c r="K22" i="1"/>
  <c r="L22" i="1" s="1"/>
  <c r="K2" i="1"/>
  <c r="L2" i="1" s="1"/>
  <c r="K5" i="1"/>
  <c r="L5" i="1" s="1"/>
  <c r="K21" i="1"/>
  <c r="L21" i="1" s="1"/>
  <c r="K37" i="1"/>
  <c r="L37" i="1" s="1"/>
  <c r="AB52" i="1"/>
  <c r="K20" i="1"/>
  <c r="L20" i="1" s="1"/>
  <c r="K42" i="1"/>
  <c r="L42" i="1" s="1"/>
  <c r="W41" i="1"/>
  <c r="Y41" i="1" s="1"/>
  <c r="W16" i="1"/>
  <c r="Y16" i="1" s="1"/>
  <c r="U41" i="1"/>
  <c r="U16" i="1"/>
  <c r="O16" i="1"/>
  <c r="AB36" i="1" l="1"/>
  <c r="AB22" i="1"/>
  <c r="AB3" i="1"/>
  <c r="AB14" i="1"/>
  <c r="AB17" i="1"/>
  <c r="AB6" i="1"/>
  <c r="AB4" i="1"/>
  <c r="B46" i="3"/>
  <c r="B69" i="3"/>
  <c r="B47" i="3"/>
  <c r="B48" i="3" s="1"/>
  <c r="B68" i="3"/>
  <c r="AB44" i="1"/>
  <c r="AB5" i="1"/>
  <c r="AB29" i="1"/>
  <c r="AB7" i="1"/>
  <c r="AB43" i="1"/>
  <c r="Z21" i="1"/>
  <c r="N21" i="1"/>
  <c r="S21" i="1"/>
  <c r="Z16" i="1"/>
  <c r="S16" i="1"/>
  <c r="Z26" i="1"/>
  <c r="S26" i="1"/>
  <c r="N26" i="1"/>
  <c r="Z9" i="1"/>
  <c r="R9" i="1"/>
  <c r="N9" i="1"/>
  <c r="AC9" i="1" s="1"/>
  <c r="S9" i="1"/>
  <c r="S34" i="1"/>
  <c r="N34" i="1"/>
  <c r="R34" i="1" s="1"/>
  <c r="Z34" i="1"/>
  <c r="S8" i="1"/>
  <c r="Z8" i="1"/>
  <c r="N8" i="1"/>
  <c r="Z30" i="1"/>
  <c r="S30" i="1"/>
  <c r="N30" i="1"/>
  <c r="Z15" i="1"/>
  <c r="S15" i="1"/>
  <c r="N15" i="1"/>
  <c r="Z13" i="1"/>
  <c r="N13" i="1"/>
  <c r="R13" i="1" s="1"/>
  <c r="S13" i="1"/>
  <c r="Z10" i="1"/>
  <c r="S10" i="1"/>
  <c r="N10" i="1"/>
  <c r="AC10" i="1" s="1"/>
  <c r="R10" i="1"/>
  <c r="Z38" i="1"/>
  <c r="S38" i="1"/>
  <c r="N38" i="1"/>
  <c r="AC38" i="1" s="1"/>
  <c r="R38" i="1"/>
  <c r="Z33" i="1"/>
  <c r="S33" i="1"/>
  <c r="N33" i="1"/>
  <c r="N23" i="1"/>
  <c r="S23" i="1"/>
  <c r="Z23" i="1"/>
  <c r="Z12" i="1"/>
  <c r="N12" i="1"/>
  <c r="S12" i="1"/>
  <c r="S20" i="1"/>
  <c r="N20" i="1"/>
  <c r="Z20" i="1"/>
  <c r="Z37" i="1"/>
  <c r="S37" i="1"/>
  <c r="N37" i="1"/>
  <c r="AC37" i="1" s="1"/>
  <c r="R37" i="1"/>
  <c r="Z22" i="1"/>
  <c r="N22" i="1"/>
  <c r="S22" i="1"/>
  <c r="Z24" i="1"/>
  <c r="S24" i="1"/>
  <c r="N24" i="1"/>
  <c r="S11" i="1"/>
  <c r="Z11" i="1"/>
  <c r="N11" i="1"/>
  <c r="AB16" i="1"/>
  <c r="Z19" i="1"/>
  <c r="R19" i="1"/>
  <c r="N19" i="1"/>
  <c r="AC19" i="1" s="1"/>
  <c r="S19" i="1"/>
  <c r="AB26" i="1"/>
  <c r="Z25" i="1"/>
  <c r="N25" i="1"/>
  <c r="S25" i="1"/>
  <c r="AB34" i="1"/>
  <c r="AB8" i="1"/>
  <c r="AB30" i="1"/>
  <c r="Z31" i="1"/>
  <c r="N31" i="1"/>
  <c r="S31" i="1"/>
  <c r="AB15" i="1"/>
  <c r="S41" i="1"/>
  <c r="Z41" i="1"/>
  <c r="Z32" i="1"/>
  <c r="N32" i="1"/>
  <c r="S32" i="1"/>
  <c r="AB10" i="1"/>
  <c r="Z40" i="1"/>
  <c r="S40" i="1"/>
  <c r="N40" i="1"/>
  <c r="R53" i="1"/>
  <c r="AC53" i="1"/>
  <c r="Z45" i="1"/>
  <c r="S45" i="1"/>
  <c r="N45" i="1"/>
  <c r="Z28" i="1"/>
  <c r="S28" i="1"/>
  <c r="R28" i="1"/>
  <c r="N28" i="1"/>
  <c r="AC28" i="1" s="1"/>
  <c r="R50" i="1"/>
  <c r="AC50" i="1"/>
  <c r="Z39" i="1"/>
  <c r="N39" i="1"/>
  <c r="S39" i="1"/>
  <c r="AB23" i="1"/>
  <c r="R40" i="1"/>
  <c r="N41" i="1"/>
  <c r="O41" i="1" s="1"/>
  <c r="N42" i="1"/>
  <c r="Z42" i="1"/>
  <c r="S42" i="1"/>
  <c r="AB21" i="1"/>
  <c r="Z2" i="1"/>
  <c r="N2" i="1"/>
  <c r="S2" i="1"/>
  <c r="AB24" i="1"/>
  <c r="N27" i="1"/>
  <c r="S27" i="1"/>
  <c r="Z27" i="1"/>
  <c r="AB11" i="1"/>
  <c r="Z35" i="1"/>
  <c r="N35" i="1"/>
  <c r="AC35" i="1" s="1"/>
  <c r="R35" i="1"/>
  <c r="S35" i="1"/>
  <c r="AB19" i="1"/>
  <c r="R52" i="1"/>
  <c r="AC52" i="1"/>
  <c r="AB9" i="1"/>
  <c r="N4" i="1"/>
  <c r="S4" i="1"/>
  <c r="Z4" i="1"/>
  <c r="AB31" i="1"/>
  <c r="AB13" i="1"/>
  <c r="AB32" i="1"/>
  <c r="Z14" i="1"/>
  <c r="S14" i="1"/>
  <c r="N14" i="1"/>
  <c r="AB33" i="1"/>
  <c r="Z18" i="1"/>
  <c r="S18" i="1"/>
  <c r="R18" i="1"/>
  <c r="N18" i="1"/>
  <c r="AC18" i="1" s="1"/>
  <c r="AB39" i="1"/>
  <c r="AB12" i="1"/>
  <c r="N16" i="1"/>
  <c r="AB42" i="1"/>
  <c r="AB20" i="1"/>
  <c r="AB37" i="1"/>
  <c r="S5" i="1"/>
  <c r="N5" i="1"/>
  <c r="Z5" i="1"/>
  <c r="Z43" i="1"/>
  <c r="N43" i="1"/>
  <c r="S43" i="1"/>
  <c r="AB27" i="1"/>
  <c r="R51" i="1"/>
  <c r="AC51" i="1"/>
  <c r="AB35" i="1"/>
  <c r="Z6" i="1"/>
  <c r="N6" i="1"/>
  <c r="S6" i="1"/>
  <c r="AB25" i="1"/>
  <c r="AB41" i="1"/>
  <c r="Z36" i="1"/>
  <c r="S36" i="1"/>
  <c r="R36" i="1"/>
  <c r="N36" i="1"/>
  <c r="AC36" i="1" s="1"/>
  <c r="Z3" i="1"/>
  <c r="S3" i="1"/>
  <c r="N3" i="1"/>
  <c r="Z29" i="1"/>
  <c r="S29" i="1"/>
  <c r="R29" i="1"/>
  <c r="N29" i="1"/>
  <c r="AC29" i="1" s="1"/>
  <c r="R47" i="1"/>
  <c r="AC47" i="1"/>
  <c r="AB40" i="1"/>
  <c r="AB38" i="1"/>
  <c r="AB45" i="1"/>
  <c r="Z17" i="1"/>
  <c r="S17" i="1"/>
  <c r="N17" i="1"/>
  <c r="AC17" i="1" s="1"/>
  <c r="R17" i="1"/>
  <c r="R46" i="1"/>
  <c r="AC46" i="1"/>
  <c r="AB28" i="1"/>
  <c r="Z44" i="1"/>
  <c r="N44" i="1"/>
  <c r="S44" i="1"/>
  <c r="AB18" i="1"/>
  <c r="Z7" i="1"/>
  <c r="S7" i="1"/>
  <c r="N7" i="1"/>
  <c r="B70" i="3" l="1"/>
  <c r="B92" i="3"/>
  <c r="B71" i="3"/>
  <c r="B72" i="3" s="1"/>
  <c r="B93" i="3"/>
  <c r="R16" i="1"/>
  <c r="AC16" i="1"/>
  <c r="R2" i="1"/>
  <c r="AC2" i="1"/>
  <c r="AB2" i="1"/>
  <c r="R32" i="1"/>
  <c r="AC32" i="1"/>
  <c r="R25" i="1"/>
  <c r="O25" i="1"/>
  <c r="AC25" i="1"/>
  <c r="R30" i="1"/>
  <c r="AC30" i="1"/>
  <c r="R44" i="1"/>
  <c r="AC44" i="1"/>
  <c r="O44" i="1"/>
  <c r="R6" i="1"/>
  <c r="AC6" i="1"/>
  <c r="O6" i="1"/>
  <c r="R4" i="1"/>
  <c r="AC4" i="1"/>
  <c r="O4" i="1"/>
  <c r="R42" i="1"/>
  <c r="O42" i="1"/>
  <c r="AC42" i="1"/>
  <c r="R15" i="1"/>
  <c r="AC15" i="1"/>
  <c r="O15" i="1"/>
  <c r="R26" i="1"/>
  <c r="AC26" i="1"/>
  <c r="R41" i="1"/>
  <c r="AC41" i="1"/>
  <c r="R39" i="1"/>
  <c r="AC39" i="1"/>
  <c r="R45" i="1"/>
  <c r="AC45" i="1"/>
  <c r="O45" i="1"/>
  <c r="R31" i="1"/>
  <c r="AC31" i="1"/>
  <c r="AC20" i="1"/>
  <c r="R20" i="1"/>
  <c r="R12" i="1"/>
  <c r="AC12" i="1"/>
  <c r="R23" i="1"/>
  <c r="AC23" i="1"/>
  <c r="O23" i="1"/>
  <c r="R7" i="1"/>
  <c r="AC7" i="1"/>
  <c r="O43" i="1"/>
  <c r="AC43" i="1"/>
  <c r="R43" i="1"/>
  <c r="R11" i="1"/>
  <c r="AC11" i="1"/>
  <c r="R14" i="1"/>
  <c r="AC14" i="1"/>
  <c r="R27" i="1"/>
  <c r="AC27" i="1"/>
  <c r="R3" i="1"/>
  <c r="O3" i="1"/>
  <c r="AC3" i="1"/>
  <c r="R5" i="1"/>
  <c r="O5" i="1"/>
  <c r="AC5" i="1"/>
  <c r="O40" i="1"/>
  <c r="AC40" i="1"/>
  <c r="R24" i="1"/>
  <c r="AC24" i="1"/>
  <c r="O24" i="1"/>
  <c r="AC22" i="1"/>
  <c r="O22" i="1"/>
  <c r="R22" i="1"/>
  <c r="R33" i="1"/>
  <c r="AC33" i="1"/>
  <c r="AC13" i="1"/>
  <c r="O13" i="1"/>
  <c r="R8" i="1"/>
  <c r="AC8" i="1"/>
  <c r="O34" i="1"/>
  <c r="AC34" i="1"/>
  <c r="R21" i="1"/>
  <c r="O21" i="1"/>
  <c r="AC21" i="1"/>
  <c r="B117" i="3" l="1"/>
  <c r="B94" i="3"/>
  <c r="B95" i="3"/>
  <c r="B96" i="3" s="1"/>
  <c r="B116" i="3"/>
  <c r="B118" i="3" l="1"/>
  <c r="B119" i="3"/>
  <c r="B120" i="3" s="1"/>
  <c r="D127" i="3" s="1"/>
  <c r="D124" i="3"/>
  <c r="D126" i="3" s="1"/>
</calcChain>
</file>

<file path=xl/sharedStrings.xml><?xml version="1.0" encoding="utf-8"?>
<sst xmlns="http://schemas.openxmlformats.org/spreadsheetml/2006/main" count="1004" uniqueCount="383">
  <si>
    <t>Part</t>
  </si>
  <si>
    <t>Dry Mass</t>
  </si>
  <si>
    <t>Total Mass</t>
  </si>
  <si>
    <t>Dry</t>
  </si>
  <si>
    <t>Fuel Mass</t>
  </si>
  <si>
    <t>Engine ISP</t>
  </si>
  <si>
    <t>ISP</t>
  </si>
  <si>
    <t>Thrust</t>
  </si>
  <si>
    <t>LC1-FL0-HH</t>
  </si>
  <si>
    <t>LF</t>
  </si>
  <si>
    <t>O</t>
  </si>
  <si>
    <t>LC2-ASCE</t>
  </si>
  <si>
    <t>LC2-DESE</t>
  </si>
  <si>
    <t>LC3-ASCE</t>
  </si>
  <si>
    <t>LC3-DESE</t>
  </si>
  <si>
    <t>LC5-ASCE</t>
  </si>
  <si>
    <t>LC5-DESE</t>
  </si>
  <si>
    <t>Heat</t>
  </si>
  <si>
    <t>LC2-FL1</t>
  </si>
  <si>
    <t>LC2-ASCF</t>
  </si>
  <si>
    <t>LC2-FL0</t>
  </si>
  <si>
    <t>LC2-LEG</t>
  </si>
  <si>
    <t>LC2-POD</t>
  </si>
  <si>
    <t>LC3-ASCF</t>
  </si>
  <si>
    <t>LC3-FL2</t>
  </si>
  <si>
    <t>LC3-FL1</t>
  </si>
  <si>
    <t>LC3-FL0</t>
  </si>
  <si>
    <t>LC3-LEG</t>
  </si>
  <si>
    <t>LC3-POD</t>
  </si>
  <si>
    <t>LC5-ASCF</t>
  </si>
  <si>
    <t>LC5-FL2</t>
  </si>
  <si>
    <t>LC5-FL3</t>
  </si>
  <si>
    <t>LC5-FL0</t>
  </si>
  <si>
    <t>LC5-FL1</t>
  </si>
  <si>
    <t>LC5-POD</t>
  </si>
  <si>
    <t>LC2-CRG</t>
  </si>
  <si>
    <t>LC3-CRG</t>
  </si>
  <si>
    <t>LC5-CRG</t>
  </si>
  <si>
    <t>LC5-LEG</t>
  </si>
  <si>
    <t>Manual Dry Mass</t>
  </si>
  <si>
    <t>Tankage Mass</t>
  </si>
  <si>
    <t>Usable Fuel Volume</t>
  </si>
  <si>
    <t>Engine Thrust</t>
  </si>
  <si>
    <t>LC2-SKY</t>
  </si>
  <si>
    <t>LC2-SM</t>
  </si>
  <si>
    <t>LC2-RTG</t>
  </si>
  <si>
    <t>LC2-MONO</t>
  </si>
  <si>
    <t>LC2-DSP</t>
  </si>
  <si>
    <t>LC3-SKY</t>
  </si>
  <si>
    <t>LC3-SM</t>
  </si>
  <si>
    <t>LC3-RTG</t>
  </si>
  <si>
    <t>LC3-MONO</t>
  </si>
  <si>
    <t>LC3-DSP</t>
  </si>
  <si>
    <t>LC5-SKY</t>
  </si>
  <si>
    <t>LC5-SM</t>
  </si>
  <si>
    <t>LC5-RTG</t>
  </si>
  <si>
    <t>LC5-MONO</t>
  </si>
  <si>
    <t>LC5-DSP</t>
  </si>
  <si>
    <t>Tankage Fraction</t>
  </si>
  <si>
    <t>Raw TWR</t>
  </si>
  <si>
    <t>Qty</t>
  </si>
  <si>
    <t>SC-B-BPC</t>
  </si>
  <si>
    <t>SC-B-CM</t>
  </si>
  <si>
    <t>SC-B-SM</t>
  </si>
  <si>
    <t>SC-B-ICPS</t>
  </si>
  <si>
    <t>SC-B-HUS</t>
  </si>
  <si>
    <t>Fuel</t>
  </si>
  <si>
    <t>T.Mass</t>
  </si>
  <si>
    <t>Totals</t>
  </si>
  <si>
    <t>Total</t>
  </si>
  <si>
    <t>Stage dV</t>
  </si>
  <si>
    <t>Vessel Mass</t>
  </si>
  <si>
    <t>Vessel dV</t>
  </si>
  <si>
    <t>Parts</t>
  </si>
  <si>
    <t>Vessel TWR</t>
  </si>
  <si>
    <t>Vessel Dry Mass</t>
  </si>
  <si>
    <t>CONFIG 1</t>
  </si>
  <si>
    <t>HEAT(H/T*M)</t>
  </si>
  <si>
    <t>LC2-DC3</t>
  </si>
  <si>
    <t>LC3-ASCF2</t>
  </si>
  <si>
    <t>LC3-DC5</t>
  </si>
  <si>
    <t>TESTWEIGHT70</t>
  </si>
  <si>
    <t>TESTWEIGHT80</t>
  </si>
  <si>
    <t>TESTWEIGHT90</t>
  </si>
  <si>
    <t>TESTWEIGHT100</t>
  </si>
  <si>
    <t>TESTWEIGHT110</t>
  </si>
  <si>
    <t>TESTWEIGHT120</t>
  </si>
  <si>
    <t>TESTWEIGHT130</t>
  </si>
  <si>
    <t>TESTWEIGHT140</t>
  </si>
  <si>
    <t>TESTWEIGHT150</t>
  </si>
  <si>
    <t>TESTWEIGHT160</t>
  </si>
  <si>
    <t>TESTWEIGHT180</t>
  </si>
  <si>
    <t>TESTWEIGHT200</t>
  </si>
  <si>
    <t>TESTWEIGHT220</t>
  </si>
  <si>
    <t>TESTWEIGHT240</t>
  </si>
  <si>
    <t>TESTWEIGHT260</t>
  </si>
  <si>
    <t>TESTWEIGHT280</t>
  </si>
  <si>
    <t>TESTWEIGHT300</t>
  </si>
  <si>
    <t>TESTWEIGHT320</t>
  </si>
  <si>
    <t>TESTWEIGHT340</t>
  </si>
  <si>
    <t>TESTWEIGHT360</t>
  </si>
  <si>
    <t>TESTWEIGHT380</t>
  </si>
  <si>
    <t>TESTWEIGHT400</t>
  </si>
  <si>
    <t>units</t>
  </si>
  <si>
    <t>liters</t>
  </si>
  <si>
    <t>mass</t>
  </si>
  <si>
    <t>Raw Volume</t>
  </si>
  <si>
    <t>Fuel Type</t>
  </si>
  <si>
    <t>LFO</t>
  </si>
  <si>
    <t>MONO</t>
  </si>
  <si>
    <t>SOLID</t>
  </si>
  <si>
    <t>T per m3</t>
  </si>
  <si>
    <t>U per T</t>
  </si>
  <si>
    <t>Tank Volume</t>
  </si>
  <si>
    <t>TESTWEIGHT10</t>
  </si>
  <si>
    <t>TESTWEIGHT20</t>
  </si>
  <si>
    <t>TESTWEIGHT40</t>
  </si>
  <si>
    <t>TESTWEIGHT5</t>
  </si>
  <si>
    <t>Final Stats</t>
  </si>
  <si>
    <t>Total Vessel dV</t>
  </si>
  <si>
    <t>SC-B-SRB3</t>
  </si>
  <si>
    <t>SC-B-SRB4</t>
  </si>
  <si>
    <t>SC-B-SRB5</t>
  </si>
  <si>
    <t>TESTWEIGHT170</t>
  </si>
  <si>
    <t>TESTWEIGHT190</t>
  </si>
  <si>
    <t>TESTWEIGHT210</t>
  </si>
  <si>
    <t>TESTWEIGHT230</t>
  </si>
  <si>
    <t>TESTWEIGHT250</t>
  </si>
  <si>
    <t>TESTWEIGHT270</t>
  </si>
  <si>
    <t>TESTWEIGHT290</t>
  </si>
  <si>
    <t>TESTWEIGHT310</t>
  </si>
  <si>
    <t>TESTWEIGHT330</t>
  </si>
  <si>
    <t>TESTWEIGHT350</t>
  </si>
  <si>
    <t>TESTWEIGHT370</t>
  </si>
  <si>
    <t>TESTWEIGHT390</t>
  </si>
  <si>
    <t>SC-B-SRB2</t>
  </si>
  <si>
    <t>Fuel Rate</t>
  </si>
  <si>
    <t>Burn Time</t>
  </si>
  <si>
    <t>LH2</t>
  </si>
  <si>
    <t>Cost / dm</t>
  </si>
  <si>
    <t>Resource cost</t>
  </si>
  <si>
    <t>Cost per T</t>
  </si>
  <si>
    <t>Cost per U</t>
  </si>
  <si>
    <t>mCost</t>
  </si>
  <si>
    <t>Total Cost</t>
  </si>
  <si>
    <t>Entry Cost</t>
  </si>
  <si>
    <t>lh2</t>
  </si>
  <si>
    <t>SC-ENG-RS-25</t>
  </si>
  <si>
    <t>SC-ENG-F1</t>
  </si>
  <si>
    <t>SC-ENG-F1B</t>
  </si>
  <si>
    <t>SC-ENG-RS-68</t>
  </si>
  <si>
    <t>SC-A-BPC</t>
  </si>
  <si>
    <t>SC-A-CM</t>
  </si>
  <si>
    <t>SC-A-SM</t>
  </si>
  <si>
    <t>U per m3</t>
  </si>
  <si>
    <t>liquid hydrogen / liquid oxygen mixture breakdown</t>
  </si>
  <si>
    <t>ratio by mass</t>
  </si>
  <si>
    <t>lo2</t>
  </si>
  <si>
    <t>ratio by volume</t>
  </si>
  <si>
    <t>L per U</t>
  </si>
  <si>
    <t>= mass check</t>
  </si>
  <si>
    <t>simplified volume ratio</t>
  </si>
  <si>
    <t>unit ratio</t>
  </si>
  <si>
    <t>HLOX</t>
  </si>
  <si>
    <t>T per unit</t>
  </si>
  <si>
    <t>RL10B-2</t>
  </si>
  <si>
    <t>RL10A-4</t>
  </si>
  <si>
    <t>HLOX-ICPS</t>
  </si>
  <si>
    <t>HLOX-CM</t>
  </si>
  <si>
    <t>HLOX-SM</t>
  </si>
  <si>
    <t>J-2</t>
  </si>
  <si>
    <t>HLOX-HUS</t>
  </si>
  <si>
    <t>F1Units</t>
  </si>
  <si>
    <t>F2Units</t>
  </si>
  <si>
    <t>Tankage Volume Loss</t>
  </si>
  <si>
    <t>Tankage Mass Fraction</t>
  </si>
  <si>
    <t>F:R</t>
  </si>
  <si>
    <t>O:R</t>
  </si>
  <si>
    <t>F-L/U</t>
  </si>
  <si>
    <t>O-L/U</t>
  </si>
  <si>
    <t>FU/M3</t>
  </si>
  <si>
    <t>OU/M3</t>
  </si>
  <si>
    <t>test liters used by mixture</t>
  </si>
  <si>
    <t>CF:R</t>
  </si>
  <si>
    <t>CO:R</t>
  </si>
  <si>
    <t>FL/M3</t>
  </si>
  <si>
    <t>OL/M3</t>
  </si>
  <si>
    <t>TEST</t>
  </si>
  <si>
    <t>10u lh2</t>
  </si>
  <si>
    <t>1u o2</t>
  </si>
  <si>
    <t>5l o2</t>
  </si>
  <si>
    <t>10l lh2</t>
  </si>
  <si>
    <t>RMass Fraction</t>
  </si>
  <si>
    <t>Tmass Fraction</t>
  </si>
  <si>
    <t>ABLATOR</t>
  </si>
  <si>
    <t>ablator</t>
  </si>
  <si>
    <t>mono</t>
  </si>
  <si>
    <t>total</t>
  </si>
  <si>
    <t>actual</t>
  </si>
  <si>
    <t>fuel mass</t>
  </si>
  <si>
    <t>mono units</t>
  </si>
  <si>
    <t>SC-A-CMX</t>
  </si>
  <si>
    <t>SC-B-CMX</t>
  </si>
  <si>
    <t>total mass</t>
  </si>
  <si>
    <t>SC-C-BPC</t>
  </si>
  <si>
    <t>SC-C-OM</t>
  </si>
  <si>
    <t>SC-C-DM</t>
  </si>
  <si>
    <t>SC-C-SM</t>
  </si>
  <si>
    <t>SC-ENG-J-2</t>
  </si>
  <si>
    <t>SC-ENG-RL10A-4</t>
  </si>
  <si>
    <t>SC-ENG-RL10B-2</t>
  </si>
  <si>
    <t>SC-ENG-RL10A-3</t>
  </si>
  <si>
    <t>SC-ENG-J-2X</t>
  </si>
  <si>
    <t>SC-ENG-AJ10-137</t>
  </si>
  <si>
    <t>SC-ENG-AJ10-190</t>
  </si>
  <si>
    <t>SC-ENG-H-1</t>
  </si>
  <si>
    <t>SC-ENG-Merlin-1B</t>
  </si>
  <si>
    <t>SC-ENG-Merlin-1C</t>
  </si>
  <si>
    <t>SC-ENG-Merlin-1CV</t>
  </si>
  <si>
    <t>SC-ENG-Merlin-1D</t>
  </si>
  <si>
    <t>SC-ENG-Merlin-1DV</t>
  </si>
  <si>
    <t>Name</t>
  </si>
  <si>
    <t>Bell Dia</t>
  </si>
  <si>
    <t>Mass</t>
  </si>
  <si>
    <t>Exp.Ratio</t>
  </si>
  <si>
    <t>Cyle</t>
  </si>
  <si>
    <t>Use</t>
  </si>
  <si>
    <t>SLT-KN</t>
  </si>
  <si>
    <t>VT-KN</t>
  </si>
  <si>
    <t>SLTWR</t>
  </si>
  <si>
    <t>VTWR</t>
  </si>
  <si>
    <t>SISP</t>
  </si>
  <si>
    <t>VISP</t>
  </si>
  <si>
    <t>FUEL</t>
  </si>
  <si>
    <t>KSP Dia</t>
  </si>
  <si>
    <t>Vac Ratio</t>
  </si>
  <si>
    <t>ISP Delta</t>
  </si>
  <si>
    <t>VISP DeltaLinePoint</t>
  </si>
  <si>
    <t>Tmult</t>
  </si>
  <si>
    <t>KSP SL-ISP</t>
  </si>
  <si>
    <t>KSP Vac-ISP</t>
  </si>
  <si>
    <t>KSP Vac-TWR</t>
  </si>
  <si>
    <t>TM</t>
  </si>
  <si>
    <t>KSP SL-T</t>
  </si>
  <si>
    <t>KSP Vac-T</t>
  </si>
  <si>
    <t>KSP Mass</t>
  </si>
  <si>
    <t>Kestrel</t>
  </si>
  <si>
    <t>PF</t>
  </si>
  <si>
    <t>US/T</t>
  </si>
  <si>
    <t>UDMH</t>
  </si>
  <si>
    <t>KSP ISP Delta</t>
  </si>
  <si>
    <t>TMULT</t>
  </si>
  <si>
    <t>TWRMULT</t>
  </si>
  <si>
    <t>AJ10-137(Apollo-SPS)</t>
  </si>
  <si>
    <t>KSP MIN VISP</t>
  </si>
  <si>
    <t>AJ10-190(Shuttle-OMS)</t>
  </si>
  <si>
    <t>RL ISP Delta</t>
  </si>
  <si>
    <t>KLOX</t>
  </si>
  <si>
    <t>HM7B</t>
  </si>
  <si>
    <t>GG</t>
  </si>
  <si>
    <t>US</t>
  </si>
  <si>
    <t>RL MIN VISP</t>
  </si>
  <si>
    <t>MLOX</t>
  </si>
  <si>
    <t>RL10A3</t>
  </si>
  <si>
    <t>EXP</t>
  </si>
  <si>
    <t>MinT</t>
  </si>
  <si>
    <t>RL10A4</t>
  </si>
  <si>
    <t>MaxT</t>
  </si>
  <si>
    <t>RD-0146</t>
  </si>
  <si>
    <t>Delta</t>
  </si>
  <si>
    <t>RL10B2</t>
  </si>
  <si>
    <t>G-Tmult</t>
  </si>
  <si>
    <t>RL60</t>
  </si>
  <si>
    <t>G-Tpow</t>
  </si>
  <si>
    <t>Merlin-1B</t>
  </si>
  <si>
    <t>L</t>
  </si>
  <si>
    <t>Merlin-1B-Vac</t>
  </si>
  <si>
    <t>Merlin-1C</t>
  </si>
  <si>
    <t>Merlin-1C-Vac</t>
  </si>
  <si>
    <t>Merlin-1D</t>
  </si>
  <si>
    <t>Viking</t>
  </si>
  <si>
    <t>Vikas</t>
  </si>
  <si>
    <t>Merlin-1D-Vac</t>
  </si>
  <si>
    <t>H1</t>
  </si>
  <si>
    <t>RD-107A</t>
  </si>
  <si>
    <t>J2</t>
  </si>
  <si>
    <t>LR-87</t>
  </si>
  <si>
    <t>?-ST</t>
  </si>
  <si>
    <t>J2X</t>
  </si>
  <si>
    <t>NK-33/AJ26</t>
  </si>
  <si>
    <t>?</t>
  </si>
  <si>
    <t>RD-275M</t>
  </si>
  <si>
    <t>OR-ST</t>
  </si>
  <si>
    <t>RS25</t>
  </si>
  <si>
    <t>FR-ST</t>
  </si>
  <si>
    <t>BE-4</t>
  </si>
  <si>
    <t>RS68</t>
  </si>
  <si>
    <t>RS69</t>
  </si>
  <si>
    <t>RS69B</t>
  </si>
  <si>
    <t>RD-180</t>
  </si>
  <si>
    <t>M1</t>
  </si>
  <si>
    <t>RD-270</t>
  </si>
  <si>
    <t>FF-ST</t>
  </si>
  <si>
    <t>F1</t>
  </si>
  <si>
    <t>RD-170</t>
  </si>
  <si>
    <t>Raptor</t>
  </si>
  <si>
    <t>F1B</t>
  </si>
  <si>
    <t>LR-79</t>
  </si>
  <si>
    <t>Input Mass</t>
  </si>
  <si>
    <t>cD</t>
  </si>
  <si>
    <t>dia</t>
  </si>
  <si>
    <t>area</t>
  </si>
  <si>
    <t>fD = 1/2r*cD*A*sqVel</t>
  </si>
  <si>
    <t>force of drag equals 0.5 * density * dragCoef * area * squareVelocity</t>
  </si>
  <si>
    <t>Diameter = sqrt( ( 8*kg*gravityMs ) / (pi*density*dragCoef*destVelSqr))</t>
  </si>
  <si>
    <t>Vel</t>
  </si>
  <si>
    <t>Diam</t>
  </si>
  <si>
    <t>Mass(kg)</t>
  </si>
  <si>
    <t>Area</t>
  </si>
  <si>
    <t>Dens(kg/m3)</t>
  </si>
  <si>
    <t>DynPress</t>
  </si>
  <si>
    <t>DragForce</t>
  </si>
  <si>
    <t>DragCoef</t>
  </si>
  <si>
    <t>a</t>
  </si>
  <si>
    <t>b</t>
  </si>
  <si>
    <t>c</t>
  </si>
  <si>
    <t>6m/s</t>
  </si>
  <si>
    <t>tons</t>
  </si>
  <si>
    <t>30m/s</t>
  </si>
  <si>
    <t>terminal velocity</t>
  </si>
  <si>
    <t>term = sqrt((2*mass*gravity)/(rho*area*cD))</t>
  </si>
  <si>
    <t>rho</t>
  </si>
  <si>
    <t>term</t>
  </si>
  <si>
    <t>terminal velocity 2</t>
  </si>
  <si>
    <t>drag</t>
  </si>
  <si>
    <t>gravForce</t>
  </si>
  <si>
    <t>gforce</t>
  </si>
  <si>
    <t>bv(term) = m*g</t>
  </si>
  <si>
    <t>v(term) = (m*g)/b</t>
  </si>
  <si>
    <t>b=(m*g)/term*term</t>
  </si>
  <si>
    <t>term = sqRt((m*g)/b)</t>
  </si>
  <si>
    <t>b = (1200 * 9.81)/6.028953</t>
  </si>
  <si>
    <t>mk1-full</t>
  </si>
  <si>
    <t>mk1-semi</t>
  </si>
  <si>
    <t>act term</t>
  </si>
  <si>
    <t>calc area</t>
  </si>
  <si>
    <t>mk16-full</t>
  </si>
  <si>
    <t>mk16-semi</t>
  </si>
  <si>
    <t>dragCoef</t>
  </si>
  <si>
    <t>mk2-3 x 3 full</t>
  </si>
  <si>
    <t>&lt;100</t>
  </si>
  <si>
    <t>mk2-3 x 3 semi</t>
  </si>
  <si>
    <t>SRB1</t>
  </si>
  <si>
    <t>SC-E-FS1</t>
  </si>
  <si>
    <t>SC-E-FS2</t>
  </si>
  <si>
    <t>SC-ENG-RD-107</t>
  </si>
  <si>
    <t>SC-ENG-RD-1072</t>
  </si>
  <si>
    <t>RD-0110</t>
  </si>
  <si>
    <t>RD-0124</t>
  </si>
  <si>
    <t>OR-ST?</t>
  </si>
  <si>
    <t>KSP Heat</t>
  </si>
  <si>
    <t>Saturn-V</t>
  </si>
  <si>
    <t>SLS</t>
  </si>
  <si>
    <t>Shuttle</t>
  </si>
  <si>
    <t>Scaled</t>
  </si>
  <si>
    <t>S-I</t>
  </si>
  <si>
    <t>S-II</t>
  </si>
  <si>
    <t>S-IVB</t>
  </si>
  <si>
    <t>IPA-B</t>
  </si>
  <si>
    <t>IPA-T</t>
  </si>
  <si>
    <t>SM</t>
  </si>
  <si>
    <t>CM</t>
  </si>
  <si>
    <t>Height</t>
  </si>
  <si>
    <t>Tank</t>
  </si>
  <si>
    <t>Booster</t>
  </si>
  <si>
    <t>ICPS</t>
  </si>
  <si>
    <t>HUS</t>
  </si>
  <si>
    <t>SC-ENG-RD-108</t>
  </si>
  <si>
    <t>SC-ENG-RD-1082</t>
  </si>
  <si>
    <t>SC-ENG-RD-107X</t>
  </si>
  <si>
    <t>RS-68-stock-1</t>
  </si>
  <si>
    <t>RS-68-stock-2</t>
  </si>
  <si>
    <t>SC-C-SMX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</si>
</sst>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7" xfId="0" applyFill="1" applyBorder="1"/>
    <xf numFmtId="0" fontId="0" fillId="4" borderId="6" xfId="0" applyFill="1" applyBorder="1"/>
    <xf numFmtId="0" fontId="0" fillId="3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8" xfId="0" applyFill="1" applyBorder="1"/>
    <xf numFmtId="164" fontId="0" fillId="4" borderId="1" xfId="0" applyNumberFormat="1" applyFill="1" applyBorder="1"/>
    <xf numFmtId="0" fontId="0" fillId="0" borderId="0" xfId="0" quotePrefix="1"/>
    <xf numFmtId="0" fontId="0" fillId="0" borderId="0" xfId="0"/>
    <xf numFmtId="0" fontId="0" fillId="0" borderId="0" xfId="0" applyFill="1"/>
    <xf numFmtId="0" fontId="0" fillId="9" borderId="0" xfId="0" applyFill="1"/>
    <xf numFmtId="0" fontId="0" fillId="0" borderId="0" xfId="0" applyFont="1" applyFill="1"/>
    <xf numFmtId="0" fontId="0" fillId="9" borderId="19" xfId="0" applyFill="1" applyBorder="1"/>
    <xf numFmtId="0" fontId="0" fillId="9" borderId="2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1" borderId="0" xfId="0" applyFont="1" applyFill="1"/>
    <xf numFmtId="0" fontId="0" fillId="9" borderId="0" xfId="0" applyFill="1" applyBorder="1"/>
    <xf numFmtId="0" fontId="0" fillId="9" borderId="25" xfId="0" applyFill="1" applyBorder="1"/>
    <xf numFmtId="0" fontId="0" fillId="9" borderId="2" xfId="0" applyFill="1" applyBorder="1"/>
    <xf numFmtId="0" fontId="0" fillId="2" borderId="0" xfId="0" applyFill="1"/>
    <xf numFmtId="0" fontId="0" fillId="12" borderId="0" xfId="0" applyFill="1"/>
    <xf numFmtId="0" fontId="0" fillId="2" borderId="0" xfId="0" applyFont="1" applyFill="1"/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8" xfId="0" applyFill="1" applyBorder="1" applyAlignment="1">
      <alignment horizontal="right"/>
    </xf>
    <xf numFmtId="0" fontId="0" fillId="5" borderId="18" xfId="0" applyFill="1" applyBorder="1" applyAlignment="1">
      <alignment horizontal="left"/>
    </xf>
    <xf numFmtId="0" fontId="0" fillId="5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1"/>
  <sheetViews>
    <sheetView tabSelected="1" workbookViewId="0">
      <pane ySplit="1" topLeftCell="A110" activePane="bottomLeft" state="frozen"/>
      <selection pane="bottomLeft" activeCell="U110" sqref="U110"/>
    </sheetView>
  </sheetViews>
  <sheetFormatPr defaultRowHeight="15" x14ac:dyDescent="0.25"/>
  <cols>
    <col min="1" max="1" width="19.28515625" style="2" customWidth="1"/>
    <col min="2" max="2" width="7.140625" style="2" customWidth="1"/>
    <col min="3" max="3" width="11.5703125" style="2" customWidth="1"/>
    <col min="4" max="4" width="6.85546875" style="2" customWidth="1"/>
    <col min="5" max="5" width="7" style="2" customWidth="1"/>
    <col min="6" max="6" width="12.7109375" style="2" customWidth="1"/>
    <col min="7" max="7" width="13.85546875" style="2" customWidth="1"/>
    <col min="8" max="8" width="12.7109375" style="2" customWidth="1"/>
    <col min="9" max="9" width="10.28515625" style="2" customWidth="1"/>
    <col min="10" max="10" width="11.7109375" style="2" customWidth="1"/>
    <col min="11" max="11" width="13.28515625" style="2" customWidth="1"/>
    <col min="12" max="12" width="8.85546875" style="2" bestFit="1" customWidth="1"/>
    <col min="13" max="13" width="10.28515625" style="2" bestFit="1" customWidth="1"/>
    <col min="14" max="14" width="10.28515625" style="2" customWidth="1"/>
    <col min="15" max="15" width="9.28515625" style="2" hidden="1" customWidth="1"/>
    <col min="16" max="16" width="10" style="2" customWidth="1"/>
    <col min="17" max="17" width="10.5703125" style="2" customWidth="1"/>
    <col min="18" max="18" width="8.7109375" style="2" customWidth="1"/>
    <col min="19" max="19" width="13.5703125" style="2" customWidth="1"/>
    <col min="20" max="21" width="12.85546875" style="2" customWidth="1"/>
    <col min="22" max="25" width="12" style="2" hidden="1" customWidth="1"/>
    <col min="26" max="26" width="0" style="2" hidden="1" customWidth="1"/>
    <col min="27" max="27" width="14.140625" style="2" hidden="1" customWidth="1"/>
    <col min="28" max="28" width="14" style="2" bestFit="1" customWidth="1"/>
    <col min="29" max="29" width="12" style="2" bestFit="1" customWidth="1"/>
    <col min="30" max="16384" width="9.140625" style="2"/>
  </cols>
  <sheetData>
    <row r="1" spans="1:29" x14ac:dyDescent="0.25">
      <c r="A1" s="5" t="s">
        <v>0</v>
      </c>
      <c r="B1" s="5" t="s">
        <v>39</v>
      </c>
      <c r="C1" s="5" t="s">
        <v>113</v>
      </c>
      <c r="D1" s="5" t="s">
        <v>174</v>
      </c>
      <c r="E1" s="5" t="s">
        <v>175</v>
      </c>
      <c r="F1" s="5" t="s">
        <v>5</v>
      </c>
      <c r="G1" s="5" t="s">
        <v>42</v>
      </c>
      <c r="H1" s="5" t="s">
        <v>17</v>
      </c>
      <c r="I1" s="5" t="s">
        <v>107</v>
      </c>
      <c r="J1" s="5" t="s">
        <v>41</v>
      </c>
      <c r="K1" s="5" t="s">
        <v>40</v>
      </c>
      <c r="L1" s="5" t="s">
        <v>1</v>
      </c>
      <c r="M1" s="5" t="s">
        <v>4</v>
      </c>
      <c r="N1" s="5" t="s">
        <v>2</v>
      </c>
      <c r="O1" s="5" t="s">
        <v>58</v>
      </c>
      <c r="P1" s="5" t="s">
        <v>172</v>
      </c>
      <c r="Q1" s="5" t="s">
        <v>173</v>
      </c>
      <c r="R1" s="5" t="s">
        <v>59</v>
      </c>
      <c r="S1" s="5" t="s">
        <v>77</v>
      </c>
      <c r="T1" s="5" t="s">
        <v>136</v>
      </c>
      <c r="U1" s="5" t="s">
        <v>137</v>
      </c>
      <c r="V1" s="5" t="s">
        <v>106</v>
      </c>
      <c r="W1" s="5" t="s">
        <v>140</v>
      </c>
      <c r="X1" s="5" t="s">
        <v>143</v>
      </c>
      <c r="Y1" s="5" t="s">
        <v>144</v>
      </c>
      <c r="Z1" s="5" t="s">
        <v>139</v>
      </c>
      <c r="AA1" s="5" t="s">
        <v>145</v>
      </c>
      <c r="AB1" s="5" t="s">
        <v>192</v>
      </c>
      <c r="AC1" s="2" t="s">
        <v>193</v>
      </c>
    </row>
    <row r="2" spans="1:29" x14ac:dyDescent="0.25">
      <c r="A2" s="6" t="s">
        <v>22</v>
      </c>
      <c r="B2" s="6">
        <v>1.3</v>
      </c>
      <c r="C2" s="6">
        <v>0</v>
      </c>
      <c r="D2" s="6">
        <v>0.15</v>
      </c>
      <c r="E2" s="6">
        <v>0.15</v>
      </c>
      <c r="F2" s="6">
        <v>0</v>
      </c>
      <c r="G2" s="6">
        <v>0</v>
      </c>
      <c r="H2" s="6">
        <v>0</v>
      </c>
      <c r="I2" s="6" t="s">
        <v>108</v>
      </c>
      <c r="J2" s="4">
        <f t="shared" ref="J2:J33" si="0">C2 - (D2*C2)</f>
        <v>0</v>
      </c>
      <c r="K2" s="4">
        <f>E2*M2</f>
        <v>0</v>
      </c>
      <c r="L2" s="4">
        <f t="shared" ref="L2:L33" si="1">K2+B2</f>
        <v>1.3</v>
      </c>
      <c r="M2" s="4">
        <f>IFERROR(VLOOKUP(I2,FuelTypes!$A$1:$B$32,2,FALSE)*J2,0)</f>
        <v>0</v>
      </c>
      <c r="N2" s="4">
        <f>L2+M2</f>
        <v>1.3</v>
      </c>
      <c r="O2" s="4">
        <f t="shared" ref="O2:O33" si="2">IF(M2&gt;0, M2/N2,0)</f>
        <v>0</v>
      </c>
      <c r="P2" s="4">
        <f>VLOOKUP(I2, FuelTypes!$A$1:$R$12,17,FALSE)*J2</f>
        <v>0</v>
      </c>
      <c r="Q2" s="4">
        <f>VLOOKUP(I2, FuelTypes!$A$1:$R$12,18,FALSE)*J2</f>
        <v>0</v>
      </c>
      <c r="R2" s="4">
        <f t="shared" ref="R2:R65" si="3">IF(L2&gt;0, (G2*0.1)/N2,0)</f>
        <v>0</v>
      </c>
      <c r="S2" s="4">
        <f t="shared" ref="S2:S65" si="4">IFERROR(H2/G2*L2,0)</f>
        <v>0</v>
      </c>
      <c r="T2" s="4" t="e">
        <f t="shared" ref="T2:T65" si="5">G2 / (9.81 * F2)</f>
        <v>#DIV/0!</v>
      </c>
      <c r="U2" s="4"/>
      <c r="V2" s="3"/>
      <c r="W2" s="3">
        <f>IFERROR(VLOOKUP(I2,FuelTypes!$A$2:$G$40,5,FALSE)*M2,0)</f>
        <v>0</v>
      </c>
      <c r="X2" s="3"/>
      <c r="Y2" s="3">
        <f>X2+W2</f>
        <v>0</v>
      </c>
      <c r="Z2" s="3">
        <f t="shared" ref="Z2:Z65" si="6">X2/L2</f>
        <v>0</v>
      </c>
      <c r="AA2" s="3"/>
      <c r="AB2" s="3">
        <f>IFERROR(M2/N2, 0)</f>
        <v>0</v>
      </c>
      <c r="AC2" s="3">
        <f t="shared" ref="AC2:AC65" si="7">IFERROR(M2/N2, 0)</f>
        <v>0</v>
      </c>
    </row>
    <row r="3" spans="1:29" x14ac:dyDescent="0.25">
      <c r="A3" s="6" t="s">
        <v>19</v>
      </c>
      <c r="B3" s="6">
        <v>0.16250000000000001</v>
      </c>
      <c r="C3" s="6">
        <v>0.87156</v>
      </c>
      <c r="D3" s="6">
        <v>0.05</v>
      </c>
      <c r="E3" s="6">
        <v>0.15</v>
      </c>
      <c r="F3" s="6">
        <v>0</v>
      </c>
      <c r="G3" s="6">
        <v>0</v>
      </c>
      <c r="H3" s="6">
        <v>0</v>
      </c>
      <c r="I3" s="6" t="s">
        <v>108</v>
      </c>
      <c r="J3" s="4">
        <f t="shared" si="0"/>
        <v>0.827982</v>
      </c>
      <c r="K3" s="4">
        <f t="shared" ref="K3:K66" si="8">E3*M3</f>
        <v>0.1241973</v>
      </c>
      <c r="L3" s="4">
        <f t="shared" si="1"/>
        <v>0.28669729999999999</v>
      </c>
      <c r="M3" s="4">
        <f>IFERROR(VLOOKUP(I3,FuelTypes!$A$1:$B$32,2,FALSE)*J3,0)</f>
        <v>0.827982</v>
      </c>
      <c r="N3" s="4">
        <f t="shared" ref="N3:N45" si="9">L3+M3</f>
        <v>1.1146792999999999</v>
      </c>
      <c r="O3" s="4">
        <f t="shared" si="2"/>
        <v>0.74279839950378557</v>
      </c>
      <c r="P3" s="4">
        <f>VLOOKUP(I3, FuelTypes!$A$1:$R$12,17,FALSE)*J3</f>
        <v>74.518379999999993</v>
      </c>
      <c r="Q3" s="4">
        <f>VLOOKUP(I3, FuelTypes!$A$1:$R$12,18,FALSE)*J3</f>
        <v>91.078019999999995</v>
      </c>
      <c r="R3" s="4">
        <f t="shared" si="3"/>
        <v>0</v>
      </c>
      <c r="S3" s="4">
        <f t="shared" si="4"/>
        <v>0</v>
      </c>
      <c r="T3" s="4" t="e">
        <f t="shared" si="5"/>
        <v>#DIV/0!</v>
      </c>
      <c r="U3" s="4"/>
      <c r="V3" s="3"/>
      <c r="W3" s="3">
        <f>IFERROR(VLOOKUP(I3,FuelTypes!$A$2:$G$40,5,FALSE)*M3,0)</f>
        <v>38.004373799999996</v>
      </c>
      <c r="X3" s="3"/>
      <c r="Y3" s="3">
        <f t="shared" ref="Y3:Y66" si="10">X3+W3</f>
        <v>38.004373799999996</v>
      </c>
      <c r="Z3" s="3">
        <f t="shared" si="6"/>
        <v>0</v>
      </c>
      <c r="AA3" s="3"/>
      <c r="AB3" s="3">
        <f t="shared" ref="AB3:AB66" si="11">IFERROR(M3/(M3+K3), 0)</f>
        <v>0.86956521739130443</v>
      </c>
      <c r="AC3" s="3">
        <f t="shared" si="7"/>
        <v>0.74279839950378557</v>
      </c>
    </row>
    <row r="4" spans="1:29" x14ac:dyDescent="0.25">
      <c r="A4" s="6" t="s">
        <v>20</v>
      </c>
      <c r="B4" s="6">
        <v>0</v>
      </c>
      <c r="C4" s="6">
        <v>3.8139599999999998</v>
      </c>
      <c r="D4" s="6">
        <v>0.15</v>
      </c>
      <c r="E4" s="6">
        <v>0.15</v>
      </c>
      <c r="F4" s="6">
        <v>0</v>
      </c>
      <c r="G4" s="6">
        <v>0</v>
      </c>
      <c r="H4" s="6">
        <v>0</v>
      </c>
      <c r="I4" s="6" t="s">
        <v>108</v>
      </c>
      <c r="J4" s="4">
        <f t="shared" si="0"/>
        <v>3.2418659999999999</v>
      </c>
      <c r="K4" s="4">
        <f t="shared" si="8"/>
        <v>0.48627989999999999</v>
      </c>
      <c r="L4" s="4">
        <f t="shared" si="1"/>
        <v>0.48627989999999999</v>
      </c>
      <c r="M4" s="4">
        <f>IFERROR(VLOOKUP(I4,FuelTypes!$A$1:$B$32,2,FALSE)*J4,0)</f>
        <v>3.2418659999999999</v>
      </c>
      <c r="N4" s="4">
        <f t="shared" si="9"/>
        <v>3.7281458999999999</v>
      </c>
      <c r="O4" s="4">
        <f t="shared" si="2"/>
        <v>0.86956521739130432</v>
      </c>
      <c r="P4" s="4">
        <f>VLOOKUP(I4, FuelTypes!$A$1:$R$12,17,FALSE)*J4</f>
        <v>291.76794000000001</v>
      </c>
      <c r="Q4" s="4">
        <f>VLOOKUP(I4, FuelTypes!$A$1:$R$12,18,FALSE)*J4</f>
        <v>356.60525999999999</v>
      </c>
      <c r="R4" s="4">
        <f t="shared" si="3"/>
        <v>0</v>
      </c>
      <c r="S4" s="4">
        <f t="shared" si="4"/>
        <v>0</v>
      </c>
      <c r="T4" s="4" t="e">
        <f t="shared" si="5"/>
        <v>#DIV/0!</v>
      </c>
      <c r="U4" s="4" t="e">
        <f t="shared" ref="U4:U67" si="12">M4/T4</f>
        <v>#DIV/0!</v>
      </c>
      <c r="V4" s="3"/>
      <c r="W4" s="3">
        <f>IFERROR(VLOOKUP(I4,FuelTypes!$A$2:$G$40,5,FALSE)*M4,0)</f>
        <v>148.8016494</v>
      </c>
      <c r="X4" s="3"/>
      <c r="Y4" s="3">
        <f t="shared" si="10"/>
        <v>148.8016494</v>
      </c>
      <c r="Z4" s="3">
        <f t="shared" si="6"/>
        <v>0</v>
      </c>
      <c r="AA4" s="3"/>
      <c r="AB4" s="3">
        <f t="shared" si="11"/>
        <v>0.86956521739130432</v>
      </c>
      <c r="AC4" s="3">
        <f t="shared" si="7"/>
        <v>0.86956521739130432</v>
      </c>
    </row>
    <row r="5" spans="1:29" x14ac:dyDescent="0.25">
      <c r="A5" s="6" t="s">
        <v>18</v>
      </c>
      <c r="B5" s="6">
        <v>0</v>
      </c>
      <c r="C5" s="6">
        <v>2.5195400000000001</v>
      </c>
      <c r="D5" s="6">
        <v>0.15</v>
      </c>
      <c r="E5" s="6">
        <v>0.15</v>
      </c>
      <c r="F5" s="6">
        <v>0</v>
      </c>
      <c r="G5" s="6">
        <v>0</v>
      </c>
      <c r="H5" s="6">
        <v>0</v>
      </c>
      <c r="I5" s="6" t="s">
        <v>108</v>
      </c>
      <c r="J5" s="4">
        <f t="shared" si="0"/>
        <v>2.1416089999999999</v>
      </c>
      <c r="K5" s="4">
        <f t="shared" si="8"/>
        <v>0.32124134999999998</v>
      </c>
      <c r="L5" s="4">
        <f t="shared" si="1"/>
        <v>0.32124134999999998</v>
      </c>
      <c r="M5" s="4">
        <f>IFERROR(VLOOKUP(I5,FuelTypes!$A$1:$B$32,2,FALSE)*J5,0)</f>
        <v>2.1416089999999999</v>
      </c>
      <c r="N5" s="4">
        <f t="shared" si="9"/>
        <v>2.4628503500000001</v>
      </c>
      <c r="O5" s="4">
        <f t="shared" si="2"/>
        <v>0.86956521739130432</v>
      </c>
      <c r="P5" s="4">
        <f>VLOOKUP(I5, FuelTypes!$A$1:$R$12,17,FALSE)*J5</f>
        <v>192.74481</v>
      </c>
      <c r="Q5" s="4">
        <f>VLOOKUP(I5, FuelTypes!$A$1:$R$12,18,FALSE)*J5</f>
        <v>235.57699</v>
      </c>
      <c r="R5" s="4">
        <f t="shared" si="3"/>
        <v>0</v>
      </c>
      <c r="S5" s="4">
        <f t="shared" si="4"/>
        <v>0</v>
      </c>
      <c r="T5" s="4" t="e">
        <f t="shared" si="5"/>
        <v>#DIV/0!</v>
      </c>
      <c r="U5" s="4" t="e">
        <f t="shared" si="12"/>
        <v>#DIV/0!</v>
      </c>
      <c r="V5" s="3"/>
      <c r="W5" s="3">
        <f>IFERROR(VLOOKUP(I5,FuelTypes!$A$2:$G$40,5,FALSE)*M5,0)</f>
        <v>98.299853099999993</v>
      </c>
      <c r="X5" s="3"/>
      <c r="Y5" s="3">
        <f t="shared" si="10"/>
        <v>98.299853099999993</v>
      </c>
      <c r="Z5" s="3">
        <f t="shared" si="6"/>
        <v>0</v>
      </c>
      <c r="AA5" s="3"/>
      <c r="AB5" s="3">
        <f t="shared" si="11"/>
        <v>0.86956521739130432</v>
      </c>
      <c r="AC5" s="3">
        <f t="shared" si="7"/>
        <v>0.86956521739130432</v>
      </c>
    </row>
    <row r="6" spans="1:29" x14ac:dyDescent="0.25">
      <c r="A6" s="6" t="s">
        <v>35</v>
      </c>
      <c r="B6" s="6">
        <v>0</v>
      </c>
      <c r="C6" s="6">
        <v>3.8139599999999998</v>
      </c>
      <c r="D6" s="6">
        <v>0.15</v>
      </c>
      <c r="E6" s="6">
        <v>0.15</v>
      </c>
      <c r="F6" s="6">
        <v>0</v>
      </c>
      <c r="G6" s="6">
        <v>0</v>
      </c>
      <c r="H6" s="6">
        <v>0</v>
      </c>
      <c r="I6" s="6" t="s">
        <v>108</v>
      </c>
      <c r="J6" s="4">
        <f t="shared" si="0"/>
        <v>3.2418659999999999</v>
      </c>
      <c r="K6" s="4">
        <f t="shared" si="8"/>
        <v>0.48627989999999999</v>
      </c>
      <c r="L6" s="4">
        <f t="shared" si="1"/>
        <v>0.48627989999999999</v>
      </c>
      <c r="M6" s="4">
        <f>IFERROR(VLOOKUP(I6,FuelTypes!$A$1:$B$32,2,FALSE)*J6,0)</f>
        <v>3.2418659999999999</v>
      </c>
      <c r="N6" s="4">
        <f t="shared" si="9"/>
        <v>3.7281458999999999</v>
      </c>
      <c r="O6" s="4">
        <f t="shared" si="2"/>
        <v>0.86956521739130432</v>
      </c>
      <c r="P6" s="4">
        <f>VLOOKUP(I6, FuelTypes!$A$1:$R$12,17,FALSE)*J6</f>
        <v>291.76794000000001</v>
      </c>
      <c r="Q6" s="4">
        <f>VLOOKUP(I6, FuelTypes!$A$1:$R$12,18,FALSE)*J6</f>
        <v>356.60525999999999</v>
      </c>
      <c r="R6" s="4">
        <f t="shared" si="3"/>
        <v>0</v>
      </c>
      <c r="S6" s="4">
        <f t="shared" si="4"/>
        <v>0</v>
      </c>
      <c r="T6" s="4" t="e">
        <f t="shared" si="5"/>
        <v>#DIV/0!</v>
      </c>
      <c r="U6" s="4" t="e">
        <f t="shared" si="12"/>
        <v>#DIV/0!</v>
      </c>
      <c r="V6" s="3"/>
      <c r="W6" s="3">
        <f>IFERROR(VLOOKUP(I6,FuelTypes!$A$2:$G$40,5,FALSE)*M6,0)</f>
        <v>148.8016494</v>
      </c>
      <c r="X6" s="3"/>
      <c r="Y6" s="3">
        <f t="shared" si="10"/>
        <v>148.8016494</v>
      </c>
      <c r="Z6" s="3">
        <f t="shared" si="6"/>
        <v>0</v>
      </c>
      <c r="AA6" s="3"/>
      <c r="AB6" s="3">
        <f t="shared" si="11"/>
        <v>0.86956521739130432</v>
      </c>
      <c r="AC6" s="3">
        <f t="shared" si="7"/>
        <v>0.86956521739130432</v>
      </c>
    </row>
    <row r="7" spans="1:29" x14ac:dyDescent="0.25">
      <c r="A7" s="6" t="s">
        <v>11</v>
      </c>
      <c r="B7" s="6">
        <v>0.3</v>
      </c>
      <c r="C7" s="6">
        <v>0</v>
      </c>
      <c r="D7" s="6">
        <v>0.15</v>
      </c>
      <c r="E7" s="6">
        <v>0.15</v>
      </c>
      <c r="F7" s="6">
        <v>350</v>
      </c>
      <c r="G7" s="6">
        <v>40</v>
      </c>
      <c r="H7" s="6">
        <v>200</v>
      </c>
      <c r="I7" s="6">
        <v>0</v>
      </c>
      <c r="J7" s="4">
        <f t="shared" si="0"/>
        <v>0</v>
      </c>
      <c r="K7" s="4">
        <f t="shared" si="8"/>
        <v>0</v>
      </c>
      <c r="L7" s="4">
        <f t="shared" si="1"/>
        <v>0.3</v>
      </c>
      <c r="M7" s="4">
        <f>IFERROR(VLOOKUP(I7,FuelTypes!$A$1:$B$32,2,FALSE)*J7,0)</f>
        <v>0</v>
      </c>
      <c r="N7" s="4">
        <f t="shared" si="9"/>
        <v>0.3</v>
      </c>
      <c r="O7" s="4">
        <f t="shared" si="2"/>
        <v>0</v>
      </c>
      <c r="P7" s="4" t="e">
        <f>VLOOKUP(I7, FuelTypes!$A$1:$R$12,17,FALSE)*J7</f>
        <v>#N/A</v>
      </c>
      <c r="Q7" s="4" t="e">
        <f>VLOOKUP(I7, FuelTypes!$A$1:$R$12,18,FALSE)*J7</f>
        <v>#N/A</v>
      </c>
      <c r="R7" s="4">
        <f t="shared" si="3"/>
        <v>13.333333333333334</v>
      </c>
      <c r="S7" s="4">
        <f t="shared" si="4"/>
        <v>1.5</v>
      </c>
      <c r="T7" s="4">
        <f t="shared" si="5"/>
        <v>1.1649919906800641E-2</v>
      </c>
      <c r="U7" s="4">
        <f t="shared" si="12"/>
        <v>0</v>
      </c>
      <c r="V7" s="3"/>
      <c r="W7" s="3">
        <f>IFERROR(VLOOKUP(I7,FuelTypes!$A$2:$G$40,5,FALSE)*M7,0)</f>
        <v>0</v>
      </c>
      <c r="X7" s="3"/>
      <c r="Y7" s="3">
        <f t="shared" si="10"/>
        <v>0</v>
      </c>
      <c r="Z7" s="3">
        <f t="shared" si="6"/>
        <v>0</v>
      </c>
      <c r="AA7" s="3"/>
      <c r="AB7" s="3">
        <f t="shared" si="11"/>
        <v>0</v>
      </c>
      <c r="AC7" s="3">
        <f t="shared" si="7"/>
        <v>0</v>
      </c>
    </row>
    <row r="8" spans="1:29" x14ac:dyDescent="0.25">
      <c r="A8" s="6" t="s">
        <v>12</v>
      </c>
      <c r="B8" s="6">
        <v>1.6</v>
      </c>
      <c r="C8" s="6">
        <v>0</v>
      </c>
      <c r="D8" s="6">
        <v>0.15</v>
      </c>
      <c r="E8" s="6">
        <v>0.15</v>
      </c>
      <c r="F8" s="6">
        <v>350</v>
      </c>
      <c r="G8" s="6">
        <v>160</v>
      </c>
      <c r="H8" s="6">
        <v>150</v>
      </c>
      <c r="I8" s="6">
        <v>0</v>
      </c>
      <c r="J8" s="4">
        <f t="shared" si="0"/>
        <v>0</v>
      </c>
      <c r="K8" s="4">
        <f t="shared" si="8"/>
        <v>0</v>
      </c>
      <c r="L8" s="4">
        <f t="shared" si="1"/>
        <v>1.6</v>
      </c>
      <c r="M8" s="4">
        <f>IFERROR(VLOOKUP(I8,FuelTypes!$A$1:$B$32,2,FALSE)*J8,0)</f>
        <v>0</v>
      </c>
      <c r="N8" s="4">
        <f t="shared" si="9"/>
        <v>1.6</v>
      </c>
      <c r="O8" s="4">
        <f t="shared" si="2"/>
        <v>0</v>
      </c>
      <c r="P8" s="4" t="e">
        <f>VLOOKUP(I8, FuelTypes!$A$1:$R$12,17,FALSE)*J8</f>
        <v>#N/A</v>
      </c>
      <c r="Q8" s="4" t="e">
        <f>VLOOKUP(I8, FuelTypes!$A$1:$R$12,18,FALSE)*J8</f>
        <v>#N/A</v>
      </c>
      <c r="R8" s="4">
        <f t="shared" si="3"/>
        <v>10</v>
      </c>
      <c r="S8" s="4">
        <f t="shared" si="4"/>
        <v>1.5</v>
      </c>
      <c r="T8" s="4">
        <f t="shared" si="5"/>
        <v>4.6599679627202566E-2</v>
      </c>
      <c r="U8" s="4">
        <f t="shared" si="12"/>
        <v>0</v>
      </c>
      <c r="V8" s="3"/>
      <c r="W8" s="3">
        <f>IFERROR(VLOOKUP(I8,FuelTypes!$A$2:$G$40,5,FALSE)*M8,0)</f>
        <v>0</v>
      </c>
      <c r="X8" s="3"/>
      <c r="Y8" s="3">
        <f t="shared" si="10"/>
        <v>0</v>
      </c>
      <c r="Z8" s="3">
        <f t="shared" si="6"/>
        <v>0</v>
      </c>
      <c r="AA8" s="3"/>
      <c r="AB8" s="3">
        <f t="shared" si="11"/>
        <v>0</v>
      </c>
      <c r="AC8" s="3">
        <f t="shared" si="7"/>
        <v>0</v>
      </c>
    </row>
    <row r="9" spans="1:29" x14ac:dyDescent="0.25">
      <c r="A9" s="6" t="s">
        <v>43</v>
      </c>
      <c r="B9" s="6">
        <v>0</v>
      </c>
      <c r="C9" s="6">
        <v>0</v>
      </c>
      <c r="D9" s="6">
        <v>0.15</v>
      </c>
      <c r="E9" s="6">
        <v>0.15</v>
      </c>
      <c r="F9" s="6">
        <v>350</v>
      </c>
      <c r="G9" s="6">
        <v>160</v>
      </c>
      <c r="H9" s="6">
        <v>200</v>
      </c>
      <c r="I9" s="6">
        <v>0</v>
      </c>
      <c r="J9" s="4">
        <f t="shared" si="0"/>
        <v>0</v>
      </c>
      <c r="K9" s="4">
        <f t="shared" si="8"/>
        <v>0</v>
      </c>
      <c r="L9" s="4">
        <f t="shared" si="1"/>
        <v>0</v>
      </c>
      <c r="M9" s="4">
        <f>IFERROR(VLOOKUP(I9,FuelTypes!$A$1:$B$32,2,FALSE)*J9,0)</f>
        <v>0</v>
      </c>
      <c r="N9" s="4">
        <f t="shared" si="9"/>
        <v>0</v>
      </c>
      <c r="O9" s="4">
        <f t="shared" si="2"/>
        <v>0</v>
      </c>
      <c r="P9" s="4" t="e">
        <f>VLOOKUP(I9, FuelTypes!$A$1:$R$12,17,FALSE)*J9</f>
        <v>#N/A</v>
      </c>
      <c r="Q9" s="4" t="e">
        <f>VLOOKUP(I9, FuelTypes!$A$1:$R$12,18,FALSE)*J9</f>
        <v>#N/A</v>
      </c>
      <c r="R9" s="4">
        <f t="shared" si="3"/>
        <v>0</v>
      </c>
      <c r="S9" s="4">
        <f t="shared" si="4"/>
        <v>0</v>
      </c>
      <c r="T9" s="4">
        <f t="shared" si="5"/>
        <v>4.6599679627202566E-2</v>
      </c>
      <c r="U9" s="4">
        <f t="shared" si="12"/>
        <v>0</v>
      </c>
      <c r="V9" s="3"/>
      <c r="W9" s="3">
        <f>IFERROR(VLOOKUP(I9,FuelTypes!$A$2:$G$40,5,FALSE)*M9,0)</f>
        <v>0</v>
      </c>
      <c r="X9" s="3"/>
      <c r="Y9" s="3">
        <f t="shared" si="10"/>
        <v>0</v>
      </c>
      <c r="Z9" s="3" t="e">
        <f t="shared" si="6"/>
        <v>#DIV/0!</v>
      </c>
      <c r="AA9" s="3"/>
      <c r="AB9" s="3">
        <f t="shared" si="11"/>
        <v>0</v>
      </c>
      <c r="AC9" s="3">
        <f t="shared" si="7"/>
        <v>0</v>
      </c>
    </row>
    <row r="10" spans="1:29" x14ac:dyDescent="0.25">
      <c r="A10" s="6" t="s">
        <v>44</v>
      </c>
      <c r="B10" s="6">
        <v>0</v>
      </c>
      <c r="C10" s="6">
        <v>0</v>
      </c>
      <c r="D10" s="6">
        <v>0.15</v>
      </c>
      <c r="E10" s="6">
        <v>0.15</v>
      </c>
      <c r="F10" s="6">
        <v>0</v>
      </c>
      <c r="G10" s="6">
        <v>0</v>
      </c>
      <c r="H10" s="6">
        <v>0</v>
      </c>
      <c r="I10" s="6">
        <v>0</v>
      </c>
      <c r="J10" s="4">
        <f t="shared" si="0"/>
        <v>0</v>
      </c>
      <c r="K10" s="4">
        <f t="shared" si="8"/>
        <v>0</v>
      </c>
      <c r="L10" s="4">
        <f t="shared" si="1"/>
        <v>0</v>
      </c>
      <c r="M10" s="4">
        <f>IFERROR(VLOOKUP(I10,FuelTypes!$A$1:$B$32,2,FALSE)*J10,0)</f>
        <v>0</v>
      </c>
      <c r="N10" s="4">
        <f t="shared" si="9"/>
        <v>0</v>
      </c>
      <c r="O10" s="4">
        <f t="shared" si="2"/>
        <v>0</v>
      </c>
      <c r="P10" s="4" t="e">
        <f>VLOOKUP(I10, FuelTypes!$A$1:$R$12,17,FALSE)*J10</f>
        <v>#N/A</v>
      </c>
      <c r="Q10" s="4" t="e">
        <f>VLOOKUP(I10, FuelTypes!$A$1:$R$12,18,FALSE)*J10</f>
        <v>#N/A</v>
      </c>
      <c r="R10" s="4">
        <f t="shared" si="3"/>
        <v>0</v>
      </c>
      <c r="S10" s="4">
        <f t="shared" si="4"/>
        <v>0</v>
      </c>
      <c r="T10" s="4" t="e">
        <f t="shared" si="5"/>
        <v>#DIV/0!</v>
      </c>
      <c r="U10" s="4" t="e">
        <f t="shared" si="12"/>
        <v>#DIV/0!</v>
      </c>
      <c r="V10" s="3"/>
      <c r="W10" s="3">
        <f>IFERROR(VLOOKUP(I10,FuelTypes!$A$2:$G$40,5,FALSE)*M10,0)</f>
        <v>0</v>
      </c>
      <c r="X10" s="3"/>
      <c r="Y10" s="3">
        <f t="shared" si="10"/>
        <v>0</v>
      </c>
      <c r="Z10" s="3" t="e">
        <f t="shared" si="6"/>
        <v>#DIV/0!</v>
      </c>
      <c r="AA10" s="3"/>
      <c r="AB10" s="3">
        <f t="shared" si="11"/>
        <v>0</v>
      </c>
      <c r="AC10" s="3">
        <f t="shared" si="7"/>
        <v>0</v>
      </c>
    </row>
    <row r="11" spans="1:29" x14ac:dyDescent="0.25">
      <c r="A11" s="6" t="s">
        <v>21</v>
      </c>
      <c r="B11" s="6">
        <v>0.2</v>
      </c>
      <c r="C11" s="6">
        <v>0</v>
      </c>
      <c r="D11" s="6">
        <v>0.15</v>
      </c>
      <c r="E11" s="6">
        <v>0.15</v>
      </c>
      <c r="F11" s="6">
        <v>0</v>
      </c>
      <c r="G11" s="6">
        <v>0</v>
      </c>
      <c r="H11" s="6">
        <v>0</v>
      </c>
      <c r="I11" s="6">
        <v>0</v>
      </c>
      <c r="J11" s="4">
        <f t="shared" si="0"/>
        <v>0</v>
      </c>
      <c r="K11" s="4">
        <f t="shared" si="8"/>
        <v>0</v>
      </c>
      <c r="L11" s="4">
        <f t="shared" si="1"/>
        <v>0.2</v>
      </c>
      <c r="M11" s="4">
        <f>IFERROR(VLOOKUP(I11,FuelTypes!$A$1:$B$32,2,FALSE)*J11,0)</f>
        <v>0</v>
      </c>
      <c r="N11" s="4">
        <f t="shared" si="9"/>
        <v>0.2</v>
      </c>
      <c r="O11" s="4">
        <f t="shared" si="2"/>
        <v>0</v>
      </c>
      <c r="P11" s="4" t="e">
        <f>VLOOKUP(I11, FuelTypes!$A$1:$R$12,17,FALSE)*J11</f>
        <v>#N/A</v>
      </c>
      <c r="Q11" s="4" t="e">
        <f>VLOOKUP(I11, FuelTypes!$A$1:$R$12,18,FALSE)*J11</f>
        <v>#N/A</v>
      </c>
      <c r="R11" s="4">
        <f t="shared" si="3"/>
        <v>0</v>
      </c>
      <c r="S11" s="4">
        <f t="shared" si="4"/>
        <v>0</v>
      </c>
      <c r="T11" s="4" t="e">
        <f t="shared" si="5"/>
        <v>#DIV/0!</v>
      </c>
      <c r="U11" s="4" t="e">
        <f t="shared" si="12"/>
        <v>#DIV/0!</v>
      </c>
      <c r="V11" s="3"/>
      <c r="W11" s="3">
        <f>IFERROR(VLOOKUP(I11,FuelTypes!$A$2:$G$40,5,FALSE)*M11,0)</f>
        <v>0</v>
      </c>
      <c r="X11" s="3"/>
      <c r="Y11" s="3">
        <f t="shared" si="10"/>
        <v>0</v>
      </c>
      <c r="Z11" s="3">
        <f t="shared" si="6"/>
        <v>0</v>
      </c>
      <c r="AA11" s="3"/>
      <c r="AB11" s="3">
        <f t="shared" si="11"/>
        <v>0</v>
      </c>
      <c r="AC11" s="3">
        <f t="shared" si="7"/>
        <v>0</v>
      </c>
    </row>
    <row r="12" spans="1:29" x14ac:dyDescent="0.25">
      <c r="A12" s="6" t="s">
        <v>45</v>
      </c>
      <c r="B12" s="6">
        <v>0.4</v>
      </c>
      <c r="C12" s="6">
        <v>0</v>
      </c>
      <c r="D12" s="6">
        <v>0.15</v>
      </c>
      <c r="E12" s="6">
        <v>0.15</v>
      </c>
      <c r="F12" s="6">
        <v>0</v>
      </c>
      <c r="G12" s="6">
        <v>0</v>
      </c>
      <c r="H12" s="6">
        <v>0</v>
      </c>
      <c r="I12" s="6">
        <v>0</v>
      </c>
      <c r="J12" s="4">
        <f t="shared" si="0"/>
        <v>0</v>
      </c>
      <c r="K12" s="4">
        <f t="shared" si="8"/>
        <v>0</v>
      </c>
      <c r="L12" s="4">
        <f t="shared" si="1"/>
        <v>0.4</v>
      </c>
      <c r="M12" s="4">
        <f>IFERROR(VLOOKUP(I12,FuelTypes!$A$1:$B$32,2,FALSE)*J12,0)</f>
        <v>0</v>
      </c>
      <c r="N12" s="4">
        <f t="shared" si="9"/>
        <v>0.4</v>
      </c>
      <c r="O12" s="4">
        <f t="shared" si="2"/>
        <v>0</v>
      </c>
      <c r="P12" s="4" t="e">
        <f>VLOOKUP(I12, FuelTypes!$A$1:$R$12,17,FALSE)*J12</f>
        <v>#N/A</v>
      </c>
      <c r="Q12" s="4" t="e">
        <f>VLOOKUP(I12, FuelTypes!$A$1:$R$12,18,FALSE)*J12</f>
        <v>#N/A</v>
      </c>
      <c r="R12" s="4">
        <f t="shared" si="3"/>
        <v>0</v>
      </c>
      <c r="S12" s="4">
        <f t="shared" si="4"/>
        <v>0</v>
      </c>
      <c r="T12" s="4" t="e">
        <f t="shared" si="5"/>
        <v>#DIV/0!</v>
      </c>
      <c r="U12" s="4" t="e">
        <f t="shared" si="12"/>
        <v>#DIV/0!</v>
      </c>
      <c r="V12" s="3"/>
      <c r="W12" s="3">
        <f>IFERROR(VLOOKUP(I12,FuelTypes!$A$2:$G$40,5,FALSE)*M12,0)</f>
        <v>0</v>
      </c>
      <c r="X12" s="3"/>
      <c r="Y12" s="3">
        <f t="shared" si="10"/>
        <v>0</v>
      </c>
      <c r="Z12" s="3">
        <f t="shared" si="6"/>
        <v>0</v>
      </c>
      <c r="AA12" s="3"/>
      <c r="AB12" s="3">
        <f t="shared" si="11"/>
        <v>0</v>
      </c>
      <c r="AC12" s="3">
        <f t="shared" si="7"/>
        <v>0</v>
      </c>
    </row>
    <row r="13" spans="1:29" x14ac:dyDescent="0.25">
      <c r="A13" s="6" t="s">
        <v>46</v>
      </c>
      <c r="B13" s="6">
        <v>0</v>
      </c>
      <c r="C13" s="6">
        <v>0.2</v>
      </c>
      <c r="D13" s="6">
        <v>0.15</v>
      </c>
      <c r="E13" s="6">
        <v>0.15</v>
      </c>
      <c r="F13" s="6">
        <v>0</v>
      </c>
      <c r="G13" s="6">
        <v>0</v>
      </c>
      <c r="H13" s="6">
        <v>0</v>
      </c>
      <c r="I13" s="6" t="s">
        <v>109</v>
      </c>
      <c r="J13" s="4">
        <f t="shared" si="0"/>
        <v>0.17</v>
      </c>
      <c r="K13" s="4">
        <f t="shared" si="8"/>
        <v>2.0400000000000001E-2</v>
      </c>
      <c r="L13" s="4">
        <f t="shared" si="1"/>
        <v>2.0400000000000001E-2</v>
      </c>
      <c r="M13" s="4">
        <f>IFERROR(VLOOKUP(I13,FuelTypes!$A$1:$B$32,2,FALSE)*J13,0)</f>
        <v>0.13600000000000001</v>
      </c>
      <c r="N13" s="4">
        <f t="shared" si="9"/>
        <v>0.15640000000000001</v>
      </c>
      <c r="O13" s="4">
        <f t="shared" si="2"/>
        <v>0.86956521739130432</v>
      </c>
      <c r="P13" s="4">
        <f>VLOOKUP(I13, FuelTypes!$A$1:$R$12,17,FALSE)*J13</f>
        <v>34</v>
      </c>
      <c r="Q13" s="4">
        <f>VLOOKUP(I13, FuelTypes!$A$1:$R$12,18,FALSE)*J13</f>
        <v>0</v>
      </c>
      <c r="R13" s="4">
        <f t="shared" si="3"/>
        <v>0</v>
      </c>
      <c r="S13" s="4">
        <f t="shared" si="4"/>
        <v>0</v>
      </c>
      <c r="T13" s="4" t="e">
        <f t="shared" si="5"/>
        <v>#DIV/0!</v>
      </c>
      <c r="U13" s="4" t="e">
        <f t="shared" si="12"/>
        <v>#DIV/0!</v>
      </c>
      <c r="V13" s="3"/>
      <c r="W13" s="3">
        <f>IFERROR(VLOOKUP(I13,FuelTypes!$A$2:$G$40,5,FALSE)*M13,0)</f>
        <v>32.64</v>
      </c>
      <c r="X13" s="3"/>
      <c r="Y13" s="3">
        <f t="shared" si="10"/>
        <v>32.64</v>
      </c>
      <c r="Z13" s="3">
        <f t="shared" si="6"/>
        <v>0</v>
      </c>
      <c r="AA13" s="3"/>
      <c r="AB13" s="3">
        <f t="shared" si="11"/>
        <v>0.86956521739130432</v>
      </c>
      <c r="AC13" s="3">
        <f t="shared" si="7"/>
        <v>0.86956521739130432</v>
      </c>
    </row>
    <row r="14" spans="1:29" x14ac:dyDescent="0.25">
      <c r="A14" s="6" t="s">
        <v>47</v>
      </c>
      <c r="B14" s="6">
        <v>0.1</v>
      </c>
      <c r="C14" s="6">
        <v>0</v>
      </c>
      <c r="D14" s="6">
        <v>0.15</v>
      </c>
      <c r="E14" s="6">
        <v>0.15</v>
      </c>
      <c r="F14" s="6">
        <v>0</v>
      </c>
      <c r="G14" s="6">
        <v>0</v>
      </c>
      <c r="H14" s="6">
        <v>0</v>
      </c>
      <c r="I14" s="6">
        <v>0</v>
      </c>
      <c r="J14" s="4">
        <f t="shared" si="0"/>
        <v>0</v>
      </c>
      <c r="K14" s="4">
        <f t="shared" si="8"/>
        <v>0</v>
      </c>
      <c r="L14" s="4">
        <f t="shared" si="1"/>
        <v>0.1</v>
      </c>
      <c r="M14" s="4">
        <f>IFERROR(VLOOKUP(I14,FuelTypes!$A$1:$B$32,2,FALSE)*J14,0)</f>
        <v>0</v>
      </c>
      <c r="N14" s="4">
        <f t="shared" si="9"/>
        <v>0.1</v>
      </c>
      <c r="O14" s="4">
        <f t="shared" si="2"/>
        <v>0</v>
      </c>
      <c r="P14" s="4" t="e">
        <f>VLOOKUP(I14, FuelTypes!$A$1:$R$12,17,FALSE)*J14</f>
        <v>#N/A</v>
      </c>
      <c r="Q14" s="4" t="e">
        <f>VLOOKUP(I14, FuelTypes!$A$1:$R$12,18,FALSE)*J14</f>
        <v>#N/A</v>
      </c>
      <c r="R14" s="4">
        <f t="shared" si="3"/>
        <v>0</v>
      </c>
      <c r="S14" s="4">
        <f t="shared" si="4"/>
        <v>0</v>
      </c>
      <c r="T14" s="4" t="e">
        <f t="shared" si="5"/>
        <v>#DIV/0!</v>
      </c>
      <c r="U14" s="4" t="e">
        <f t="shared" si="12"/>
        <v>#DIV/0!</v>
      </c>
      <c r="V14" s="3"/>
      <c r="W14" s="3">
        <f>IFERROR(VLOOKUP(I14,FuelTypes!$A$2:$G$40,5,FALSE)*M14,0)</f>
        <v>0</v>
      </c>
      <c r="X14" s="3"/>
      <c r="Y14" s="3">
        <f t="shared" si="10"/>
        <v>0</v>
      </c>
      <c r="Z14" s="3">
        <f t="shared" si="6"/>
        <v>0</v>
      </c>
      <c r="AA14" s="3"/>
      <c r="AB14" s="3">
        <f t="shared" si="11"/>
        <v>0</v>
      </c>
      <c r="AC14" s="3">
        <f t="shared" si="7"/>
        <v>0</v>
      </c>
    </row>
    <row r="15" spans="1:29" x14ac:dyDescent="0.25">
      <c r="A15" s="6" t="s">
        <v>8</v>
      </c>
      <c r="B15" s="6">
        <v>0.05</v>
      </c>
      <c r="C15" s="6">
        <v>0.64720999999999995</v>
      </c>
      <c r="D15" s="6">
        <v>0.15</v>
      </c>
      <c r="E15" s="6">
        <v>0.15</v>
      </c>
      <c r="F15" s="6">
        <v>0</v>
      </c>
      <c r="G15" s="6">
        <v>0</v>
      </c>
      <c r="H15" s="6">
        <v>0</v>
      </c>
      <c r="I15" s="6" t="s">
        <v>108</v>
      </c>
      <c r="J15" s="4">
        <f t="shared" si="0"/>
        <v>0.55012850000000002</v>
      </c>
      <c r="K15" s="4">
        <f t="shared" si="8"/>
        <v>8.2519275000000003E-2</v>
      </c>
      <c r="L15" s="4">
        <f t="shared" si="1"/>
        <v>0.13251927499999999</v>
      </c>
      <c r="M15" s="4">
        <f>IFERROR(VLOOKUP(I15,FuelTypes!$A$1:$B$32,2,FALSE)*J15,0)</f>
        <v>0.55012850000000002</v>
      </c>
      <c r="N15" s="4">
        <f t="shared" si="9"/>
        <v>0.68264777499999996</v>
      </c>
      <c r="O15" s="4">
        <f t="shared" si="2"/>
        <v>0.80587459616344614</v>
      </c>
      <c r="P15" s="4">
        <f>VLOOKUP(I15, FuelTypes!$A$1:$R$12,17,FALSE)*J15</f>
        <v>49.511565000000004</v>
      </c>
      <c r="Q15" s="4">
        <f>VLOOKUP(I15, FuelTypes!$A$1:$R$12,18,FALSE)*J15</f>
        <v>60.514135000000003</v>
      </c>
      <c r="R15" s="4">
        <f t="shared" si="3"/>
        <v>0</v>
      </c>
      <c r="S15" s="4">
        <f t="shared" si="4"/>
        <v>0</v>
      </c>
      <c r="T15" s="4" t="e">
        <f t="shared" si="5"/>
        <v>#DIV/0!</v>
      </c>
      <c r="U15" s="4" t="e">
        <f t="shared" si="12"/>
        <v>#DIV/0!</v>
      </c>
      <c r="V15" s="3"/>
      <c r="W15" s="3">
        <f>IFERROR(VLOOKUP(I15,FuelTypes!$A$2:$G$40,5,FALSE)*M15,0)</f>
        <v>25.250898150000001</v>
      </c>
      <c r="X15" s="3"/>
      <c r="Y15" s="3">
        <f t="shared" si="10"/>
        <v>25.250898150000001</v>
      </c>
      <c r="Z15" s="3">
        <f t="shared" si="6"/>
        <v>0</v>
      </c>
      <c r="AA15" s="3"/>
      <c r="AB15" s="3">
        <f t="shared" si="11"/>
        <v>0.86956521739130432</v>
      </c>
      <c r="AC15" s="3">
        <f t="shared" si="7"/>
        <v>0.80587459616344614</v>
      </c>
    </row>
    <row r="16" spans="1:29" x14ac:dyDescent="0.25">
      <c r="A16" s="6" t="s">
        <v>78</v>
      </c>
      <c r="B16" s="6">
        <v>0.1</v>
      </c>
      <c r="C16" s="6">
        <v>0</v>
      </c>
      <c r="D16" s="6">
        <v>0.15</v>
      </c>
      <c r="E16" s="6">
        <v>0.15</v>
      </c>
      <c r="F16" s="6">
        <v>0</v>
      </c>
      <c r="G16" s="6">
        <v>0</v>
      </c>
      <c r="H16" s="6">
        <v>0</v>
      </c>
      <c r="I16" s="6">
        <v>0</v>
      </c>
      <c r="J16" s="4">
        <f t="shared" si="0"/>
        <v>0</v>
      </c>
      <c r="K16" s="4">
        <f t="shared" si="8"/>
        <v>0</v>
      </c>
      <c r="L16" s="4">
        <f t="shared" si="1"/>
        <v>0.1</v>
      </c>
      <c r="M16" s="4">
        <f>IFERROR(VLOOKUP(I16,FuelTypes!$A$1:$B$32,2,FALSE)*J16,0)</f>
        <v>0</v>
      </c>
      <c r="N16" s="4">
        <f t="shared" si="9"/>
        <v>0.1</v>
      </c>
      <c r="O16" s="4">
        <f t="shared" si="2"/>
        <v>0</v>
      </c>
      <c r="P16" s="4" t="e">
        <f>VLOOKUP(I16, FuelTypes!$A$1:$R$12,17,FALSE)*J16</f>
        <v>#N/A</v>
      </c>
      <c r="Q16" s="4" t="e">
        <f>VLOOKUP(I16, FuelTypes!$A$1:$R$12,18,FALSE)*J16</f>
        <v>#N/A</v>
      </c>
      <c r="R16" s="4">
        <f t="shared" si="3"/>
        <v>0</v>
      </c>
      <c r="S16" s="4">
        <f t="shared" si="4"/>
        <v>0</v>
      </c>
      <c r="T16" s="4" t="e">
        <f t="shared" si="5"/>
        <v>#DIV/0!</v>
      </c>
      <c r="U16" s="4" t="e">
        <f t="shared" si="12"/>
        <v>#DIV/0!</v>
      </c>
      <c r="V16" s="3"/>
      <c r="W16" s="3">
        <f>IFERROR(VLOOKUP(I16,FuelTypes!$A$2:$G$40,5,FALSE)*M16,0)</f>
        <v>0</v>
      </c>
      <c r="X16" s="3"/>
      <c r="Y16" s="3">
        <f t="shared" si="10"/>
        <v>0</v>
      </c>
      <c r="Z16" s="3">
        <f t="shared" si="6"/>
        <v>0</v>
      </c>
      <c r="AA16" s="3"/>
      <c r="AB16" s="3">
        <f t="shared" si="11"/>
        <v>0</v>
      </c>
      <c r="AC16" s="3">
        <f t="shared" si="7"/>
        <v>0</v>
      </c>
    </row>
    <row r="17" spans="1:29" x14ac:dyDescent="0.25">
      <c r="A17" s="6"/>
      <c r="B17" s="6"/>
      <c r="C17" s="6"/>
      <c r="D17" s="6">
        <v>0.15</v>
      </c>
      <c r="E17" s="6">
        <v>0.15</v>
      </c>
      <c r="F17" s="6"/>
      <c r="G17" s="6"/>
      <c r="H17" s="6"/>
      <c r="I17" s="6"/>
      <c r="J17" s="4">
        <f t="shared" si="0"/>
        <v>0</v>
      </c>
      <c r="K17" s="4">
        <f t="shared" si="8"/>
        <v>0</v>
      </c>
      <c r="L17" s="4">
        <f t="shared" si="1"/>
        <v>0</v>
      </c>
      <c r="M17" s="4">
        <f>IFERROR(VLOOKUP(I17,FuelTypes!$A$1:$B$32,2,FALSE)*J17,0)</f>
        <v>0</v>
      </c>
      <c r="N17" s="4">
        <f t="shared" si="9"/>
        <v>0</v>
      </c>
      <c r="O17" s="4">
        <f t="shared" si="2"/>
        <v>0</v>
      </c>
      <c r="P17" s="4" t="e">
        <f>VLOOKUP(I17, FuelTypes!$A$1:$R$12,17,FALSE)*J17</f>
        <v>#N/A</v>
      </c>
      <c r="Q17" s="4" t="e">
        <f>VLOOKUP(I17, FuelTypes!$A$1:$R$12,18,FALSE)*J17</f>
        <v>#N/A</v>
      </c>
      <c r="R17" s="4">
        <f t="shared" si="3"/>
        <v>0</v>
      </c>
      <c r="S17" s="4">
        <f t="shared" si="4"/>
        <v>0</v>
      </c>
      <c r="T17" s="4" t="e">
        <f t="shared" si="5"/>
        <v>#DIV/0!</v>
      </c>
      <c r="U17" s="4" t="e">
        <f t="shared" si="12"/>
        <v>#DIV/0!</v>
      </c>
      <c r="V17" s="3"/>
      <c r="W17" s="3">
        <f>IFERROR(VLOOKUP(I17,FuelTypes!$A$2:$G$40,5,FALSE)*M17,0)</f>
        <v>0</v>
      </c>
      <c r="X17" s="3"/>
      <c r="Y17" s="3">
        <f t="shared" si="10"/>
        <v>0</v>
      </c>
      <c r="Z17" s="3" t="e">
        <f t="shared" si="6"/>
        <v>#DIV/0!</v>
      </c>
      <c r="AA17" s="3"/>
      <c r="AB17" s="3">
        <f t="shared" si="11"/>
        <v>0</v>
      </c>
      <c r="AC17" s="3">
        <f t="shared" si="7"/>
        <v>0</v>
      </c>
    </row>
    <row r="18" spans="1:29" x14ac:dyDescent="0.25">
      <c r="A18" s="6"/>
      <c r="B18" s="6"/>
      <c r="C18" s="6"/>
      <c r="D18" s="6">
        <v>0.15</v>
      </c>
      <c r="E18" s="6">
        <v>0.15</v>
      </c>
      <c r="F18" s="6"/>
      <c r="G18" s="6"/>
      <c r="H18" s="6"/>
      <c r="I18" s="6"/>
      <c r="J18" s="4">
        <f t="shared" si="0"/>
        <v>0</v>
      </c>
      <c r="K18" s="4">
        <f t="shared" si="8"/>
        <v>0</v>
      </c>
      <c r="L18" s="4">
        <f t="shared" si="1"/>
        <v>0</v>
      </c>
      <c r="M18" s="4">
        <f>IFERROR(VLOOKUP(I18,FuelTypes!$A$1:$B$32,2,FALSE)*J18,0)</f>
        <v>0</v>
      </c>
      <c r="N18" s="4">
        <f t="shared" si="9"/>
        <v>0</v>
      </c>
      <c r="O18" s="4">
        <f t="shared" si="2"/>
        <v>0</v>
      </c>
      <c r="P18" s="4" t="e">
        <f>VLOOKUP(I18, FuelTypes!$A$1:$R$12,17,FALSE)*J18</f>
        <v>#N/A</v>
      </c>
      <c r="Q18" s="4" t="e">
        <f>VLOOKUP(I18, FuelTypes!$A$1:$R$12,18,FALSE)*J18</f>
        <v>#N/A</v>
      </c>
      <c r="R18" s="4">
        <f t="shared" si="3"/>
        <v>0</v>
      </c>
      <c r="S18" s="4">
        <f t="shared" si="4"/>
        <v>0</v>
      </c>
      <c r="T18" s="4" t="e">
        <f t="shared" si="5"/>
        <v>#DIV/0!</v>
      </c>
      <c r="U18" s="4" t="e">
        <f t="shared" si="12"/>
        <v>#DIV/0!</v>
      </c>
      <c r="V18" s="3"/>
      <c r="W18" s="3">
        <f>IFERROR(VLOOKUP(I18,FuelTypes!$A$2:$G$40,5,FALSE)*M18,0)</f>
        <v>0</v>
      </c>
      <c r="X18" s="3"/>
      <c r="Y18" s="3">
        <f t="shared" si="10"/>
        <v>0</v>
      </c>
      <c r="Z18" s="3" t="e">
        <f t="shared" si="6"/>
        <v>#DIV/0!</v>
      </c>
      <c r="AA18" s="3"/>
      <c r="AB18" s="3">
        <f t="shared" si="11"/>
        <v>0</v>
      </c>
      <c r="AC18" s="3">
        <f t="shared" si="7"/>
        <v>0</v>
      </c>
    </row>
    <row r="19" spans="1:29" x14ac:dyDescent="0.25">
      <c r="A19" s="6"/>
      <c r="B19" s="6"/>
      <c r="C19" s="6"/>
      <c r="D19" s="6">
        <v>0.15</v>
      </c>
      <c r="E19" s="6">
        <v>0.15</v>
      </c>
      <c r="F19" s="6"/>
      <c r="G19" s="6"/>
      <c r="H19" s="6"/>
      <c r="I19" s="6"/>
      <c r="J19" s="4">
        <f t="shared" si="0"/>
        <v>0</v>
      </c>
      <c r="K19" s="4">
        <f t="shared" si="8"/>
        <v>0</v>
      </c>
      <c r="L19" s="4">
        <f t="shared" si="1"/>
        <v>0</v>
      </c>
      <c r="M19" s="4">
        <f>IFERROR(VLOOKUP(I19,FuelTypes!$A$1:$B$32,2,FALSE)*J19,0)</f>
        <v>0</v>
      </c>
      <c r="N19" s="4">
        <f t="shared" si="9"/>
        <v>0</v>
      </c>
      <c r="O19" s="4">
        <f t="shared" si="2"/>
        <v>0</v>
      </c>
      <c r="P19" s="4" t="e">
        <f>VLOOKUP(I19, FuelTypes!$A$1:$R$12,17,FALSE)*J19</f>
        <v>#N/A</v>
      </c>
      <c r="Q19" s="4" t="e">
        <f>VLOOKUP(I19, FuelTypes!$A$1:$R$12,18,FALSE)*J19</f>
        <v>#N/A</v>
      </c>
      <c r="R19" s="4">
        <f t="shared" si="3"/>
        <v>0</v>
      </c>
      <c r="S19" s="4">
        <f t="shared" si="4"/>
        <v>0</v>
      </c>
      <c r="T19" s="4" t="e">
        <f t="shared" si="5"/>
        <v>#DIV/0!</v>
      </c>
      <c r="U19" s="4" t="e">
        <f t="shared" si="12"/>
        <v>#DIV/0!</v>
      </c>
      <c r="V19" s="3"/>
      <c r="W19" s="3">
        <f>IFERROR(VLOOKUP(I19,FuelTypes!$A$2:$G$40,5,FALSE)*M19,0)</f>
        <v>0</v>
      </c>
      <c r="X19" s="3"/>
      <c r="Y19" s="3">
        <f t="shared" si="10"/>
        <v>0</v>
      </c>
      <c r="Z19" s="3" t="e">
        <f t="shared" si="6"/>
        <v>#DIV/0!</v>
      </c>
      <c r="AA19" s="3"/>
      <c r="AB19" s="3">
        <f t="shared" si="11"/>
        <v>0</v>
      </c>
      <c r="AC19" s="3">
        <f t="shared" si="7"/>
        <v>0</v>
      </c>
    </row>
    <row r="20" spans="1:29" x14ac:dyDescent="0.25">
      <c r="A20" s="6" t="s">
        <v>28</v>
      </c>
      <c r="B20" s="6">
        <v>2.25</v>
      </c>
      <c r="C20" s="6">
        <v>0</v>
      </c>
      <c r="D20" s="6">
        <v>0.15</v>
      </c>
      <c r="E20" s="6">
        <v>0.15</v>
      </c>
      <c r="F20" s="6">
        <v>0</v>
      </c>
      <c r="G20" s="6">
        <v>0</v>
      </c>
      <c r="H20" s="6">
        <v>0</v>
      </c>
      <c r="I20" s="6">
        <v>0</v>
      </c>
      <c r="J20" s="4">
        <f t="shared" si="0"/>
        <v>0</v>
      </c>
      <c r="K20" s="4">
        <f t="shared" si="8"/>
        <v>0</v>
      </c>
      <c r="L20" s="4">
        <f t="shared" si="1"/>
        <v>2.25</v>
      </c>
      <c r="M20" s="4">
        <f>IFERROR(VLOOKUP(I20,FuelTypes!$A$1:$B$32,2,FALSE)*J20,0)</f>
        <v>0</v>
      </c>
      <c r="N20" s="4">
        <f t="shared" si="9"/>
        <v>2.25</v>
      </c>
      <c r="O20" s="4">
        <f t="shared" si="2"/>
        <v>0</v>
      </c>
      <c r="P20" s="4" t="e">
        <f>VLOOKUP(I20, FuelTypes!$A$1:$R$12,17,FALSE)*J20</f>
        <v>#N/A</v>
      </c>
      <c r="Q20" s="4" t="e">
        <f>VLOOKUP(I20, FuelTypes!$A$1:$R$12,18,FALSE)*J20</f>
        <v>#N/A</v>
      </c>
      <c r="R20" s="4">
        <f t="shared" si="3"/>
        <v>0</v>
      </c>
      <c r="S20" s="4">
        <f t="shared" si="4"/>
        <v>0</v>
      </c>
      <c r="T20" s="4" t="e">
        <f t="shared" si="5"/>
        <v>#DIV/0!</v>
      </c>
      <c r="U20" s="4" t="e">
        <f t="shared" si="12"/>
        <v>#DIV/0!</v>
      </c>
      <c r="V20" s="3"/>
      <c r="W20" s="3">
        <f>IFERROR(VLOOKUP(I20,FuelTypes!$A$2:$G$40,5,FALSE)*M20,0)</f>
        <v>0</v>
      </c>
      <c r="X20" s="3"/>
      <c r="Y20" s="3">
        <f t="shared" si="10"/>
        <v>0</v>
      </c>
      <c r="Z20" s="3">
        <f t="shared" si="6"/>
        <v>0</v>
      </c>
      <c r="AA20" s="3"/>
      <c r="AB20" s="3">
        <f t="shared" si="11"/>
        <v>0</v>
      </c>
      <c r="AC20" s="3">
        <f t="shared" si="7"/>
        <v>0</v>
      </c>
    </row>
    <row r="21" spans="1:29" x14ac:dyDescent="0.25">
      <c r="A21" s="6" t="s">
        <v>23</v>
      </c>
      <c r="B21" s="6">
        <v>0.25</v>
      </c>
      <c r="C21" s="6">
        <v>2.1233399999999998</v>
      </c>
      <c r="D21" s="6">
        <v>0.05</v>
      </c>
      <c r="E21" s="6">
        <v>0.15</v>
      </c>
      <c r="F21" s="6">
        <v>0</v>
      </c>
      <c r="G21" s="6">
        <v>0</v>
      </c>
      <c r="H21" s="6">
        <v>0</v>
      </c>
      <c r="I21" s="6" t="s">
        <v>108</v>
      </c>
      <c r="J21" s="4">
        <f t="shared" si="0"/>
        <v>2.0171729999999997</v>
      </c>
      <c r="K21" s="4">
        <f t="shared" si="8"/>
        <v>0.30257594999999993</v>
      </c>
      <c r="L21" s="4">
        <f t="shared" si="1"/>
        <v>0.55257594999999993</v>
      </c>
      <c r="M21" s="4">
        <f>IFERROR(VLOOKUP(I21,FuelTypes!$A$1:$B$32,2,FALSE)*J21,0)</f>
        <v>2.0171729999999997</v>
      </c>
      <c r="N21" s="4">
        <f t="shared" si="9"/>
        <v>2.5697489499999997</v>
      </c>
      <c r="O21" s="4">
        <f t="shared" si="2"/>
        <v>0.78496889744813392</v>
      </c>
      <c r="P21" s="4">
        <f>VLOOKUP(I21, FuelTypes!$A$1:$R$12,17,FALSE)*J21</f>
        <v>181.54556999999997</v>
      </c>
      <c r="Q21" s="4">
        <f>VLOOKUP(I21, FuelTypes!$A$1:$R$12,18,FALSE)*J21</f>
        <v>221.88902999999996</v>
      </c>
      <c r="R21" s="4">
        <f t="shared" si="3"/>
        <v>0</v>
      </c>
      <c r="S21" s="4">
        <f t="shared" si="4"/>
        <v>0</v>
      </c>
      <c r="T21" s="4" t="e">
        <f t="shared" si="5"/>
        <v>#DIV/0!</v>
      </c>
      <c r="U21" s="4" t="e">
        <f t="shared" si="12"/>
        <v>#DIV/0!</v>
      </c>
      <c r="V21" s="3"/>
      <c r="W21" s="3">
        <f>IFERROR(VLOOKUP(I21,FuelTypes!$A$2:$G$40,5,FALSE)*M21,0)</f>
        <v>92.588240699999986</v>
      </c>
      <c r="X21" s="3"/>
      <c r="Y21" s="3">
        <f t="shared" si="10"/>
        <v>92.588240699999986</v>
      </c>
      <c r="Z21" s="3">
        <f t="shared" si="6"/>
        <v>0</v>
      </c>
      <c r="AA21" s="3"/>
      <c r="AB21" s="3">
        <f t="shared" si="11"/>
        <v>0.86956521739130432</v>
      </c>
      <c r="AC21" s="3">
        <f t="shared" si="7"/>
        <v>0.78496889744813392</v>
      </c>
    </row>
    <row r="22" spans="1:29" x14ac:dyDescent="0.25">
      <c r="A22" s="6" t="s">
        <v>26</v>
      </c>
      <c r="B22" s="6">
        <v>0</v>
      </c>
      <c r="C22" s="6">
        <v>9.1614599999999999</v>
      </c>
      <c r="D22" s="6">
        <v>0.15</v>
      </c>
      <c r="E22" s="6">
        <v>0.15</v>
      </c>
      <c r="F22" s="6">
        <v>0</v>
      </c>
      <c r="G22" s="6">
        <v>0</v>
      </c>
      <c r="H22" s="6">
        <v>0</v>
      </c>
      <c r="I22" s="6" t="s">
        <v>108</v>
      </c>
      <c r="J22" s="4">
        <f t="shared" si="0"/>
        <v>7.7872409999999999</v>
      </c>
      <c r="K22" s="4">
        <f t="shared" si="8"/>
        <v>1.1680861499999999</v>
      </c>
      <c r="L22" s="4">
        <f t="shared" si="1"/>
        <v>1.1680861499999999</v>
      </c>
      <c r="M22" s="4">
        <f>IFERROR(VLOOKUP(I22,FuelTypes!$A$1:$B$32,2,FALSE)*J22,0)</f>
        <v>7.7872409999999999</v>
      </c>
      <c r="N22" s="4">
        <f t="shared" si="9"/>
        <v>8.9553271500000005</v>
      </c>
      <c r="O22" s="4">
        <f t="shared" si="2"/>
        <v>0.86956521739130432</v>
      </c>
      <c r="P22" s="4">
        <f>VLOOKUP(I22, FuelTypes!$A$1:$R$12,17,FALSE)*J22</f>
        <v>700.85168999999996</v>
      </c>
      <c r="Q22" s="4">
        <f>VLOOKUP(I22, FuelTypes!$A$1:$R$12,18,FALSE)*J22</f>
        <v>856.59650999999997</v>
      </c>
      <c r="R22" s="4">
        <f t="shared" si="3"/>
        <v>0</v>
      </c>
      <c r="S22" s="4">
        <f t="shared" si="4"/>
        <v>0</v>
      </c>
      <c r="T22" s="4" t="e">
        <f t="shared" si="5"/>
        <v>#DIV/0!</v>
      </c>
      <c r="U22" s="4" t="e">
        <f t="shared" si="12"/>
        <v>#DIV/0!</v>
      </c>
      <c r="V22" s="3"/>
      <c r="W22" s="3">
        <f>IFERROR(VLOOKUP(I22,FuelTypes!$A$2:$G$40,5,FALSE)*M22,0)</f>
        <v>357.4343619</v>
      </c>
      <c r="X22" s="3"/>
      <c r="Y22" s="3">
        <f t="shared" si="10"/>
        <v>357.4343619</v>
      </c>
      <c r="Z22" s="3">
        <f t="shared" si="6"/>
        <v>0</v>
      </c>
      <c r="AA22" s="3"/>
      <c r="AB22" s="3">
        <f t="shared" si="11"/>
        <v>0.86956521739130432</v>
      </c>
      <c r="AC22" s="3">
        <f t="shared" si="7"/>
        <v>0.86956521739130432</v>
      </c>
    </row>
    <row r="23" spans="1:29" x14ac:dyDescent="0.25">
      <c r="A23" s="6" t="s">
        <v>25</v>
      </c>
      <c r="B23" s="6">
        <v>0</v>
      </c>
      <c r="C23" s="6">
        <v>7.8670400000000003</v>
      </c>
      <c r="D23" s="6">
        <v>0.15</v>
      </c>
      <c r="E23" s="6">
        <v>0.15</v>
      </c>
      <c r="F23" s="6">
        <v>0</v>
      </c>
      <c r="G23" s="6">
        <v>0</v>
      </c>
      <c r="H23" s="6">
        <v>0</v>
      </c>
      <c r="I23" s="6" t="s">
        <v>108</v>
      </c>
      <c r="J23" s="4">
        <f t="shared" si="0"/>
        <v>6.6869840000000007</v>
      </c>
      <c r="K23" s="4">
        <f t="shared" si="8"/>
        <v>1.0030476000000002</v>
      </c>
      <c r="L23" s="4">
        <f t="shared" si="1"/>
        <v>1.0030476000000002</v>
      </c>
      <c r="M23" s="4">
        <f>IFERROR(VLOOKUP(I23,FuelTypes!$A$1:$B$32,2,FALSE)*J23,0)</f>
        <v>6.6869840000000007</v>
      </c>
      <c r="N23" s="4">
        <f t="shared" si="9"/>
        <v>7.6900316000000011</v>
      </c>
      <c r="O23" s="4">
        <f t="shared" si="2"/>
        <v>0.86956521739130432</v>
      </c>
      <c r="P23" s="4">
        <f>VLOOKUP(I23, FuelTypes!$A$1:$R$12,17,FALSE)*J23</f>
        <v>601.82856000000004</v>
      </c>
      <c r="Q23" s="4">
        <f>VLOOKUP(I23, FuelTypes!$A$1:$R$12,18,FALSE)*J23</f>
        <v>735.56824000000006</v>
      </c>
      <c r="R23" s="4">
        <f t="shared" si="3"/>
        <v>0</v>
      </c>
      <c r="S23" s="4">
        <f t="shared" si="4"/>
        <v>0</v>
      </c>
      <c r="T23" s="4" t="e">
        <f t="shared" si="5"/>
        <v>#DIV/0!</v>
      </c>
      <c r="U23" s="4" t="e">
        <f t="shared" si="12"/>
        <v>#DIV/0!</v>
      </c>
      <c r="V23" s="3"/>
      <c r="W23" s="3">
        <f>IFERROR(VLOOKUP(I23,FuelTypes!$A$2:$G$40,5,FALSE)*M23,0)</f>
        <v>306.93256560000003</v>
      </c>
      <c r="X23" s="3"/>
      <c r="Y23" s="3">
        <f t="shared" si="10"/>
        <v>306.93256560000003</v>
      </c>
      <c r="Z23" s="3">
        <f t="shared" si="6"/>
        <v>0</v>
      </c>
      <c r="AA23" s="3"/>
      <c r="AB23" s="3">
        <f t="shared" si="11"/>
        <v>0.86956521739130432</v>
      </c>
      <c r="AC23" s="3">
        <f t="shared" si="7"/>
        <v>0.86956521739130432</v>
      </c>
    </row>
    <row r="24" spans="1:29" x14ac:dyDescent="0.25">
      <c r="A24" s="6" t="s">
        <v>24</v>
      </c>
      <c r="B24" s="6">
        <v>0</v>
      </c>
      <c r="C24" s="6">
        <v>3.9837899999999999</v>
      </c>
      <c r="D24" s="6">
        <v>0.15</v>
      </c>
      <c r="E24" s="6">
        <v>0.15</v>
      </c>
      <c r="F24" s="6">
        <v>0</v>
      </c>
      <c r="G24" s="6">
        <v>0</v>
      </c>
      <c r="H24" s="6">
        <v>0</v>
      </c>
      <c r="I24" s="6" t="s">
        <v>108</v>
      </c>
      <c r="J24" s="4">
        <f t="shared" si="0"/>
        <v>3.3862215</v>
      </c>
      <c r="K24" s="4">
        <f t="shared" si="8"/>
        <v>0.50793322499999993</v>
      </c>
      <c r="L24" s="4">
        <f t="shared" si="1"/>
        <v>0.50793322499999993</v>
      </c>
      <c r="M24" s="4">
        <f>IFERROR(VLOOKUP(I24,FuelTypes!$A$1:$B$32,2,FALSE)*J24,0)</f>
        <v>3.3862215</v>
      </c>
      <c r="N24" s="4">
        <f t="shared" si="9"/>
        <v>3.8941547249999999</v>
      </c>
      <c r="O24" s="4">
        <f t="shared" si="2"/>
        <v>0.86956521739130432</v>
      </c>
      <c r="P24" s="4">
        <f>VLOOKUP(I24, FuelTypes!$A$1:$R$12,17,FALSE)*J24</f>
        <v>304.75993499999998</v>
      </c>
      <c r="Q24" s="4">
        <f>VLOOKUP(I24, FuelTypes!$A$1:$R$12,18,FALSE)*J24</f>
        <v>372.48436500000003</v>
      </c>
      <c r="R24" s="4">
        <f t="shared" si="3"/>
        <v>0</v>
      </c>
      <c r="S24" s="4">
        <f t="shared" si="4"/>
        <v>0</v>
      </c>
      <c r="T24" s="4" t="e">
        <f t="shared" si="5"/>
        <v>#DIV/0!</v>
      </c>
      <c r="U24" s="4" t="e">
        <f t="shared" si="12"/>
        <v>#DIV/0!</v>
      </c>
      <c r="V24" s="3"/>
      <c r="W24" s="3">
        <f>IFERROR(VLOOKUP(I24,FuelTypes!$A$2:$G$40,5,FALSE)*M24,0)</f>
        <v>155.42756685000001</v>
      </c>
      <c r="X24" s="3"/>
      <c r="Y24" s="3">
        <f t="shared" si="10"/>
        <v>155.42756685000001</v>
      </c>
      <c r="Z24" s="3">
        <f t="shared" si="6"/>
        <v>0</v>
      </c>
      <c r="AA24" s="3"/>
      <c r="AB24" s="3">
        <f t="shared" si="11"/>
        <v>0.86956521739130432</v>
      </c>
      <c r="AC24" s="3">
        <f t="shared" si="7"/>
        <v>0.86956521739130432</v>
      </c>
    </row>
    <row r="25" spans="1:29" x14ac:dyDescent="0.25">
      <c r="A25" s="6" t="s">
        <v>36</v>
      </c>
      <c r="B25" s="6">
        <v>0</v>
      </c>
      <c r="C25" s="6">
        <v>9.1614599999999999</v>
      </c>
      <c r="D25" s="6">
        <v>0.15</v>
      </c>
      <c r="E25" s="6">
        <v>0.15</v>
      </c>
      <c r="F25" s="6">
        <v>0</v>
      </c>
      <c r="G25" s="6">
        <v>0</v>
      </c>
      <c r="H25" s="6">
        <v>0</v>
      </c>
      <c r="I25" s="6" t="s">
        <v>108</v>
      </c>
      <c r="J25" s="4">
        <f t="shared" si="0"/>
        <v>7.7872409999999999</v>
      </c>
      <c r="K25" s="4">
        <f t="shared" si="8"/>
        <v>1.1680861499999999</v>
      </c>
      <c r="L25" s="4">
        <f t="shared" si="1"/>
        <v>1.1680861499999999</v>
      </c>
      <c r="M25" s="4">
        <f>IFERROR(VLOOKUP(I25,FuelTypes!$A$1:$B$32,2,FALSE)*J25,0)</f>
        <v>7.7872409999999999</v>
      </c>
      <c r="N25" s="4">
        <f t="shared" si="9"/>
        <v>8.9553271500000005</v>
      </c>
      <c r="O25" s="4">
        <f t="shared" si="2"/>
        <v>0.86956521739130432</v>
      </c>
      <c r="P25" s="4">
        <f>VLOOKUP(I25, FuelTypes!$A$1:$R$12,17,FALSE)*J25</f>
        <v>700.85168999999996</v>
      </c>
      <c r="Q25" s="4">
        <f>VLOOKUP(I25, FuelTypes!$A$1:$R$12,18,FALSE)*J25</f>
        <v>856.59650999999997</v>
      </c>
      <c r="R25" s="4">
        <f t="shared" si="3"/>
        <v>0</v>
      </c>
      <c r="S25" s="4">
        <f t="shared" si="4"/>
        <v>0</v>
      </c>
      <c r="T25" s="4" t="e">
        <f t="shared" si="5"/>
        <v>#DIV/0!</v>
      </c>
      <c r="U25" s="4" t="e">
        <f t="shared" si="12"/>
        <v>#DIV/0!</v>
      </c>
      <c r="V25" s="3"/>
      <c r="W25" s="3">
        <f>IFERROR(VLOOKUP(I25,FuelTypes!$A$2:$G$40,5,FALSE)*M25,0)</f>
        <v>357.4343619</v>
      </c>
      <c r="X25" s="3"/>
      <c r="Y25" s="3">
        <f t="shared" si="10"/>
        <v>357.4343619</v>
      </c>
      <c r="Z25" s="3">
        <f t="shared" si="6"/>
        <v>0</v>
      </c>
      <c r="AA25" s="3"/>
      <c r="AB25" s="3">
        <f t="shared" si="11"/>
        <v>0.86956521739130432</v>
      </c>
      <c r="AC25" s="3">
        <f t="shared" si="7"/>
        <v>0.86956521739130432</v>
      </c>
    </row>
    <row r="26" spans="1:29" x14ac:dyDescent="0.25">
      <c r="A26" s="6" t="s">
        <v>13</v>
      </c>
      <c r="B26" s="6">
        <v>0.9</v>
      </c>
      <c r="C26" s="6">
        <v>0</v>
      </c>
      <c r="D26" s="6">
        <v>0.15</v>
      </c>
      <c r="E26" s="6">
        <v>0.15</v>
      </c>
      <c r="F26" s="6">
        <v>350</v>
      </c>
      <c r="G26" s="6">
        <v>120</v>
      </c>
      <c r="H26" s="6">
        <v>200</v>
      </c>
      <c r="I26" s="6">
        <v>0</v>
      </c>
      <c r="J26" s="4">
        <f t="shared" si="0"/>
        <v>0</v>
      </c>
      <c r="K26" s="4">
        <f t="shared" si="8"/>
        <v>0</v>
      </c>
      <c r="L26" s="4">
        <f t="shared" si="1"/>
        <v>0.9</v>
      </c>
      <c r="M26" s="4">
        <f>IFERROR(VLOOKUP(I26,FuelTypes!$A$1:$B$32,2,FALSE)*J26,0)</f>
        <v>0</v>
      </c>
      <c r="N26" s="4">
        <f t="shared" si="9"/>
        <v>0.9</v>
      </c>
      <c r="O26" s="4">
        <f t="shared" si="2"/>
        <v>0</v>
      </c>
      <c r="P26" s="4" t="e">
        <f>VLOOKUP(I26, FuelTypes!$A$1:$R$12,17,FALSE)*J26</f>
        <v>#N/A</v>
      </c>
      <c r="Q26" s="4" t="e">
        <f>VLOOKUP(I26, FuelTypes!$A$1:$R$12,18,FALSE)*J26</f>
        <v>#N/A</v>
      </c>
      <c r="R26" s="4">
        <f t="shared" si="3"/>
        <v>13.333333333333332</v>
      </c>
      <c r="S26" s="4">
        <f t="shared" si="4"/>
        <v>1.5</v>
      </c>
      <c r="T26" s="4">
        <f t="shared" si="5"/>
        <v>3.4949759720401923E-2</v>
      </c>
      <c r="U26" s="4">
        <f t="shared" si="12"/>
        <v>0</v>
      </c>
      <c r="V26" s="3"/>
      <c r="W26" s="3">
        <f>IFERROR(VLOOKUP(I26,FuelTypes!$A$2:$G$40,5,FALSE)*M26,0)</f>
        <v>0</v>
      </c>
      <c r="X26" s="3"/>
      <c r="Y26" s="3">
        <f t="shared" si="10"/>
        <v>0</v>
      </c>
      <c r="Z26" s="3">
        <f t="shared" si="6"/>
        <v>0</v>
      </c>
      <c r="AA26" s="3"/>
      <c r="AB26" s="3">
        <f t="shared" si="11"/>
        <v>0</v>
      </c>
      <c r="AC26" s="3">
        <f t="shared" si="7"/>
        <v>0</v>
      </c>
    </row>
    <row r="27" spans="1:29" x14ac:dyDescent="0.25">
      <c r="A27" s="6" t="s">
        <v>14</v>
      </c>
      <c r="B27" s="6">
        <v>3.2</v>
      </c>
      <c r="C27" s="6">
        <v>0</v>
      </c>
      <c r="D27" s="6">
        <v>0.15</v>
      </c>
      <c r="E27" s="6">
        <v>0.15</v>
      </c>
      <c r="F27" s="6">
        <v>350</v>
      </c>
      <c r="G27" s="6">
        <v>320</v>
      </c>
      <c r="H27" s="6">
        <v>150</v>
      </c>
      <c r="I27" s="6">
        <v>0</v>
      </c>
      <c r="J27" s="4">
        <f t="shared" si="0"/>
        <v>0</v>
      </c>
      <c r="K27" s="4">
        <f t="shared" si="8"/>
        <v>0</v>
      </c>
      <c r="L27" s="4">
        <f t="shared" si="1"/>
        <v>3.2</v>
      </c>
      <c r="M27" s="4">
        <f>IFERROR(VLOOKUP(I27,FuelTypes!$A$1:$B$32,2,FALSE)*J27,0)</f>
        <v>0</v>
      </c>
      <c r="N27" s="4">
        <f t="shared" si="9"/>
        <v>3.2</v>
      </c>
      <c r="O27" s="4">
        <f t="shared" si="2"/>
        <v>0</v>
      </c>
      <c r="P27" s="4" t="e">
        <f>VLOOKUP(I27, FuelTypes!$A$1:$R$12,17,FALSE)*J27</f>
        <v>#N/A</v>
      </c>
      <c r="Q27" s="4" t="e">
        <f>VLOOKUP(I27, FuelTypes!$A$1:$R$12,18,FALSE)*J27</f>
        <v>#N/A</v>
      </c>
      <c r="R27" s="4">
        <f t="shared" si="3"/>
        <v>10</v>
      </c>
      <c r="S27" s="4">
        <f t="shared" si="4"/>
        <v>1.5</v>
      </c>
      <c r="T27" s="4">
        <f t="shared" si="5"/>
        <v>9.3199359254405131E-2</v>
      </c>
      <c r="U27" s="4">
        <f t="shared" si="12"/>
        <v>0</v>
      </c>
      <c r="V27" s="3"/>
      <c r="W27" s="3">
        <f>IFERROR(VLOOKUP(I27,FuelTypes!$A$2:$G$40,5,FALSE)*M27,0)</f>
        <v>0</v>
      </c>
      <c r="X27" s="3"/>
      <c r="Y27" s="3">
        <f t="shared" si="10"/>
        <v>0</v>
      </c>
      <c r="Z27" s="3">
        <f t="shared" si="6"/>
        <v>0</v>
      </c>
      <c r="AA27" s="3"/>
      <c r="AB27" s="3">
        <f t="shared" si="11"/>
        <v>0</v>
      </c>
      <c r="AC27" s="3">
        <f t="shared" si="7"/>
        <v>0</v>
      </c>
    </row>
    <row r="28" spans="1:29" x14ac:dyDescent="0.25">
      <c r="A28" s="6" t="s">
        <v>48</v>
      </c>
      <c r="B28" s="6">
        <v>0</v>
      </c>
      <c r="C28" s="6">
        <v>0</v>
      </c>
      <c r="D28" s="6">
        <v>0.15</v>
      </c>
      <c r="E28" s="6">
        <v>0.15</v>
      </c>
      <c r="F28" s="6">
        <v>350</v>
      </c>
      <c r="G28" s="6">
        <v>320</v>
      </c>
      <c r="H28" s="6">
        <v>300</v>
      </c>
      <c r="I28" s="6">
        <v>0</v>
      </c>
      <c r="J28" s="4">
        <f t="shared" si="0"/>
        <v>0</v>
      </c>
      <c r="K28" s="4">
        <f t="shared" si="8"/>
        <v>0</v>
      </c>
      <c r="L28" s="4">
        <f t="shared" si="1"/>
        <v>0</v>
      </c>
      <c r="M28" s="4">
        <f>IFERROR(VLOOKUP(I28,FuelTypes!$A$1:$B$32,2,FALSE)*J28,0)</f>
        <v>0</v>
      </c>
      <c r="N28" s="4">
        <f t="shared" si="9"/>
        <v>0</v>
      </c>
      <c r="O28" s="4">
        <f t="shared" si="2"/>
        <v>0</v>
      </c>
      <c r="P28" s="4" t="e">
        <f>VLOOKUP(I28, FuelTypes!$A$1:$R$12,17,FALSE)*J28</f>
        <v>#N/A</v>
      </c>
      <c r="Q28" s="4" t="e">
        <f>VLOOKUP(I28, FuelTypes!$A$1:$R$12,18,FALSE)*J28</f>
        <v>#N/A</v>
      </c>
      <c r="R28" s="4">
        <f t="shared" si="3"/>
        <v>0</v>
      </c>
      <c r="S28" s="4">
        <f t="shared" si="4"/>
        <v>0</v>
      </c>
      <c r="T28" s="4">
        <f t="shared" si="5"/>
        <v>9.3199359254405131E-2</v>
      </c>
      <c r="U28" s="4">
        <f t="shared" si="12"/>
        <v>0</v>
      </c>
      <c r="V28" s="3"/>
      <c r="W28" s="3">
        <f>IFERROR(VLOOKUP(I28,FuelTypes!$A$2:$G$40,5,FALSE)*M28,0)</f>
        <v>0</v>
      </c>
      <c r="X28" s="3"/>
      <c r="Y28" s="3">
        <f t="shared" si="10"/>
        <v>0</v>
      </c>
      <c r="Z28" s="3" t="e">
        <f t="shared" si="6"/>
        <v>#DIV/0!</v>
      </c>
      <c r="AA28" s="3"/>
      <c r="AB28" s="3">
        <f t="shared" si="11"/>
        <v>0</v>
      </c>
      <c r="AC28" s="3">
        <f t="shared" si="7"/>
        <v>0</v>
      </c>
    </row>
    <row r="29" spans="1:29" x14ac:dyDescent="0.25">
      <c r="A29" s="6" t="s">
        <v>49</v>
      </c>
      <c r="B29" s="6">
        <v>0</v>
      </c>
      <c r="C29" s="6">
        <v>0</v>
      </c>
      <c r="D29" s="6">
        <v>0.15</v>
      </c>
      <c r="E29" s="6">
        <v>0.15</v>
      </c>
      <c r="F29" s="6">
        <v>0</v>
      </c>
      <c r="G29" s="6">
        <v>0</v>
      </c>
      <c r="H29" s="6">
        <v>0</v>
      </c>
      <c r="I29" s="6">
        <v>0</v>
      </c>
      <c r="J29" s="4">
        <f t="shared" si="0"/>
        <v>0</v>
      </c>
      <c r="K29" s="4">
        <f t="shared" si="8"/>
        <v>0</v>
      </c>
      <c r="L29" s="4">
        <f t="shared" si="1"/>
        <v>0</v>
      </c>
      <c r="M29" s="4">
        <f>IFERROR(VLOOKUP(I29,FuelTypes!$A$1:$B$32,2,FALSE)*J29,0)</f>
        <v>0</v>
      </c>
      <c r="N29" s="4">
        <f t="shared" si="9"/>
        <v>0</v>
      </c>
      <c r="O29" s="4">
        <f t="shared" si="2"/>
        <v>0</v>
      </c>
      <c r="P29" s="4" t="e">
        <f>VLOOKUP(I29, FuelTypes!$A$1:$R$12,17,FALSE)*J29</f>
        <v>#N/A</v>
      </c>
      <c r="Q29" s="4" t="e">
        <f>VLOOKUP(I29, FuelTypes!$A$1:$R$12,18,FALSE)*J29</f>
        <v>#N/A</v>
      </c>
      <c r="R29" s="4">
        <f t="shared" si="3"/>
        <v>0</v>
      </c>
      <c r="S29" s="4">
        <f t="shared" si="4"/>
        <v>0</v>
      </c>
      <c r="T29" s="4" t="e">
        <f t="shared" si="5"/>
        <v>#DIV/0!</v>
      </c>
      <c r="U29" s="4" t="e">
        <f t="shared" si="12"/>
        <v>#DIV/0!</v>
      </c>
      <c r="V29" s="3"/>
      <c r="W29" s="3">
        <f>IFERROR(VLOOKUP(I29,FuelTypes!$A$2:$G$40,5,FALSE)*M29,0)</f>
        <v>0</v>
      </c>
      <c r="X29" s="3"/>
      <c r="Y29" s="3">
        <f t="shared" si="10"/>
        <v>0</v>
      </c>
      <c r="Z29" s="3" t="e">
        <f t="shared" si="6"/>
        <v>#DIV/0!</v>
      </c>
      <c r="AA29" s="3"/>
      <c r="AB29" s="3">
        <f t="shared" si="11"/>
        <v>0</v>
      </c>
      <c r="AC29" s="3">
        <f t="shared" si="7"/>
        <v>0</v>
      </c>
    </row>
    <row r="30" spans="1:29" x14ac:dyDescent="0.25">
      <c r="A30" s="6" t="s">
        <v>27</v>
      </c>
      <c r="B30" s="6">
        <v>0.4</v>
      </c>
      <c r="C30" s="6">
        <v>0</v>
      </c>
      <c r="D30" s="6">
        <v>0.15</v>
      </c>
      <c r="E30" s="6">
        <v>0.15</v>
      </c>
      <c r="F30" s="6">
        <v>0</v>
      </c>
      <c r="G30" s="6">
        <v>0</v>
      </c>
      <c r="H30" s="6">
        <v>0</v>
      </c>
      <c r="I30" s="6">
        <v>0</v>
      </c>
      <c r="J30" s="4">
        <f t="shared" si="0"/>
        <v>0</v>
      </c>
      <c r="K30" s="4">
        <f t="shared" si="8"/>
        <v>0</v>
      </c>
      <c r="L30" s="4">
        <f t="shared" si="1"/>
        <v>0.4</v>
      </c>
      <c r="M30" s="4">
        <f>IFERROR(VLOOKUP(I30,FuelTypes!$A$1:$B$32,2,FALSE)*J30,0)</f>
        <v>0</v>
      </c>
      <c r="N30" s="4">
        <f t="shared" si="9"/>
        <v>0.4</v>
      </c>
      <c r="O30" s="4">
        <f t="shared" si="2"/>
        <v>0</v>
      </c>
      <c r="P30" s="4" t="e">
        <f>VLOOKUP(I30, FuelTypes!$A$1:$R$12,17,FALSE)*J30</f>
        <v>#N/A</v>
      </c>
      <c r="Q30" s="4" t="e">
        <f>VLOOKUP(I30, FuelTypes!$A$1:$R$12,18,FALSE)*J30</f>
        <v>#N/A</v>
      </c>
      <c r="R30" s="4">
        <f t="shared" si="3"/>
        <v>0</v>
      </c>
      <c r="S30" s="4">
        <f t="shared" si="4"/>
        <v>0</v>
      </c>
      <c r="T30" s="4" t="e">
        <f t="shared" si="5"/>
        <v>#DIV/0!</v>
      </c>
      <c r="U30" s="4" t="e">
        <f t="shared" si="12"/>
        <v>#DIV/0!</v>
      </c>
      <c r="V30" s="3"/>
      <c r="W30" s="3">
        <f>IFERROR(VLOOKUP(I30,FuelTypes!$A$2:$G$40,5,FALSE)*M30,0)</f>
        <v>0</v>
      </c>
      <c r="X30" s="3"/>
      <c r="Y30" s="3">
        <f t="shared" si="10"/>
        <v>0</v>
      </c>
      <c r="Z30" s="3">
        <f t="shared" si="6"/>
        <v>0</v>
      </c>
      <c r="AA30" s="3"/>
      <c r="AB30" s="3">
        <f t="shared" si="11"/>
        <v>0</v>
      </c>
      <c r="AC30" s="3">
        <f t="shared" si="7"/>
        <v>0</v>
      </c>
    </row>
    <row r="31" spans="1:29" x14ac:dyDescent="0.25">
      <c r="A31" s="6" t="s">
        <v>50</v>
      </c>
      <c r="B31" s="6">
        <v>0.4</v>
      </c>
      <c r="C31" s="6">
        <v>0</v>
      </c>
      <c r="D31" s="6">
        <v>0.15</v>
      </c>
      <c r="E31" s="6">
        <v>0.15</v>
      </c>
      <c r="F31" s="6">
        <v>0</v>
      </c>
      <c r="G31" s="6">
        <v>0</v>
      </c>
      <c r="H31" s="6">
        <v>0</v>
      </c>
      <c r="I31" s="6">
        <v>0</v>
      </c>
      <c r="J31" s="4">
        <f t="shared" si="0"/>
        <v>0</v>
      </c>
      <c r="K31" s="4">
        <f t="shared" si="8"/>
        <v>0</v>
      </c>
      <c r="L31" s="4">
        <f t="shared" si="1"/>
        <v>0.4</v>
      </c>
      <c r="M31" s="4">
        <f>IFERROR(VLOOKUP(I31,FuelTypes!$A$1:$B$32,2,FALSE)*J31,0)</f>
        <v>0</v>
      </c>
      <c r="N31" s="4">
        <f t="shared" si="9"/>
        <v>0.4</v>
      </c>
      <c r="O31" s="4">
        <f t="shared" si="2"/>
        <v>0</v>
      </c>
      <c r="P31" s="4" t="e">
        <f>VLOOKUP(I31, FuelTypes!$A$1:$R$12,17,FALSE)*J31</f>
        <v>#N/A</v>
      </c>
      <c r="Q31" s="4" t="e">
        <f>VLOOKUP(I31, FuelTypes!$A$1:$R$12,18,FALSE)*J31</f>
        <v>#N/A</v>
      </c>
      <c r="R31" s="4">
        <f t="shared" si="3"/>
        <v>0</v>
      </c>
      <c r="S31" s="4">
        <f t="shared" si="4"/>
        <v>0</v>
      </c>
      <c r="T31" s="4" t="e">
        <f t="shared" si="5"/>
        <v>#DIV/0!</v>
      </c>
      <c r="U31" s="4" t="e">
        <f t="shared" si="12"/>
        <v>#DIV/0!</v>
      </c>
      <c r="V31" s="3"/>
      <c r="W31" s="3">
        <f>IFERROR(VLOOKUP(I31,FuelTypes!$A$2:$G$40,5,FALSE)*M31,0)</f>
        <v>0</v>
      </c>
      <c r="X31" s="3"/>
      <c r="Y31" s="3">
        <f t="shared" si="10"/>
        <v>0</v>
      </c>
      <c r="Z31" s="3">
        <f t="shared" si="6"/>
        <v>0</v>
      </c>
      <c r="AA31" s="3"/>
      <c r="AB31" s="3">
        <f t="shared" si="11"/>
        <v>0</v>
      </c>
      <c r="AC31" s="3">
        <f t="shared" si="7"/>
        <v>0</v>
      </c>
    </row>
    <row r="32" spans="1:29" x14ac:dyDescent="0.25">
      <c r="A32" s="6" t="s">
        <v>51</v>
      </c>
      <c r="B32" s="6">
        <v>0.1</v>
      </c>
      <c r="C32" s="6">
        <v>0</v>
      </c>
      <c r="D32" s="6">
        <v>0.15</v>
      </c>
      <c r="E32" s="6">
        <v>0.15</v>
      </c>
      <c r="F32" s="6">
        <v>0</v>
      </c>
      <c r="G32" s="6">
        <v>0</v>
      </c>
      <c r="H32" s="6">
        <v>0</v>
      </c>
      <c r="I32" s="6">
        <v>0</v>
      </c>
      <c r="J32" s="4">
        <f t="shared" si="0"/>
        <v>0</v>
      </c>
      <c r="K32" s="4">
        <f t="shared" si="8"/>
        <v>0</v>
      </c>
      <c r="L32" s="4">
        <f t="shared" si="1"/>
        <v>0.1</v>
      </c>
      <c r="M32" s="4">
        <f>IFERROR(VLOOKUP(I32,FuelTypes!$A$1:$B$32,2,FALSE)*J32,0)</f>
        <v>0</v>
      </c>
      <c r="N32" s="4">
        <f t="shared" si="9"/>
        <v>0.1</v>
      </c>
      <c r="O32" s="4">
        <f t="shared" si="2"/>
        <v>0</v>
      </c>
      <c r="P32" s="4" t="e">
        <f>VLOOKUP(I32, FuelTypes!$A$1:$R$12,17,FALSE)*J32</f>
        <v>#N/A</v>
      </c>
      <c r="Q32" s="4" t="e">
        <f>VLOOKUP(I32, FuelTypes!$A$1:$R$12,18,FALSE)*J32</f>
        <v>#N/A</v>
      </c>
      <c r="R32" s="4">
        <f t="shared" si="3"/>
        <v>0</v>
      </c>
      <c r="S32" s="4">
        <f t="shared" si="4"/>
        <v>0</v>
      </c>
      <c r="T32" s="4" t="e">
        <f t="shared" si="5"/>
        <v>#DIV/0!</v>
      </c>
      <c r="U32" s="4" t="e">
        <f t="shared" si="12"/>
        <v>#DIV/0!</v>
      </c>
      <c r="W32" s="3">
        <f>IFERROR(VLOOKUP(I32,FuelTypes!$A$2:$G$40,5,FALSE)*M32,0)</f>
        <v>0</v>
      </c>
      <c r="Y32" s="3">
        <f t="shared" si="10"/>
        <v>0</v>
      </c>
      <c r="Z32" s="3">
        <f t="shared" si="6"/>
        <v>0</v>
      </c>
      <c r="AB32" s="3">
        <f t="shared" si="11"/>
        <v>0</v>
      </c>
      <c r="AC32" s="3">
        <f t="shared" si="7"/>
        <v>0</v>
      </c>
    </row>
    <row r="33" spans="1:29" x14ac:dyDescent="0.25">
      <c r="A33" s="6" t="s">
        <v>52</v>
      </c>
      <c r="B33" s="6">
        <v>0.1</v>
      </c>
      <c r="C33" s="6">
        <v>0</v>
      </c>
      <c r="D33" s="6">
        <v>0.15</v>
      </c>
      <c r="E33" s="6">
        <v>0.15</v>
      </c>
      <c r="F33" s="6">
        <v>0</v>
      </c>
      <c r="G33" s="6">
        <v>0</v>
      </c>
      <c r="H33" s="6">
        <v>0</v>
      </c>
      <c r="I33" s="6">
        <v>0</v>
      </c>
      <c r="J33" s="4">
        <f t="shared" si="0"/>
        <v>0</v>
      </c>
      <c r="K33" s="4">
        <f t="shared" si="8"/>
        <v>0</v>
      </c>
      <c r="L33" s="4">
        <f t="shared" si="1"/>
        <v>0.1</v>
      </c>
      <c r="M33" s="4">
        <f>IFERROR(VLOOKUP(I33,FuelTypes!$A$1:$B$32,2,FALSE)*J33,0)</f>
        <v>0</v>
      </c>
      <c r="N33" s="4">
        <f t="shared" si="9"/>
        <v>0.1</v>
      </c>
      <c r="O33" s="4">
        <f t="shared" si="2"/>
        <v>0</v>
      </c>
      <c r="P33" s="4" t="e">
        <f>VLOOKUP(I33, FuelTypes!$A$1:$R$12,17,FALSE)*J33</f>
        <v>#N/A</v>
      </c>
      <c r="Q33" s="4" t="e">
        <f>VLOOKUP(I33, FuelTypes!$A$1:$R$12,18,FALSE)*J33</f>
        <v>#N/A</v>
      </c>
      <c r="R33" s="4">
        <f t="shared" si="3"/>
        <v>0</v>
      </c>
      <c r="S33" s="4">
        <f t="shared" si="4"/>
        <v>0</v>
      </c>
      <c r="T33" s="4" t="e">
        <f t="shared" si="5"/>
        <v>#DIV/0!</v>
      </c>
      <c r="U33" s="4" t="e">
        <f t="shared" si="12"/>
        <v>#DIV/0!</v>
      </c>
      <c r="W33" s="3">
        <f>IFERROR(VLOOKUP(I33,FuelTypes!$A$2:$G$40,5,FALSE)*M33,0)</f>
        <v>0</v>
      </c>
      <c r="Y33" s="3">
        <f t="shared" si="10"/>
        <v>0</v>
      </c>
      <c r="Z33" s="3">
        <f t="shared" si="6"/>
        <v>0</v>
      </c>
      <c r="AB33" s="3">
        <f t="shared" si="11"/>
        <v>0</v>
      </c>
      <c r="AC33" s="3">
        <f t="shared" si="7"/>
        <v>0</v>
      </c>
    </row>
    <row r="34" spans="1:29" x14ac:dyDescent="0.25">
      <c r="A34" s="6" t="s">
        <v>79</v>
      </c>
      <c r="B34" s="6">
        <v>0.5</v>
      </c>
      <c r="C34" s="6">
        <v>4.12</v>
      </c>
      <c r="D34" s="6">
        <v>0.05</v>
      </c>
      <c r="E34" s="6">
        <v>0.15</v>
      </c>
      <c r="F34" s="6">
        <v>0</v>
      </c>
      <c r="G34" s="6">
        <v>0</v>
      </c>
      <c r="H34" s="6">
        <v>0</v>
      </c>
      <c r="I34" s="6" t="s">
        <v>108</v>
      </c>
      <c r="J34" s="4">
        <f t="shared" ref="J34:J65" si="13">C34 - (D34*C34)</f>
        <v>3.9140000000000001</v>
      </c>
      <c r="K34" s="4">
        <f t="shared" si="8"/>
        <v>0.58709999999999996</v>
      </c>
      <c r="L34" s="4">
        <f t="shared" ref="L34:L65" si="14">K34+B34</f>
        <v>1.0871</v>
      </c>
      <c r="M34" s="4">
        <f>IFERROR(VLOOKUP(I34,FuelTypes!$A$1:$B$32,2,FALSE)*J34,0)</f>
        <v>3.9140000000000001</v>
      </c>
      <c r="N34" s="4">
        <f t="shared" si="9"/>
        <v>5.0011000000000001</v>
      </c>
      <c r="O34" s="4">
        <f t="shared" ref="O34:O65" si="15">IF(M34&gt;0, M34/N34,0)</f>
        <v>0.78262782187918656</v>
      </c>
      <c r="P34" s="4">
        <f>VLOOKUP(I34, FuelTypes!$A$1:$R$12,17,FALSE)*J34</f>
        <v>352.26</v>
      </c>
      <c r="Q34" s="4">
        <f>VLOOKUP(I34, FuelTypes!$A$1:$R$12,18,FALSE)*J34</f>
        <v>430.54</v>
      </c>
      <c r="R34" s="4">
        <f t="shared" si="3"/>
        <v>0</v>
      </c>
      <c r="S34" s="4">
        <f t="shared" si="4"/>
        <v>0</v>
      </c>
      <c r="T34" s="4" t="e">
        <f t="shared" si="5"/>
        <v>#DIV/0!</v>
      </c>
      <c r="U34" s="4" t="e">
        <f t="shared" si="12"/>
        <v>#DIV/0!</v>
      </c>
      <c r="W34" s="3">
        <f>IFERROR(VLOOKUP(I34,FuelTypes!$A$2:$G$40,5,FALSE)*M34,0)</f>
        <v>179.65260000000001</v>
      </c>
      <c r="Y34" s="3">
        <f t="shared" si="10"/>
        <v>179.65260000000001</v>
      </c>
      <c r="Z34" s="3">
        <f t="shared" si="6"/>
        <v>0</v>
      </c>
      <c r="AB34" s="3">
        <f t="shared" si="11"/>
        <v>0.86956521739130432</v>
      </c>
      <c r="AC34" s="3">
        <f t="shared" si="7"/>
        <v>0.78262782187918656</v>
      </c>
    </row>
    <row r="35" spans="1:29" x14ac:dyDescent="0.25">
      <c r="A35" s="6" t="s">
        <v>80</v>
      </c>
      <c r="B35" s="6"/>
      <c r="C35" s="6"/>
      <c r="D35" s="6">
        <v>0.15</v>
      </c>
      <c r="E35" s="6">
        <v>0.15</v>
      </c>
      <c r="F35" s="6"/>
      <c r="G35" s="6"/>
      <c r="H35" s="6"/>
      <c r="I35" s="6"/>
      <c r="J35" s="4">
        <f t="shared" si="13"/>
        <v>0</v>
      </c>
      <c r="K35" s="4">
        <f t="shared" si="8"/>
        <v>0</v>
      </c>
      <c r="L35" s="4">
        <f t="shared" si="14"/>
        <v>0</v>
      </c>
      <c r="M35" s="4">
        <f>IFERROR(VLOOKUP(I35,FuelTypes!$A$1:$B$32,2,FALSE)*J35,0)</f>
        <v>0</v>
      </c>
      <c r="N35" s="4">
        <f t="shared" si="9"/>
        <v>0</v>
      </c>
      <c r="O35" s="4">
        <f t="shared" si="15"/>
        <v>0</v>
      </c>
      <c r="P35" s="4" t="e">
        <f>VLOOKUP(I35, FuelTypes!$A$1:$R$12,17,FALSE)*J35</f>
        <v>#N/A</v>
      </c>
      <c r="Q35" s="4" t="e">
        <f>VLOOKUP(I35, FuelTypes!$A$1:$R$12,18,FALSE)*J35</f>
        <v>#N/A</v>
      </c>
      <c r="R35" s="4">
        <f t="shared" si="3"/>
        <v>0</v>
      </c>
      <c r="S35" s="4">
        <f t="shared" si="4"/>
        <v>0</v>
      </c>
      <c r="T35" s="4" t="e">
        <f t="shared" si="5"/>
        <v>#DIV/0!</v>
      </c>
      <c r="U35" s="4" t="e">
        <f t="shared" si="12"/>
        <v>#DIV/0!</v>
      </c>
      <c r="W35" s="3">
        <f>IFERROR(VLOOKUP(I35,FuelTypes!$A$2:$G$40,5,FALSE)*M35,0)</f>
        <v>0</v>
      </c>
      <c r="Y35" s="3">
        <f t="shared" si="10"/>
        <v>0</v>
      </c>
      <c r="Z35" s="3" t="e">
        <f t="shared" si="6"/>
        <v>#DIV/0!</v>
      </c>
      <c r="AB35" s="3">
        <f t="shared" si="11"/>
        <v>0</v>
      </c>
      <c r="AC35" s="3">
        <f t="shared" si="7"/>
        <v>0</v>
      </c>
    </row>
    <row r="36" spans="1:29" x14ac:dyDescent="0.25">
      <c r="A36" s="6"/>
      <c r="B36" s="6"/>
      <c r="C36" s="6"/>
      <c r="D36" s="6">
        <v>0.15</v>
      </c>
      <c r="E36" s="6">
        <v>0.15</v>
      </c>
      <c r="F36" s="6"/>
      <c r="G36" s="6"/>
      <c r="H36" s="6"/>
      <c r="I36" s="6"/>
      <c r="J36" s="4">
        <f t="shared" si="13"/>
        <v>0</v>
      </c>
      <c r="K36" s="4">
        <f t="shared" si="8"/>
        <v>0</v>
      </c>
      <c r="L36" s="4">
        <f t="shared" si="14"/>
        <v>0</v>
      </c>
      <c r="M36" s="4">
        <f>IFERROR(VLOOKUP(I36,FuelTypes!$A$1:$B$32,2,FALSE)*J36,0)</f>
        <v>0</v>
      </c>
      <c r="N36" s="4">
        <f t="shared" si="9"/>
        <v>0</v>
      </c>
      <c r="O36" s="4">
        <f t="shared" si="15"/>
        <v>0</v>
      </c>
      <c r="P36" s="4" t="e">
        <f>VLOOKUP(I36, FuelTypes!$A$1:$R$12,17,FALSE)*J36</f>
        <v>#N/A</v>
      </c>
      <c r="Q36" s="4" t="e">
        <f>VLOOKUP(I36, FuelTypes!$A$1:$R$12,18,FALSE)*J36</f>
        <v>#N/A</v>
      </c>
      <c r="R36" s="4">
        <f t="shared" si="3"/>
        <v>0</v>
      </c>
      <c r="S36" s="4">
        <f t="shared" si="4"/>
        <v>0</v>
      </c>
      <c r="T36" s="4" t="e">
        <f t="shared" si="5"/>
        <v>#DIV/0!</v>
      </c>
      <c r="U36" s="4" t="e">
        <f t="shared" si="12"/>
        <v>#DIV/0!</v>
      </c>
      <c r="W36" s="3">
        <f>IFERROR(VLOOKUP(I36,FuelTypes!$A$2:$G$40,5,FALSE)*M36,0)</f>
        <v>0</v>
      </c>
      <c r="Y36" s="3">
        <f t="shared" si="10"/>
        <v>0</v>
      </c>
      <c r="Z36" s="3" t="e">
        <f t="shared" si="6"/>
        <v>#DIV/0!</v>
      </c>
      <c r="AB36" s="3">
        <f t="shared" si="11"/>
        <v>0</v>
      </c>
      <c r="AC36" s="3">
        <f t="shared" si="7"/>
        <v>0</v>
      </c>
    </row>
    <row r="37" spans="1:29" x14ac:dyDescent="0.25">
      <c r="A37" s="6"/>
      <c r="B37" s="6"/>
      <c r="C37" s="6"/>
      <c r="D37" s="6">
        <v>0.15</v>
      </c>
      <c r="E37" s="6">
        <v>0.15</v>
      </c>
      <c r="F37" s="6"/>
      <c r="G37" s="6"/>
      <c r="H37" s="6"/>
      <c r="I37" s="6"/>
      <c r="J37" s="4">
        <f t="shared" si="13"/>
        <v>0</v>
      </c>
      <c r="K37" s="4">
        <f t="shared" si="8"/>
        <v>0</v>
      </c>
      <c r="L37" s="4">
        <f t="shared" si="14"/>
        <v>0</v>
      </c>
      <c r="M37" s="4">
        <f>IFERROR(VLOOKUP(I37,FuelTypes!$A$1:$B$32,2,FALSE)*J37,0)</f>
        <v>0</v>
      </c>
      <c r="N37" s="4">
        <f t="shared" si="9"/>
        <v>0</v>
      </c>
      <c r="O37" s="4">
        <f t="shared" si="15"/>
        <v>0</v>
      </c>
      <c r="P37" s="4" t="e">
        <f>VLOOKUP(I37, FuelTypes!$A$1:$R$12,17,FALSE)*J37</f>
        <v>#N/A</v>
      </c>
      <c r="Q37" s="4" t="e">
        <f>VLOOKUP(I37, FuelTypes!$A$1:$R$12,18,FALSE)*J37</f>
        <v>#N/A</v>
      </c>
      <c r="R37" s="4">
        <f t="shared" si="3"/>
        <v>0</v>
      </c>
      <c r="S37" s="4">
        <f t="shared" si="4"/>
        <v>0</v>
      </c>
      <c r="T37" s="4" t="e">
        <f t="shared" si="5"/>
        <v>#DIV/0!</v>
      </c>
      <c r="U37" s="4" t="e">
        <f t="shared" si="12"/>
        <v>#DIV/0!</v>
      </c>
      <c r="W37" s="3">
        <f>IFERROR(VLOOKUP(I37,FuelTypes!$A$2:$G$40,5,FALSE)*M37,0)</f>
        <v>0</v>
      </c>
      <c r="Y37" s="3">
        <f t="shared" si="10"/>
        <v>0</v>
      </c>
      <c r="Z37" s="3" t="e">
        <f t="shared" si="6"/>
        <v>#DIV/0!</v>
      </c>
      <c r="AB37" s="3">
        <f t="shared" si="11"/>
        <v>0</v>
      </c>
      <c r="AC37" s="3">
        <f t="shared" si="7"/>
        <v>0</v>
      </c>
    </row>
    <row r="38" spans="1:29" x14ac:dyDescent="0.25">
      <c r="A38" s="6"/>
      <c r="B38" s="6"/>
      <c r="C38" s="6"/>
      <c r="D38" s="6">
        <v>0.15</v>
      </c>
      <c r="E38" s="6">
        <v>0.15</v>
      </c>
      <c r="F38" s="6"/>
      <c r="G38" s="6"/>
      <c r="H38" s="6"/>
      <c r="I38" s="6"/>
      <c r="J38" s="4">
        <f t="shared" si="13"/>
        <v>0</v>
      </c>
      <c r="K38" s="4">
        <f t="shared" si="8"/>
        <v>0</v>
      </c>
      <c r="L38" s="4">
        <f t="shared" si="14"/>
        <v>0</v>
      </c>
      <c r="M38" s="4">
        <f>IFERROR(VLOOKUP(I38,FuelTypes!$A$1:$B$32,2,FALSE)*J38,0)</f>
        <v>0</v>
      </c>
      <c r="N38" s="4">
        <f t="shared" si="9"/>
        <v>0</v>
      </c>
      <c r="O38" s="4">
        <f t="shared" si="15"/>
        <v>0</v>
      </c>
      <c r="P38" s="4" t="e">
        <f>VLOOKUP(I38, FuelTypes!$A$1:$R$12,17,FALSE)*J38</f>
        <v>#N/A</v>
      </c>
      <c r="Q38" s="4" t="e">
        <f>VLOOKUP(I38, FuelTypes!$A$1:$R$12,18,FALSE)*J38</f>
        <v>#N/A</v>
      </c>
      <c r="R38" s="4">
        <f t="shared" si="3"/>
        <v>0</v>
      </c>
      <c r="S38" s="4">
        <f t="shared" si="4"/>
        <v>0</v>
      </c>
      <c r="T38" s="4" t="e">
        <f t="shared" si="5"/>
        <v>#DIV/0!</v>
      </c>
      <c r="U38" s="4" t="e">
        <f t="shared" si="12"/>
        <v>#DIV/0!</v>
      </c>
      <c r="W38" s="3">
        <f>IFERROR(VLOOKUP(I38,FuelTypes!$A$2:$G$40,5,FALSE)*M38,0)</f>
        <v>0</v>
      </c>
      <c r="Y38" s="3">
        <f t="shared" si="10"/>
        <v>0</v>
      </c>
      <c r="Z38" s="3" t="e">
        <f t="shared" si="6"/>
        <v>#DIV/0!</v>
      </c>
      <c r="AB38" s="3">
        <f t="shared" si="11"/>
        <v>0</v>
      </c>
      <c r="AC38" s="3">
        <f t="shared" si="7"/>
        <v>0</v>
      </c>
    </row>
    <row r="39" spans="1:29" x14ac:dyDescent="0.25">
      <c r="A39" s="6" t="s">
        <v>34</v>
      </c>
      <c r="B39" s="6">
        <v>4.5</v>
      </c>
      <c r="C39" s="6">
        <v>0</v>
      </c>
      <c r="D39" s="6">
        <v>0.15</v>
      </c>
      <c r="E39" s="6">
        <v>0.15</v>
      </c>
      <c r="F39" s="6">
        <v>0</v>
      </c>
      <c r="G39" s="6">
        <v>0</v>
      </c>
      <c r="H39" s="6">
        <v>0</v>
      </c>
      <c r="I39" s="6">
        <v>0</v>
      </c>
      <c r="J39" s="4">
        <f t="shared" si="13"/>
        <v>0</v>
      </c>
      <c r="K39" s="4">
        <f t="shared" si="8"/>
        <v>0</v>
      </c>
      <c r="L39" s="4">
        <f t="shared" si="14"/>
        <v>4.5</v>
      </c>
      <c r="M39" s="4">
        <f>IFERROR(VLOOKUP(I39,FuelTypes!$A$1:$B$32,2,FALSE)*J39,0)</f>
        <v>0</v>
      </c>
      <c r="N39" s="4">
        <f t="shared" si="9"/>
        <v>4.5</v>
      </c>
      <c r="O39" s="4">
        <f t="shared" si="15"/>
        <v>0</v>
      </c>
      <c r="P39" s="4" t="e">
        <f>VLOOKUP(I39, FuelTypes!$A$1:$R$12,17,FALSE)*J39</f>
        <v>#N/A</v>
      </c>
      <c r="Q39" s="4" t="e">
        <f>VLOOKUP(I39, FuelTypes!$A$1:$R$12,18,FALSE)*J39</f>
        <v>#N/A</v>
      </c>
      <c r="R39" s="4">
        <f t="shared" si="3"/>
        <v>0</v>
      </c>
      <c r="S39" s="4">
        <f t="shared" si="4"/>
        <v>0</v>
      </c>
      <c r="T39" s="4" t="e">
        <f t="shared" si="5"/>
        <v>#DIV/0!</v>
      </c>
      <c r="U39" s="4" t="e">
        <f t="shared" si="12"/>
        <v>#DIV/0!</v>
      </c>
      <c r="W39" s="3">
        <f>IFERROR(VLOOKUP(I39,FuelTypes!$A$2:$G$40,5,FALSE)*M39,0)</f>
        <v>0</v>
      </c>
      <c r="Y39" s="3">
        <f t="shared" si="10"/>
        <v>0</v>
      </c>
      <c r="Z39" s="3">
        <f t="shared" si="6"/>
        <v>0</v>
      </c>
      <c r="AB39" s="3">
        <f t="shared" si="11"/>
        <v>0</v>
      </c>
      <c r="AC39" s="3">
        <f t="shared" si="7"/>
        <v>0</v>
      </c>
    </row>
    <row r="40" spans="1:29" x14ac:dyDescent="0.25">
      <c r="A40" s="6" t="s">
        <v>29</v>
      </c>
      <c r="B40" s="6">
        <v>0.35</v>
      </c>
      <c r="C40" s="6">
        <v>3.0431300000000001</v>
      </c>
      <c r="D40" s="6">
        <v>0.05</v>
      </c>
      <c r="E40" s="6">
        <v>0.15</v>
      </c>
      <c r="F40" s="6">
        <v>0</v>
      </c>
      <c r="G40" s="6">
        <v>0</v>
      </c>
      <c r="H40" s="6">
        <v>0</v>
      </c>
      <c r="I40" s="6" t="s">
        <v>108</v>
      </c>
      <c r="J40" s="4">
        <f t="shared" si="13"/>
        <v>2.8909735000000003</v>
      </c>
      <c r="K40" s="4">
        <f t="shared" si="8"/>
        <v>0.43364602500000005</v>
      </c>
      <c r="L40" s="4">
        <f t="shared" si="14"/>
        <v>0.78364602500000002</v>
      </c>
      <c r="M40" s="4">
        <f>IFERROR(VLOOKUP(I40,FuelTypes!$A$1:$B$32,2,FALSE)*J40,0)</f>
        <v>2.8909735000000003</v>
      </c>
      <c r="N40" s="4">
        <f t="shared" si="9"/>
        <v>3.6746195250000002</v>
      </c>
      <c r="O40" s="4">
        <f t="shared" si="15"/>
        <v>0.78674090755014969</v>
      </c>
      <c r="P40" s="4">
        <f>VLOOKUP(I40, FuelTypes!$A$1:$R$12,17,FALSE)*J40</f>
        <v>260.18761500000005</v>
      </c>
      <c r="Q40" s="4">
        <f>VLOOKUP(I40, FuelTypes!$A$1:$R$12,18,FALSE)*J40</f>
        <v>318.00708500000002</v>
      </c>
      <c r="R40" s="4">
        <f t="shared" si="3"/>
        <v>0</v>
      </c>
      <c r="S40" s="4">
        <f t="shared" si="4"/>
        <v>0</v>
      </c>
      <c r="T40" s="4" t="e">
        <f t="shared" si="5"/>
        <v>#DIV/0!</v>
      </c>
      <c r="U40" s="4" t="e">
        <f t="shared" si="12"/>
        <v>#DIV/0!</v>
      </c>
      <c r="W40" s="3">
        <f>IFERROR(VLOOKUP(I40,FuelTypes!$A$2:$G$40,5,FALSE)*M40,0)</f>
        <v>132.69568365000001</v>
      </c>
      <c r="Y40" s="3">
        <f t="shared" si="10"/>
        <v>132.69568365000001</v>
      </c>
      <c r="Z40" s="3">
        <f t="shared" si="6"/>
        <v>0</v>
      </c>
      <c r="AB40" s="3">
        <f t="shared" si="11"/>
        <v>0.86956521739130443</v>
      </c>
      <c r="AC40" s="3">
        <f t="shared" si="7"/>
        <v>0.78674090755014969</v>
      </c>
    </row>
    <row r="41" spans="1:29" x14ac:dyDescent="0.25">
      <c r="A41" s="6" t="s">
        <v>32</v>
      </c>
      <c r="B41" s="6">
        <v>0</v>
      </c>
      <c r="C41" s="6">
        <v>16.718599999999999</v>
      </c>
      <c r="D41" s="6">
        <v>0.15</v>
      </c>
      <c r="E41" s="6">
        <v>0.15</v>
      </c>
      <c r="F41" s="6">
        <v>0</v>
      </c>
      <c r="G41" s="6">
        <v>0</v>
      </c>
      <c r="H41" s="6">
        <v>0</v>
      </c>
      <c r="I41" s="6" t="s">
        <v>108</v>
      </c>
      <c r="J41" s="4">
        <f t="shared" si="13"/>
        <v>14.210809999999999</v>
      </c>
      <c r="K41" s="4">
        <f t="shared" si="8"/>
        <v>2.1316214999999996</v>
      </c>
      <c r="L41" s="4">
        <f t="shared" si="14"/>
        <v>2.1316214999999996</v>
      </c>
      <c r="M41" s="4">
        <f>IFERROR(VLOOKUP(I41,FuelTypes!$A$1:$B$32,2,FALSE)*J41,0)</f>
        <v>14.210809999999999</v>
      </c>
      <c r="N41" s="4">
        <f t="shared" si="9"/>
        <v>16.342431499999996</v>
      </c>
      <c r="O41" s="4">
        <f t="shared" si="15"/>
        <v>0.86956521739130443</v>
      </c>
      <c r="P41" s="4">
        <f>VLOOKUP(I41, FuelTypes!$A$1:$R$12,17,FALSE)*J41</f>
        <v>1278.9729</v>
      </c>
      <c r="Q41" s="4">
        <f>VLOOKUP(I41, FuelTypes!$A$1:$R$12,18,FALSE)*J41</f>
        <v>1563.1890999999998</v>
      </c>
      <c r="R41" s="4">
        <f t="shared" si="3"/>
        <v>0</v>
      </c>
      <c r="S41" s="4">
        <f t="shared" si="4"/>
        <v>0</v>
      </c>
      <c r="T41" s="4" t="e">
        <f t="shared" si="5"/>
        <v>#DIV/0!</v>
      </c>
      <c r="U41" s="4" t="e">
        <f t="shared" si="12"/>
        <v>#DIV/0!</v>
      </c>
      <c r="W41" s="3">
        <f>IFERROR(VLOOKUP(I41,FuelTypes!$A$2:$G$40,5,FALSE)*M41,0)</f>
        <v>652.27617899999996</v>
      </c>
      <c r="Y41" s="3">
        <f t="shared" si="10"/>
        <v>652.27617899999996</v>
      </c>
      <c r="Z41" s="3">
        <f t="shared" si="6"/>
        <v>0</v>
      </c>
      <c r="AB41" s="3">
        <f t="shared" si="11"/>
        <v>0.86956521739130443</v>
      </c>
      <c r="AC41" s="3">
        <f t="shared" si="7"/>
        <v>0.86956521739130443</v>
      </c>
    </row>
    <row r="42" spans="1:29" x14ac:dyDescent="0.25">
      <c r="A42" s="6" t="s">
        <v>33</v>
      </c>
      <c r="B42" s="6">
        <v>0</v>
      </c>
      <c r="C42" s="6">
        <v>15.424200000000001</v>
      </c>
      <c r="D42" s="6">
        <v>0.15</v>
      </c>
      <c r="E42" s="6">
        <v>0.15</v>
      </c>
      <c r="F42" s="6">
        <v>0</v>
      </c>
      <c r="G42" s="6">
        <v>0</v>
      </c>
      <c r="H42" s="6">
        <v>0</v>
      </c>
      <c r="I42" s="6" t="s">
        <v>108</v>
      </c>
      <c r="J42" s="4">
        <f t="shared" si="13"/>
        <v>13.110570000000001</v>
      </c>
      <c r="K42" s="4">
        <f t="shared" si="8"/>
        <v>1.9665855000000001</v>
      </c>
      <c r="L42" s="4">
        <f t="shared" si="14"/>
        <v>1.9665855000000001</v>
      </c>
      <c r="M42" s="4">
        <f>IFERROR(VLOOKUP(I42,FuelTypes!$A$1:$B$32,2,FALSE)*J42,0)</f>
        <v>13.110570000000001</v>
      </c>
      <c r="N42" s="4">
        <f t="shared" si="9"/>
        <v>15.077155500000002</v>
      </c>
      <c r="O42" s="4">
        <f t="shared" si="15"/>
        <v>0.86956521739130432</v>
      </c>
      <c r="P42" s="4">
        <f>VLOOKUP(I42, FuelTypes!$A$1:$R$12,17,FALSE)*J42</f>
        <v>1179.9513000000002</v>
      </c>
      <c r="Q42" s="4">
        <f>VLOOKUP(I42, FuelTypes!$A$1:$R$12,18,FALSE)*J42</f>
        <v>1442.1627000000001</v>
      </c>
      <c r="R42" s="4">
        <f t="shared" si="3"/>
        <v>0</v>
      </c>
      <c r="S42" s="4">
        <f t="shared" si="4"/>
        <v>0</v>
      </c>
      <c r="T42" s="4" t="e">
        <f t="shared" si="5"/>
        <v>#DIV/0!</v>
      </c>
      <c r="U42" s="4" t="e">
        <f t="shared" si="12"/>
        <v>#DIV/0!</v>
      </c>
      <c r="W42" s="3">
        <f>IFERROR(VLOOKUP(I42,FuelTypes!$A$2:$G$40,5,FALSE)*M42,0)</f>
        <v>601.77516300000002</v>
      </c>
      <c r="Y42" s="3">
        <f t="shared" si="10"/>
        <v>601.77516300000002</v>
      </c>
      <c r="Z42" s="3">
        <f t="shared" si="6"/>
        <v>0</v>
      </c>
      <c r="AB42" s="3">
        <f t="shared" si="11"/>
        <v>0.86956521739130432</v>
      </c>
      <c r="AC42" s="3">
        <f t="shared" si="7"/>
        <v>0.86956521739130432</v>
      </c>
    </row>
    <row r="43" spans="1:29" x14ac:dyDescent="0.25">
      <c r="A43" s="6" t="s">
        <v>30</v>
      </c>
      <c r="B43" s="6">
        <v>0</v>
      </c>
      <c r="C43" s="6">
        <v>11.541</v>
      </c>
      <c r="D43" s="6">
        <v>0.15</v>
      </c>
      <c r="E43" s="6">
        <v>0.15</v>
      </c>
      <c r="F43" s="6">
        <v>0</v>
      </c>
      <c r="G43" s="6">
        <v>0</v>
      </c>
      <c r="H43" s="6">
        <v>0</v>
      </c>
      <c r="I43" s="6" t="s">
        <v>108</v>
      </c>
      <c r="J43" s="4">
        <f t="shared" si="13"/>
        <v>9.8098500000000008</v>
      </c>
      <c r="K43" s="4">
        <f t="shared" si="8"/>
        <v>1.4714775</v>
      </c>
      <c r="L43" s="4">
        <f t="shared" si="14"/>
        <v>1.4714775</v>
      </c>
      <c r="M43" s="4">
        <f>IFERROR(VLOOKUP(I43,FuelTypes!$A$1:$B$32,2,FALSE)*J43,0)</f>
        <v>9.8098500000000008</v>
      </c>
      <c r="N43" s="4">
        <f t="shared" si="9"/>
        <v>11.281327500000002</v>
      </c>
      <c r="O43" s="4">
        <f t="shared" si="15"/>
        <v>0.86956521739130432</v>
      </c>
      <c r="P43" s="4">
        <f>VLOOKUP(I43, FuelTypes!$A$1:$R$12,17,FALSE)*J43</f>
        <v>882.88650000000007</v>
      </c>
      <c r="Q43" s="4">
        <f>VLOOKUP(I43, FuelTypes!$A$1:$R$12,18,FALSE)*J43</f>
        <v>1079.0835000000002</v>
      </c>
      <c r="R43" s="4">
        <f t="shared" si="3"/>
        <v>0</v>
      </c>
      <c r="S43" s="4">
        <f t="shared" si="4"/>
        <v>0</v>
      </c>
      <c r="T43" s="4" t="e">
        <f t="shared" si="5"/>
        <v>#DIV/0!</v>
      </c>
      <c r="U43" s="4" t="e">
        <f t="shared" si="12"/>
        <v>#DIV/0!</v>
      </c>
      <c r="W43" s="3">
        <f>IFERROR(VLOOKUP(I43,FuelTypes!$A$2:$G$40,5,FALSE)*M43,0)</f>
        <v>450.27211500000004</v>
      </c>
      <c r="Y43" s="3">
        <f t="shared" si="10"/>
        <v>450.27211500000004</v>
      </c>
      <c r="Z43" s="3">
        <f t="shared" si="6"/>
        <v>0</v>
      </c>
      <c r="AB43" s="3">
        <f t="shared" si="11"/>
        <v>0.86956521739130432</v>
      </c>
      <c r="AC43" s="3">
        <f t="shared" si="7"/>
        <v>0.86956521739130432</v>
      </c>
    </row>
    <row r="44" spans="1:29" x14ac:dyDescent="0.25">
      <c r="A44" s="6" t="s">
        <v>31</v>
      </c>
      <c r="B44" s="6">
        <v>0</v>
      </c>
      <c r="C44" s="6">
        <v>5.0688700000000004</v>
      </c>
      <c r="D44" s="6">
        <v>0.15</v>
      </c>
      <c r="E44" s="6">
        <v>0.15</v>
      </c>
      <c r="F44" s="6">
        <v>0</v>
      </c>
      <c r="G44" s="6">
        <v>0</v>
      </c>
      <c r="H44" s="6">
        <v>0</v>
      </c>
      <c r="I44" s="6" t="s">
        <v>108</v>
      </c>
      <c r="J44" s="4">
        <f t="shared" si="13"/>
        <v>4.3085395000000002</v>
      </c>
      <c r="K44" s="4">
        <f t="shared" si="8"/>
        <v>0.64628092500000001</v>
      </c>
      <c r="L44" s="4">
        <f t="shared" si="14"/>
        <v>0.64628092500000001</v>
      </c>
      <c r="M44" s="4">
        <f>IFERROR(VLOOKUP(I44,FuelTypes!$A$1:$B$32,2,FALSE)*J44,0)</f>
        <v>4.3085395000000002</v>
      </c>
      <c r="N44" s="4">
        <f t="shared" si="9"/>
        <v>4.9548204250000003</v>
      </c>
      <c r="O44" s="4">
        <f t="shared" si="15"/>
        <v>0.86956521739130432</v>
      </c>
      <c r="P44" s="4">
        <f>VLOOKUP(I44, FuelTypes!$A$1:$R$12,17,FALSE)*J44</f>
        <v>387.76855499999999</v>
      </c>
      <c r="Q44" s="4">
        <f>VLOOKUP(I44, FuelTypes!$A$1:$R$12,18,FALSE)*J44</f>
        <v>473.939345</v>
      </c>
      <c r="R44" s="4">
        <f t="shared" si="3"/>
        <v>0</v>
      </c>
      <c r="S44" s="4">
        <f t="shared" si="4"/>
        <v>0</v>
      </c>
      <c r="T44" s="4" t="e">
        <f t="shared" si="5"/>
        <v>#DIV/0!</v>
      </c>
      <c r="U44" s="4" t="e">
        <f t="shared" si="12"/>
        <v>#DIV/0!</v>
      </c>
      <c r="W44" s="3">
        <f>IFERROR(VLOOKUP(I44,FuelTypes!$A$2:$G$40,5,FALSE)*M44,0)</f>
        <v>197.76196304999999</v>
      </c>
      <c r="Y44" s="3">
        <f t="shared" si="10"/>
        <v>197.76196304999999</v>
      </c>
      <c r="Z44" s="3">
        <f t="shared" si="6"/>
        <v>0</v>
      </c>
      <c r="AB44" s="3">
        <f t="shared" si="11"/>
        <v>0.86956521739130432</v>
      </c>
      <c r="AC44" s="3">
        <f t="shared" si="7"/>
        <v>0.86956521739130432</v>
      </c>
    </row>
    <row r="45" spans="1:29" x14ac:dyDescent="0.25">
      <c r="A45" s="6" t="s">
        <v>37</v>
      </c>
      <c r="B45" s="6">
        <v>0</v>
      </c>
      <c r="C45" s="6">
        <v>16.718599999999999</v>
      </c>
      <c r="D45" s="6">
        <v>0.15</v>
      </c>
      <c r="E45" s="6">
        <v>0.15</v>
      </c>
      <c r="F45" s="6">
        <v>0</v>
      </c>
      <c r="G45" s="6">
        <v>0</v>
      </c>
      <c r="H45" s="6">
        <v>0</v>
      </c>
      <c r="I45" s="6" t="s">
        <v>108</v>
      </c>
      <c r="J45" s="4">
        <f t="shared" si="13"/>
        <v>14.210809999999999</v>
      </c>
      <c r="K45" s="4">
        <f t="shared" si="8"/>
        <v>2.1316214999999996</v>
      </c>
      <c r="L45" s="4">
        <f t="shared" si="14"/>
        <v>2.1316214999999996</v>
      </c>
      <c r="M45" s="4">
        <f>IFERROR(VLOOKUP(I45,FuelTypes!$A$1:$B$32,2,FALSE)*J45,0)</f>
        <v>14.210809999999999</v>
      </c>
      <c r="N45" s="4">
        <f t="shared" si="9"/>
        <v>16.342431499999996</v>
      </c>
      <c r="O45" s="4">
        <f t="shared" si="15"/>
        <v>0.86956521739130443</v>
      </c>
      <c r="P45" s="4">
        <f>VLOOKUP(I45, FuelTypes!$A$1:$R$12,17,FALSE)*J45</f>
        <v>1278.9729</v>
      </c>
      <c r="Q45" s="4">
        <f>VLOOKUP(I45, FuelTypes!$A$1:$R$12,18,FALSE)*J45</f>
        <v>1563.1890999999998</v>
      </c>
      <c r="R45" s="4">
        <f t="shared" si="3"/>
        <v>0</v>
      </c>
      <c r="S45" s="4">
        <f t="shared" si="4"/>
        <v>0</v>
      </c>
      <c r="T45" s="4" t="e">
        <f t="shared" si="5"/>
        <v>#DIV/0!</v>
      </c>
      <c r="U45" s="4" t="e">
        <f t="shared" si="12"/>
        <v>#DIV/0!</v>
      </c>
      <c r="W45" s="3">
        <f>IFERROR(VLOOKUP(I45,FuelTypes!$A$2:$G$40,5,FALSE)*M45,0)</f>
        <v>652.27617899999996</v>
      </c>
      <c r="Y45" s="3">
        <f t="shared" si="10"/>
        <v>652.27617899999996</v>
      </c>
      <c r="Z45" s="3">
        <f t="shared" si="6"/>
        <v>0</v>
      </c>
      <c r="AB45" s="3">
        <f t="shared" si="11"/>
        <v>0.86956521739130443</v>
      </c>
      <c r="AC45" s="3">
        <f t="shared" si="7"/>
        <v>0.86956521739130443</v>
      </c>
    </row>
    <row r="46" spans="1:29" x14ac:dyDescent="0.25">
      <c r="A46" s="6" t="s">
        <v>15</v>
      </c>
      <c r="B46" s="6">
        <v>1.2</v>
      </c>
      <c r="C46" s="6">
        <v>0</v>
      </c>
      <c r="D46" s="6">
        <v>0.15</v>
      </c>
      <c r="E46" s="6">
        <v>0.15</v>
      </c>
      <c r="F46" s="6">
        <v>350</v>
      </c>
      <c r="G46" s="6">
        <v>160</v>
      </c>
      <c r="H46" s="6">
        <v>200</v>
      </c>
      <c r="I46" s="6"/>
      <c r="J46" s="4">
        <f t="shared" si="13"/>
        <v>0</v>
      </c>
      <c r="K46" s="4">
        <f t="shared" si="8"/>
        <v>0</v>
      </c>
      <c r="L46" s="4">
        <f t="shared" si="14"/>
        <v>1.2</v>
      </c>
      <c r="M46" s="4">
        <f>IFERROR(VLOOKUP(I46,FuelTypes!$A$1:$B$32,2,FALSE)*J46,0)</f>
        <v>0</v>
      </c>
      <c r="N46" s="4">
        <f t="shared" ref="N46:N53" si="16">L46+M46</f>
        <v>1.2</v>
      </c>
      <c r="O46" s="4">
        <f t="shared" si="15"/>
        <v>0</v>
      </c>
      <c r="P46" s="4" t="e">
        <f>VLOOKUP(I46, FuelTypes!$A$1:$R$12,17,FALSE)*J46</f>
        <v>#N/A</v>
      </c>
      <c r="Q46" s="4" t="e">
        <f>VLOOKUP(I46, FuelTypes!$A$1:$R$12,18,FALSE)*J46</f>
        <v>#N/A</v>
      </c>
      <c r="R46" s="4">
        <f t="shared" si="3"/>
        <v>13.333333333333334</v>
      </c>
      <c r="S46" s="4">
        <f t="shared" si="4"/>
        <v>1.5</v>
      </c>
      <c r="T46" s="4">
        <f t="shared" si="5"/>
        <v>4.6599679627202566E-2</v>
      </c>
      <c r="U46" s="4">
        <f t="shared" si="12"/>
        <v>0</v>
      </c>
      <c r="W46" s="3">
        <f>IFERROR(VLOOKUP(I46,FuelTypes!$A$2:$G$40,5,FALSE)*M46,0)</f>
        <v>0</v>
      </c>
      <c r="Y46" s="3">
        <f t="shared" si="10"/>
        <v>0</v>
      </c>
      <c r="Z46" s="3">
        <f t="shared" si="6"/>
        <v>0</v>
      </c>
      <c r="AB46" s="3">
        <f t="shared" si="11"/>
        <v>0</v>
      </c>
      <c r="AC46" s="3">
        <f t="shared" si="7"/>
        <v>0</v>
      </c>
    </row>
    <row r="47" spans="1:29" x14ac:dyDescent="0.25">
      <c r="A47" s="6" t="s">
        <v>16</v>
      </c>
      <c r="B47" s="6">
        <v>4.8</v>
      </c>
      <c r="C47" s="6">
        <v>0</v>
      </c>
      <c r="D47" s="6">
        <v>0.15</v>
      </c>
      <c r="E47" s="6">
        <v>0.15</v>
      </c>
      <c r="F47" s="6">
        <v>350</v>
      </c>
      <c r="G47" s="6">
        <v>480</v>
      </c>
      <c r="H47" s="6">
        <v>150</v>
      </c>
      <c r="I47" s="6"/>
      <c r="J47" s="4">
        <f t="shared" si="13"/>
        <v>0</v>
      </c>
      <c r="K47" s="4">
        <f t="shared" si="8"/>
        <v>0</v>
      </c>
      <c r="L47" s="4">
        <f t="shared" si="14"/>
        <v>4.8</v>
      </c>
      <c r="M47" s="4">
        <f>IFERROR(VLOOKUP(I47,FuelTypes!$A$1:$B$32,2,FALSE)*J47,0)</f>
        <v>0</v>
      </c>
      <c r="N47" s="4">
        <f t="shared" si="16"/>
        <v>4.8</v>
      </c>
      <c r="O47" s="4">
        <f t="shared" si="15"/>
        <v>0</v>
      </c>
      <c r="P47" s="4" t="e">
        <f>VLOOKUP(I47, FuelTypes!$A$1:$R$12,17,FALSE)*J47</f>
        <v>#N/A</v>
      </c>
      <c r="Q47" s="4" t="e">
        <f>VLOOKUP(I47, FuelTypes!$A$1:$R$12,18,FALSE)*J47</f>
        <v>#N/A</v>
      </c>
      <c r="R47" s="4">
        <f t="shared" si="3"/>
        <v>10</v>
      </c>
      <c r="S47" s="4">
        <f t="shared" si="4"/>
        <v>1.5</v>
      </c>
      <c r="T47" s="4">
        <f t="shared" si="5"/>
        <v>0.13979903888160769</v>
      </c>
      <c r="U47" s="4">
        <f t="shared" si="12"/>
        <v>0</v>
      </c>
      <c r="W47" s="3">
        <f>IFERROR(VLOOKUP(I47,FuelTypes!$A$2:$G$40,5,FALSE)*M47,0)</f>
        <v>0</v>
      </c>
      <c r="Y47" s="3">
        <f t="shared" si="10"/>
        <v>0</v>
      </c>
      <c r="Z47" s="3">
        <f t="shared" si="6"/>
        <v>0</v>
      </c>
      <c r="AB47" s="3">
        <f t="shared" si="11"/>
        <v>0</v>
      </c>
      <c r="AC47" s="3">
        <f t="shared" si="7"/>
        <v>0</v>
      </c>
    </row>
    <row r="48" spans="1:29" x14ac:dyDescent="0.25">
      <c r="A48" s="6" t="s">
        <v>53</v>
      </c>
      <c r="B48" s="6">
        <v>0</v>
      </c>
      <c r="C48" s="6">
        <v>0</v>
      </c>
      <c r="D48" s="6">
        <v>0.15</v>
      </c>
      <c r="E48" s="6">
        <v>0.15</v>
      </c>
      <c r="F48" s="6">
        <v>350</v>
      </c>
      <c r="G48" s="6">
        <v>480</v>
      </c>
      <c r="H48" s="6">
        <v>300</v>
      </c>
      <c r="I48" s="6"/>
      <c r="J48" s="4">
        <f t="shared" si="13"/>
        <v>0</v>
      </c>
      <c r="K48" s="4">
        <f t="shared" si="8"/>
        <v>0</v>
      </c>
      <c r="L48" s="4">
        <f t="shared" si="14"/>
        <v>0</v>
      </c>
      <c r="M48" s="4">
        <f>IFERROR(VLOOKUP(I48,FuelTypes!$A$1:$B$32,2,FALSE)*J48,0)</f>
        <v>0</v>
      </c>
      <c r="N48" s="4">
        <f t="shared" si="16"/>
        <v>0</v>
      </c>
      <c r="O48" s="4">
        <f t="shared" si="15"/>
        <v>0</v>
      </c>
      <c r="P48" s="4" t="e">
        <f>VLOOKUP(I48, FuelTypes!$A$1:$R$12,17,FALSE)*J48</f>
        <v>#N/A</v>
      </c>
      <c r="Q48" s="4" t="e">
        <f>VLOOKUP(I48, FuelTypes!$A$1:$R$12,18,FALSE)*J48</f>
        <v>#N/A</v>
      </c>
      <c r="R48" s="4">
        <f t="shared" si="3"/>
        <v>0</v>
      </c>
      <c r="S48" s="4">
        <f t="shared" si="4"/>
        <v>0</v>
      </c>
      <c r="T48" s="4">
        <f t="shared" si="5"/>
        <v>0.13979903888160769</v>
      </c>
      <c r="U48" s="4">
        <f t="shared" si="12"/>
        <v>0</v>
      </c>
      <c r="W48" s="3">
        <f>IFERROR(VLOOKUP(I48,FuelTypes!$A$2:$G$40,5,FALSE)*M48,0)</f>
        <v>0</v>
      </c>
      <c r="Y48" s="3">
        <f t="shared" si="10"/>
        <v>0</v>
      </c>
      <c r="Z48" s="3" t="e">
        <f t="shared" si="6"/>
        <v>#DIV/0!</v>
      </c>
      <c r="AB48" s="3">
        <f t="shared" si="11"/>
        <v>0</v>
      </c>
      <c r="AC48" s="3">
        <f t="shared" si="7"/>
        <v>0</v>
      </c>
    </row>
    <row r="49" spans="1:29" x14ac:dyDescent="0.25">
      <c r="A49" s="6" t="s">
        <v>54</v>
      </c>
      <c r="B49" s="6">
        <v>0</v>
      </c>
      <c r="C49" s="6">
        <v>0</v>
      </c>
      <c r="D49" s="6">
        <v>0.15</v>
      </c>
      <c r="E49" s="6">
        <v>0.15</v>
      </c>
      <c r="F49" s="6">
        <v>0</v>
      </c>
      <c r="G49" s="6">
        <v>0</v>
      </c>
      <c r="H49" s="6">
        <v>0</v>
      </c>
      <c r="I49" s="6"/>
      <c r="J49" s="4">
        <f t="shared" si="13"/>
        <v>0</v>
      </c>
      <c r="K49" s="4">
        <f t="shared" si="8"/>
        <v>0</v>
      </c>
      <c r="L49" s="4">
        <f t="shared" si="14"/>
        <v>0</v>
      </c>
      <c r="M49" s="4">
        <f>IFERROR(VLOOKUP(I49,FuelTypes!$A$1:$B$32,2,FALSE)*J49,0)</f>
        <v>0</v>
      </c>
      <c r="N49" s="4">
        <f t="shared" si="16"/>
        <v>0</v>
      </c>
      <c r="O49" s="4">
        <f t="shared" si="15"/>
        <v>0</v>
      </c>
      <c r="P49" s="4" t="e">
        <f>VLOOKUP(I49, FuelTypes!$A$1:$R$12,17,FALSE)*J49</f>
        <v>#N/A</v>
      </c>
      <c r="Q49" s="4" t="e">
        <f>VLOOKUP(I49, FuelTypes!$A$1:$R$12,18,FALSE)*J49</f>
        <v>#N/A</v>
      </c>
      <c r="R49" s="4">
        <f t="shared" si="3"/>
        <v>0</v>
      </c>
      <c r="S49" s="4">
        <f t="shared" si="4"/>
        <v>0</v>
      </c>
      <c r="T49" s="4" t="e">
        <f t="shared" si="5"/>
        <v>#DIV/0!</v>
      </c>
      <c r="U49" s="4" t="e">
        <f t="shared" si="12"/>
        <v>#DIV/0!</v>
      </c>
      <c r="W49" s="3">
        <f>IFERROR(VLOOKUP(I49,FuelTypes!$A$2:$G$40,5,FALSE)*M49,0)</f>
        <v>0</v>
      </c>
      <c r="Y49" s="3">
        <f t="shared" si="10"/>
        <v>0</v>
      </c>
      <c r="Z49" s="3" t="e">
        <f t="shared" si="6"/>
        <v>#DIV/0!</v>
      </c>
      <c r="AB49" s="3">
        <f t="shared" si="11"/>
        <v>0</v>
      </c>
      <c r="AC49" s="3">
        <f t="shared" si="7"/>
        <v>0</v>
      </c>
    </row>
    <row r="50" spans="1:29" x14ac:dyDescent="0.25">
      <c r="A50" s="6" t="s">
        <v>38</v>
      </c>
      <c r="B50" s="6">
        <v>0.6</v>
      </c>
      <c r="C50" s="6">
        <v>0</v>
      </c>
      <c r="D50" s="6">
        <v>0.15</v>
      </c>
      <c r="E50" s="6">
        <v>0.15</v>
      </c>
      <c r="F50" s="6">
        <v>0</v>
      </c>
      <c r="G50" s="6">
        <v>0</v>
      </c>
      <c r="H50" s="6">
        <v>0</v>
      </c>
      <c r="I50" s="6"/>
      <c r="J50" s="4">
        <f t="shared" si="13"/>
        <v>0</v>
      </c>
      <c r="K50" s="4">
        <f t="shared" si="8"/>
        <v>0</v>
      </c>
      <c r="L50" s="4">
        <f t="shared" si="14"/>
        <v>0.6</v>
      </c>
      <c r="M50" s="4">
        <f>IFERROR(VLOOKUP(I50,FuelTypes!$A$1:$B$32,2,FALSE)*J50,0)</f>
        <v>0</v>
      </c>
      <c r="N50" s="4">
        <f t="shared" si="16"/>
        <v>0.6</v>
      </c>
      <c r="O50" s="4">
        <f t="shared" si="15"/>
        <v>0</v>
      </c>
      <c r="P50" s="4" t="e">
        <f>VLOOKUP(I50, FuelTypes!$A$1:$R$12,17,FALSE)*J50</f>
        <v>#N/A</v>
      </c>
      <c r="Q50" s="4" t="e">
        <f>VLOOKUP(I50, FuelTypes!$A$1:$R$12,18,FALSE)*J50</f>
        <v>#N/A</v>
      </c>
      <c r="R50" s="4">
        <f t="shared" si="3"/>
        <v>0</v>
      </c>
      <c r="S50" s="4">
        <f t="shared" si="4"/>
        <v>0</v>
      </c>
      <c r="T50" s="4" t="e">
        <f t="shared" si="5"/>
        <v>#DIV/0!</v>
      </c>
      <c r="U50" s="4" t="e">
        <f t="shared" si="12"/>
        <v>#DIV/0!</v>
      </c>
      <c r="W50" s="3">
        <f>IFERROR(VLOOKUP(I50,FuelTypes!$A$2:$G$40,5,FALSE)*M50,0)</f>
        <v>0</v>
      </c>
      <c r="Y50" s="3">
        <f t="shared" si="10"/>
        <v>0</v>
      </c>
      <c r="Z50" s="3">
        <f t="shared" si="6"/>
        <v>0</v>
      </c>
      <c r="AB50" s="3">
        <f t="shared" si="11"/>
        <v>0</v>
      </c>
      <c r="AC50" s="3">
        <f t="shared" si="7"/>
        <v>0</v>
      </c>
    </row>
    <row r="51" spans="1:29" x14ac:dyDescent="0.25">
      <c r="A51" s="6" t="s">
        <v>55</v>
      </c>
      <c r="B51" s="6">
        <v>0.4</v>
      </c>
      <c r="C51" s="6">
        <v>0</v>
      </c>
      <c r="D51" s="6">
        <v>0.15</v>
      </c>
      <c r="E51" s="6">
        <v>0.15</v>
      </c>
      <c r="F51" s="6">
        <v>0</v>
      </c>
      <c r="G51" s="6">
        <v>0</v>
      </c>
      <c r="H51" s="6">
        <v>0</v>
      </c>
      <c r="I51" s="6"/>
      <c r="J51" s="4">
        <f t="shared" si="13"/>
        <v>0</v>
      </c>
      <c r="K51" s="4">
        <f t="shared" si="8"/>
        <v>0</v>
      </c>
      <c r="L51" s="4">
        <f t="shared" si="14"/>
        <v>0.4</v>
      </c>
      <c r="M51" s="4">
        <f>IFERROR(VLOOKUP(I51,FuelTypes!$A$1:$B$32,2,FALSE)*J51,0)</f>
        <v>0</v>
      </c>
      <c r="N51" s="4">
        <f t="shared" si="16"/>
        <v>0.4</v>
      </c>
      <c r="O51" s="4">
        <f t="shared" si="15"/>
        <v>0</v>
      </c>
      <c r="P51" s="4" t="e">
        <f>VLOOKUP(I51, FuelTypes!$A$1:$R$12,17,FALSE)*J51</f>
        <v>#N/A</v>
      </c>
      <c r="Q51" s="4" t="e">
        <f>VLOOKUP(I51, FuelTypes!$A$1:$R$12,18,FALSE)*J51</f>
        <v>#N/A</v>
      </c>
      <c r="R51" s="4">
        <f t="shared" si="3"/>
        <v>0</v>
      </c>
      <c r="S51" s="4">
        <f t="shared" si="4"/>
        <v>0</v>
      </c>
      <c r="T51" s="4" t="e">
        <f t="shared" si="5"/>
        <v>#DIV/0!</v>
      </c>
      <c r="U51" s="4" t="e">
        <f t="shared" si="12"/>
        <v>#DIV/0!</v>
      </c>
      <c r="W51" s="3">
        <f>IFERROR(VLOOKUP(I51,FuelTypes!$A$2:$G$40,5,FALSE)*M51,0)</f>
        <v>0</v>
      </c>
      <c r="Y51" s="3">
        <f t="shared" si="10"/>
        <v>0</v>
      </c>
      <c r="Z51" s="3">
        <f t="shared" si="6"/>
        <v>0</v>
      </c>
      <c r="AB51" s="3">
        <f t="shared" si="11"/>
        <v>0</v>
      </c>
      <c r="AC51" s="3">
        <f t="shared" si="7"/>
        <v>0</v>
      </c>
    </row>
    <row r="52" spans="1:29" x14ac:dyDescent="0.25">
      <c r="A52" s="6" t="s">
        <v>56</v>
      </c>
      <c r="B52" s="6">
        <v>0.1</v>
      </c>
      <c r="C52" s="6">
        <v>0</v>
      </c>
      <c r="D52" s="6">
        <v>0.15</v>
      </c>
      <c r="E52" s="6">
        <v>0.15</v>
      </c>
      <c r="F52" s="6">
        <v>0</v>
      </c>
      <c r="G52" s="6">
        <v>0</v>
      </c>
      <c r="H52" s="6">
        <v>0</v>
      </c>
      <c r="I52" s="6"/>
      <c r="J52" s="4">
        <f t="shared" si="13"/>
        <v>0</v>
      </c>
      <c r="K52" s="4">
        <f t="shared" si="8"/>
        <v>0</v>
      </c>
      <c r="L52" s="4">
        <f t="shared" si="14"/>
        <v>0.1</v>
      </c>
      <c r="M52" s="4">
        <f>IFERROR(VLOOKUP(I52,FuelTypes!$A$1:$B$32,2,FALSE)*J52,0)</f>
        <v>0</v>
      </c>
      <c r="N52" s="4">
        <f t="shared" si="16"/>
        <v>0.1</v>
      </c>
      <c r="O52" s="4">
        <f t="shared" si="15"/>
        <v>0</v>
      </c>
      <c r="P52" s="4" t="e">
        <f>VLOOKUP(I52, FuelTypes!$A$1:$R$12,17,FALSE)*J52</f>
        <v>#N/A</v>
      </c>
      <c r="Q52" s="4" t="e">
        <f>VLOOKUP(I52, FuelTypes!$A$1:$R$12,18,FALSE)*J52</f>
        <v>#N/A</v>
      </c>
      <c r="R52" s="4">
        <f t="shared" si="3"/>
        <v>0</v>
      </c>
      <c r="S52" s="4">
        <f t="shared" si="4"/>
        <v>0</v>
      </c>
      <c r="T52" s="4" t="e">
        <f t="shared" si="5"/>
        <v>#DIV/0!</v>
      </c>
      <c r="U52" s="4" t="e">
        <f t="shared" si="12"/>
        <v>#DIV/0!</v>
      </c>
      <c r="W52" s="3">
        <f>IFERROR(VLOOKUP(I52,FuelTypes!$A$2:$G$40,5,FALSE)*M52,0)</f>
        <v>0</v>
      </c>
      <c r="Y52" s="3">
        <f t="shared" si="10"/>
        <v>0</v>
      </c>
      <c r="Z52" s="3">
        <f t="shared" si="6"/>
        <v>0</v>
      </c>
      <c r="AB52" s="3">
        <f t="shared" si="11"/>
        <v>0</v>
      </c>
      <c r="AC52" s="3">
        <f t="shared" si="7"/>
        <v>0</v>
      </c>
    </row>
    <row r="53" spans="1:29" x14ac:dyDescent="0.25">
      <c r="A53" s="6" t="s">
        <v>57</v>
      </c>
      <c r="B53" s="6">
        <v>0.1</v>
      </c>
      <c r="C53" s="6">
        <v>0</v>
      </c>
      <c r="D53" s="6">
        <v>0.15</v>
      </c>
      <c r="E53" s="6">
        <v>0.15</v>
      </c>
      <c r="F53" s="6">
        <v>0</v>
      </c>
      <c r="G53" s="6">
        <v>0</v>
      </c>
      <c r="H53" s="6">
        <v>0</v>
      </c>
      <c r="I53" s="6"/>
      <c r="J53" s="4">
        <f t="shared" si="13"/>
        <v>0</v>
      </c>
      <c r="K53" s="4">
        <f t="shared" si="8"/>
        <v>0</v>
      </c>
      <c r="L53" s="4">
        <f t="shared" si="14"/>
        <v>0.1</v>
      </c>
      <c r="M53" s="4">
        <f>IFERROR(VLOOKUP(I53,FuelTypes!$A$1:$B$32,2,FALSE)*J53,0)</f>
        <v>0</v>
      </c>
      <c r="N53" s="4">
        <f t="shared" si="16"/>
        <v>0.1</v>
      </c>
      <c r="O53" s="4">
        <f t="shared" si="15"/>
        <v>0</v>
      </c>
      <c r="P53" s="4" t="e">
        <f>VLOOKUP(I53, FuelTypes!$A$1:$R$12,17,FALSE)*J53</f>
        <v>#N/A</v>
      </c>
      <c r="Q53" s="4" t="e">
        <f>VLOOKUP(I53, FuelTypes!$A$1:$R$12,18,FALSE)*J53</f>
        <v>#N/A</v>
      </c>
      <c r="R53" s="4">
        <f t="shared" si="3"/>
        <v>0</v>
      </c>
      <c r="S53" s="4">
        <f t="shared" si="4"/>
        <v>0</v>
      </c>
      <c r="T53" s="4" t="e">
        <f t="shared" si="5"/>
        <v>#DIV/0!</v>
      </c>
      <c r="U53" s="4" t="e">
        <f t="shared" si="12"/>
        <v>#DIV/0!</v>
      </c>
      <c r="W53" s="3">
        <f>IFERROR(VLOOKUP(I53,FuelTypes!$A$2:$G$40,5,FALSE)*M53,0)</f>
        <v>0</v>
      </c>
      <c r="Y53" s="3">
        <f t="shared" si="10"/>
        <v>0</v>
      </c>
      <c r="Z53" s="3">
        <f t="shared" si="6"/>
        <v>0</v>
      </c>
      <c r="AB53" s="3">
        <f t="shared" si="11"/>
        <v>0</v>
      </c>
      <c r="AC53" s="3">
        <f t="shared" si="7"/>
        <v>0</v>
      </c>
    </row>
    <row r="54" spans="1:29" x14ac:dyDescent="0.25">
      <c r="A54" s="6"/>
      <c r="B54" s="6"/>
      <c r="C54" s="6"/>
      <c r="D54" s="6"/>
      <c r="E54" s="6">
        <v>0.15</v>
      </c>
      <c r="F54" s="6"/>
      <c r="G54" s="6"/>
      <c r="H54" s="6"/>
      <c r="I54" s="6"/>
      <c r="J54" s="4">
        <f t="shared" si="13"/>
        <v>0</v>
      </c>
      <c r="K54" s="4">
        <f t="shared" si="8"/>
        <v>0</v>
      </c>
      <c r="L54" s="4">
        <f t="shared" si="14"/>
        <v>0</v>
      </c>
      <c r="M54" s="4">
        <f>IFERROR(VLOOKUP(I54,FuelTypes!$A$1:$B$32,2,FALSE)*J54,0)</f>
        <v>0</v>
      </c>
      <c r="N54" s="4">
        <f t="shared" ref="N54:N117" si="17">L54+M54</f>
        <v>0</v>
      </c>
      <c r="O54" s="4">
        <f t="shared" si="15"/>
        <v>0</v>
      </c>
      <c r="P54" s="4" t="e">
        <f>VLOOKUP(I54, FuelTypes!$A$1:$R$12,17,FALSE)*J54</f>
        <v>#N/A</v>
      </c>
      <c r="Q54" s="4" t="e">
        <f>VLOOKUP(I54, FuelTypes!$A$1:$R$12,18,FALSE)*J54</f>
        <v>#N/A</v>
      </c>
      <c r="R54" s="4">
        <f t="shared" si="3"/>
        <v>0</v>
      </c>
      <c r="S54" s="4">
        <f t="shared" si="4"/>
        <v>0</v>
      </c>
      <c r="T54" s="4" t="e">
        <f t="shared" si="5"/>
        <v>#DIV/0!</v>
      </c>
      <c r="U54" s="4" t="e">
        <f t="shared" si="12"/>
        <v>#DIV/0!</v>
      </c>
      <c r="W54" s="3">
        <f>IFERROR(VLOOKUP(I54,FuelTypes!$A$2:$G$40,5,FALSE)*M54,0)</f>
        <v>0</v>
      </c>
      <c r="Y54" s="3">
        <f t="shared" si="10"/>
        <v>0</v>
      </c>
      <c r="Z54" s="3" t="e">
        <f t="shared" si="6"/>
        <v>#DIV/0!</v>
      </c>
      <c r="AB54" s="3">
        <f t="shared" si="11"/>
        <v>0</v>
      </c>
      <c r="AC54" s="3">
        <f t="shared" si="7"/>
        <v>0</v>
      </c>
    </row>
    <row r="55" spans="1:29" x14ac:dyDescent="0.25">
      <c r="A55" s="6" t="s">
        <v>61</v>
      </c>
      <c r="B55" s="6">
        <v>1.25</v>
      </c>
      <c r="C55" s="6">
        <v>0</v>
      </c>
      <c r="D55" s="6">
        <v>0.15</v>
      </c>
      <c r="E55" s="6">
        <v>0.15</v>
      </c>
      <c r="F55" s="6">
        <v>0</v>
      </c>
      <c r="G55" s="6">
        <v>0</v>
      </c>
      <c r="H55" s="6">
        <v>0</v>
      </c>
      <c r="I55" s="6"/>
      <c r="J55" s="4">
        <f t="shared" si="13"/>
        <v>0</v>
      </c>
      <c r="K55" s="4">
        <f t="shared" si="8"/>
        <v>0</v>
      </c>
      <c r="L55" s="4">
        <f t="shared" si="14"/>
        <v>1.25</v>
      </c>
      <c r="M55" s="4">
        <f>IFERROR(VLOOKUP(I55,FuelTypes!$A$1:$B$32,2,FALSE)*J55,0)</f>
        <v>0</v>
      </c>
      <c r="N55" s="4">
        <f t="shared" si="17"/>
        <v>1.25</v>
      </c>
      <c r="O55" s="4">
        <f t="shared" si="15"/>
        <v>0</v>
      </c>
      <c r="P55" s="4" t="e">
        <f>VLOOKUP(I55, FuelTypes!$A$1:$R$12,17,FALSE)*J55</f>
        <v>#N/A</v>
      </c>
      <c r="Q55" s="4" t="e">
        <f>VLOOKUP(I55, FuelTypes!$A$1:$R$12,18,FALSE)*J55</f>
        <v>#N/A</v>
      </c>
      <c r="R55" s="4">
        <f t="shared" si="3"/>
        <v>0</v>
      </c>
      <c r="S55" s="4">
        <f t="shared" si="4"/>
        <v>0</v>
      </c>
      <c r="T55" s="4" t="e">
        <f t="shared" si="5"/>
        <v>#DIV/0!</v>
      </c>
      <c r="U55" s="4" t="e">
        <f t="shared" si="12"/>
        <v>#DIV/0!</v>
      </c>
      <c r="W55" s="3">
        <f>IFERROR(VLOOKUP(I55,FuelTypes!$A$2:$G$40,5,FALSE)*M55,0)</f>
        <v>0</v>
      </c>
      <c r="Y55" s="3">
        <f t="shared" si="10"/>
        <v>0</v>
      </c>
      <c r="Z55" s="3">
        <f t="shared" si="6"/>
        <v>0</v>
      </c>
      <c r="AB55" s="3">
        <f t="shared" si="11"/>
        <v>0</v>
      </c>
      <c r="AC55" s="3">
        <f t="shared" si="7"/>
        <v>0</v>
      </c>
    </row>
    <row r="56" spans="1:29" x14ac:dyDescent="0.25">
      <c r="A56" s="6" t="s">
        <v>62</v>
      </c>
      <c r="B56" s="6">
        <v>4.5999999999999996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/>
      <c r="J56" s="4">
        <f t="shared" ref="J56:J57" si="18">C56 - (D56*C56)</f>
        <v>0</v>
      </c>
      <c r="K56" s="4">
        <f t="shared" si="8"/>
        <v>0</v>
      </c>
      <c r="L56" s="4">
        <f t="shared" si="14"/>
        <v>4.5999999999999996</v>
      </c>
      <c r="M56" s="4">
        <f>IFERROR(VLOOKUP(I56,FuelTypes!$A$1:$B$32,2,FALSE)*J56,0)</f>
        <v>0</v>
      </c>
      <c r="N56" s="4">
        <f t="shared" si="17"/>
        <v>4.5999999999999996</v>
      </c>
      <c r="O56" s="4">
        <f t="shared" si="15"/>
        <v>0</v>
      </c>
      <c r="P56" s="4" t="e">
        <f>VLOOKUP(I56, FuelTypes!$A$1:$R$12,17,FALSE)*J56</f>
        <v>#N/A</v>
      </c>
      <c r="Q56" s="4" t="e">
        <f>VLOOKUP(I56, FuelTypes!$A$1:$R$12,18,FALSE)*J56</f>
        <v>#N/A</v>
      </c>
      <c r="R56" s="4">
        <f t="shared" si="3"/>
        <v>0</v>
      </c>
      <c r="S56" s="4">
        <f t="shared" si="4"/>
        <v>0</v>
      </c>
      <c r="T56" s="4" t="e">
        <f t="shared" si="5"/>
        <v>#DIV/0!</v>
      </c>
      <c r="U56" s="4" t="e">
        <f t="shared" si="12"/>
        <v>#DIV/0!</v>
      </c>
      <c r="W56" s="3">
        <f>IFERROR(VLOOKUP(I56,FuelTypes!$A$2:$G$40,5,FALSE)*M56,0)</f>
        <v>0</v>
      </c>
      <c r="Y56" s="3">
        <f t="shared" si="10"/>
        <v>0</v>
      </c>
      <c r="Z56" s="3">
        <f t="shared" si="6"/>
        <v>0</v>
      </c>
      <c r="AB56" s="3">
        <f t="shared" si="11"/>
        <v>0</v>
      </c>
      <c r="AC56" s="3">
        <f t="shared" si="7"/>
        <v>0</v>
      </c>
    </row>
    <row r="57" spans="1:29" x14ac:dyDescent="0.25">
      <c r="A57" s="6" t="s">
        <v>202</v>
      </c>
      <c r="B57" s="6">
        <v>4.2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/>
      <c r="J57" s="4">
        <f t="shared" si="18"/>
        <v>0</v>
      </c>
      <c r="K57" s="4">
        <f t="shared" si="8"/>
        <v>0</v>
      </c>
      <c r="L57" s="4">
        <f t="shared" si="14"/>
        <v>4.2</v>
      </c>
      <c r="M57" s="4">
        <f>IFERROR(VLOOKUP(I57,FuelTypes!$A$1:$B$32,2,FALSE)*J57,0)</f>
        <v>0</v>
      </c>
      <c r="N57" s="4">
        <f t="shared" si="17"/>
        <v>4.2</v>
      </c>
      <c r="O57" s="4">
        <f t="shared" si="15"/>
        <v>0</v>
      </c>
      <c r="P57" s="4" t="e">
        <f>VLOOKUP(I57, FuelTypes!$A$1:$R$12,17,FALSE)*J57</f>
        <v>#N/A</v>
      </c>
      <c r="Q57" s="4" t="e">
        <f>VLOOKUP(I57, FuelTypes!$A$1:$R$12,18,FALSE)*J57</f>
        <v>#N/A</v>
      </c>
      <c r="R57" s="4">
        <f t="shared" si="3"/>
        <v>0</v>
      </c>
      <c r="S57" s="4">
        <f t="shared" si="4"/>
        <v>0</v>
      </c>
      <c r="T57" s="4" t="e">
        <f t="shared" si="5"/>
        <v>#DIV/0!</v>
      </c>
      <c r="U57" s="4" t="e">
        <f t="shared" si="12"/>
        <v>#DIV/0!</v>
      </c>
      <c r="W57" s="3">
        <f>IFERROR(VLOOKUP(I57,FuelTypes!$A$2:$G$40,5,FALSE)*M57,0)</f>
        <v>0</v>
      </c>
      <c r="Y57" s="3">
        <f t="shared" si="10"/>
        <v>0</v>
      </c>
      <c r="Z57" s="3">
        <f t="shared" si="6"/>
        <v>0</v>
      </c>
      <c r="AB57" s="3">
        <f t="shared" si="11"/>
        <v>0</v>
      </c>
      <c r="AC57" s="3">
        <f t="shared" si="7"/>
        <v>0</v>
      </c>
    </row>
    <row r="58" spans="1:29" x14ac:dyDescent="0.25">
      <c r="A58" s="6" t="s">
        <v>63</v>
      </c>
      <c r="B58" s="6">
        <v>2.7</v>
      </c>
      <c r="C58" s="6">
        <v>4.0999999999999996</v>
      </c>
      <c r="D58" s="6">
        <v>0</v>
      </c>
      <c r="E58" s="6">
        <v>0</v>
      </c>
      <c r="F58" s="6">
        <v>313</v>
      </c>
      <c r="G58" s="6">
        <v>11</v>
      </c>
      <c r="H58" s="6">
        <v>6</v>
      </c>
      <c r="I58" s="6" t="s">
        <v>109</v>
      </c>
      <c r="J58" s="4">
        <f t="shared" si="13"/>
        <v>4.0999999999999996</v>
      </c>
      <c r="K58" s="4">
        <f t="shared" si="8"/>
        <v>0</v>
      </c>
      <c r="L58" s="4">
        <f t="shared" si="14"/>
        <v>2.7</v>
      </c>
      <c r="M58" s="4">
        <f>IFERROR(VLOOKUP(I58,FuelTypes!$A$1:$B$32,2,FALSE)*J58,0)</f>
        <v>3.28</v>
      </c>
      <c r="N58" s="4">
        <f t="shared" si="17"/>
        <v>5.98</v>
      </c>
      <c r="O58" s="4">
        <f t="shared" si="15"/>
        <v>0.54849498327759194</v>
      </c>
      <c r="P58" s="4">
        <f>VLOOKUP(I58, FuelTypes!$A$1:$R$12,17,FALSE)*J58</f>
        <v>819.99999999999989</v>
      </c>
      <c r="Q58" s="4">
        <f>VLOOKUP(I58, FuelTypes!$A$1:$R$12,18,FALSE)*J58</f>
        <v>0</v>
      </c>
      <c r="R58" s="4">
        <f t="shared" si="3"/>
        <v>0.18394648829431437</v>
      </c>
      <c r="S58" s="4">
        <f t="shared" si="4"/>
        <v>1.4727272727272727</v>
      </c>
      <c r="T58" s="4">
        <f t="shared" si="5"/>
        <v>3.5824434218196858E-3</v>
      </c>
      <c r="U58" s="4">
        <f t="shared" si="12"/>
        <v>915.57621818181815</v>
      </c>
      <c r="W58" s="3">
        <f>IFERROR(VLOOKUP(I58,FuelTypes!$A$2:$G$40,5,FALSE)*M58,0)</f>
        <v>787.19999999999993</v>
      </c>
      <c r="Y58" s="3">
        <f t="shared" si="10"/>
        <v>787.19999999999993</v>
      </c>
      <c r="Z58" s="3">
        <f t="shared" si="6"/>
        <v>0</v>
      </c>
      <c r="AB58" s="3">
        <f t="shared" si="11"/>
        <v>1</v>
      </c>
      <c r="AC58" s="3">
        <f t="shared" si="7"/>
        <v>0.54849498327759194</v>
      </c>
    </row>
    <row r="59" spans="1:29" x14ac:dyDescent="0.25">
      <c r="A59" s="6" t="s">
        <v>64</v>
      </c>
      <c r="B59" s="6">
        <v>0.68</v>
      </c>
      <c r="C59" s="6">
        <v>37</v>
      </c>
      <c r="D59" s="6">
        <v>0.15</v>
      </c>
      <c r="E59" s="6">
        <v>0.15</v>
      </c>
      <c r="F59" s="6">
        <v>345</v>
      </c>
      <c r="G59" s="6">
        <v>67.5</v>
      </c>
      <c r="H59" s="6">
        <v>11</v>
      </c>
      <c r="I59" s="6" t="s">
        <v>108</v>
      </c>
      <c r="J59" s="4">
        <f t="shared" si="13"/>
        <v>31.45</v>
      </c>
      <c r="K59" s="4">
        <f t="shared" si="8"/>
        <v>4.7174999999999994</v>
      </c>
      <c r="L59" s="4">
        <f t="shared" si="14"/>
        <v>5.3974999999999991</v>
      </c>
      <c r="M59" s="4">
        <f>IFERROR(VLOOKUP(I59,FuelTypes!$A$1:$B$32,2,FALSE)*J59,0)</f>
        <v>31.45</v>
      </c>
      <c r="N59" s="4">
        <f t="shared" si="17"/>
        <v>36.847499999999997</v>
      </c>
      <c r="O59" s="4">
        <f t="shared" si="15"/>
        <v>0.85351787773933108</v>
      </c>
      <c r="P59" s="4">
        <f>VLOOKUP(I59, FuelTypes!$A$1:$R$12,17,FALSE)*J59</f>
        <v>2830.5</v>
      </c>
      <c r="Q59" s="4">
        <f>VLOOKUP(I59, FuelTypes!$A$1:$R$12,18,FALSE)*J59</f>
        <v>3459.5</v>
      </c>
      <c r="R59" s="4">
        <f t="shared" si="3"/>
        <v>0.18318746183594548</v>
      </c>
      <c r="S59" s="4">
        <f t="shared" si="4"/>
        <v>0.87959259259259248</v>
      </c>
      <c r="T59" s="4">
        <f t="shared" si="5"/>
        <v>1.994415636218588E-2</v>
      </c>
      <c r="U59" s="4">
        <f t="shared" si="12"/>
        <v>1576.903</v>
      </c>
      <c r="W59" s="3">
        <f>IFERROR(VLOOKUP(I59,FuelTypes!$A$2:$G$40,5,FALSE)*M59,0)</f>
        <v>1443.5549999999998</v>
      </c>
      <c r="Y59" s="3">
        <f t="shared" si="10"/>
        <v>1443.5549999999998</v>
      </c>
      <c r="Z59" s="3">
        <f t="shared" si="6"/>
        <v>0</v>
      </c>
      <c r="AB59" s="3">
        <f t="shared" si="11"/>
        <v>0.86956521739130443</v>
      </c>
      <c r="AC59" s="3">
        <f t="shared" si="7"/>
        <v>0.85351787773933108</v>
      </c>
    </row>
    <row r="60" spans="1:29" x14ac:dyDescent="0.25">
      <c r="A60" s="6" t="s">
        <v>65</v>
      </c>
      <c r="B60" s="6">
        <f>4*0.68</f>
        <v>2.72</v>
      </c>
      <c r="C60" s="6">
        <v>102</v>
      </c>
      <c r="D60" s="6">
        <v>0.15</v>
      </c>
      <c r="E60" s="6">
        <v>0.15</v>
      </c>
      <c r="F60" s="6">
        <v>345</v>
      </c>
      <c r="G60" s="6">
        <v>270</v>
      </c>
      <c r="H60" s="6">
        <v>25</v>
      </c>
      <c r="I60" s="6" t="s">
        <v>108</v>
      </c>
      <c r="J60" s="4">
        <f t="shared" si="13"/>
        <v>86.7</v>
      </c>
      <c r="K60" s="4">
        <f t="shared" si="8"/>
        <v>13.005000000000001</v>
      </c>
      <c r="L60" s="4">
        <f t="shared" si="14"/>
        <v>15.725000000000001</v>
      </c>
      <c r="M60" s="4">
        <f>IFERROR(VLOOKUP(I60,FuelTypes!$A$1:$B$32,2,FALSE)*J60,0)</f>
        <v>86.7</v>
      </c>
      <c r="N60" s="4">
        <f t="shared" si="17"/>
        <v>102.42500000000001</v>
      </c>
      <c r="O60" s="4">
        <f t="shared" si="15"/>
        <v>0.84647302904564303</v>
      </c>
      <c r="P60" s="4">
        <f>VLOOKUP(I60, FuelTypes!$A$1:$R$12,17,FALSE)*J60</f>
        <v>7803</v>
      </c>
      <c r="Q60" s="4">
        <f>VLOOKUP(I60, FuelTypes!$A$1:$R$12,18,FALSE)*J60</f>
        <v>9537</v>
      </c>
      <c r="R60" s="4">
        <f t="shared" si="3"/>
        <v>0.26360751769587498</v>
      </c>
      <c r="S60" s="4">
        <f t="shared" si="4"/>
        <v>1.4560185185185186</v>
      </c>
      <c r="T60" s="4">
        <f t="shared" si="5"/>
        <v>7.9776625448743518E-2</v>
      </c>
      <c r="U60" s="4">
        <f t="shared" si="12"/>
        <v>1086.7845</v>
      </c>
      <c r="W60" s="3">
        <f>IFERROR(VLOOKUP(I60,FuelTypes!$A$2:$G$40,5,FALSE)*M60,0)</f>
        <v>3979.53</v>
      </c>
      <c r="Y60" s="3">
        <f t="shared" si="10"/>
        <v>3979.53</v>
      </c>
      <c r="Z60" s="3">
        <f t="shared" si="6"/>
        <v>0</v>
      </c>
      <c r="AB60" s="3">
        <f t="shared" si="11"/>
        <v>0.86956521739130443</v>
      </c>
      <c r="AC60" s="3">
        <f t="shared" si="7"/>
        <v>0.84647302904564303</v>
      </c>
    </row>
    <row r="61" spans="1:29" x14ac:dyDescent="0.25">
      <c r="A61" s="6" t="s">
        <v>171</v>
      </c>
      <c r="B61" s="6">
        <f>0.45*4</f>
        <v>1.8</v>
      </c>
      <c r="C61" s="18">
        <v>102</v>
      </c>
      <c r="D61" s="6">
        <v>0.15</v>
      </c>
      <c r="E61" s="6">
        <v>0.15</v>
      </c>
      <c r="F61" s="6">
        <v>455</v>
      </c>
      <c r="G61" s="6">
        <f>45*4</f>
        <v>180</v>
      </c>
      <c r="H61" s="6">
        <v>60</v>
      </c>
      <c r="I61" s="6" t="s">
        <v>163</v>
      </c>
      <c r="J61" s="4">
        <f t="shared" si="13"/>
        <v>86.7</v>
      </c>
      <c r="K61" s="4">
        <f t="shared" si="8"/>
        <v>3.7119521250000007</v>
      </c>
      <c r="L61" s="4">
        <f t="shared" si="14"/>
        <v>5.5119521250000005</v>
      </c>
      <c r="M61" s="4">
        <f>IFERROR(VLOOKUP(I61,FuelTypes!$A$1:$B$32,2,FALSE)*J61,0)</f>
        <v>24.746347500000006</v>
      </c>
      <c r="N61" s="4">
        <f t="shared" si="17"/>
        <v>30.258299625000006</v>
      </c>
      <c r="O61" s="4">
        <f t="shared" si="15"/>
        <v>0.8178366863534553</v>
      </c>
      <c r="P61" s="4">
        <f>VLOOKUP(I61, FuelTypes!$A$1:$R$12,17,FALSE)*J61</f>
        <v>65025</v>
      </c>
      <c r="Q61" s="4">
        <f>VLOOKUP(I61, FuelTypes!$A$1:$R$12,18,FALSE)*J61</f>
        <v>4335</v>
      </c>
      <c r="R61" s="4">
        <f t="shared" si="3"/>
        <v>0.59487810693526355</v>
      </c>
      <c r="S61" s="4">
        <f t="shared" si="4"/>
        <v>1.837317375</v>
      </c>
      <c r="T61" s="4">
        <f t="shared" si="5"/>
        <v>4.0326645831232986E-2</v>
      </c>
      <c r="U61" s="4">
        <f t="shared" si="12"/>
        <v>613.64755213125011</v>
      </c>
      <c r="W61" s="3">
        <f>IFERROR(VLOOKUP(I61,FuelTypes!$A$2:$G$40,5,FALSE)*M61,0)</f>
        <v>0</v>
      </c>
      <c r="Y61" s="3">
        <f t="shared" si="10"/>
        <v>0</v>
      </c>
      <c r="Z61" s="3">
        <f t="shared" si="6"/>
        <v>0</v>
      </c>
      <c r="AB61" s="3">
        <f t="shared" si="11"/>
        <v>0.86956521739130443</v>
      </c>
      <c r="AC61" s="3">
        <f t="shared" si="7"/>
        <v>0.8178366863534553</v>
      </c>
    </row>
    <row r="62" spans="1:29" x14ac:dyDescent="0.25">
      <c r="A62" s="6" t="s">
        <v>167</v>
      </c>
      <c r="B62" s="6">
        <v>0.45</v>
      </c>
      <c r="C62" s="18">
        <v>37</v>
      </c>
      <c r="D62" s="6">
        <v>0.15</v>
      </c>
      <c r="E62" s="6">
        <v>0.15</v>
      </c>
      <c r="F62" s="6">
        <v>455</v>
      </c>
      <c r="G62" s="6">
        <v>45</v>
      </c>
      <c r="H62" s="6">
        <v>35</v>
      </c>
      <c r="I62" s="6" t="s">
        <v>163</v>
      </c>
      <c r="J62" s="4">
        <f t="shared" si="13"/>
        <v>31.45</v>
      </c>
      <c r="K62" s="4">
        <f t="shared" si="8"/>
        <v>1.3464924375</v>
      </c>
      <c r="L62" s="4">
        <f t="shared" si="14"/>
        <v>1.7964924375</v>
      </c>
      <c r="M62" s="4">
        <f>IFERROR(VLOOKUP(I62,FuelTypes!$A$1:$B$32,2,FALSE)*J62,0)</f>
        <v>8.9766162500000011</v>
      </c>
      <c r="N62" s="4">
        <f t="shared" si="17"/>
        <v>10.773108687500001</v>
      </c>
      <c r="O62" s="4">
        <f t="shared" si="15"/>
        <v>0.83324289305792831</v>
      </c>
      <c r="P62" s="4">
        <f>VLOOKUP(I62, FuelTypes!$A$1:$R$12,17,FALSE)*J62</f>
        <v>23587.5</v>
      </c>
      <c r="Q62" s="4">
        <f>VLOOKUP(I62, FuelTypes!$A$1:$R$12,18,FALSE)*J62</f>
        <v>1572.5</v>
      </c>
      <c r="R62" s="4">
        <f t="shared" si="3"/>
        <v>0.4177067298338254</v>
      </c>
      <c r="S62" s="4">
        <f t="shared" si="4"/>
        <v>1.3972718958333334</v>
      </c>
      <c r="T62" s="4">
        <f t="shared" si="5"/>
        <v>1.0081661457808247E-2</v>
      </c>
      <c r="U62" s="4">
        <f t="shared" si="12"/>
        <v>890.39056583750016</v>
      </c>
      <c r="W62" s="3">
        <f>IFERROR(VLOOKUP(I62,FuelTypes!$A$2:$G$40,5,FALSE)*M62,0)</f>
        <v>0</v>
      </c>
      <c r="Y62" s="3">
        <f t="shared" si="10"/>
        <v>0</v>
      </c>
      <c r="Z62" s="3">
        <f t="shared" si="6"/>
        <v>0</v>
      </c>
      <c r="AB62" s="3">
        <f t="shared" si="11"/>
        <v>0.86956521739130432</v>
      </c>
      <c r="AC62" s="3">
        <f t="shared" si="7"/>
        <v>0.83324289305792831</v>
      </c>
    </row>
    <row r="63" spans="1:29" x14ac:dyDescent="0.25">
      <c r="A63" s="6"/>
      <c r="B63" s="6"/>
      <c r="C63" s="6"/>
      <c r="D63" s="6"/>
      <c r="E63" s="6"/>
      <c r="F63" s="6"/>
      <c r="G63" s="6"/>
      <c r="H63" s="6"/>
      <c r="I63" s="6"/>
      <c r="J63" s="4">
        <f t="shared" si="13"/>
        <v>0</v>
      </c>
      <c r="K63" s="4">
        <f t="shared" si="8"/>
        <v>0</v>
      </c>
      <c r="L63" s="4">
        <f t="shared" si="14"/>
        <v>0</v>
      </c>
      <c r="M63" s="4">
        <f>IFERROR(VLOOKUP(I63,FuelTypes!$A$1:$B$32,2,FALSE)*J63,0)</f>
        <v>0</v>
      </c>
      <c r="N63" s="4">
        <f t="shared" si="17"/>
        <v>0</v>
      </c>
      <c r="O63" s="4">
        <f t="shared" si="15"/>
        <v>0</v>
      </c>
      <c r="P63" s="4" t="e">
        <f>VLOOKUP(I63, FuelTypes!$A$1:$R$12,17,FALSE)*J63</f>
        <v>#N/A</v>
      </c>
      <c r="Q63" s="4" t="e">
        <f>VLOOKUP(I63, FuelTypes!$A$1:$R$12,18,FALSE)*J63</f>
        <v>#N/A</v>
      </c>
      <c r="R63" s="4">
        <f t="shared" si="3"/>
        <v>0</v>
      </c>
      <c r="S63" s="4">
        <f t="shared" si="4"/>
        <v>0</v>
      </c>
      <c r="T63" s="4" t="e">
        <f t="shared" si="5"/>
        <v>#DIV/0!</v>
      </c>
      <c r="U63" s="4" t="e">
        <f t="shared" si="12"/>
        <v>#DIV/0!</v>
      </c>
      <c r="V63" s="2">
        <v>10</v>
      </c>
      <c r="W63" s="3">
        <f>IFERROR(VLOOKUP(I63,FuelTypes!$A$2:$G$40,5,FALSE)*M63,0)</f>
        <v>0</v>
      </c>
      <c r="Y63" s="3">
        <f t="shared" si="10"/>
        <v>0</v>
      </c>
      <c r="Z63" s="3" t="e">
        <f t="shared" si="6"/>
        <v>#DIV/0!</v>
      </c>
      <c r="AB63" s="3">
        <f t="shared" si="11"/>
        <v>0</v>
      </c>
      <c r="AC63" s="3">
        <f t="shared" si="7"/>
        <v>0</v>
      </c>
    </row>
    <row r="64" spans="1:29" x14ac:dyDescent="0.25">
      <c r="A64" s="6" t="s">
        <v>151</v>
      </c>
      <c r="B64" s="6">
        <v>1</v>
      </c>
      <c r="C64" s="18"/>
      <c r="D64" s="6"/>
      <c r="E64" s="6">
        <v>0.15</v>
      </c>
      <c r="F64" s="6">
        <v>0</v>
      </c>
      <c r="G64" s="6">
        <v>0</v>
      </c>
      <c r="H64" s="6">
        <v>0</v>
      </c>
      <c r="I64" s="6" t="s">
        <v>108</v>
      </c>
      <c r="J64" s="4">
        <f t="shared" si="13"/>
        <v>0</v>
      </c>
      <c r="K64" s="4">
        <f t="shared" si="8"/>
        <v>0</v>
      </c>
      <c r="L64" s="4">
        <f t="shared" si="14"/>
        <v>1</v>
      </c>
      <c r="M64" s="4">
        <f>IFERROR(VLOOKUP(I64,FuelTypes!$A$1:$B$32,2,FALSE)*J64,0)</f>
        <v>0</v>
      </c>
      <c r="N64" s="4">
        <f t="shared" si="17"/>
        <v>1</v>
      </c>
      <c r="O64" s="4">
        <f t="shared" si="15"/>
        <v>0</v>
      </c>
      <c r="P64" s="4">
        <f>VLOOKUP(I64, FuelTypes!$A$1:$R$12,17,FALSE)*J64</f>
        <v>0</v>
      </c>
      <c r="Q64" s="4">
        <f>VLOOKUP(I64, FuelTypes!$A$1:$R$12,18,FALSE)*J64</f>
        <v>0</v>
      </c>
      <c r="R64" s="4">
        <f t="shared" si="3"/>
        <v>0</v>
      </c>
      <c r="S64" s="4">
        <f t="shared" si="4"/>
        <v>0</v>
      </c>
      <c r="T64" s="4" t="e">
        <f t="shared" si="5"/>
        <v>#DIV/0!</v>
      </c>
      <c r="U64" s="4" t="e">
        <f t="shared" si="12"/>
        <v>#DIV/0!</v>
      </c>
      <c r="V64" s="2">
        <v>37</v>
      </c>
      <c r="W64" s="3">
        <f>IFERROR(VLOOKUP(I64,FuelTypes!$A$2:$G$40,5,FALSE)*M64,0)</f>
        <v>0</v>
      </c>
      <c r="Y64" s="3">
        <f t="shared" si="10"/>
        <v>0</v>
      </c>
      <c r="Z64" s="3">
        <f t="shared" si="6"/>
        <v>0</v>
      </c>
      <c r="AB64" s="3">
        <f t="shared" si="11"/>
        <v>0</v>
      </c>
      <c r="AC64" s="3">
        <f t="shared" si="7"/>
        <v>0</v>
      </c>
    </row>
    <row r="65" spans="1:29" x14ac:dyDescent="0.25">
      <c r="A65" s="6" t="s">
        <v>152</v>
      </c>
      <c r="B65" s="6">
        <v>2.5</v>
      </c>
      <c r="C65" s="18"/>
      <c r="D65" s="6"/>
      <c r="E65" s="6">
        <v>0.15</v>
      </c>
      <c r="F65" s="6">
        <v>0</v>
      </c>
      <c r="G65" s="6">
        <v>0</v>
      </c>
      <c r="H65" s="6">
        <v>0</v>
      </c>
      <c r="I65" s="6" t="s">
        <v>108</v>
      </c>
      <c r="J65" s="4">
        <f t="shared" si="13"/>
        <v>0</v>
      </c>
      <c r="K65" s="4">
        <f t="shared" si="8"/>
        <v>0</v>
      </c>
      <c r="L65" s="4">
        <f t="shared" si="14"/>
        <v>2.5</v>
      </c>
      <c r="M65" s="4">
        <f>IFERROR(VLOOKUP(I65,FuelTypes!$A$1:$B$32,2,FALSE)*J65,0)</f>
        <v>0</v>
      </c>
      <c r="N65" s="4">
        <f t="shared" si="17"/>
        <v>2.5</v>
      </c>
      <c r="O65" s="4">
        <f t="shared" si="15"/>
        <v>0</v>
      </c>
      <c r="P65" s="4">
        <f>VLOOKUP(I65, FuelTypes!$A$1:$R$12,17,FALSE)*J65</f>
        <v>0</v>
      </c>
      <c r="Q65" s="4">
        <f>VLOOKUP(I65, FuelTypes!$A$1:$R$12,18,FALSE)*J65</f>
        <v>0</v>
      </c>
      <c r="R65" s="4">
        <f t="shared" si="3"/>
        <v>0</v>
      </c>
      <c r="S65" s="4">
        <f t="shared" si="4"/>
        <v>0</v>
      </c>
      <c r="T65" s="4" t="e">
        <f t="shared" si="5"/>
        <v>#DIV/0!</v>
      </c>
      <c r="U65" s="4" t="e">
        <f t="shared" si="12"/>
        <v>#DIV/0!</v>
      </c>
      <c r="V65" s="2">
        <v>102</v>
      </c>
      <c r="W65" s="3">
        <f>IFERROR(VLOOKUP(I65,FuelTypes!$A$2:$G$40,5,FALSE)*M65,0)</f>
        <v>0</v>
      </c>
      <c r="Y65" s="3">
        <f t="shared" si="10"/>
        <v>0</v>
      </c>
      <c r="Z65" s="3">
        <f t="shared" si="6"/>
        <v>0</v>
      </c>
      <c r="AB65" s="3">
        <f t="shared" si="11"/>
        <v>0</v>
      </c>
      <c r="AC65" s="3">
        <f t="shared" si="7"/>
        <v>0</v>
      </c>
    </row>
    <row r="66" spans="1:29" x14ac:dyDescent="0.25">
      <c r="A66" s="6" t="s">
        <v>201</v>
      </c>
      <c r="B66" s="6">
        <v>2.1</v>
      </c>
      <c r="C66" s="18"/>
      <c r="D66" s="6"/>
      <c r="E66" s="6">
        <v>0.15</v>
      </c>
      <c r="F66" s="6">
        <v>0</v>
      </c>
      <c r="G66" s="6">
        <v>0</v>
      </c>
      <c r="H66" s="6">
        <v>0</v>
      </c>
      <c r="I66" s="6" t="s">
        <v>108</v>
      </c>
      <c r="J66" s="4">
        <f t="shared" ref="J66:J97" si="19">C66 - (D66*C66)</f>
        <v>0</v>
      </c>
      <c r="K66" s="4">
        <f t="shared" si="8"/>
        <v>0</v>
      </c>
      <c r="L66" s="4">
        <f t="shared" ref="L66:L97" si="20">K66+B66</f>
        <v>2.1</v>
      </c>
      <c r="M66" s="4">
        <f>IFERROR(VLOOKUP(I66,FuelTypes!$A$1:$B$32,2,FALSE)*J66,0)</f>
        <v>0</v>
      </c>
      <c r="N66" s="4">
        <f t="shared" si="17"/>
        <v>2.1</v>
      </c>
      <c r="O66" s="4">
        <f t="shared" ref="O66:O97" si="21">IF(M66&gt;0, M66/N66,0)</f>
        <v>0</v>
      </c>
      <c r="P66" s="4">
        <f>VLOOKUP(I66, FuelTypes!$A$1:$R$12,17,FALSE)*J66</f>
        <v>0</v>
      </c>
      <c r="Q66" s="4">
        <f>VLOOKUP(I66, FuelTypes!$A$1:$R$12,18,FALSE)*J66</f>
        <v>0</v>
      </c>
      <c r="R66" s="4">
        <f t="shared" ref="R66:R129" si="22">IF(L66&gt;0, (G66*0.1)/N66,0)</f>
        <v>0</v>
      </c>
      <c r="S66" s="4">
        <f t="shared" ref="S66:S129" si="23">IFERROR(H66/G66*L66,0)</f>
        <v>0</v>
      </c>
      <c r="T66" s="4" t="e">
        <f t="shared" ref="T66:T129" si="24">G66 / (9.81 * F66)</f>
        <v>#DIV/0!</v>
      </c>
      <c r="U66" s="4" t="e">
        <f t="shared" si="12"/>
        <v>#DIV/0!</v>
      </c>
      <c r="V66" s="2">
        <v>753</v>
      </c>
      <c r="W66" s="3">
        <f>IFERROR(VLOOKUP(I66,FuelTypes!$A$2:$G$40,5,FALSE)*M66,0)</f>
        <v>0</v>
      </c>
      <c r="X66" s="2">
        <v>20000</v>
      </c>
      <c r="Y66" s="3">
        <f t="shared" si="10"/>
        <v>20000</v>
      </c>
      <c r="Z66" s="3">
        <f t="shared" ref="Z66:Z129" si="25">X66/L66</f>
        <v>9523.8095238095229</v>
      </c>
      <c r="AB66" s="3">
        <f t="shared" si="11"/>
        <v>0</v>
      </c>
      <c r="AC66" s="3">
        <f t="shared" ref="AC66:AC129" si="26">IFERROR(M66/N66, 0)</f>
        <v>0</v>
      </c>
    </row>
    <row r="67" spans="1:29" x14ac:dyDescent="0.25">
      <c r="A67" s="6" t="s">
        <v>153</v>
      </c>
      <c r="B67" s="6">
        <v>2.7</v>
      </c>
      <c r="C67" s="18">
        <v>7</v>
      </c>
      <c r="D67" s="6">
        <v>0</v>
      </c>
      <c r="E67" s="6">
        <v>0.15</v>
      </c>
      <c r="F67" s="6">
        <v>300</v>
      </c>
      <c r="G67" s="6">
        <v>37</v>
      </c>
      <c r="H67" s="6">
        <v>15</v>
      </c>
      <c r="I67" s="6" t="s">
        <v>108</v>
      </c>
      <c r="J67" s="4">
        <f t="shared" si="19"/>
        <v>7</v>
      </c>
      <c r="K67" s="4">
        <f t="shared" ref="K67:K130" si="27">E67*M67</f>
        <v>1.05</v>
      </c>
      <c r="L67" s="4">
        <f t="shared" si="20"/>
        <v>3.75</v>
      </c>
      <c r="M67" s="4">
        <f>IFERROR(VLOOKUP(I67,FuelTypes!$A$1:$B$32,2,FALSE)*J67,0)</f>
        <v>7</v>
      </c>
      <c r="N67" s="4">
        <f t="shared" si="17"/>
        <v>10.75</v>
      </c>
      <c r="O67" s="4">
        <f t="shared" si="21"/>
        <v>0.65116279069767447</v>
      </c>
      <c r="P67" s="4">
        <f>VLOOKUP(I67, FuelTypes!$A$1:$R$12,17,FALSE)*J67</f>
        <v>630</v>
      </c>
      <c r="Q67" s="4">
        <f>VLOOKUP(I67, FuelTypes!$A$1:$R$12,18,FALSE)*J67</f>
        <v>770</v>
      </c>
      <c r="R67" s="4">
        <f t="shared" si="22"/>
        <v>0.34418604651162793</v>
      </c>
      <c r="S67" s="4">
        <f t="shared" si="23"/>
        <v>1.5202702702702704</v>
      </c>
      <c r="T67" s="4">
        <f t="shared" si="24"/>
        <v>1.2572205232755691E-2</v>
      </c>
      <c r="U67" s="4">
        <f t="shared" si="12"/>
        <v>556.78378378378386</v>
      </c>
      <c r="V67" s="2">
        <v>170</v>
      </c>
      <c r="W67" s="3">
        <f>IFERROR(VLOOKUP(I67,FuelTypes!$A$2:$G$40,5,FALSE)*M67,0)</f>
        <v>321.3</v>
      </c>
      <c r="X67" s="2">
        <v>30000</v>
      </c>
      <c r="Y67" s="3">
        <f t="shared" ref="Y67:Y130" si="28">X67+W67</f>
        <v>30321.3</v>
      </c>
      <c r="Z67" s="3">
        <f t="shared" si="25"/>
        <v>8000</v>
      </c>
      <c r="AB67" s="3">
        <f t="shared" ref="AB67:AB130" si="29">IFERROR(M67/(M67+K67), 0)</f>
        <v>0.86956521739130432</v>
      </c>
      <c r="AC67" s="3">
        <f t="shared" si="26"/>
        <v>0.65116279069767447</v>
      </c>
    </row>
    <row r="68" spans="1:29" x14ac:dyDescent="0.25">
      <c r="A68" s="6"/>
      <c r="B68" s="6"/>
      <c r="C68" s="6"/>
      <c r="D68" s="6"/>
      <c r="E68" s="6"/>
      <c r="F68" s="6"/>
      <c r="G68" s="6"/>
      <c r="H68" s="6"/>
      <c r="I68" s="6"/>
      <c r="J68" s="4">
        <f t="shared" si="19"/>
        <v>0</v>
      </c>
      <c r="K68" s="4">
        <f t="shared" si="27"/>
        <v>0</v>
      </c>
      <c r="L68" s="4">
        <f t="shared" si="20"/>
        <v>0</v>
      </c>
      <c r="M68" s="4">
        <f>IFERROR(VLOOKUP(I68,FuelTypes!$A$1:$B$32,2,FALSE)*J68,0)</f>
        <v>0</v>
      </c>
      <c r="N68" s="4">
        <f t="shared" si="17"/>
        <v>0</v>
      </c>
      <c r="O68" s="4">
        <f t="shared" si="21"/>
        <v>0</v>
      </c>
      <c r="P68" s="4" t="e">
        <f>VLOOKUP(I68, FuelTypes!$A$1:$R$12,17,FALSE)*J68</f>
        <v>#N/A</v>
      </c>
      <c r="Q68" s="4" t="e">
        <f>VLOOKUP(I68, FuelTypes!$A$1:$R$12,18,FALSE)*J68</f>
        <v>#N/A</v>
      </c>
      <c r="R68" s="4">
        <f t="shared" si="22"/>
        <v>0</v>
      </c>
      <c r="S68" s="4">
        <f t="shared" si="23"/>
        <v>0</v>
      </c>
      <c r="T68" s="4" t="e">
        <f t="shared" si="24"/>
        <v>#DIV/0!</v>
      </c>
      <c r="U68" s="4" t="e">
        <f t="shared" ref="U68:U131" si="30">M68/T68</f>
        <v>#DIV/0!</v>
      </c>
      <c r="W68" s="3">
        <f>IFERROR(VLOOKUP(I68,FuelTypes!$A$2:$G$40,5,FALSE)*M68,0)</f>
        <v>0</v>
      </c>
      <c r="X68" s="2">
        <v>40000</v>
      </c>
      <c r="Y68" s="3">
        <f t="shared" si="28"/>
        <v>40000</v>
      </c>
      <c r="Z68" s="3" t="e">
        <f t="shared" si="25"/>
        <v>#DIV/0!</v>
      </c>
      <c r="AB68" s="3">
        <f t="shared" si="29"/>
        <v>0</v>
      </c>
      <c r="AC68" s="3">
        <f t="shared" si="26"/>
        <v>0</v>
      </c>
    </row>
    <row r="69" spans="1:29" x14ac:dyDescent="0.25">
      <c r="A69" s="6" t="s">
        <v>204</v>
      </c>
      <c r="B69" s="6">
        <v>0.875</v>
      </c>
      <c r="C69" s="6">
        <v>0.24</v>
      </c>
      <c r="D69" s="6">
        <v>0</v>
      </c>
      <c r="E69" s="6">
        <v>0</v>
      </c>
      <c r="F69" s="6">
        <v>220</v>
      </c>
      <c r="G69" s="6">
        <v>400</v>
      </c>
      <c r="H69" s="6"/>
      <c r="I69" s="6" t="s">
        <v>110</v>
      </c>
      <c r="J69" s="4">
        <f t="shared" si="19"/>
        <v>0.24</v>
      </c>
      <c r="K69" s="4">
        <f t="shared" si="27"/>
        <v>0</v>
      </c>
      <c r="L69" s="4">
        <f t="shared" si="20"/>
        <v>0.875</v>
      </c>
      <c r="M69" s="4">
        <f>IFERROR(VLOOKUP(I69,FuelTypes!$A$1:$B$32,2,FALSE)*J69,0)</f>
        <v>0.36</v>
      </c>
      <c r="N69" s="4">
        <f t="shared" si="17"/>
        <v>1.2349999999999999</v>
      </c>
      <c r="O69" s="4">
        <f t="shared" si="21"/>
        <v>0.29149797570850206</v>
      </c>
      <c r="P69" s="4">
        <f>VLOOKUP(I69, FuelTypes!$A$1:$R$12,17,FALSE)*J69</f>
        <v>48</v>
      </c>
      <c r="Q69" s="4">
        <f>VLOOKUP(I69, FuelTypes!$A$1:$R$12,18,FALSE)*J69</f>
        <v>0</v>
      </c>
      <c r="R69" s="4">
        <f t="shared" si="22"/>
        <v>32.388663967611336</v>
      </c>
      <c r="S69" s="4">
        <f t="shared" si="23"/>
        <v>0</v>
      </c>
      <c r="T69" s="4">
        <f t="shared" si="24"/>
        <v>0.18533963488091926</v>
      </c>
      <c r="U69" s="4">
        <f t="shared" si="30"/>
        <v>1.9423800000000002</v>
      </c>
      <c r="W69" s="3">
        <f>IFERROR(VLOOKUP(I69,FuelTypes!$A$2:$G$40,5,FALSE)*M69,0)</f>
        <v>43.199999999999996</v>
      </c>
      <c r="X69" s="2">
        <v>50000</v>
      </c>
      <c r="Y69" s="3">
        <f t="shared" si="28"/>
        <v>50043.199999999997</v>
      </c>
      <c r="Z69" s="3">
        <f t="shared" si="25"/>
        <v>57142.857142857145</v>
      </c>
      <c r="AB69" s="3">
        <f t="shared" si="29"/>
        <v>1</v>
      </c>
      <c r="AC69" s="3">
        <f t="shared" si="26"/>
        <v>0.29149797570850206</v>
      </c>
    </row>
    <row r="70" spans="1:29" x14ac:dyDescent="0.25">
      <c r="A70" s="6" t="s">
        <v>205</v>
      </c>
      <c r="B70" s="6">
        <v>0.6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/>
      <c r="J70" s="4">
        <f t="shared" si="19"/>
        <v>0</v>
      </c>
      <c r="K70" s="4">
        <f t="shared" si="27"/>
        <v>0</v>
      </c>
      <c r="L70" s="4">
        <f t="shared" si="20"/>
        <v>0.6</v>
      </c>
      <c r="M70" s="4">
        <f>IFERROR(VLOOKUP(I70,FuelTypes!$A$1:$B$32,2,FALSE)*J70,0)</f>
        <v>0</v>
      </c>
      <c r="N70" s="4">
        <f t="shared" si="17"/>
        <v>0.6</v>
      </c>
      <c r="O70" s="4">
        <f t="shared" si="21"/>
        <v>0</v>
      </c>
      <c r="P70" s="4" t="e">
        <f>VLOOKUP(I70, FuelTypes!$A$1:$R$12,17,FALSE)*J70</f>
        <v>#N/A</v>
      </c>
      <c r="Q70" s="4" t="e">
        <f>VLOOKUP(I70, FuelTypes!$A$1:$R$12,18,FALSE)*J70</f>
        <v>#N/A</v>
      </c>
      <c r="R70" s="4">
        <f t="shared" si="22"/>
        <v>0</v>
      </c>
      <c r="S70" s="4">
        <f t="shared" si="23"/>
        <v>0</v>
      </c>
      <c r="T70" s="4" t="e">
        <f t="shared" si="24"/>
        <v>#DIV/0!</v>
      </c>
      <c r="U70" s="4" t="e">
        <f t="shared" si="30"/>
        <v>#DIV/0!</v>
      </c>
      <c r="W70" s="3">
        <f>IFERROR(VLOOKUP(I70,FuelTypes!$A$2:$G$40,5,FALSE)*M70,0)</f>
        <v>0</v>
      </c>
      <c r="X70" s="2">
        <v>10000</v>
      </c>
      <c r="Y70" s="3">
        <f t="shared" si="28"/>
        <v>10000</v>
      </c>
      <c r="Z70" s="3">
        <f t="shared" si="25"/>
        <v>16666.666666666668</v>
      </c>
      <c r="AB70" s="3">
        <f t="shared" si="29"/>
        <v>0</v>
      </c>
      <c r="AC70" s="3">
        <f t="shared" si="26"/>
        <v>0</v>
      </c>
    </row>
    <row r="71" spans="1:29" x14ac:dyDescent="0.25">
      <c r="A71" s="6" t="s">
        <v>206</v>
      </c>
      <c r="B71" s="6">
        <v>1.2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/>
      <c r="J71" s="4">
        <f t="shared" si="19"/>
        <v>0</v>
      </c>
      <c r="K71" s="4">
        <f t="shared" si="27"/>
        <v>0</v>
      </c>
      <c r="L71" s="4">
        <f t="shared" si="20"/>
        <v>1.2</v>
      </c>
      <c r="M71" s="4">
        <f>IFERROR(VLOOKUP(I71,FuelTypes!$A$1:$B$32,2,FALSE)*J71,0)</f>
        <v>0</v>
      </c>
      <c r="N71" s="4">
        <f t="shared" si="17"/>
        <v>1.2</v>
      </c>
      <c r="O71" s="4">
        <f t="shared" si="21"/>
        <v>0</v>
      </c>
      <c r="P71" s="4" t="e">
        <f>VLOOKUP(I71, FuelTypes!$A$1:$R$12,17,FALSE)*J71</f>
        <v>#N/A</v>
      </c>
      <c r="Q71" s="4" t="e">
        <f>VLOOKUP(I71, FuelTypes!$A$1:$R$12,18,FALSE)*J71</f>
        <v>#N/A</v>
      </c>
      <c r="R71" s="4">
        <f t="shared" si="22"/>
        <v>0</v>
      </c>
      <c r="S71" s="4">
        <f t="shared" si="23"/>
        <v>0</v>
      </c>
      <c r="T71" s="4" t="e">
        <f t="shared" si="24"/>
        <v>#DIV/0!</v>
      </c>
      <c r="U71" s="4" t="e">
        <f t="shared" si="30"/>
        <v>#DIV/0!</v>
      </c>
      <c r="W71" s="3">
        <f>IFERROR(VLOOKUP(I71,FuelTypes!$A$2:$G$40,5,FALSE)*M71,0)</f>
        <v>0</v>
      </c>
      <c r="X71" s="2">
        <v>15000</v>
      </c>
      <c r="Y71" s="3">
        <f t="shared" si="28"/>
        <v>15000</v>
      </c>
      <c r="Z71" s="3">
        <f t="shared" si="25"/>
        <v>12500</v>
      </c>
      <c r="AB71" s="3">
        <f t="shared" si="29"/>
        <v>0</v>
      </c>
      <c r="AC71" s="3">
        <f t="shared" si="26"/>
        <v>0</v>
      </c>
    </row>
    <row r="72" spans="1:29" x14ac:dyDescent="0.25">
      <c r="A72" s="6" t="s">
        <v>207</v>
      </c>
      <c r="B72" s="6">
        <v>0.95</v>
      </c>
      <c r="C72" s="6">
        <v>0.44</v>
      </c>
      <c r="D72" s="6">
        <v>0</v>
      </c>
      <c r="E72" s="6">
        <v>0</v>
      </c>
      <c r="F72" s="6">
        <v>300</v>
      </c>
      <c r="G72" s="6">
        <f>3*0.64*0.64</f>
        <v>1.2287999999999999</v>
      </c>
      <c r="H72" s="6">
        <v>2</v>
      </c>
      <c r="I72" s="6" t="s">
        <v>109</v>
      </c>
      <c r="J72" s="4">
        <f t="shared" si="19"/>
        <v>0.44</v>
      </c>
      <c r="K72" s="4">
        <f t="shared" si="27"/>
        <v>0</v>
      </c>
      <c r="L72" s="4">
        <f t="shared" si="20"/>
        <v>0.95</v>
      </c>
      <c r="M72" s="4">
        <f>IFERROR(VLOOKUP(I72,FuelTypes!$A$1:$B$32,2,FALSE)*J72,0)</f>
        <v>0.35200000000000004</v>
      </c>
      <c r="N72" s="4">
        <f t="shared" si="17"/>
        <v>1.302</v>
      </c>
      <c r="O72" s="4">
        <f t="shared" si="21"/>
        <v>0.27035330261136714</v>
      </c>
      <c r="P72" s="4">
        <f>VLOOKUP(I72, FuelTypes!$A$1:$R$12,17,FALSE)*J72</f>
        <v>88</v>
      </c>
      <c r="Q72" s="4">
        <f>VLOOKUP(I72, FuelTypes!$A$1:$R$12,18,FALSE)*J72</f>
        <v>0</v>
      </c>
      <c r="R72" s="4">
        <f t="shared" si="22"/>
        <v>9.4377880184331783E-2</v>
      </c>
      <c r="S72" s="4">
        <f t="shared" si="23"/>
        <v>1.5462239583333333</v>
      </c>
      <c r="T72" s="4">
        <f t="shared" si="24"/>
        <v>4.1753312945973491E-4</v>
      </c>
      <c r="U72" s="4">
        <f t="shared" si="30"/>
        <v>843.04687500000023</v>
      </c>
      <c r="W72" s="3">
        <f>IFERROR(VLOOKUP(I72,FuelTypes!$A$2:$G$40,5,FALSE)*M72,0)</f>
        <v>84.48</v>
      </c>
      <c r="X72" s="2">
        <v>20000</v>
      </c>
      <c r="Y72" s="3">
        <f t="shared" si="28"/>
        <v>20084.48</v>
      </c>
      <c r="Z72" s="3">
        <f t="shared" si="25"/>
        <v>21052.63157894737</v>
      </c>
      <c r="AB72" s="3">
        <f t="shared" si="29"/>
        <v>1</v>
      </c>
      <c r="AC72" s="3">
        <f t="shared" si="26"/>
        <v>0.27035330261136714</v>
      </c>
    </row>
    <row r="73" spans="1:29" x14ac:dyDescent="0.25">
      <c r="A73" s="6" t="s">
        <v>382</v>
      </c>
      <c r="B73" s="6">
        <v>2.9</v>
      </c>
      <c r="C73" s="6"/>
      <c r="D73" s="6"/>
      <c r="E73" s="6"/>
      <c r="F73" s="6"/>
      <c r="G73" s="6">
        <v>1.2287999999999999</v>
      </c>
      <c r="H73" s="6">
        <v>0.6</v>
      </c>
      <c r="I73" s="6"/>
      <c r="J73" s="4">
        <f t="shared" si="19"/>
        <v>0</v>
      </c>
      <c r="K73" s="4">
        <f t="shared" si="27"/>
        <v>0</v>
      </c>
      <c r="L73" s="4">
        <f t="shared" si="20"/>
        <v>2.9</v>
      </c>
      <c r="M73" s="4">
        <f>IFERROR(VLOOKUP(I73,FuelTypes!$A$1:$B$32,2,FALSE)*J73,0)</f>
        <v>0</v>
      </c>
      <c r="N73" s="4">
        <f t="shared" si="17"/>
        <v>2.9</v>
      </c>
      <c r="O73" s="4">
        <f t="shared" si="21"/>
        <v>0</v>
      </c>
      <c r="P73" s="4" t="e">
        <f>VLOOKUP(I73, FuelTypes!$A$1:$R$12,17,FALSE)*J73</f>
        <v>#N/A</v>
      </c>
      <c r="Q73" s="4" t="e">
        <f>VLOOKUP(I73, FuelTypes!$A$1:$R$12,18,FALSE)*J73</f>
        <v>#N/A</v>
      </c>
      <c r="R73" s="4">
        <f t="shared" si="22"/>
        <v>4.2372413793103449E-2</v>
      </c>
      <c r="S73" s="4">
        <f t="shared" si="23"/>
        <v>1.416015625</v>
      </c>
      <c r="T73" s="4" t="e">
        <f t="shared" si="24"/>
        <v>#DIV/0!</v>
      </c>
      <c r="U73" s="4" t="e">
        <f t="shared" si="30"/>
        <v>#DIV/0!</v>
      </c>
      <c r="W73" s="3">
        <f>IFERROR(VLOOKUP(I73,FuelTypes!$A$2:$G$40,5,FALSE)*M73,0)</f>
        <v>0</v>
      </c>
      <c r="X73" s="2">
        <v>25000</v>
      </c>
      <c r="Y73" s="3">
        <f t="shared" si="28"/>
        <v>25000</v>
      </c>
      <c r="Z73" s="3">
        <f t="shared" si="25"/>
        <v>8620.6896551724149</v>
      </c>
      <c r="AB73" s="3">
        <f t="shared" si="29"/>
        <v>0</v>
      </c>
      <c r="AC73" s="3">
        <f t="shared" si="26"/>
        <v>0</v>
      </c>
    </row>
    <row r="74" spans="1:29" x14ac:dyDescent="0.25">
      <c r="A74" s="6" t="s">
        <v>208</v>
      </c>
      <c r="B74" s="6"/>
      <c r="C74" s="6"/>
      <c r="D74" s="6"/>
      <c r="E74" s="6">
        <v>0.15</v>
      </c>
      <c r="F74" s="6">
        <v>435</v>
      </c>
      <c r="G74" s="6">
        <v>635</v>
      </c>
      <c r="H74" s="6">
        <v>200</v>
      </c>
      <c r="I74" s="6" t="s">
        <v>163</v>
      </c>
      <c r="J74" s="4">
        <f t="shared" si="19"/>
        <v>0</v>
      </c>
      <c r="K74" s="4">
        <f t="shared" si="27"/>
        <v>0</v>
      </c>
      <c r="L74" s="4">
        <f t="shared" si="20"/>
        <v>0</v>
      </c>
      <c r="M74" s="4">
        <f>IFERROR(VLOOKUP(I74,FuelTypes!$A$1:$B$32,2,FALSE)*J74,0)</f>
        <v>0</v>
      </c>
      <c r="N74" s="4">
        <f t="shared" si="17"/>
        <v>0</v>
      </c>
      <c r="O74" s="4">
        <f t="shared" si="21"/>
        <v>0</v>
      </c>
      <c r="P74" s="4">
        <f>VLOOKUP(I74, FuelTypes!$A$1:$R$12,17,FALSE)*J74</f>
        <v>0</v>
      </c>
      <c r="Q74" s="4">
        <f>VLOOKUP(I74, FuelTypes!$A$1:$R$12,18,FALSE)*J74</f>
        <v>0</v>
      </c>
      <c r="R74" s="4">
        <f t="shared" si="22"/>
        <v>0</v>
      </c>
      <c r="S74" s="4">
        <f t="shared" si="23"/>
        <v>0</v>
      </c>
      <c r="T74" s="4">
        <f t="shared" si="24"/>
        <v>0.1488042930624392</v>
      </c>
      <c r="U74" s="4">
        <f t="shared" si="30"/>
        <v>0</v>
      </c>
      <c r="V74" s="2">
        <v>107</v>
      </c>
      <c r="W74" s="3">
        <f>IFERROR(VLOOKUP(I74,FuelTypes!$A$2:$G$40,5,FALSE)*M74,0)</f>
        <v>0</v>
      </c>
      <c r="X74" s="2">
        <v>1200</v>
      </c>
      <c r="Y74" s="3">
        <f t="shared" si="28"/>
        <v>1200</v>
      </c>
      <c r="Z74" s="3" t="e">
        <f t="shared" si="25"/>
        <v>#DIV/0!</v>
      </c>
      <c r="AB74" s="3">
        <f t="shared" si="29"/>
        <v>0</v>
      </c>
      <c r="AC74" s="3">
        <f t="shared" si="26"/>
        <v>0</v>
      </c>
    </row>
    <row r="75" spans="1:29" x14ac:dyDescent="0.25">
      <c r="A75" s="6" t="s">
        <v>211</v>
      </c>
      <c r="B75" s="6">
        <v>0.32</v>
      </c>
      <c r="C75" s="6"/>
      <c r="D75" s="6"/>
      <c r="E75" s="6">
        <v>0.15</v>
      </c>
      <c r="F75" s="6">
        <v>450</v>
      </c>
      <c r="G75" s="6">
        <v>40</v>
      </c>
      <c r="H75" s="6">
        <v>190</v>
      </c>
      <c r="I75" s="6" t="s">
        <v>163</v>
      </c>
      <c r="J75" s="4">
        <f t="shared" si="19"/>
        <v>0</v>
      </c>
      <c r="K75" s="4">
        <f t="shared" si="27"/>
        <v>0</v>
      </c>
      <c r="L75" s="4">
        <f t="shared" si="20"/>
        <v>0.32</v>
      </c>
      <c r="M75" s="4">
        <f>IFERROR(VLOOKUP(I75,FuelTypes!$A$1:$B$32,2,FALSE)*J75,0)</f>
        <v>0</v>
      </c>
      <c r="N75" s="4">
        <f t="shared" si="17"/>
        <v>0.32</v>
      </c>
      <c r="O75" s="4">
        <f t="shared" si="21"/>
        <v>0</v>
      </c>
      <c r="P75" s="4">
        <f>VLOOKUP(I75, FuelTypes!$A$1:$R$12,17,FALSE)*J75</f>
        <v>0</v>
      </c>
      <c r="Q75" s="4">
        <f>VLOOKUP(I75, FuelTypes!$A$1:$R$12,18,FALSE)*J75</f>
        <v>0</v>
      </c>
      <c r="R75" s="4">
        <f t="shared" si="22"/>
        <v>12.5</v>
      </c>
      <c r="S75" s="4">
        <f t="shared" si="23"/>
        <v>1.52</v>
      </c>
      <c r="T75" s="4">
        <f t="shared" si="24"/>
        <v>9.0610488164004979E-3</v>
      </c>
      <c r="U75" s="4">
        <f t="shared" si="30"/>
        <v>0</v>
      </c>
      <c r="W75" s="3">
        <f>IFERROR(VLOOKUP(I75,FuelTypes!$A$2:$G$40,5,FALSE)*M75,0)</f>
        <v>0</v>
      </c>
      <c r="X75" s="2">
        <v>2400</v>
      </c>
      <c r="Y75" s="3">
        <f t="shared" si="28"/>
        <v>2400</v>
      </c>
      <c r="Z75" s="3">
        <f t="shared" si="25"/>
        <v>7500</v>
      </c>
      <c r="AB75" s="3">
        <f t="shared" si="29"/>
        <v>0</v>
      </c>
      <c r="AC75" s="3">
        <f t="shared" si="26"/>
        <v>0</v>
      </c>
    </row>
    <row r="76" spans="1:29" x14ac:dyDescent="0.25">
      <c r="A76" s="6" t="s">
        <v>209</v>
      </c>
      <c r="B76" s="6">
        <v>0.41</v>
      </c>
      <c r="C76" s="6"/>
      <c r="D76" s="6"/>
      <c r="E76" s="6">
        <v>0.15</v>
      </c>
      <c r="F76" s="6">
        <v>450</v>
      </c>
      <c r="G76" s="6">
        <v>55</v>
      </c>
      <c r="H76" s="6">
        <v>200</v>
      </c>
      <c r="I76" s="6" t="s">
        <v>163</v>
      </c>
      <c r="J76" s="4">
        <f t="shared" si="19"/>
        <v>0</v>
      </c>
      <c r="K76" s="4">
        <f t="shared" si="27"/>
        <v>0</v>
      </c>
      <c r="L76" s="4">
        <f t="shared" si="20"/>
        <v>0.41</v>
      </c>
      <c r="M76" s="4">
        <f>IFERROR(VLOOKUP(I76,FuelTypes!$A$1:$B$32,2,FALSE)*J76,0)</f>
        <v>0</v>
      </c>
      <c r="N76" s="4">
        <f t="shared" si="17"/>
        <v>0.41</v>
      </c>
      <c r="O76" s="4">
        <f t="shared" si="21"/>
        <v>0</v>
      </c>
      <c r="P76" s="4">
        <f>VLOOKUP(I76, FuelTypes!$A$1:$R$12,17,FALSE)*J76</f>
        <v>0</v>
      </c>
      <c r="Q76" s="4">
        <f>VLOOKUP(I76, FuelTypes!$A$1:$R$12,18,FALSE)*J76</f>
        <v>0</v>
      </c>
      <c r="R76" s="4">
        <f t="shared" si="22"/>
        <v>13.414634146341465</v>
      </c>
      <c r="S76" s="4">
        <f t="shared" si="23"/>
        <v>1.4909090909090907</v>
      </c>
      <c r="T76" s="4">
        <f t="shared" si="24"/>
        <v>1.2458942122550686E-2</v>
      </c>
      <c r="U76" s="4">
        <f t="shared" si="30"/>
        <v>0</v>
      </c>
      <c r="W76" s="3">
        <f>IFERROR(VLOOKUP(I76,FuelTypes!$A$2:$G$40,5,FALSE)*M76,0)</f>
        <v>0</v>
      </c>
      <c r="X76" s="2">
        <v>3600</v>
      </c>
      <c r="Y76" s="3">
        <f t="shared" si="28"/>
        <v>3600</v>
      </c>
      <c r="Z76" s="3">
        <f t="shared" si="25"/>
        <v>8780.4878048780502</v>
      </c>
      <c r="AB76" s="3">
        <f t="shared" si="29"/>
        <v>0</v>
      </c>
      <c r="AC76" s="3">
        <f t="shared" si="26"/>
        <v>0</v>
      </c>
    </row>
    <row r="77" spans="1:29" x14ac:dyDescent="0.25">
      <c r="A77" s="6" t="s">
        <v>210</v>
      </c>
      <c r="B77" s="6">
        <v>0.68</v>
      </c>
      <c r="C77" s="6"/>
      <c r="D77" s="6"/>
      <c r="E77" s="6">
        <v>0.15</v>
      </c>
      <c r="F77" s="6">
        <v>455</v>
      </c>
      <c r="G77" s="6">
        <v>67</v>
      </c>
      <c r="H77" s="6">
        <v>150</v>
      </c>
      <c r="I77" s="6" t="s">
        <v>163</v>
      </c>
      <c r="J77" s="4">
        <f t="shared" si="19"/>
        <v>0</v>
      </c>
      <c r="K77" s="4">
        <f t="shared" si="27"/>
        <v>0</v>
      </c>
      <c r="L77" s="4">
        <f t="shared" si="20"/>
        <v>0.68</v>
      </c>
      <c r="M77" s="4">
        <f>IFERROR(VLOOKUP(I77,FuelTypes!$A$1:$B$32,2,FALSE)*J77,0)</f>
        <v>0</v>
      </c>
      <c r="N77" s="4">
        <f t="shared" si="17"/>
        <v>0.68</v>
      </c>
      <c r="O77" s="4">
        <f t="shared" si="21"/>
        <v>0</v>
      </c>
      <c r="P77" s="4">
        <f>VLOOKUP(I77, FuelTypes!$A$1:$R$12,17,FALSE)*J77</f>
        <v>0</v>
      </c>
      <c r="Q77" s="4">
        <f>VLOOKUP(I77, FuelTypes!$A$1:$R$12,18,FALSE)*J77</f>
        <v>0</v>
      </c>
      <c r="R77" s="4">
        <f t="shared" si="22"/>
        <v>9.852941176470587</v>
      </c>
      <c r="S77" s="4">
        <f t="shared" si="23"/>
        <v>1.5223880597014925</v>
      </c>
      <c r="T77" s="4">
        <f t="shared" si="24"/>
        <v>1.5010473726070056E-2</v>
      </c>
      <c r="U77" s="4">
        <f t="shared" si="30"/>
        <v>0</v>
      </c>
      <c r="W77" s="3">
        <f>IFERROR(VLOOKUP(I77,FuelTypes!$A$2:$G$40,5,FALSE)*M77,0)</f>
        <v>0</v>
      </c>
      <c r="X77" s="2">
        <v>4800</v>
      </c>
      <c r="Y77" s="3">
        <f t="shared" si="28"/>
        <v>4800</v>
      </c>
      <c r="Z77" s="3">
        <f t="shared" si="25"/>
        <v>7058.823529411764</v>
      </c>
      <c r="AB77" s="3">
        <f t="shared" si="29"/>
        <v>0</v>
      </c>
      <c r="AC77" s="3">
        <f t="shared" si="26"/>
        <v>0</v>
      </c>
    </row>
    <row r="78" spans="1:29" x14ac:dyDescent="0.25">
      <c r="A78" s="6" t="s">
        <v>147</v>
      </c>
      <c r="B78" s="6"/>
      <c r="C78" s="6"/>
      <c r="D78" s="6"/>
      <c r="E78" s="6">
        <v>0.15</v>
      </c>
      <c r="F78" s="6">
        <v>445</v>
      </c>
      <c r="G78" s="6">
        <v>1398</v>
      </c>
      <c r="H78" s="6">
        <v>250</v>
      </c>
      <c r="I78" s="6" t="s">
        <v>163</v>
      </c>
      <c r="J78" s="4">
        <f t="shared" si="19"/>
        <v>0</v>
      </c>
      <c r="K78" s="4">
        <f t="shared" si="27"/>
        <v>0</v>
      </c>
      <c r="L78" s="4">
        <f t="shared" si="20"/>
        <v>0</v>
      </c>
      <c r="M78" s="4">
        <f>IFERROR(VLOOKUP(I78,FuelTypes!$A$1:$B$32,2,FALSE)*J78,0)</f>
        <v>0</v>
      </c>
      <c r="N78" s="4">
        <f t="shared" si="17"/>
        <v>0</v>
      </c>
      <c r="O78" s="4">
        <f t="shared" si="21"/>
        <v>0</v>
      </c>
      <c r="P78" s="4">
        <f>VLOOKUP(I78, FuelTypes!$A$1:$R$12,17,FALSE)*J78</f>
        <v>0</v>
      </c>
      <c r="Q78" s="4">
        <f>VLOOKUP(I78, FuelTypes!$A$1:$R$12,18,FALSE)*J78</f>
        <v>0</v>
      </c>
      <c r="R78" s="4">
        <f t="shared" si="22"/>
        <v>0</v>
      </c>
      <c r="S78" s="4">
        <f t="shared" si="23"/>
        <v>0</v>
      </c>
      <c r="T78" s="4">
        <f t="shared" si="24"/>
        <v>0.32024189946053672</v>
      </c>
      <c r="U78" s="4">
        <f t="shared" si="30"/>
        <v>0</v>
      </c>
      <c r="W78" s="3">
        <f>IFERROR(VLOOKUP(I78,FuelTypes!$A$2:$G$40,5,FALSE)*M78,0)</f>
        <v>0</v>
      </c>
      <c r="X78" s="2">
        <v>6000</v>
      </c>
      <c r="Y78" s="3">
        <f t="shared" si="28"/>
        <v>6000</v>
      </c>
      <c r="Z78" s="3" t="e">
        <f t="shared" si="25"/>
        <v>#DIV/0!</v>
      </c>
      <c r="AB78" s="3">
        <f t="shared" si="29"/>
        <v>0</v>
      </c>
      <c r="AC78" s="3">
        <f t="shared" si="26"/>
        <v>0</v>
      </c>
    </row>
    <row r="79" spans="1:29" x14ac:dyDescent="0.25">
      <c r="A79" s="6" t="s">
        <v>148</v>
      </c>
      <c r="B79" s="6"/>
      <c r="C79" s="6"/>
      <c r="D79" s="6"/>
      <c r="E79" s="6">
        <v>0.15</v>
      </c>
      <c r="F79" s="6">
        <v>326</v>
      </c>
      <c r="G79" s="6">
        <v>3174</v>
      </c>
      <c r="H79" s="6">
        <v>425</v>
      </c>
      <c r="I79" s="6" t="s">
        <v>108</v>
      </c>
      <c r="J79" s="4">
        <f t="shared" si="19"/>
        <v>0</v>
      </c>
      <c r="K79" s="4">
        <f t="shared" si="27"/>
        <v>0</v>
      </c>
      <c r="L79" s="4">
        <f t="shared" si="20"/>
        <v>0</v>
      </c>
      <c r="M79" s="4">
        <f>IFERROR(VLOOKUP(I79,FuelTypes!$A$1:$B$32,2,FALSE)*J79,0)</f>
        <v>0</v>
      </c>
      <c r="N79" s="4">
        <f t="shared" si="17"/>
        <v>0</v>
      </c>
      <c r="O79" s="4">
        <f t="shared" si="21"/>
        <v>0</v>
      </c>
      <c r="P79" s="4">
        <f>VLOOKUP(I79, FuelTypes!$A$1:$R$12,17,FALSE)*J79</f>
        <v>0</v>
      </c>
      <c r="Q79" s="4">
        <f>VLOOKUP(I79, FuelTypes!$A$1:$R$12,18,FALSE)*J79</f>
        <v>0</v>
      </c>
      <c r="R79" s="4">
        <f t="shared" si="22"/>
        <v>0</v>
      </c>
      <c r="S79" s="4">
        <f t="shared" si="23"/>
        <v>0</v>
      </c>
      <c r="T79" s="4">
        <f t="shared" si="24"/>
        <v>0.99247668899270181</v>
      </c>
      <c r="U79" s="4">
        <f t="shared" si="30"/>
        <v>0</v>
      </c>
      <c r="W79" s="3">
        <f>IFERROR(VLOOKUP(I79,FuelTypes!$A$2:$G$40,5,FALSE)*M79,0)</f>
        <v>0</v>
      </c>
      <c r="X79" s="2">
        <v>7200</v>
      </c>
      <c r="Y79" s="3">
        <f t="shared" si="28"/>
        <v>7200</v>
      </c>
      <c r="Z79" s="3" t="e">
        <f t="shared" si="25"/>
        <v>#DIV/0!</v>
      </c>
      <c r="AB79" s="3">
        <f t="shared" si="29"/>
        <v>0</v>
      </c>
      <c r="AC79" s="3">
        <f t="shared" si="26"/>
        <v>0</v>
      </c>
    </row>
    <row r="80" spans="1:29" x14ac:dyDescent="0.25">
      <c r="A80" s="6" t="s">
        <v>149</v>
      </c>
      <c r="B80" s="6"/>
      <c r="C80" s="6"/>
      <c r="D80" s="6"/>
      <c r="E80" s="6">
        <v>0.15</v>
      </c>
      <c r="F80" s="6">
        <v>328</v>
      </c>
      <c r="G80" s="6">
        <v>4190</v>
      </c>
      <c r="H80" s="6">
        <v>475</v>
      </c>
      <c r="I80" s="6" t="s">
        <v>108</v>
      </c>
      <c r="J80" s="4">
        <f t="shared" si="19"/>
        <v>0</v>
      </c>
      <c r="K80" s="4">
        <f t="shared" si="27"/>
        <v>0</v>
      </c>
      <c r="L80" s="4">
        <f t="shared" si="20"/>
        <v>0</v>
      </c>
      <c r="M80" s="4">
        <f>IFERROR(VLOOKUP(I80,FuelTypes!$A$1:$B$32,2,FALSE)*J80,0)</f>
        <v>0</v>
      </c>
      <c r="N80" s="4">
        <f t="shared" si="17"/>
        <v>0</v>
      </c>
      <c r="O80" s="4">
        <f t="shared" si="21"/>
        <v>0</v>
      </c>
      <c r="P80" s="4">
        <f>VLOOKUP(I80, FuelTypes!$A$1:$R$12,17,FALSE)*J80</f>
        <v>0</v>
      </c>
      <c r="Q80" s="4">
        <f>VLOOKUP(I80, FuelTypes!$A$1:$R$12,18,FALSE)*J80</f>
        <v>0</v>
      </c>
      <c r="R80" s="4">
        <f t="shared" si="22"/>
        <v>0</v>
      </c>
      <c r="S80" s="4">
        <f t="shared" si="23"/>
        <v>0</v>
      </c>
      <c r="T80" s="4">
        <f t="shared" si="24"/>
        <v>1.3021804529971903</v>
      </c>
      <c r="U80" s="4">
        <f t="shared" si="30"/>
        <v>0</v>
      </c>
      <c r="W80" s="3">
        <f>IFERROR(VLOOKUP(I80,FuelTypes!$A$2:$G$40,5,FALSE)*M80,0)</f>
        <v>0</v>
      </c>
      <c r="X80" s="2">
        <v>8400</v>
      </c>
      <c r="Y80" s="3">
        <f t="shared" si="28"/>
        <v>8400</v>
      </c>
      <c r="Z80" s="3" t="e">
        <f t="shared" si="25"/>
        <v>#DIV/0!</v>
      </c>
      <c r="AB80" s="3">
        <f t="shared" si="29"/>
        <v>0</v>
      </c>
      <c r="AC80" s="3">
        <f t="shared" si="26"/>
        <v>0</v>
      </c>
    </row>
    <row r="81" spans="1:29" x14ac:dyDescent="0.25">
      <c r="A81" s="6" t="s">
        <v>150</v>
      </c>
      <c r="B81" s="6"/>
      <c r="C81" s="6"/>
      <c r="D81" s="6"/>
      <c r="E81" s="6">
        <v>0.15</v>
      </c>
      <c r="F81" s="6">
        <v>435</v>
      </c>
      <c r="G81" s="6">
        <v>1695</v>
      </c>
      <c r="H81" s="6"/>
      <c r="I81" s="6" t="s">
        <v>163</v>
      </c>
      <c r="J81" s="4">
        <f t="shared" si="19"/>
        <v>0</v>
      </c>
      <c r="K81" s="4">
        <f t="shared" si="27"/>
        <v>0</v>
      </c>
      <c r="L81" s="4">
        <f t="shared" si="20"/>
        <v>0</v>
      </c>
      <c r="M81" s="4">
        <f>IFERROR(VLOOKUP(I81,FuelTypes!$A$1:$B$32,2,FALSE)*J81,0)</f>
        <v>0</v>
      </c>
      <c r="N81" s="4">
        <f t="shared" si="17"/>
        <v>0</v>
      </c>
      <c r="O81" s="4">
        <f t="shared" si="21"/>
        <v>0</v>
      </c>
      <c r="P81" s="4">
        <f>VLOOKUP(I81, FuelTypes!$A$1:$R$12,17,FALSE)*J81</f>
        <v>0</v>
      </c>
      <c r="Q81" s="4">
        <f>VLOOKUP(I81, FuelTypes!$A$1:$R$12,18,FALSE)*J81</f>
        <v>0</v>
      </c>
      <c r="R81" s="4">
        <f t="shared" si="22"/>
        <v>0</v>
      </c>
      <c r="S81" s="4">
        <f t="shared" si="23"/>
        <v>0</v>
      </c>
      <c r="T81" s="4">
        <f t="shared" si="24"/>
        <v>0.39720201061548732</v>
      </c>
      <c r="U81" s="4">
        <f t="shared" si="30"/>
        <v>0</v>
      </c>
      <c r="W81" s="3">
        <f>IFERROR(VLOOKUP(I81,FuelTypes!$A$2:$G$40,5,FALSE)*M81,0)</f>
        <v>0</v>
      </c>
      <c r="X81" s="2">
        <v>9600</v>
      </c>
      <c r="Y81" s="3">
        <f t="shared" si="28"/>
        <v>9600</v>
      </c>
      <c r="Z81" s="3" t="e">
        <f t="shared" si="25"/>
        <v>#DIV/0!</v>
      </c>
      <c r="AB81" s="3">
        <f t="shared" si="29"/>
        <v>0</v>
      </c>
      <c r="AC81" s="3">
        <f t="shared" si="26"/>
        <v>0</v>
      </c>
    </row>
    <row r="82" spans="1:29" x14ac:dyDescent="0.25">
      <c r="A82" s="6" t="s">
        <v>212</v>
      </c>
      <c r="B82" s="6"/>
      <c r="C82" s="6"/>
      <c r="D82" s="6"/>
      <c r="E82" s="6"/>
      <c r="F82" s="6"/>
      <c r="G82" s="6"/>
      <c r="H82" s="6"/>
      <c r="I82" s="6"/>
      <c r="J82" s="4">
        <f t="shared" si="19"/>
        <v>0</v>
      </c>
      <c r="K82" s="4">
        <f t="shared" si="27"/>
        <v>0</v>
      </c>
      <c r="L82" s="4">
        <f t="shared" si="20"/>
        <v>0</v>
      </c>
      <c r="M82" s="4">
        <f>IFERROR(VLOOKUP(I82,FuelTypes!$A$1:$B$32,2,FALSE)*J82,0)</f>
        <v>0</v>
      </c>
      <c r="N82" s="4">
        <f t="shared" si="17"/>
        <v>0</v>
      </c>
      <c r="O82" s="4">
        <f t="shared" si="21"/>
        <v>0</v>
      </c>
      <c r="P82" s="4" t="e">
        <f>VLOOKUP(I82, FuelTypes!$A$1:$R$12,17,FALSE)*J82</f>
        <v>#N/A</v>
      </c>
      <c r="Q82" s="4" t="e">
        <f>VLOOKUP(I82, FuelTypes!$A$1:$R$12,18,FALSE)*J82</f>
        <v>#N/A</v>
      </c>
      <c r="R82" s="4">
        <f t="shared" si="22"/>
        <v>0</v>
      </c>
      <c r="S82" s="4">
        <f t="shared" si="23"/>
        <v>0</v>
      </c>
      <c r="T82" s="4" t="e">
        <f t="shared" si="24"/>
        <v>#DIV/0!</v>
      </c>
      <c r="U82" s="4" t="e">
        <f t="shared" si="30"/>
        <v>#DIV/0!</v>
      </c>
      <c r="W82" s="3">
        <f>IFERROR(VLOOKUP(I82,FuelTypes!$A$2:$G$40,5,FALSE)*M82,0)</f>
        <v>0</v>
      </c>
      <c r="Y82" s="3">
        <f t="shared" si="28"/>
        <v>0</v>
      </c>
      <c r="Z82" s="3" t="e">
        <f t="shared" si="25"/>
        <v>#DIV/0!</v>
      </c>
      <c r="AB82" s="3">
        <f t="shared" si="29"/>
        <v>0</v>
      </c>
      <c r="AC82" s="3">
        <f t="shared" si="26"/>
        <v>0</v>
      </c>
    </row>
    <row r="83" spans="1:29" x14ac:dyDescent="0.25">
      <c r="A83" s="6" t="s">
        <v>213</v>
      </c>
      <c r="B83" s="6"/>
      <c r="C83" s="6"/>
      <c r="D83" s="6"/>
      <c r="E83" s="6"/>
      <c r="F83" s="6"/>
      <c r="G83" s="6"/>
      <c r="H83" s="6"/>
      <c r="I83" s="6"/>
      <c r="J83" s="4">
        <f t="shared" si="19"/>
        <v>0</v>
      </c>
      <c r="K83" s="4">
        <f t="shared" si="27"/>
        <v>0</v>
      </c>
      <c r="L83" s="4">
        <f t="shared" si="20"/>
        <v>0</v>
      </c>
      <c r="M83" s="4">
        <f>IFERROR(VLOOKUP(I83,FuelTypes!$A$1:$B$32,2,FALSE)*J83,0)</f>
        <v>0</v>
      </c>
      <c r="N83" s="4">
        <f t="shared" si="17"/>
        <v>0</v>
      </c>
      <c r="O83" s="4">
        <f t="shared" si="21"/>
        <v>0</v>
      </c>
      <c r="P83" s="4" t="e">
        <f>VLOOKUP(I83, FuelTypes!$A$1:$R$12,17,FALSE)*J83</f>
        <v>#N/A</v>
      </c>
      <c r="Q83" s="4" t="e">
        <f>VLOOKUP(I83, FuelTypes!$A$1:$R$12,18,FALSE)*J83</f>
        <v>#N/A</v>
      </c>
      <c r="R83" s="4">
        <f t="shared" si="22"/>
        <v>0</v>
      </c>
      <c r="S83" s="4">
        <f t="shared" si="23"/>
        <v>0</v>
      </c>
      <c r="T83" s="4" t="e">
        <f t="shared" si="24"/>
        <v>#DIV/0!</v>
      </c>
      <c r="U83" s="4" t="e">
        <f t="shared" si="30"/>
        <v>#DIV/0!</v>
      </c>
      <c r="W83" s="3">
        <f>IFERROR(VLOOKUP(I83,FuelTypes!$A$2:$G$40,5,FALSE)*M83,0)</f>
        <v>0</v>
      </c>
      <c r="Y83" s="3">
        <f t="shared" si="28"/>
        <v>0</v>
      </c>
      <c r="Z83" s="3" t="e">
        <f t="shared" si="25"/>
        <v>#DIV/0!</v>
      </c>
      <c r="AB83" s="3">
        <f t="shared" si="29"/>
        <v>0</v>
      </c>
      <c r="AC83" s="3">
        <f t="shared" si="26"/>
        <v>0</v>
      </c>
    </row>
    <row r="84" spans="1:29" x14ac:dyDescent="0.25">
      <c r="A84" s="6" t="s">
        <v>214</v>
      </c>
      <c r="B84" s="6"/>
      <c r="C84" s="6"/>
      <c r="D84" s="6"/>
      <c r="E84" s="6"/>
      <c r="F84" s="6"/>
      <c r="G84" s="6"/>
      <c r="H84" s="6"/>
      <c r="I84" s="6"/>
      <c r="J84" s="4">
        <f t="shared" si="19"/>
        <v>0</v>
      </c>
      <c r="K84" s="4">
        <f t="shared" si="27"/>
        <v>0</v>
      </c>
      <c r="L84" s="4">
        <f t="shared" si="20"/>
        <v>0</v>
      </c>
      <c r="M84" s="4">
        <f>IFERROR(VLOOKUP(I84,FuelTypes!$A$1:$B$32,2,FALSE)*J84,0)</f>
        <v>0</v>
      </c>
      <c r="N84" s="4">
        <f t="shared" si="17"/>
        <v>0</v>
      </c>
      <c r="O84" s="4">
        <f t="shared" si="21"/>
        <v>0</v>
      </c>
      <c r="P84" s="4" t="e">
        <f>VLOOKUP(I84, FuelTypes!$A$1:$R$12,17,FALSE)*J84</f>
        <v>#N/A</v>
      </c>
      <c r="Q84" s="4" t="e">
        <f>VLOOKUP(I84, FuelTypes!$A$1:$R$12,18,FALSE)*J84</f>
        <v>#N/A</v>
      </c>
      <c r="R84" s="4">
        <f t="shared" si="22"/>
        <v>0</v>
      </c>
      <c r="S84" s="4">
        <f t="shared" si="23"/>
        <v>0</v>
      </c>
      <c r="T84" s="4" t="e">
        <f t="shared" si="24"/>
        <v>#DIV/0!</v>
      </c>
      <c r="U84" s="4" t="e">
        <f t="shared" si="30"/>
        <v>#DIV/0!</v>
      </c>
      <c r="W84" s="3">
        <f>IFERROR(VLOOKUP(I84,FuelTypes!$A$2:$G$40,5,FALSE)*M84,0)</f>
        <v>0</v>
      </c>
      <c r="Y84" s="3">
        <f t="shared" si="28"/>
        <v>0</v>
      </c>
      <c r="Z84" s="3" t="e">
        <f t="shared" si="25"/>
        <v>#DIV/0!</v>
      </c>
      <c r="AB84" s="3">
        <f t="shared" si="29"/>
        <v>0</v>
      </c>
      <c r="AC84" s="3">
        <f t="shared" si="26"/>
        <v>0</v>
      </c>
    </row>
    <row r="85" spans="1:29" x14ac:dyDescent="0.25">
      <c r="A85" s="6" t="s">
        <v>215</v>
      </c>
      <c r="B85" s="6"/>
      <c r="C85" s="18"/>
      <c r="D85" s="6"/>
      <c r="E85" s="6"/>
      <c r="F85" s="6"/>
      <c r="G85" s="6"/>
      <c r="H85" s="6"/>
      <c r="I85" s="6"/>
      <c r="J85" s="4">
        <f t="shared" si="19"/>
        <v>0</v>
      </c>
      <c r="K85" s="4">
        <f t="shared" si="27"/>
        <v>0</v>
      </c>
      <c r="L85" s="4">
        <f t="shared" si="20"/>
        <v>0</v>
      </c>
      <c r="M85" s="4">
        <f>IFERROR(VLOOKUP(I85,FuelTypes!$A$1:$B$32,2,FALSE)*J85,0)</f>
        <v>0</v>
      </c>
      <c r="N85" s="4">
        <f t="shared" si="17"/>
        <v>0</v>
      </c>
      <c r="O85" s="4">
        <f t="shared" si="21"/>
        <v>0</v>
      </c>
      <c r="P85" s="4" t="e">
        <f>VLOOKUP(I85, FuelTypes!$A$1:$R$12,17,FALSE)*J85</f>
        <v>#N/A</v>
      </c>
      <c r="Q85" s="4" t="e">
        <f>VLOOKUP(I85, FuelTypes!$A$1:$R$12,18,FALSE)*J85</f>
        <v>#N/A</v>
      </c>
      <c r="R85" s="4">
        <f t="shared" si="22"/>
        <v>0</v>
      </c>
      <c r="S85" s="4">
        <f t="shared" si="23"/>
        <v>0</v>
      </c>
      <c r="T85" s="4" t="e">
        <f t="shared" si="24"/>
        <v>#DIV/0!</v>
      </c>
      <c r="U85" s="4" t="e">
        <f t="shared" si="30"/>
        <v>#DIV/0!</v>
      </c>
      <c r="W85" s="3">
        <f>IFERROR(VLOOKUP(I85,FuelTypes!$A$2:$G$40,5,FALSE)*M85,0)</f>
        <v>0</v>
      </c>
      <c r="Y85" s="3">
        <f t="shared" si="28"/>
        <v>0</v>
      </c>
      <c r="Z85" s="3" t="e">
        <f t="shared" si="25"/>
        <v>#DIV/0!</v>
      </c>
      <c r="AB85" s="3">
        <f t="shared" si="29"/>
        <v>0</v>
      </c>
      <c r="AC85" s="3">
        <f t="shared" si="26"/>
        <v>0</v>
      </c>
    </row>
    <row r="86" spans="1:29" x14ac:dyDescent="0.25">
      <c r="A86" s="6" t="s">
        <v>216</v>
      </c>
      <c r="B86" s="6"/>
      <c r="C86" s="18"/>
      <c r="D86" s="6"/>
      <c r="E86" s="6"/>
      <c r="F86" s="6"/>
      <c r="G86" s="6"/>
      <c r="H86" s="6"/>
      <c r="I86" s="6"/>
      <c r="J86" s="4">
        <f t="shared" si="19"/>
        <v>0</v>
      </c>
      <c r="K86" s="4">
        <f t="shared" si="27"/>
        <v>0</v>
      </c>
      <c r="L86" s="4">
        <f t="shared" si="20"/>
        <v>0</v>
      </c>
      <c r="M86" s="4">
        <f>IFERROR(VLOOKUP(I86,FuelTypes!$A$1:$B$32,2,FALSE)*J86,0)</f>
        <v>0</v>
      </c>
      <c r="N86" s="4">
        <f t="shared" si="17"/>
        <v>0</v>
      </c>
      <c r="O86" s="4">
        <f t="shared" si="21"/>
        <v>0</v>
      </c>
      <c r="P86" s="4" t="e">
        <f>VLOOKUP(I86, FuelTypes!$A$1:$R$12,17,FALSE)*J86</f>
        <v>#N/A</v>
      </c>
      <c r="Q86" s="4" t="e">
        <f>VLOOKUP(I86, FuelTypes!$A$1:$R$12,18,FALSE)*J86</f>
        <v>#N/A</v>
      </c>
      <c r="R86" s="4">
        <f t="shared" si="22"/>
        <v>0</v>
      </c>
      <c r="S86" s="4">
        <f t="shared" si="23"/>
        <v>0</v>
      </c>
      <c r="T86" s="4" t="e">
        <f t="shared" si="24"/>
        <v>#DIV/0!</v>
      </c>
      <c r="U86" s="4" t="e">
        <f t="shared" si="30"/>
        <v>#DIV/0!</v>
      </c>
      <c r="W86" s="3">
        <f>IFERROR(VLOOKUP(I86,FuelTypes!$A$2:$G$40,5,FALSE)*M86,0)</f>
        <v>0</v>
      </c>
      <c r="Y86" s="3">
        <f t="shared" si="28"/>
        <v>0</v>
      </c>
      <c r="Z86" s="3" t="e">
        <f t="shared" si="25"/>
        <v>#DIV/0!</v>
      </c>
      <c r="AB86" s="3">
        <f t="shared" si="29"/>
        <v>0</v>
      </c>
      <c r="AC86" s="3">
        <f t="shared" si="26"/>
        <v>0</v>
      </c>
    </row>
    <row r="87" spans="1:29" x14ac:dyDescent="0.25">
      <c r="A87" s="6" t="s">
        <v>217</v>
      </c>
      <c r="B87" s="6"/>
      <c r="C87" s="18"/>
      <c r="D87" s="6"/>
      <c r="E87" s="6"/>
      <c r="F87" s="6"/>
      <c r="G87" s="6"/>
      <c r="H87" s="6"/>
      <c r="I87" s="6"/>
      <c r="J87" s="4">
        <f t="shared" si="19"/>
        <v>0</v>
      </c>
      <c r="K87" s="4">
        <f t="shared" si="27"/>
        <v>0</v>
      </c>
      <c r="L87" s="4">
        <f t="shared" si="20"/>
        <v>0</v>
      </c>
      <c r="M87" s="4">
        <f>IFERROR(VLOOKUP(I87,FuelTypes!$A$1:$B$32,2,FALSE)*J87,0)</f>
        <v>0</v>
      </c>
      <c r="N87" s="4">
        <f t="shared" si="17"/>
        <v>0</v>
      </c>
      <c r="O87" s="4">
        <f t="shared" si="21"/>
        <v>0</v>
      </c>
      <c r="P87" s="4" t="e">
        <f>VLOOKUP(I87, FuelTypes!$A$1:$R$12,17,FALSE)*J87</f>
        <v>#N/A</v>
      </c>
      <c r="Q87" s="4" t="e">
        <f>VLOOKUP(I87, FuelTypes!$A$1:$R$12,18,FALSE)*J87</f>
        <v>#N/A</v>
      </c>
      <c r="R87" s="4">
        <f t="shared" si="22"/>
        <v>0</v>
      </c>
      <c r="S87" s="4">
        <f t="shared" si="23"/>
        <v>0</v>
      </c>
      <c r="T87" s="4" t="e">
        <f t="shared" si="24"/>
        <v>#DIV/0!</v>
      </c>
      <c r="U87" s="4" t="e">
        <f t="shared" si="30"/>
        <v>#DIV/0!</v>
      </c>
      <c r="W87" s="3">
        <f>IFERROR(VLOOKUP(I87,FuelTypes!$A$2:$G$40,5,FALSE)*M87,0)</f>
        <v>0</v>
      </c>
      <c r="Y87" s="3">
        <f t="shared" si="28"/>
        <v>0</v>
      </c>
      <c r="Z87" s="3" t="e">
        <f t="shared" si="25"/>
        <v>#DIV/0!</v>
      </c>
      <c r="AB87" s="3">
        <f t="shared" si="29"/>
        <v>0</v>
      </c>
      <c r="AC87" s="3">
        <f t="shared" si="26"/>
        <v>0</v>
      </c>
    </row>
    <row r="88" spans="1:29" x14ac:dyDescent="0.25">
      <c r="A88" s="6" t="s">
        <v>218</v>
      </c>
      <c r="B88" s="6"/>
      <c r="C88" s="18"/>
      <c r="D88" s="6"/>
      <c r="E88" s="6"/>
      <c r="F88" s="6"/>
      <c r="G88" s="6"/>
      <c r="H88" s="6"/>
      <c r="I88" s="6"/>
      <c r="J88" s="4">
        <f t="shared" si="19"/>
        <v>0</v>
      </c>
      <c r="K88" s="4">
        <f t="shared" si="27"/>
        <v>0</v>
      </c>
      <c r="L88" s="4">
        <f t="shared" si="20"/>
        <v>0</v>
      </c>
      <c r="M88" s="4">
        <f>IFERROR(VLOOKUP(I88,FuelTypes!$A$1:$B$32,2,FALSE)*J88,0)</f>
        <v>0</v>
      </c>
      <c r="N88" s="4">
        <f t="shared" si="17"/>
        <v>0</v>
      </c>
      <c r="O88" s="4">
        <f t="shared" si="21"/>
        <v>0</v>
      </c>
      <c r="P88" s="4" t="e">
        <f>VLOOKUP(I88, FuelTypes!$A$1:$R$12,17,FALSE)*J88</f>
        <v>#N/A</v>
      </c>
      <c r="Q88" s="4" t="e">
        <f>VLOOKUP(I88, FuelTypes!$A$1:$R$12,18,FALSE)*J88</f>
        <v>#N/A</v>
      </c>
      <c r="R88" s="4">
        <f t="shared" si="22"/>
        <v>0</v>
      </c>
      <c r="S88" s="4">
        <f t="shared" si="23"/>
        <v>0</v>
      </c>
      <c r="T88" s="4" t="e">
        <f t="shared" si="24"/>
        <v>#DIV/0!</v>
      </c>
      <c r="U88" s="4" t="e">
        <f t="shared" si="30"/>
        <v>#DIV/0!</v>
      </c>
      <c r="W88" s="3">
        <f>IFERROR(VLOOKUP(I88,FuelTypes!$A$2:$G$40,5,FALSE)*M88,0)</f>
        <v>0</v>
      </c>
      <c r="Y88" s="3">
        <f t="shared" si="28"/>
        <v>0</v>
      </c>
      <c r="Z88" s="3" t="e">
        <f t="shared" si="25"/>
        <v>#DIV/0!</v>
      </c>
      <c r="AB88" s="3">
        <f t="shared" si="29"/>
        <v>0</v>
      </c>
      <c r="AC88" s="3">
        <f t="shared" si="26"/>
        <v>0</v>
      </c>
    </row>
    <row r="89" spans="1:29" x14ac:dyDescent="0.25">
      <c r="A89" s="6" t="s">
        <v>219</v>
      </c>
      <c r="B89" s="6"/>
      <c r="C89" s="18"/>
      <c r="D89" s="6"/>
      <c r="E89" s="6"/>
      <c r="F89" s="6"/>
      <c r="G89" s="6"/>
      <c r="H89" s="6"/>
      <c r="I89" s="6"/>
      <c r="J89" s="4">
        <f t="shared" si="19"/>
        <v>0</v>
      </c>
      <c r="K89" s="4">
        <f t="shared" si="27"/>
        <v>0</v>
      </c>
      <c r="L89" s="4">
        <f t="shared" si="20"/>
        <v>0</v>
      </c>
      <c r="M89" s="4">
        <f>IFERROR(VLOOKUP(I89,FuelTypes!$A$1:$B$32,2,FALSE)*J89,0)</f>
        <v>0</v>
      </c>
      <c r="N89" s="4">
        <f t="shared" si="17"/>
        <v>0</v>
      </c>
      <c r="O89" s="4">
        <f t="shared" si="21"/>
        <v>0</v>
      </c>
      <c r="P89" s="4" t="e">
        <f>VLOOKUP(I89, FuelTypes!$A$1:$R$12,17,FALSE)*J89</f>
        <v>#N/A</v>
      </c>
      <c r="Q89" s="4" t="e">
        <f>VLOOKUP(I89, FuelTypes!$A$1:$R$12,18,FALSE)*J89</f>
        <v>#N/A</v>
      </c>
      <c r="R89" s="4">
        <f t="shared" si="22"/>
        <v>0</v>
      </c>
      <c r="S89" s="4">
        <f t="shared" si="23"/>
        <v>0</v>
      </c>
      <c r="T89" s="4" t="e">
        <f t="shared" si="24"/>
        <v>#DIV/0!</v>
      </c>
      <c r="U89" s="4" t="e">
        <f t="shared" si="30"/>
        <v>#DIV/0!</v>
      </c>
      <c r="W89" s="3">
        <f>IFERROR(VLOOKUP(I89,FuelTypes!$A$2:$G$40,5,FALSE)*M89,0)</f>
        <v>0</v>
      </c>
      <c r="Y89" s="3">
        <f t="shared" si="28"/>
        <v>0</v>
      </c>
      <c r="Z89" s="3" t="e">
        <f t="shared" si="25"/>
        <v>#DIV/0!</v>
      </c>
      <c r="AB89" s="3">
        <f t="shared" si="29"/>
        <v>0</v>
      </c>
      <c r="AC89" s="3">
        <f t="shared" si="26"/>
        <v>0</v>
      </c>
    </row>
    <row r="90" spans="1:29" x14ac:dyDescent="0.25">
      <c r="A90" s="6" t="s">
        <v>220</v>
      </c>
      <c r="B90" s="6"/>
      <c r="C90" s="18"/>
      <c r="D90" s="6"/>
      <c r="E90" s="6"/>
      <c r="F90" s="6"/>
      <c r="G90" s="6"/>
      <c r="H90" s="6"/>
      <c r="I90" s="6"/>
      <c r="J90" s="4">
        <f t="shared" si="19"/>
        <v>0</v>
      </c>
      <c r="K90" s="4">
        <f t="shared" si="27"/>
        <v>0</v>
      </c>
      <c r="L90" s="4">
        <f t="shared" si="20"/>
        <v>0</v>
      </c>
      <c r="M90" s="4">
        <f>IFERROR(VLOOKUP(I90,FuelTypes!$A$1:$B$32,2,FALSE)*J90,0)</f>
        <v>0</v>
      </c>
      <c r="N90" s="4">
        <f t="shared" si="17"/>
        <v>0</v>
      </c>
      <c r="O90" s="4">
        <f t="shared" si="21"/>
        <v>0</v>
      </c>
      <c r="P90" s="4" t="e">
        <f>VLOOKUP(I90, FuelTypes!$A$1:$R$12,17,FALSE)*J90</f>
        <v>#N/A</v>
      </c>
      <c r="Q90" s="4" t="e">
        <f>VLOOKUP(I90, FuelTypes!$A$1:$R$12,18,FALSE)*J90</f>
        <v>#N/A</v>
      </c>
      <c r="R90" s="4">
        <f t="shared" si="22"/>
        <v>0</v>
      </c>
      <c r="S90" s="4">
        <f t="shared" si="23"/>
        <v>0</v>
      </c>
      <c r="T90" s="4" t="e">
        <f t="shared" si="24"/>
        <v>#DIV/0!</v>
      </c>
      <c r="U90" s="4" t="e">
        <f t="shared" si="30"/>
        <v>#DIV/0!</v>
      </c>
      <c r="W90" s="3">
        <f>IFERROR(VLOOKUP(I90,FuelTypes!$A$2:$G$40,5,FALSE)*M90,0)</f>
        <v>0</v>
      </c>
      <c r="Y90" s="3">
        <f t="shared" si="28"/>
        <v>0</v>
      </c>
      <c r="Z90" s="3" t="e">
        <f t="shared" si="25"/>
        <v>#DIV/0!</v>
      </c>
      <c r="AB90" s="3">
        <f t="shared" si="29"/>
        <v>0</v>
      </c>
      <c r="AC90" s="3">
        <f t="shared" si="26"/>
        <v>0</v>
      </c>
    </row>
    <row r="91" spans="1:29" x14ac:dyDescent="0.25">
      <c r="A91" s="6" t="s">
        <v>377</v>
      </c>
      <c r="B91" s="6">
        <v>1.95</v>
      </c>
      <c r="C91" s="18"/>
      <c r="D91" s="6"/>
      <c r="E91" s="6"/>
      <c r="F91" s="6"/>
      <c r="G91" s="6">
        <v>373</v>
      </c>
      <c r="H91" s="6">
        <v>180</v>
      </c>
      <c r="I91" s="6"/>
      <c r="J91" s="4">
        <f t="shared" si="19"/>
        <v>0</v>
      </c>
      <c r="K91" s="4">
        <f t="shared" si="27"/>
        <v>0</v>
      </c>
      <c r="L91" s="4">
        <f t="shared" si="20"/>
        <v>1.95</v>
      </c>
      <c r="M91" s="4">
        <f>IFERROR(VLOOKUP(I91,FuelTypes!$A$1:$B$32,2,FALSE)*J91,0)</f>
        <v>0</v>
      </c>
      <c r="N91" s="4">
        <f t="shared" si="17"/>
        <v>1.95</v>
      </c>
      <c r="O91" s="4">
        <f t="shared" si="21"/>
        <v>0</v>
      </c>
      <c r="P91" s="4" t="e">
        <f>VLOOKUP(I91, FuelTypes!$A$1:$R$12,17,FALSE)*J91</f>
        <v>#N/A</v>
      </c>
      <c r="Q91" s="4" t="e">
        <f>VLOOKUP(I91, FuelTypes!$A$1:$R$12,18,FALSE)*J91</f>
        <v>#N/A</v>
      </c>
      <c r="R91" s="4">
        <f t="shared" si="22"/>
        <v>19.128205128205131</v>
      </c>
      <c r="S91" s="4">
        <f t="shared" si="23"/>
        <v>0.94101876675603213</v>
      </c>
      <c r="T91" s="4" t="e">
        <f t="shared" si="24"/>
        <v>#DIV/0!</v>
      </c>
      <c r="U91" s="4" t="e">
        <f t="shared" si="30"/>
        <v>#DIV/0!</v>
      </c>
      <c r="W91" s="3">
        <f>IFERROR(VLOOKUP(I91,FuelTypes!$A$2:$G$40,5,FALSE)*M91,0)</f>
        <v>0</v>
      </c>
      <c r="Y91" s="3">
        <f t="shared" si="28"/>
        <v>0</v>
      </c>
      <c r="Z91" s="3">
        <f t="shared" si="25"/>
        <v>0</v>
      </c>
      <c r="AB91" s="3">
        <f t="shared" si="29"/>
        <v>0</v>
      </c>
      <c r="AC91" s="3">
        <f t="shared" si="26"/>
        <v>0</v>
      </c>
    </row>
    <row r="92" spans="1:29" x14ac:dyDescent="0.25">
      <c r="A92" s="6" t="s">
        <v>378</v>
      </c>
      <c r="B92" s="6">
        <v>1.95</v>
      </c>
      <c r="C92" s="18"/>
      <c r="D92" s="6"/>
      <c r="E92" s="6"/>
      <c r="F92" s="6"/>
      <c r="G92" s="6">
        <v>40</v>
      </c>
      <c r="H92" s="6">
        <v>10</v>
      </c>
      <c r="I92" s="6"/>
      <c r="J92" s="4">
        <f t="shared" si="19"/>
        <v>0</v>
      </c>
      <c r="K92" s="4">
        <f t="shared" si="27"/>
        <v>0</v>
      </c>
      <c r="L92" s="4">
        <f t="shared" si="20"/>
        <v>1.95</v>
      </c>
      <c r="M92" s="4">
        <f>IFERROR(VLOOKUP(I92,FuelTypes!$A$1:$B$32,2,FALSE)*J92,0)</f>
        <v>0</v>
      </c>
      <c r="N92" s="4">
        <f t="shared" si="17"/>
        <v>1.95</v>
      </c>
      <c r="O92" s="4">
        <f t="shared" si="21"/>
        <v>0</v>
      </c>
      <c r="P92" s="4" t="e">
        <f>VLOOKUP(I92, FuelTypes!$A$1:$R$12,17,FALSE)*J92</f>
        <v>#N/A</v>
      </c>
      <c r="Q92" s="4" t="e">
        <f>VLOOKUP(I92, FuelTypes!$A$1:$R$12,18,FALSE)*J92</f>
        <v>#N/A</v>
      </c>
      <c r="R92" s="4">
        <f t="shared" si="22"/>
        <v>2.0512820512820515</v>
      </c>
      <c r="S92" s="4">
        <f t="shared" si="23"/>
        <v>0.48749999999999999</v>
      </c>
      <c r="T92" s="4" t="e">
        <f t="shared" si="24"/>
        <v>#DIV/0!</v>
      </c>
      <c r="U92" s="4" t="e">
        <f t="shared" si="30"/>
        <v>#DIV/0!</v>
      </c>
      <c r="W92" s="3">
        <f>IFERROR(VLOOKUP(I92,FuelTypes!$A$2:$G$40,5,FALSE)*M92,0)</f>
        <v>0</v>
      </c>
      <c r="Y92" s="3">
        <f t="shared" si="28"/>
        <v>0</v>
      </c>
      <c r="Z92" s="3">
        <f t="shared" si="25"/>
        <v>0</v>
      </c>
      <c r="AB92" s="3">
        <f t="shared" si="29"/>
        <v>0</v>
      </c>
      <c r="AC92" s="3">
        <f t="shared" si="26"/>
        <v>0</v>
      </c>
    </row>
    <row r="93" spans="1:29" x14ac:dyDescent="0.25">
      <c r="A93" s="6" t="s">
        <v>355</v>
      </c>
      <c r="B93" s="6">
        <v>1.95</v>
      </c>
      <c r="C93" s="18"/>
      <c r="D93" s="6"/>
      <c r="E93" s="6"/>
      <c r="F93" s="6"/>
      <c r="G93" s="6">
        <v>393</v>
      </c>
      <c r="H93" s="6">
        <v>190</v>
      </c>
      <c r="I93" s="6"/>
      <c r="J93" s="4">
        <f t="shared" si="19"/>
        <v>0</v>
      </c>
      <c r="K93" s="4">
        <f t="shared" si="27"/>
        <v>0</v>
      </c>
      <c r="L93" s="4">
        <f t="shared" si="20"/>
        <v>1.95</v>
      </c>
      <c r="M93" s="4">
        <f>IFERROR(VLOOKUP(I93,FuelTypes!$A$1:$B$32,2,FALSE)*J93,0)</f>
        <v>0</v>
      </c>
      <c r="N93" s="4">
        <f t="shared" si="17"/>
        <v>1.95</v>
      </c>
      <c r="O93" s="4">
        <f t="shared" si="21"/>
        <v>0</v>
      </c>
      <c r="P93" s="4" t="e">
        <f>VLOOKUP(I93, FuelTypes!$A$1:$R$12,17,FALSE)*J93</f>
        <v>#N/A</v>
      </c>
      <c r="Q93" s="4" t="e">
        <f>VLOOKUP(I93, FuelTypes!$A$1:$R$12,18,FALSE)*J93</f>
        <v>#N/A</v>
      </c>
      <c r="R93" s="4">
        <f t="shared" si="22"/>
        <v>20.153846153846157</v>
      </c>
      <c r="S93" s="4">
        <f t="shared" si="23"/>
        <v>0.9427480916030534</v>
      </c>
      <c r="T93" s="4" t="e">
        <f t="shared" si="24"/>
        <v>#DIV/0!</v>
      </c>
      <c r="U93" s="4" t="e">
        <f t="shared" si="30"/>
        <v>#DIV/0!</v>
      </c>
      <c r="W93" s="3">
        <f>IFERROR(VLOOKUP(I93,FuelTypes!$A$2:$G$40,5,FALSE)*M93,0)</f>
        <v>0</v>
      </c>
      <c r="X93" s="2">
        <v>100</v>
      </c>
      <c r="Y93" s="3">
        <f t="shared" si="28"/>
        <v>100</v>
      </c>
      <c r="Z93" s="3">
        <f t="shared" si="25"/>
        <v>51.282051282051285</v>
      </c>
      <c r="AB93" s="3">
        <f t="shared" si="29"/>
        <v>0</v>
      </c>
      <c r="AC93" s="3">
        <f t="shared" si="26"/>
        <v>0</v>
      </c>
    </row>
    <row r="94" spans="1:29" x14ac:dyDescent="0.25">
      <c r="A94" s="6" t="s">
        <v>356</v>
      </c>
      <c r="B94" s="6">
        <v>1.95</v>
      </c>
      <c r="C94" s="18"/>
      <c r="D94" s="6"/>
      <c r="E94" s="6"/>
      <c r="F94" s="6"/>
      <c r="G94" s="6">
        <v>20</v>
      </c>
      <c r="H94" s="6">
        <v>5</v>
      </c>
      <c r="I94" s="6"/>
      <c r="J94" s="4">
        <f t="shared" si="19"/>
        <v>0</v>
      </c>
      <c r="K94" s="4">
        <f t="shared" si="27"/>
        <v>0</v>
      </c>
      <c r="L94" s="4">
        <f t="shared" si="20"/>
        <v>1.95</v>
      </c>
      <c r="M94" s="4">
        <f>IFERROR(VLOOKUP(I94,FuelTypes!$A$1:$B$32,2,FALSE)*J94,0)</f>
        <v>0</v>
      </c>
      <c r="N94" s="4">
        <f t="shared" si="17"/>
        <v>1.95</v>
      </c>
      <c r="O94" s="4">
        <f t="shared" si="21"/>
        <v>0</v>
      </c>
      <c r="P94" s="4" t="e">
        <f>VLOOKUP(I94, FuelTypes!$A$1:$R$12,17,FALSE)*J94</f>
        <v>#N/A</v>
      </c>
      <c r="Q94" s="4" t="e">
        <f>VLOOKUP(I94, FuelTypes!$A$1:$R$12,18,FALSE)*J94</f>
        <v>#N/A</v>
      </c>
      <c r="R94" s="4">
        <f t="shared" si="22"/>
        <v>1.0256410256410258</v>
      </c>
      <c r="S94" s="4">
        <f t="shared" si="23"/>
        <v>0.48749999999999999</v>
      </c>
      <c r="T94" s="4" t="e">
        <f t="shared" si="24"/>
        <v>#DIV/0!</v>
      </c>
      <c r="U94" s="4" t="e">
        <f t="shared" si="30"/>
        <v>#DIV/0!</v>
      </c>
      <c r="W94" s="3">
        <f>IFERROR(VLOOKUP(I94,FuelTypes!$A$2:$G$40,5,FALSE)*M94,0)</f>
        <v>0</v>
      </c>
      <c r="X94" s="2">
        <v>200</v>
      </c>
      <c r="Y94" s="3">
        <f t="shared" si="28"/>
        <v>200</v>
      </c>
      <c r="Z94" s="3">
        <f t="shared" si="25"/>
        <v>102.56410256410257</v>
      </c>
      <c r="AB94" s="3">
        <f t="shared" si="29"/>
        <v>0</v>
      </c>
      <c r="AC94" s="3">
        <f t="shared" si="26"/>
        <v>0</v>
      </c>
    </row>
    <row r="95" spans="1:29" x14ac:dyDescent="0.25">
      <c r="A95" s="6" t="s">
        <v>379</v>
      </c>
      <c r="B95" s="6">
        <v>1.95</v>
      </c>
      <c r="C95" s="18"/>
      <c r="D95" s="6"/>
      <c r="E95" s="6"/>
      <c r="F95" s="6"/>
      <c r="G95" s="6">
        <v>373</v>
      </c>
      <c r="H95" s="6">
        <v>280</v>
      </c>
      <c r="I95" s="6"/>
      <c r="J95" s="4">
        <f t="shared" si="19"/>
        <v>0</v>
      </c>
      <c r="K95" s="4">
        <f t="shared" si="27"/>
        <v>0</v>
      </c>
      <c r="L95" s="4">
        <f t="shared" si="20"/>
        <v>1.95</v>
      </c>
      <c r="M95" s="4">
        <f>IFERROR(VLOOKUP(I95,FuelTypes!$A$1:$B$32,2,FALSE)*J95,0)</f>
        <v>0</v>
      </c>
      <c r="N95" s="4">
        <f t="shared" si="17"/>
        <v>1.95</v>
      </c>
      <c r="O95" s="4">
        <f t="shared" si="21"/>
        <v>0</v>
      </c>
      <c r="P95" s="4" t="e">
        <f>VLOOKUP(I95, FuelTypes!$A$1:$R$12,17,FALSE)*J95</f>
        <v>#N/A</v>
      </c>
      <c r="Q95" s="4" t="e">
        <f>VLOOKUP(I95, FuelTypes!$A$1:$R$12,18,FALSE)*J95</f>
        <v>#N/A</v>
      </c>
      <c r="R95" s="4">
        <f t="shared" si="22"/>
        <v>19.128205128205131</v>
      </c>
      <c r="S95" s="4">
        <f t="shared" si="23"/>
        <v>1.4638069705093832</v>
      </c>
      <c r="T95" s="4" t="e">
        <f t="shared" si="24"/>
        <v>#DIV/0!</v>
      </c>
      <c r="U95" s="4" t="e">
        <f t="shared" si="30"/>
        <v>#DIV/0!</v>
      </c>
      <c r="W95" s="3">
        <f>IFERROR(VLOOKUP(I95,FuelTypes!$A$2:$G$40,5,FALSE)*M95,0)</f>
        <v>0</v>
      </c>
      <c r="X95" s="2">
        <v>300</v>
      </c>
      <c r="Y95" s="3">
        <f t="shared" si="28"/>
        <v>300</v>
      </c>
      <c r="Z95" s="3">
        <f t="shared" si="25"/>
        <v>153.84615384615384</v>
      </c>
      <c r="AB95" s="3">
        <f t="shared" si="29"/>
        <v>0</v>
      </c>
      <c r="AC95" s="3">
        <f t="shared" si="26"/>
        <v>0</v>
      </c>
    </row>
    <row r="96" spans="1:29" x14ac:dyDescent="0.25">
      <c r="A96" s="6" t="s">
        <v>380</v>
      </c>
      <c r="B96" s="6">
        <v>16</v>
      </c>
      <c r="C96" s="18"/>
      <c r="D96" s="6"/>
      <c r="E96" s="6"/>
      <c r="F96" s="6"/>
      <c r="G96" s="6">
        <v>1980</v>
      </c>
      <c r="H96" s="6">
        <v>110</v>
      </c>
      <c r="I96" s="6"/>
      <c r="J96" s="4">
        <f t="shared" si="19"/>
        <v>0</v>
      </c>
      <c r="K96" s="4">
        <f t="shared" si="27"/>
        <v>0</v>
      </c>
      <c r="L96" s="4">
        <f t="shared" si="20"/>
        <v>16</v>
      </c>
      <c r="M96" s="4">
        <f>IFERROR(VLOOKUP(I96,FuelTypes!$A$1:$B$32,2,FALSE)*J96,0)</f>
        <v>0</v>
      </c>
      <c r="N96" s="4">
        <f t="shared" si="17"/>
        <v>16</v>
      </c>
      <c r="O96" s="4">
        <f t="shared" si="21"/>
        <v>0</v>
      </c>
      <c r="P96" s="4" t="e">
        <f>VLOOKUP(I96, FuelTypes!$A$1:$R$12,17,FALSE)*J96</f>
        <v>#N/A</v>
      </c>
      <c r="Q96" s="4" t="e">
        <f>VLOOKUP(I96, FuelTypes!$A$1:$R$12,18,FALSE)*J96</f>
        <v>#N/A</v>
      </c>
      <c r="R96" s="4">
        <f t="shared" si="22"/>
        <v>12.375</v>
      </c>
      <c r="S96" s="4">
        <f t="shared" si="23"/>
        <v>0.88888888888888884</v>
      </c>
      <c r="T96" s="4" t="e">
        <f t="shared" si="24"/>
        <v>#DIV/0!</v>
      </c>
      <c r="U96" s="4" t="e">
        <f t="shared" si="30"/>
        <v>#DIV/0!</v>
      </c>
      <c r="W96" s="3">
        <f>IFERROR(VLOOKUP(I96,FuelTypes!$A$2:$G$40,5,FALSE)*M96,0)</f>
        <v>0</v>
      </c>
      <c r="X96" s="2">
        <v>400</v>
      </c>
      <c r="Y96" s="3">
        <f t="shared" si="28"/>
        <v>400</v>
      </c>
      <c r="Z96" s="3">
        <f t="shared" si="25"/>
        <v>25</v>
      </c>
      <c r="AB96" s="3">
        <f t="shared" si="29"/>
        <v>0</v>
      </c>
      <c r="AC96" s="3">
        <f t="shared" si="26"/>
        <v>0</v>
      </c>
    </row>
    <row r="97" spans="1:29" x14ac:dyDescent="0.25">
      <c r="A97" s="6" t="s">
        <v>381</v>
      </c>
      <c r="B97" s="6">
        <v>16</v>
      </c>
      <c r="C97" s="18"/>
      <c r="D97" s="6"/>
      <c r="E97" s="6"/>
      <c r="F97" s="6"/>
      <c r="G97" s="6">
        <v>100</v>
      </c>
      <c r="H97" s="6">
        <v>4</v>
      </c>
      <c r="I97" s="6"/>
      <c r="J97" s="4">
        <f t="shared" si="19"/>
        <v>0</v>
      </c>
      <c r="K97" s="4">
        <f t="shared" si="27"/>
        <v>0</v>
      </c>
      <c r="L97" s="4">
        <f t="shared" si="20"/>
        <v>16</v>
      </c>
      <c r="M97" s="4">
        <f>IFERROR(VLOOKUP(I97,FuelTypes!$A$1:$B$32,2,FALSE)*J97,0)</f>
        <v>0</v>
      </c>
      <c r="N97" s="4">
        <f t="shared" si="17"/>
        <v>16</v>
      </c>
      <c r="O97" s="4">
        <f t="shared" si="21"/>
        <v>0</v>
      </c>
      <c r="P97" s="4" t="e">
        <f>VLOOKUP(I97, FuelTypes!$A$1:$R$12,17,FALSE)*J97</f>
        <v>#N/A</v>
      </c>
      <c r="Q97" s="4" t="e">
        <f>VLOOKUP(I97, FuelTypes!$A$1:$R$12,18,FALSE)*J97</f>
        <v>#N/A</v>
      </c>
      <c r="R97" s="4">
        <f t="shared" si="22"/>
        <v>0.625</v>
      </c>
      <c r="S97" s="4">
        <f t="shared" si="23"/>
        <v>0.64</v>
      </c>
      <c r="T97" s="4" t="e">
        <f t="shared" si="24"/>
        <v>#DIV/0!</v>
      </c>
      <c r="U97" s="4" t="e">
        <f t="shared" si="30"/>
        <v>#DIV/0!</v>
      </c>
      <c r="W97" s="3">
        <f>IFERROR(VLOOKUP(I97,FuelTypes!$A$2:$G$40,5,FALSE)*M97,0)</f>
        <v>0</v>
      </c>
      <c r="X97" s="2">
        <v>500</v>
      </c>
      <c r="Y97" s="3">
        <f t="shared" si="28"/>
        <v>500</v>
      </c>
      <c r="Z97" s="3">
        <f t="shared" si="25"/>
        <v>31.25</v>
      </c>
      <c r="AB97" s="3">
        <f t="shared" si="29"/>
        <v>0</v>
      </c>
      <c r="AC97" s="3">
        <f t="shared" si="26"/>
        <v>0</v>
      </c>
    </row>
    <row r="98" spans="1:29" x14ac:dyDescent="0.25">
      <c r="A98" s="6" t="s">
        <v>353</v>
      </c>
      <c r="B98" s="6">
        <v>37.5</v>
      </c>
      <c r="C98" s="18"/>
      <c r="D98" s="6"/>
      <c r="E98" s="6"/>
      <c r="F98" s="6"/>
      <c r="G98" s="6">
        <v>3000</v>
      </c>
      <c r="H98" s="6">
        <v>125</v>
      </c>
      <c r="I98" s="6"/>
      <c r="J98" s="4">
        <f t="shared" ref="J98:J129" si="31">C98 - (D98*C98)</f>
        <v>0</v>
      </c>
      <c r="K98" s="4">
        <f t="shared" si="27"/>
        <v>0</v>
      </c>
      <c r="L98" s="4">
        <f t="shared" ref="L98:L129" si="32">K98+B98</f>
        <v>37.5</v>
      </c>
      <c r="M98" s="4">
        <f>IFERROR(VLOOKUP(I98,FuelTypes!$A$1:$B$32,2,FALSE)*J98,0)</f>
        <v>0</v>
      </c>
      <c r="N98" s="4">
        <f t="shared" si="17"/>
        <v>37.5</v>
      </c>
      <c r="O98" s="4">
        <f t="shared" ref="O98:O129" si="33">IF(M98&gt;0, M98/N98,0)</f>
        <v>0</v>
      </c>
      <c r="P98" s="4" t="e">
        <f>VLOOKUP(I98, FuelTypes!$A$1:$R$12,17,FALSE)*J98</f>
        <v>#N/A</v>
      </c>
      <c r="Q98" s="4" t="e">
        <f>VLOOKUP(I98, FuelTypes!$A$1:$R$12,18,FALSE)*J98</f>
        <v>#N/A</v>
      </c>
      <c r="R98" s="4">
        <f t="shared" si="22"/>
        <v>8</v>
      </c>
      <c r="S98" s="4">
        <f t="shared" si="23"/>
        <v>1.5625</v>
      </c>
      <c r="T98" s="4" t="e">
        <f t="shared" si="24"/>
        <v>#DIV/0!</v>
      </c>
      <c r="U98" s="4" t="e">
        <f t="shared" si="30"/>
        <v>#DIV/0!</v>
      </c>
      <c r="W98" s="3">
        <f>IFERROR(VLOOKUP(I98,FuelTypes!$A$2:$G$40,5,FALSE)*M98,0)</f>
        <v>0</v>
      </c>
      <c r="X98" s="2">
        <v>600</v>
      </c>
      <c r="Y98" s="3">
        <f t="shared" si="28"/>
        <v>600</v>
      </c>
      <c r="Z98" s="3">
        <f t="shared" si="25"/>
        <v>16</v>
      </c>
      <c r="AB98" s="3">
        <f t="shared" si="29"/>
        <v>0</v>
      </c>
      <c r="AC98" s="3">
        <f t="shared" si="26"/>
        <v>0</v>
      </c>
    </row>
    <row r="99" spans="1:29" x14ac:dyDescent="0.25">
      <c r="A99" s="6" t="s">
        <v>354</v>
      </c>
      <c r="B99" s="6">
        <v>37.5</v>
      </c>
      <c r="C99" s="18"/>
      <c r="D99" s="6"/>
      <c r="E99" s="6"/>
      <c r="F99" s="6"/>
      <c r="G99" s="6">
        <v>20</v>
      </c>
      <c r="H99" s="6">
        <v>0.8</v>
      </c>
      <c r="I99" s="6"/>
      <c r="J99" s="4">
        <f t="shared" si="31"/>
        <v>0</v>
      </c>
      <c r="K99" s="4">
        <f t="shared" si="27"/>
        <v>0</v>
      </c>
      <c r="L99" s="4">
        <f t="shared" si="32"/>
        <v>37.5</v>
      </c>
      <c r="M99" s="4">
        <f>IFERROR(VLOOKUP(I99,FuelTypes!$A$1:$B$32,2,FALSE)*J99,0)</f>
        <v>0</v>
      </c>
      <c r="N99" s="4">
        <f t="shared" si="17"/>
        <v>37.5</v>
      </c>
      <c r="O99" s="4">
        <f t="shared" si="33"/>
        <v>0</v>
      </c>
      <c r="P99" s="4" t="e">
        <f>VLOOKUP(I99, FuelTypes!$A$1:$R$12,17,FALSE)*J99</f>
        <v>#N/A</v>
      </c>
      <c r="Q99" s="4" t="e">
        <f>VLOOKUP(I99, FuelTypes!$A$1:$R$12,18,FALSE)*J99</f>
        <v>#N/A</v>
      </c>
      <c r="R99" s="4">
        <f t="shared" si="22"/>
        <v>5.3333333333333337E-2</v>
      </c>
      <c r="S99" s="4">
        <f t="shared" si="23"/>
        <v>1.5</v>
      </c>
      <c r="T99" s="4" t="e">
        <f t="shared" si="24"/>
        <v>#DIV/0!</v>
      </c>
      <c r="U99" s="4" t="e">
        <f t="shared" si="30"/>
        <v>#DIV/0!</v>
      </c>
      <c r="W99" s="3">
        <f>IFERROR(VLOOKUP(I99,FuelTypes!$A$2:$G$40,5,FALSE)*M99,0)</f>
        <v>0</v>
      </c>
      <c r="X99" s="2">
        <v>700</v>
      </c>
      <c r="Y99" s="3">
        <f t="shared" si="28"/>
        <v>700</v>
      </c>
      <c r="Z99" s="3">
        <f t="shared" si="25"/>
        <v>18.666666666666668</v>
      </c>
      <c r="AB99" s="3">
        <f t="shared" si="29"/>
        <v>0</v>
      </c>
      <c r="AC99" s="3">
        <f t="shared" si="26"/>
        <v>0</v>
      </c>
    </row>
    <row r="100" spans="1:29" x14ac:dyDescent="0.25">
      <c r="A100" s="6" t="s">
        <v>380</v>
      </c>
      <c r="B100" s="6">
        <v>10</v>
      </c>
      <c r="C100" s="18"/>
      <c r="D100" s="6"/>
      <c r="E100" s="6"/>
      <c r="F100" s="6"/>
      <c r="G100" s="6">
        <v>1350</v>
      </c>
      <c r="H100" s="6">
        <v>135</v>
      </c>
      <c r="I100" s="6"/>
      <c r="J100" s="4">
        <f t="shared" si="31"/>
        <v>0</v>
      </c>
      <c r="K100" s="4">
        <f t="shared" si="27"/>
        <v>0</v>
      </c>
      <c r="L100" s="4">
        <f t="shared" si="32"/>
        <v>10</v>
      </c>
      <c r="M100" s="4">
        <f>IFERROR(VLOOKUP(I100,FuelTypes!$A$1:$B$32,2,FALSE)*J100,0)</f>
        <v>0</v>
      </c>
      <c r="N100" s="4">
        <f t="shared" si="17"/>
        <v>10</v>
      </c>
      <c r="O100" s="4">
        <f t="shared" si="33"/>
        <v>0</v>
      </c>
      <c r="P100" s="4" t="e">
        <f>VLOOKUP(I100, FuelTypes!$A$1:$R$12,17,FALSE)*J100</f>
        <v>#N/A</v>
      </c>
      <c r="Q100" s="4" t="e">
        <f>VLOOKUP(I100, FuelTypes!$A$1:$R$12,18,FALSE)*J100</f>
        <v>#N/A</v>
      </c>
      <c r="R100" s="4">
        <f t="shared" si="22"/>
        <v>13.5</v>
      </c>
      <c r="S100" s="4">
        <f t="shared" si="23"/>
        <v>1</v>
      </c>
      <c r="T100" s="4" t="e">
        <f t="shared" si="24"/>
        <v>#DIV/0!</v>
      </c>
      <c r="U100" s="4" t="e">
        <f t="shared" si="30"/>
        <v>#DIV/0!</v>
      </c>
      <c r="W100" s="3">
        <f>IFERROR(VLOOKUP(I100,FuelTypes!$A$2:$G$40,5,FALSE)*M100,0)</f>
        <v>0</v>
      </c>
      <c r="X100" s="2">
        <v>800</v>
      </c>
      <c r="Y100" s="3">
        <f t="shared" si="28"/>
        <v>800</v>
      </c>
      <c r="Z100" s="3">
        <f t="shared" si="25"/>
        <v>80</v>
      </c>
      <c r="AB100" s="3">
        <f t="shared" si="29"/>
        <v>0</v>
      </c>
      <c r="AC100" s="3">
        <f t="shared" si="26"/>
        <v>0</v>
      </c>
    </row>
    <row r="101" spans="1:29" x14ac:dyDescent="0.25">
      <c r="A101" s="6" t="s">
        <v>381</v>
      </c>
      <c r="B101" s="6">
        <v>10</v>
      </c>
      <c r="C101" s="18"/>
      <c r="D101" s="6"/>
      <c r="E101" s="6"/>
      <c r="F101" s="6"/>
      <c r="G101" s="6">
        <v>80</v>
      </c>
      <c r="H101" s="6">
        <v>4</v>
      </c>
      <c r="I101" s="6"/>
      <c r="J101" s="4">
        <f t="shared" si="31"/>
        <v>0</v>
      </c>
      <c r="K101" s="4">
        <f t="shared" si="27"/>
        <v>0</v>
      </c>
      <c r="L101" s="4">
        <f t="shared" si="32"/>
        <v>10</v>
      </c>
      <c r="M101" s="4">
        <f>IFERROR(VLOOKUP(I101,FuelTypes!$A$1:$B$32,2,FALSE)*J101,0)</f>
        <v>0</v>
      </c>
      <c r="N101" s="4">
        <f t="shared" si="17"/>
        <v>10</v>
      </c>
      <c r="O101" s="4">
        <f t="shared" si="33"/>
        <v>0</v>
      </c>
      <c r="P101" s="4" t="e">
        <f>VLOOKUP(I101, FuelTypes!$A$1:$R$12,17,FALSE)*J101</f>
        <v>#N/A</v>
      </c>
      <c r="Q101" s="4" t="e">
        <f>VLOOKUP(I101, FuelTypes!$A$1:$R$12,18,FALSE)*J101</f>
        <v>#N/A</v>
      </c>
      <c r="R101" s="4">
        <f t="shared" si="22"/>
        <v>0.8</v>
      </c>
      <c r="S101" s="4">
        <f t="shared" si="23"/>
        <v>0.5</v>
      </c>
      <c r="T101" s="4" t="e">
        <f t="shared" si="24"/>
        <v>#DIV/0!</v>
      </c>
      <c r="U101" s="4" t="e">
        <f t="shared" si="30"/>
        <v>#DIV/0!</v>
      </c>
      <c r="W101" s="3">
        <f>IFERROR(VLOOKUP(I101,FuelTypes!$A$2:$G$40,5,FALSE)*M101,0)</f>
        <v>0</v>
      </c>
      <c r="X101" s="2">
        <v>300</v>
      </c>
      <c r="Y101" s="3">
        <f t="shared" si="28"/>
        <v>300</v>
      </c>
      <c r="Z101" s="3">
        <f t="shared" si="25"/>
        <v>30</v>
      </c>
      <c r="AB101" s="3">
        <f t="shared" si="29"/>
        <v>0</v>
      </c>
      <c r="AC101" s="3">
        <f t="shared" si="26"/>
        <v>0</v>
      </c>
    </row>
    <row r="102" spans="1:29" x14ac:dyDescent="0.25">
      <c r="A102" s="6"/>
      <c r="B102" s="6"/>
      <c r="C102" s="18"/>
      <c r="D102" s="6"/>
      <c r="E102" s="6"/>
      <c r="F102" s="6"/>
      <c r="G102" s="6"/>
      <c r="H102" s="6"/>
      <c r="I102" s="6"/>
      <c r="J102" s="4">
        <f t="shared" si="31"/>
        <v>0</v>
      </c>
      <c r="K102" s="4">
        <f t="shared" si="27"/>
        <v>0</v>
      </c>
      <c r="L102" s="4">
        <f t="shared" si="32"/>
        <v>0</v>
      </c>
      <c r="M102" s="4">
        <f>IFERROR(VLOOKUP(I102,FuelTypes!$A$1:$B$32,2,FALSE)*J102,0)</f>
        <v>0</v>
      </c>
      <c r="N102" s="4">
        <f t="shared" si="17"/>
        <v>0</v>
      </c>
      <c r="O102" s="4">
        <f t="shared" si="33"/>
        <v>0</v>
      </c>
      <c r="P102" s="4" t="e">
        <f>VLOOKUP(I102, FuelTypes!$A$1:$R$12,17,FALSE)*J102</f>
        <v>#N/A</v>
      </c>
      <c r="Q102" s="4" t="e">
        <f>VLOOKUP(I102, FuelTypes!$A$1:$R$12,18,FALSE)*J102</f>
        <v>#N/A</v>
      </c>
      <c r="R102" s="4">
        <f t="shared" si="22"/>
        <v>0</v>
      </c>
      <c r="S102" s="4">
        <f t="shared" si="23"/>
        <v>0</v>
      </c>
      <c r="T102" s="4" t="e">
        <f t="shared" si="24"/>
        <v>#DIV/0!</v>
      </c>
      <c r="U102" s="4" t="e">
        <f t="shared" si="30"/>
        <v>#DIV/0!</v>
      </c>
      <c r="W102" s="3">
        <f>IFERROR(VLOOKUP(I102,FuelTypes!$A$2:$G$40,5,FALSE)*M102,0)</f>
        <v>0</v>
      </c>
      <c r="X102" s="2">
        <v>600</v>
      </c>
      <c r="Y102" s="3">
        <f t="shared" si="28"/>
        <v>600</v>
      </c>
      <c r="Z102" s="3" t="e">
        <f t="shared" si="25"/>
        <v>#DIV/0!</v>
      </c>
      <c r="AB102" s="3">
        <f t="shared" si="29"/>
        <v>0</v>
      </c>
      <c r="AC102" s="3">
        <f t="shared" si="26"/>
        <v>0</v>
      </c>
    </row>
    <row r="103" spans="1:29" x14ac:dyDescent="0.25">
      <c r="A103" s="6"/>
      <c r="B103" s="6"/>
      <c r="C103" s="18"/>
      <c r="D103" s="6"/>
      <c r="E103" s="6"/>
      <c r="F103" s="6"/>
      <c r="G103" s="6"/>
      <c r="H103" s="6"/>
      <c r="I103" s="6"/>
      <c r="J103" s="4">
        <f t="shared" si="31"/>
        <v>0</v>
      </c>
      <c r="K103" s="4">
        <f t="shared" si="27"/>
        <v>0</v>
      </c>
      <c r="L103" s="4">
        <f t="shared" si="32"/>
        <v>0</v>
      </c>
      <c r="M103" s="4">
        <f>IFERROR(VLOOKUP(I103,FuelTypes!$A$1:$B$32,2,FALSE)*J103,0)</f>
        <v>0</v>
      </c>
      <c r="N103" s="4">
        <f t="shared" si="17"/>
        <v>0</v>
      </c>
      <c r="O103" s="4">
        <f t="shared" si="33"/>
        <v>0</v>
      </c>
      <c r="P103" s="4" t="e">
        <f>VLOOKUP(I103, FuelTypes!$A$1:$R$12,17,FALSE)*J103</f>
        <v>#N/A</v>
      </c>
      <c r="Q103" s="4" t="e">
        <f>VLOOKUP(I103, FuelTypes!$A$1:$R$12,18,FALSE)*J103</f>
        <v>#N/A</v>
      </c>
      <c r="R103" s="4">
        <f t="shared" si="22"/>
        <v>0</v>
      </c>
      <c r="S103" s="4">
        <f t="shared" si="23"/>
        <v>0</v>
      </c>
      <c r="T103" s="4" t="e">
        <f t="shared" si="24"/>
        <v>#DIV/0!</v>
      </c>
      <c r="U103" s="4" t="e">
        <f t="shared" si="30"/>
        <v>#DIV/0!</v>
      </c>
      <c r="W103" s="3">
        <f>IFERROR(VLOOKUP(I103,FuelTypes!$A$2:$G$40,5,FALSE)*M103,0)</f>
        <v>0</v>
      </c>
      <c r="X103" s="2">
        <v>900</v>
      </c>
      <c r="Y103" s="3">
        <f t="shared" si="28"/>
        <v>900</v>
      </c>
      <c r="Z103" s="3" t="e">
        <f t="shared" si="25"/>
        <v>#DIV/0!</v>
      </c>
      <c r="AB103" s="3">
        <f t="shared" si="29"/>
        <v>0</v>
      </c>
      <c r="AC103" s="3">
        <f t="shared" si="26"/>
        <v>0</v>
      </c>
    </row>
    <row r="104" spans="1:29" x14ac:dyDescent="0.25">
      <c r="A104" s="6"/>
      <c r="B104" s="6"/>
      <c r="C104" s="18"/>
      <c r="D104" s="6"/>
      <c r="E104" s="6"/>
      <c r="F104" s="6"/>
      <c r="G104" s="6"/>
      <c r="H104" s="6"/>
      <c r="I104" s="6"/>
      <c r="J104" s="4">
        <f t="shared" si="31"/>
        <v>0</v>
      </c>
      <c r="K104" s="4">
        <f t="shared" si="27"/>
        <v>0</v>
      </c>
      <c r="L104" s="4">
        <f t="shared" si="32"/>
        <v>0</v>
      </c>
      <c r="M104" s="4">
        <f>IFERROR(VLOOKUP(I104,FuelTypes!$A$1:$B$32,2,FALSE)*J104,0)</f>
        <v>0</v>
      </c>
      <c r="N104" s="4">
        <f t="shared" si="17"/>
        <v>0</v>
      </c>
      <c r="O104" s="4">
        <f t="shared" si="33"/>
        <v>0</v>
      </c>
      <c r="P104" s="4" t="e">
        <f>VLOOKUP(I104, FuelTypes!$A$1:$R$12,17,FALSE)*J104</f>
        <v>#N/A</v>
      </c>
      <c r="Q104" s="4" t="e">
        <f>VLOOKUP(I104, FuelTypes!$A$1:$R$12,18,FALSE)*J104</f>
        <v>#N/A</v>
      </c>
      <c r="R104" s="4">
        <f t="shared" si="22"/>
        <v>0</v>
      </c>
      <c r="S104" s="4">
        <f t="shared" si="23"/>
        <v>0</v>
      </c>
      <c r="T104" s="4" t="e">
        <f t="shared" si="24"/>
        <v>#DIV/0!</v>
      </c>
      <c r="U104" s="4" t="e">
        <f t="shared" si="30"/>
        <v>#DIV/0!</v>
      </c>
      <c r="W104" s="3">
        <f>IFERROR(VLOOKUP(I104,FuelTypes!$A$2:$G$40,5,FALSE)*M104,0)</f>
        <v>0</v>
      </c>
      <c r="X104" s="2">
        <v>1200</v>
      </c>
      <c r="Y104" s="3">
        <f t="shared" si="28"/>
        <v>1200</v>
      </c>
      <c r="Z104" s="3" t="e">
        <f t="shared" si="25"/>
        <v>#DIV/0!</v>
      </c>
      <c r="AB104" s="3">
        <f t="shared" si="29"/>
        <v>0</v>
      </c>
      <c r="AC104" s="3">
        <f t="shared" si="26"/>
        <v>0</v>
      </c>
    </row>
    <row r="105" spans="1:29" x14ac:dyDescent="0.25">
      <c r="A105" s="6"/>
      <c r="B105" s="6"/>
      <c r="C105" s="18"/>
      <c r="D105" s="6"/>
      <c r="E105" s="6"/>
      <c r="F105" s="6"/>
      <c r="G105" s="6"/>
      <c r="H105" s="6"/>
      <c r="I105" s="6"/>
      <c r="J105" s="4">
        <f t="shared" si="31"/>
        <v>0</v>
      </c>
      <c r="K105" s="4">
        <f t="shared" si="27"/>
        <v>0</v>
      </c>
      <c r="L105" s="4">
        <f t="shared" si="32"/>
        <v>0</v>
      </c>
      <c r="M105" s="4">
        <f>IFERROR(VLOOKUP(I105,FuelTypes!$A$1:$B$32,2,FALSE)*J105,0)</f>
        <v>0</v>
      </c>
      <c r="N105" s="4">
        <f t="shared" si="17"/>
        <v>0</v>
      </c>
      <c r="O105" s="4">
        <f t="shared" si="33"/>
        <v>0</v>
      </c>
      <c r="P105" s="4" t="e">
        <f>VLOOKUP(I105, FuelTypes!$A$1:$R$12,17,FALSE)*J105</f>
        <v>#N/A</v>
      </c>
      <c r="Q105" s="4" t="e">
        <f>VLOOKUP(I105, FuelTypes!$A$1:$R$12,18,FALSE)*J105</f>
        <v>#N/A</v>
      </c>
      <c r="R105" s="4">
        <f t="shared" si="22"/>
        <v>0</v>
      </c>
      <c r="S105" s="4">
        <f t="shared" si="23"/>
        <v>0</v>
      </c>
      <c r="T105" s="4" t="e">
        <f t="shared" si="24"/>
        <v>#DIV/0!</v>
      </c>
      <c r="U105" s="4" t="e">
        <f t="shared" si="30"/>
        <v>#DIV/0!</v>
      </c>
      <c r="W105" s="3">
        <f>IFERROR(VLOOKUP(I105,FuelTypes!$A$2:$G$40,5,FALSE)*M105,0)</f>
        <v>0</v>
      </c>
      <c r="X105" s="2">
        <v>1500</v>
      </c>
      <c r="Y105" s="3">
        <f t="shared" si="28"/>
        <v>1500</v>
      </c>
      <c r="Z105" s="3" t="e">
        <f t="shared" si="25"/>
        <v>#DIV/0!</v>
      </c>
      <c r="AB105" s="3">
        <f t="shared" si="29"/>
        <v>0</v>
      </c>
      <c r="AC105" s="3">
        <f t="shared" si="26"/>
        <v>0</v>
      </c>
    </row>
    <row r="106" spans="1:29" x14ac:dyDescent="0.25">
      <c r="A106" s="6"/>
      <c r="B106" s="6"/>
      <c r="C106" s="18"/>
      <c r="D106" s="6"/>
      <c r="E106" s="6"/>
      <c r="F106" s="6"/>
      <c r="G106" s="6"/>
      <c r="H106" s="6"/>
      <c r="I106" s="6"/>
      <c r="J106" s="4">
        <f t="shared" si="31"/>
        <v>0</v>
      </c>
      <c r="K106" s="4">
        <f t="shared" si="27"/>
        <v>0</v>
      </c>
      <c r="L106" s="4">
        <f t="shared" si="32"/>
        <v>0</v>
      </c>
      <c r="M106" s="4">
        <f>IFERROR(VLOOKUP(I106,FuelTypes!$A$1:$B$32,2,FALSE)*J106,0)</f>
        <v>0</v>
      </c>
      <c r="N106" s="4">
        <f t="shared" si="17"/>
        <v>0</v>
      </c>
      <c r="O106" s="4">
        <f t="shared" si="33"/>
        <v>0</v>
      </c>
      <c r="P106" s="4" t="e">
        <f>VLOOKUP(I106, FuelTypes!$A$1:$R$12,17,FALSE)*J106</f>
        <v>#N/A</v>
      </c>
      <c r="Q106" s="4" t="e">
        <f>VLOOKUP(I106, FuelTypes!$A$1:$R$12,18,FALSE)*J106</f>
        <v>#N/A</v>
      </c>
      <c r="R106" s="4">
        <f t="shared" si="22"/>
        <v>0</v>
      </c>
      <c r="S106" s="4">
        <f t="shared" si="23"/>
        <v>0</v>
      </c>
      <c r="T106" s="4" t="e">
        <f t="shared" si="24"/>
        <v>#DIV/0!</v>
      </c>
      <c r="U106" s="4" t="e">
        <f t="shared" si="30"/>
        <v>#DIV/0!</v>
      </c>
      <c r="W106" s="3">
        <f>IFERROR(VLOOKUP(I106,FuelTypes!$A$2:$G$40,5,FALSE)*M106,0)</f>
        <v>0</v>
      </c>
      <c r="X106" s="2">
        <v>1800</v>
      </c>
      <c r="Y106" s="3">
        <f t="shared" si="28"/>
        <v>1800</v>
      </c>
      <c r="Z106" s="3" t="e">
        <f t="shared" si="25"/>
        <v>#DIV/0!</v>
      </c>
      <c r="AB106" s="3">
        <f t="shared" si="29"/>
        <v>0</v>
      </c>
      <c r="AC106" s="3">
        <f t="shared" si="26"/>
        <v>0</v>
      </c>
    </row>
    <row r="107" spans="1:29" x14ac:dyDescent="0.25">
      <c r="A107" s="6"/>
      <c r="B107" s="6"/>
      <c r="C107" s="18"/>
      <c r="D107" s="6"/>
      <c r="E107" s="6"/>
      <c r="F107" s="6"/>
      <c r="G107" s="6"/>
      <c r="H107" s="6"/>
      <c r="I107" s="6"/>
      <c r="J107" s="4">
        <f t="shared" si="31"/>
        <v>0</v>
      </c>
      <c r="K107" s="4">
        <f t="shared" si="27"/>
        <v>0</v>
      </c>
      <c r="L107" s="4">
        <f t="shared" si="32"/>
        <v>0</v>
      </c>
      <c r="M107" s="4">
        <f>IFERROR(VLOOKUP(I107,FuelTypes!$A$1:$B$32,2,FALSE)*J107,0)</f>
        <v>0</v>
      </c>
      <c r="N107" s="4">
        <f t="shared" si="17"/>
        <v>0</v>
      </c>
      <c r="O107" s="4">
        <f t="shared" si="33"/>
        <v>0</v>
      </c>
      <c r="P107" s="4" t="e">
        <f>VLOOKUP(I107, FuelTypes!$A$1:$R$12,17,FALSE)*J107</f>
        <v>#N/A</v>
      </c>
      <c r="Q107" s="4" t="e">
        <f>VLOOKUP(I107, FuelTypes!$A$1:$R$12,18,FALSE)*J107</f>
        <v>#N/A</v>
      </c>
      <c r="R107" s="4">
        <f t="shared" si="22"/>
        <v>0</v>
      </c>
      <c r="S107" s="4">
        <f t="shared" si="23"/>
        <v>0</v>
      </c>
      <c r="T107" s="4" t="e">
        <f t="shared" si="24"/>
        <v>#DIV/0!</v>
      </c>
      <c r="U107" s="4" t="e">
        <f t="shared" si="30"/>
        <v>#DIV/0!</v>
      </c>
      <c r="W107" s="3">
        <f>IFERROR(VLOOKUP(I107,FuelTypes!$A$2:$G$40,5,FALSE)*M107,0)</f>
        <v>0</v>
      </c>
      <c r="X107" s="2">
        <v>2100</v>
      </c>
      <c r="Y107" s="3">
        <f t="shared" si="28"/>
        <v>2100</v>
      </c>
      <c r="Z107" s="3" t="e">
        <f t="shared" si="25"/>
        <v>#DIV/0!</v>
      </c>
      <c r="AB107" s="3">
        <f t="shared" si="29"/>
        <v>0</v>
      </c>
      <c r="AC107" s="3">
        <f t="shared" si="26"/>
        <v>0</v>
      </c>
    </row>
    <row r="108" spans="1:29" x14ac:dyDescent="0.25">
      <c r="A108" s="6"/>
      <c r="B108" s="6"/>
      <c r="C108" s="18"/>
      <c r="D108" s="6"/>
      <c r="E108" s="6"/>
      <c r="F108" s="6"/>
      <c r="G108" s="6"/>
      <c r="H108" s="6"/>
      <c r="I108" s="6"/>
      <c r="J108" s="4">
        <f t="shared" si="31"/>
        <v>0</v>
      </c>
      <c r="K108" s="4">
        <f t="shared" si="27"/>
        <v>0</v>
      </c>
      <c r="L108" s="4">
        <f t="shared" si="32"/>
        <v>0</v>
      </c>
      <c r="M108" s="4">
        <f>IFERROR(VLOOKUP(I108,FuelTypes!$A$1:$B$32,2,FALSE)*J108,0)</f>
        <v>0</v>
      </c>
      <c r="N108" s="4">
        <f t="shared" si="17"/>
        <v>0</v>
      </c>
      <c r="O108" s="4">
        <f t="shared" si="33"/>
        <v>0</v>
      </c>
      <c r="P108" s="4" t="e">
        <f>VLOOKUP(I108, FuelTypes!$A$1:$R$12,17,FALSE)*J108</f>
        <v>#N/A</v>
      </c>
      <c r="Q108" s="4" t="e">
        <f>VLOOKUP(I108, FuelTypes!$A$1:$R$12,18,FALSE)*J108</f>
        <v>#N/A</v>
      </c>
      <c r="R108" s="4">
        <f t="shared" si="22"/>
        <v>0</v>
      </c>
      <c r="S108" s="4">
        <f t="shared" si="23"/>
        <v>0</v>
      </c>
      <c r="T108" s="4" t="e">
        <f t="shared" si="24"/>
        <v>#DIV/0!</v>
      </c>
      <c r="U108" s="4" t="e">
        <f t="shared" si="30"/>
        <v>#DIV/0!</v>
      </c>
      <c r="W108" s="3">
        <f>IFERROR(VLOOKUP(I108,FuelTypes!$A$2:$G$40,5,FALSE)*M108,0)</f>
        <v>0</v>
      </c>
      <c r="X108" s="2">
        <v>2400</v>
      </c>
      <c r="Y108" s="3">
        <f t="shared" si="28"/>
        <v>2400</v>
      </c>
      <c r="Z108" s="3" t="e">
        <f t="shared" si="25"/>
        <v>#DIV/0!</v>
      </c>
      <c r="AB108" s="3">
        <f t="shared" si="29"/>
        <v>0</v>
      </c>
      <c r="AC108" s="3">
        <f t="shared" si="26"/>
        <v>0</v>
      </c>
    </row>
    <row r="109" spans="1:29" x14ac:dyDescent="0.25">
      <c r="A109" s="6" t="s">
        <v>135</v>
      </c>
      <c r="B109" s="6">
        <v>0</v>
      </c>
      <c r="C109" s="6">
        <f>PI()*1.25*1.25*5.8*2</f>
        <v>56.941366846314999</v>
      </c>
      <c r="D109" s="6">
        <v>0.2</v>
      </c>
      <c r="E109" s="6">
        <v>0.15</v>
      </c>
      <c r="F109" s="6">
        <v>220</v>
      </c>
      <c r="G109" s="6">
        <v>4900</v>
      </c>
      <c r="H109" s="6">
        <v>20</v>
      </c>
      <c r="I109" s="6" t="s">
        <v>110</v>
      </c>
      <c r="J109" s="4">
        <f t="shared" si="31"/>
        <v>45.553093477052002</v>
      </c>
      <c r="K109" s="4">
        <f t="shared" si="27"/>
        <v>10.249446032336699</v>
      </c>
      <c r="L109" s="4">
        <f t="shared" si="32"/>
        <v>10.249446032336699</v>
      </c>
      <c r="M109" s="4">
        <f>IFERROR(VLOOKUP(I109,FuelTypes!$A$1:$B$32,2,FALSE)*J109,0)</f>
        <v>68.329640215577996</v>
      </c>
      <c r="N109" s="4">
        <f t="shared" si="17"/>
        <v>78.579086247914688</v>
      </c>
      <c r="O109" s="4">
        <f t="shared" si="33"/>
        <v>0.86956521739130443</v>
      </c>
      <c r="P109" s="4">
        <f>VLOOKUP(I109, FuelTypes!$A$1:$R$12,17,FALSE)*J109</f>
        <v>9110.6186954103996</v>
      </c>
      <c r="Q109" s="4">
        <f>VLOOKUP(I109, FuelTypes!$A$1:$R$12,18,FALSE)*J109</f>
        <v>0</v>
      </c>
      <c r="R109" s="4">
        <f t="shared" si="22"/>
        <v>6.2357558912566704</v>
      </c>
      <c r="S109" s="4">
        <f t="shared" si="23"/>
        <v>4.1834473601374288E-2</v>
      </c>
      <c r="T109" s="4">
        <f t="shared" si="24"/>
        <v>2.2704105272912609</v>
      </c>
      <c r="U109" s="4">
        <f t="shared" si="30"/>
        <v>30.095720308828664</v>
      </c>
      <c r="W109" s="3">
        <f>IFERROR(VLOOKUP(I109,FuelTypes!$A$2:$G$40,5,FALSE)*M109,0)</f>
        <v>8199.5568258693602</v>
      </c>
      <c r="X109" s="2">
        <v>700</v>
      </c>
      <c r="Y109" s="3">
        <f t="shared" si="28"/>
        <v>8899.5568258693602</v>
      </c>
      <c r="Z109" s="3">
        <f t="shared" si="25"/>
        <v>68.296374047096862</v>
      </c>
      <c r="AB109" s="3">
        <f t="shared" si="29"/>
        <v>0.86956521739130443</v>
      </c>
      <c r="AC109" s="3">
        <f t="shared" si="26"/>
        <v>0.86956521739130443</v>
      </c>
    </row>
    <row r="110" spans="1:29" x14ac:dyDescent="0.25">
      <c r="A110" s="6" t="s">
        <v>120</v>
      </c>
      <c r="B110" s="6">
        <v>0</v>
      </c>
      <c r="C110" s="6">
        <f>PI()*1.25*1.25*5.8*3</f>
        <v>85.412050269472502</v>
      </c>
      <c r="D110" s="6">
        <v>0.2</v>
      </c>
      <c r="E110" s="6">
        <v>0.15</v>
      </c>
      <c r="F110" s="6">
        <v>220</v>
      </c>
      <c r="G110" s="6">
        <f>G109*1.5</f>
        <v>7350</v>
      </c>
      <c r="H110" s="6">
        <v>20</v>
      </c>
      <c r="I110" s="6" t="s">
        <v>110</v>
      </c>
      <c r="J110" s="4">
        <f t="shared" si="31"/>
        <v>68.329640215577996</v>
      </c>
      <c r="K110" s="4">
        <f t="shared" si="27"/>
        <v>15.374169048505049</v>
      </c>
      <c r="L110" s="4">
        <f t="shared" si="32"/>
        <v>15.374169048505049</v>
      </c>
      <c r="M110" s="4">
        <f>IFERROR(VLOOKUP(I110,FuelTypes!$A$1:$B$32,2,FALSE)*J110,0)</f>
        <v>102.49446032336699</v>
      </c>
      <c r="N110" s="4">
        <f t="shared" si="17"/>
        <v>117.86862937187205</v>
      </c>
      <c r="O110" s="4">
        <f t="shared" si="33"/>
        <v>0.86956521739130432</v>
      </c>
      <c r="P110" s="4">
        <f>VLOOKUP(I110, FuelTypes!$A$1:$R$12,17,FALSE)*J110</f>
        <v>13665.928043115598</v>
      </c>
      <c r="Q110" s="4">
        <f>VLOOKUP(I110, FuelTypes!$A$1:$R$12,18,FALSE)*J110</f>
        <v>0</v>
      </c>
      <c r="R110" s="4">
        <f t="shared" si="22"/>
        <v>6.2357558912566695</v>
      </c>
      <c r="S110" s="4">
        <f t="shared" si="23"/>
        <v>4.1834473601374281E-2</v>
      </c>
      <c r="T110" s="4">
        <f t="shared" si="24"/>
        <v>3.4056157909368916</v>
      </c>
      <c r="U110" s="4">
        <f t="shared" si="30"/>
        <v>30.09572030882866</v>
      </c>
      <c r="W110" s="3">
        <f>IFERROR(VLOOKUP(I110,FuelTypes!$A$2:$G$40,5,FALSE)*M110,0)</f>
        <v>12299.335238804038</v>
      </c>
      <c r="X110" s="2">
        <v>1400</v>
      </c>
      <c r="Y110" s="3">
        <f t="shared" si="28"/>
        <v>13699.335238804038</v>
      </c>
      <c r="Z110" s="3">
        <f t="shared" si="25"/>
        <v>91.061832062795801</v>
      </c>
      <c r="AB110" s="3">
        <f t="shared" si="29"/>
        <v>0.86956521739130432</v>
      </c>
      <c r="AC110" s="3">
        <f t="shared" si="26"/>
        <v>0.86956521739130432</v>
      </c>
    </row>
    <row r="111" spans="1:29" x14ac:dyDescent="0.25">
      <c r="A111" s="6" t="s">
        <v>121</v>
      </c>
      <c r="B111" s="6">
        <v>0</v>
      </c>
      <c r="C111" s="6">
        <f>PI()*1.25*1.25*5.8*4</f>
        <v>113.88273369263</v>
      </c>
      <c r="D111" s="6">
        <v>0.2</v>
      </c>
      <c r="E111" s="6">
        <v>0.15</v>
      </c>
      <c r="F111" s="6">
        <v>220</v>
      </c>
      <c r="G111" s="6">
        <f>G109*2</f>
        <v>9800</v>
      </c>
      <c r="H111" s="6">
        <v>20</v>
      </c>
      <c r="I111" s="6" t="s">
        <v>110</v>
      </c>
      <c r="J111" s="4">
        <f t="shared" si="31"/>
        <v>91.106186954104004</v>
      </c>
      <c r="K111" s="4">
        <f t="shared" si="27"/>
        <v>20.498892064673399</v>
      </c>
      <c r="L111" s="4">
        <f t="shared" si="32"/>
        <v>20.498892064673399</v>
      </c>
      <c r="M111" s="4">
        <f>IFERROR(VLOOKUP(I111,FuelTypes!$A$1:$B$32,2,FALSE)*J111,0)</f>
        <v>136.65928043115599</v>
      </c>
      <c r="N111" s="4">
        <f t="shared" si="17"/>
        <v>157.15817249582938</v>
      </c>
      <c r="O111" s="4">
        <f t="shared" si="33"/>
        <v>0.86956521739130443</v>
      </c>
      <c r="P111" s="4">
        <f>VLOOKUP(I111, FuelTypes!$A$1:$R$12,17,FALSE)*J111</f>
        <v>18221.237390820799</v>
      </c>
      <c r="Q111" s="4">
        <f>VLOOKUP(I111, FuelTypes!$A$1:$R$12,18,FALSE)*J111</f>
        <v>0</v>
      </c>
      <c r="R111" s="4">
        <f t="shared" si="22"/>
        <v>6.2357558912566704</v>
      </c>
      <c r="S111" s="4">
        <f t="shared" si="23"/>
        <v>4.1834473601374288E-2</v>
      </c>
      <c r="T111" s="4">
        <f t="shared" si="24"/>
        <v>4.5408210545825218</v>
      </c>
      <c r="U111" s="4">
        <f t="shared" si="30"/>
        <v>30.095720308828664</v>
      </c>
      <c r="W111" s="3">
        <f>IFERROR(VLOOKUP(I111,FuelTypes!$A$2:$G$40,5,FALSE)*M111,0)</f>
        <v>16399.11365173872</v>
      </c>
      <c r="X111" s="2">
        <v>2100</v>
      </c>
      <c r="Y111" s="3">
        <f t="shared" si="28"/>
        <v>18499.11365173872</v>
      </c>
      <c r="Z111" s="3">
        <f t="shared" si="25"/>
        <v>102.44456107064528</v>
      </c>
      <c r="AB111" s="3">
        <f t="shared" si="29"/>
        <v>0.86956521739130443</v>
      </c>
      <c r="AC111" s="3">
        <f t="shared" si="26"/>
        <v>0.86956521739130443</v>
      </c>
    </row>
    <row r="112" spans="1:29" x14ac:dyDescent="0.25">
      <c r="A112" s="6" t="s">
        <v>122</v>
      </c>
      <c r="B112" s="6">
        <v>0</v>
      </c>
      <c r="C112" s="6">
        <f>PI()*(1.25*1.25)*(5.8*5)</f>
        <v>142.35341711578749</v>
      </c>
      <c r="D112" s="6">
        <v>0.2</v>
      </c>
      <c r="E112" s="6">
        <v>0.15</v>
      </c>
      <c r="F112" s="6">
        <v>220</v>
      </c>
      <c r="G112" s="6">
        <f>G109*2.5</f>
        <v>12250</v>
      </c>
      <c r="H112" s="6">
        <v>20</v>
      </c>
      <c r="I112" s="6" t="s">
        <v>110</v>
      </c>
      <c r="J112" s="4">
        <f t="shared" si="31"/>
        <v>113.88273369263</v>
      </c>
      <c r="K112" s="4">
        <f t="shared" si="27"/>
        <v>25.623615080841748</v>
      </c>
      <c r="L112" s="4">
        <f t="shared" si="32"/>
        <v>25.623615080841748</v>
      </c>
      <c r="M112" s="4">
        <f>IFERROR(VLOOKUP(I112,FuelTypes!$A$1:$B$32,2,FALSE)*J112,0)</f>
        <v>170.824100538945</v>
      </c>
      <c r="N112" s="4">
        <f t="shared" si="17"/>
        <v>196.44771561978675</v>
      </c>
      <c r="O112" s="4">
        <f t="shared" si="33"/>
        <v>0.86956521739130432</v>
      </c>
      <c r="P112" s="4">
        <f>VLOOKUP(I112, FuelTypes!$A$1:$R$12,17,FALSE)*J112</f>
        <v>22776.546738525998</v>
      </c>
      <c r="Q112" s="4">
        <f>VLOOKUP(I112, FuelTypes!$A$1:$R$12,18,FALSE)*J112</f>
        <v>0</v>
      </c>
      <c r="R112" s="4">
        <f t="shared" si="22"/>
        <v>6.2357558912566695</v>
      </c>
      <c r="S112" s="4">
        <f t="shared" si="23"/>
        <v>4.1834473601374288E-2</v>
      </c>
      <c r="T112" s="4">
        <f t="shared" si="24"/>
        <v>5.6760263182281525</v>
      </c>
      <c r="U112" s="4">
        <f t="shared" si="30"/>
        <v>30.095720308828664</v>
      </c>
      <c r="W112" s="3">
        <f>IFERROR(VLOOKUP(I112,FuelTypes!$A$2:$G$40,5,FALSE)*M112,0)</f>
        <v>20498.8920646734</v>
      </c>
      <c r="X112" s="2">
        <v>2800</v>
      </c>
      <c r="Y112" s="3">
        <f t="shared" si="28"/>
        <v>23298.8920646734</v>
      </c>
      <c r="Z112" s="3">
        <f t="shared" si="25"/>
        <v>109.27419847535496</v>
      </c>
      <c r="AB112" s="3">
        <f t="shared" si="29"/>
        <v>0.86956521739130432</v>
      </c>
      <c r="AC112" s="3">
        <f t="shared" si="26"/>
        <v>0.86956521739130432</v>
      </c>
    </row>
    <row r="113" spans="1:29" x14ac:dyDescent="0.25">
      <c r="A113" s="6"/>
      <c r="B113" s="6"/>
      <c r="C113" s="18"/>
      <c r="D113" s="6"/>
      <c r="E113" s="6"/>
      <c r="F113" s="6"/>
      <c r="G113" s="6"/>
      <c r="H113" s="6"/>
      <c r="I113" s="6"/>
      <c r="J113" s="4">
        <f t="shared" si="31"/>
        <v>0</v>
      </c>
      <c r="K113" s="4">
        <f t="shared" si="27"/>
        <v>0</v>
      </c>
      <c r="L113" s="4">
        <f t="shared" si="32"/>
        <v>0</v>
      </c>
      <c r="M113" s="4">
        <f>IFERROR(VLOOKUP(I113,FuelTypes!$A$1:$B$32,2,FALSE)*J113,0)</f>
        <v>0</v>
      </c>
      <c r="N113" s="4">
        <f t="shared" si="17"/>
        <v>0</v>
      </c>
      <c r="O113" s="4">
        <f t="shared" si="33"/>
        <v>0</v>
      </c>
      <c r="P113" s="4" t="e">
        <f>VLOOKUP(I113, FuelTypes!$A$1:$R$12,17,FALSE)*J113</f>
        <v>#N/A</v>
      </c>
      <c r="Q113" s="4" t="e">
        <f>VLOOKUP(I113, FuelTypes!$A$1:$R$12,18,FALSE)*J113</f>
        <v>#N/A</v>
      </c>
      <c r="R113" s="4">
        <f t="shared" si="22"/>
        <v>0</v>
      </c>
      <c r="S113" s="4">
        <f t="shared" si="23"/>
        <v>0</v>
      </c>
      <c r="T113" s="4" t="e">
        <f t="shared" si="24"/>
        <v>#DIV/0!</v>
      </c>
      <c r="U113" s="4" t="e">
        <f t="shared" si="30"/>
        <v>#DIV/0!</v>
      </c>
      <c r="W113" s="3">
        <f>IFERROR(VLOOKUP(I113,FuelTypes!$A$2:$G$40,5,FALSE)*M113,0)</f>
        <v>0</v>
      </c>
      <c r="X113" s="2">
        <v>3500</v>
      </c>
      <c r="Y113" s="3">
        <f t="shared" si="28"/>
        <v>3500</v>
      </c>
      <c r="Z113" s="3" t="e">
        <f t="shared" si="25"/>
        <v>#DIV/0!</v>
      </c>
      <c r="AB113" s="3">
        <f t="shared" si="29"/>
        <v>0</v>
      </c>
      <c r="AC113" s="3">
        <f t="shared" si="26"/>
        <v>0</v>
      </c>
    </row>
    <row r="114" spans="1:29" x14ac:dyDescent="0.25">
      <c r="A114" s="6"/>
      <c r="B114" s="6"/>
      <c r="C114" s="18"/>
      <c r="D114" s="6"/>
      <c r="E114" s="6"/>
      <c r="F114" s="6"/>
      <c r="G114" s="6"/>
      <c r="H114" s="6"/>
      <c r="I114" s="6"/>
      <c r="J114" s="4">
        <f t="shared" si="31"/>
        <v>0</v>
      </c>
      <c r="K114" s="4">
        <f t="shared" si="27"/>
        <v>0</v>
      </c>
      <c r="L114" s="4">
        <f t="shared" si="32"/>
        <v>0</v>
      </c>
      <c r="M114" s="4">
        <f>IFERROR(VLOOKUP(I114,FuelTypes!$A$1:$B$32,2,FALSE)*J114,0)</f>
        <v>0</v>
      </c>
      <c r="N114" s="4">
        <f t="shared" si="17"/>
        <v>0</v>
      </c>
      <c r="O114" s="4">
        <f t="shared" si="33"/>
        <v>0</v>
      </c>
      <c r="P114" s="4" t="e">
        <f>VLOOKUP(I114, FuelTypes!$A$1:$R$12,17,FALSE)*J114</f>
        <v>#N/A</v>
      </c>
      <c r="Q114" s="4" t="e">
        <f>VLOOKUP(I114, FuelTypes!$A$1:$R$12,18,FALSE)*J114</f>
        <v>#N/A</v>
      </c>
      <c r="R114" s="4">
        <f t="shared" si="22"/>
        <v>0</v>
      </c>
      <c r="S114" s="4">
        <f t="shared" si="23"/>
        <v>0</v>
      </c>
      <c r="T114" s="4" t="e">
        <f t="shared" si="24"/>
        <v>#DIV/0!</v>
      </c>
      <c r="U114" s="4" t="e">
        <f t="shared" si="30"/>
        <v>#DIV/0!</v>
      </c>
      <c r="W114" s="3">
        <f>IFERROR(VLOOKUP(I114,FuelTypes!$A$2:$G$40,5,FALSE)*M114,0)</f>
        <v>0</v>
      </c>
      <c r="X114" s="2">
        <v>4200</v>
      </c>
      <c r="Y114" s="3">
        <f t="shared" si="28"/>
        <v>4200</v>
      </c>
      <c r="Z114" s="3" t="e">
        <f t="shared" si="25"/>
        <v>#DIV/0!</v>
      </c>
      <c r="AB114" s="3">
        <f t="shared" si="29"/>
        <v>0</v>
      </c>
      <c r="AC114" s="3">
        <f t="shared" si="26"/>
        <v>0</v>
      </c>
    </row>
    <row r="115" spans="1:29" x14ac:dyDescent="0.25">
      <c r="A115" s="6"/>
      <c r="B115" s="6"/>
      <c r="C115" s="18"/>
      <c r="D115" s="6"/>
      <c r="E115" s="6"/>
      <c r="F115" s="6"/>
      <c r="G115" s="6"/>
      <c r="H115" s="6"/>
      <c r="I115" s="6"/>
      <c r="J115" s="4">
        <f t="shared" si="31"/>
        <v>0</v>
      </c>
      <c r="K115" s="4">
        <f t="shared" si="27"/>
        <v>0</v>
      </c>
      <c r="L115" s="4">
        <f t="shared" si="32"/>
        <v>0</v>
      </c>
      <c r="M115" s="4">
        <f>IFERROR(VLOOKUP(I115,FuelTypes!$A$1:$B$32,2,FALSE)*J115,0)</f>
        <v>0</v>
      </c>
      <c r="N115" s="4">
        <f t="shared" si="17"/>
        <v>0</v>
      </c>
      <c r="O115" s="4">
        <f t="shared" si="33"/>
        <v>0</v>
      </c>
      <c r="P115" s="4" t="e">
        <f>VLOOKUP(I115, FuelTypes!$A$1:$R$12,17,FALSE)*J115</f>
        <v>#N/A</v>
      </c>
      <c r="Q115" s="4" t="e">
        <f>VLOOKUP(I115, FuelTypes!$A$1:$R$12,18,FALSE)*J115</f>
        <v>#N/A</v>
      </c>
      <c r="R115" s="4">
        <f t="shared" si="22"/>
        <v>0</v>
      </c>
      <c r="S115" s="4">
        <f t="shared" si="23"/>
        <v>0</v>
      </c>
      <c r="T115" s="4" t="e">
        <f t="shared" si="24"/>
        <v>#DIV/0!</v>
      </c>
      <c r="U115" s="4" t="e">
        <f t="shared" si="30"/>
        <v>#DIV/0!</v>
      </c>
      <c r="W115" s="3">
        <f>IFERROR(VLOOKUP(I115,FuelTypes!$A$2:$G$40,5,FALSE)*M115,0)</f>
        <v>0</v>
      </c>
      <c r="X115" s="2">
        <v>4900</v>
      </c>
      <c r="Y115" s="3">
        <f t="shared" si="28"/>
        <v>4900</v>
      </c>
      <c r="Z115" s="3" t="e">
        <f t="shared" si="25"/>
        <v>#DIV/0!</v>
      </c>
      <c r="AB115" s="3">
        <f t="shared" si="29"/>
        <v>0</v>
      </c>
      <c r="AC115" s="3">
        <f t="shared" si="26"/>
        <v>0</v>
      </c>
    </row>
    <row r="116" spans="1:29" x14ac:dyDescent="0.25">
      <c r="A116" s="6"/>
      <c r="B116" s="6"/>
      <c r="C116" s="18"/>
      <c r="D116" s="6"/>
      <c r="E116" s="6"/>
      <c r="F116" s="6"/>
      <c r="G116" s="6"/>
      <c r="H116" s="6"/>
      <c r="I116" s="6"/>
      <c r="J116" s="4">
        <f t="shared" si="31"/>
        <v>0</v>
      </c>
      <c r="K116" s="4">
        <f t="shared" si="27"/>
        <v>0</v>
      </c>
      <c r="L116" s="4">
        <f t="shared" si="32"/>
        <v>0</v>
      </c>
      <c r="M116" s="4">
        <f>IFERROR(VLOOKUP(I116,FuelTypes!$A$1:$B$32,2,FALSE)*J116,0)</f>
        <v>0</v>
      </c>
      <c r="N116" s="4">
        <f t="shared" si="17"/>
        <v>0</v>
      </c>
      <c r="O116" s="4">
        <f t="shared" si="33"/>
        <v>0</v>
      </c>
      <c r="P116" s="4" t="e">
        <f>VLOOKUP(I116, FuelTypes!$A$1:$R$12,17,FALSE)*J116</f>
        <v>#N/A</v>
      </c>
      <c r="Q116" s="4" t="e">
        <f>VLOOKUP(I116, FuelTypes!$A$1:$R$12,18,FALSE)*J116</f>
        <v>#N/A</v>
      </c>
      <c r="R116" s="4">
        <f t="shared" si="22"/>
        <v>0</v>
      </c>
      <c r="S116" s="4">
        <f t="shared" si="23"/>
        <v>0</v>
      </c>
      <c r="T116" s="4" t="e">
        <f t="shared" si="24"/>
        <v>#DIV/0!</v>
      </c>
      <c r="U116" s="4" t="e">
        <f t="shared" si="30"/>
        <v>#DIV/0!</v>
      </c>
      <c r="W116" s="3">
        <f>IFERROR(VLOOKUP(I116,FuelTypes!$A$2:$G$40,5,FALSE)*M116,0)</f>
        <v>0</v>
      </c>
      <c r="X116" s="2">
        <v>5600</v>
      </c>
      <c r="Y116" s="3">
        <f t="shared" si="28"/>
        <v>5600</v>
      </c>
      <c r="Z116" s="3" t="e">
        <f t="shared" si="25"/>
        <v>#DIV/0!</v>
      </c>
      <c r="AB116" s="3">
        <f t="shared" si="29"/>
        <v>0</v>
      </c>
      <c r="AC116" s="3">
        <f t="shared" si="26"/>
        <v>0</v>
      </c>
    </row>
    <row r="117" spans="1:29" x14ac:dyDescent="0.25">
      <c r="A117" s="6" t="s">
        <v>170</v>
      </c>
      <c r="B117" s="6">
        <v>4.4000000000000004</v>
      </c>
      <c r="C117" s="6"/>
      <c r="D117" s="6"/>
      <c r="E117" s="6">
        <v>0.15</v>
      </c>
      <c r="F117" s="6">
        <v>435</v>
      </c>
      <c r="G117" s="6">
        <v>635</v>
      </c>
      <c r="H117" s="6">
        <v>200</v>
      </c>
      <c r="I117" s="6" t="s">
        <v>163</v>
      </c>
      <c r="J117" s="4">
        <f t="shared" si="31"/>
        <v>0</v>
      </c>
      <c r="K117" s="4">
        <f t="shared" si="27"/>
        <v>0</v>
      </c>
      <c r="L117" s="4">
        <f t="shared" si="32"/>
        <v>4.4000000000000004</v>
      </c>
      <c r="M117" s="4">
        <f>IFERROR(VLOOKUP(I117,FuelTypes!$A$1:$B$32,2,FALSE)*J117,0)</f>
        <v>0</v>
      </c>
      <c r="N117" s="4">
        <f t="shared" si="17"/>
        <v>4.4000000000000004</v>
      </c>
      <c r="O117" s="4">
        <f t="shared" si="33"/>
        <v>0</v>
      </c>
      <c r="P117" s="4">
        <f>VLOOKUP(I117, FuelTypes!$A$1:$R$12,17,FALSE)*J117</f>
        <v>0</v>
      </c>
      <c r="Q117" s="4">
        <f>VLOOKUP(I117, FuelTypes!$A$1:$R$12,18,FALSE)*J117</f>
        <v>0</v>
      </c>
      <c r="R117" s="4">
        <f t="shared" si="22"/>
        <v>14.43181818181818</v>
      </c>
      <c r="S117" s="4">
        <f t="shared" si="23"/>
        <v>1.3858267716535435</v>
      </c>
      <c r="T117" s="4">
        <f t="shared" si="24"/>
        <v>0.1488042930624392</v>
      </c>
      <c r="U117" s="4">
        <f t="shared" si="30"/>
        <v>0</v>
      </c>
      <c r="W117" s="3">
        <f>IFERROR(VLOOKUP(I117,FuelTypes!$A$2:$G$40,5,FALSE)*M117,0)</f>
        <v>0</v>
      </c>
      <c r="Y117" s="3">
        <f t="shared" si="28"/>
        <v>0</v>
      </c>
      <c r="Z117" s="3">
        <f t="shared" si="25"/>
        <v>0</v>
      </c>
      <c r="AB117" s="3">
        <f t="shared" si="29"/>
        <v>0</v>
      </c>
      <c r="AC117" s="3">
        <f t="shared" si="26"/>
        <v>0</v>
      </c>
    </row>
    <row r="118" spans="1:29" x14ac:dyDescent="0.25">
      <c r="A118" s="6" t="s">
        <v>166</v>
      </c>
      <c r="B118" s="6">
        <v>0.4</v>
      </c>
      <c r="C118" s="6"/>
      <c r="D118" s="6"/>
      <c r="E118" s="6">
        <v>0.15</v>
      </c>
      <c r="F118" s="6">
        <v>450</v>
      </c>
      <c r="G118" s="6">
        <v>55</v>
      </c>
      <c r="H118" s="6">
        <v>200</v>
      </c>
      <c r="I118" s="6" t="s">
        <v>163</v>
      </c>
      <c r="J118" s="4">
        <f t="shared" si="31"/>
        <v>0</v>
      </c>
      <c r="K118" s="4">
        <f t="shared" si="27"/>
        <v>0</v>
      </c>
      <c r="L118" s="4">
        <f t="shared" si="32"/>
        <v>0.4</v>
      </c>
      <c r="M118" s="4">
        <f>IFERROR(VLOOKUP(I118,FuelTypes!$A$1:$B$32,2,FALSE)*J118,0)</f>
        <v>0</v>
      </c>
      <c r="N118" s="4">
        <f t="shared" ref="N118:N150" si="34">L118+M118</f>
        <v>0.4</v>
      </c>
      <c r="O118" s="4">
        <f t="shared" si="33"/>
        <v>0</v>
      </c>
      <c r="P118" s="4">
        <f>VLOOKUP(I118, FuelTypes!$A$1:$R$12,17,FALSE)*J118</f>
        <v>0</v>
      </c>
      <c r="Q118" s="4">
        <f>VLOOKUP(I118, FuelTypes!$A$1:$R$12,18,FALSE)*J118</f>
        <v>0</v>
      </c>
      <c r="R118" s="4">
        <f t="shared" si="22"/>
        <v>13.75</v>
      </c>
      <c r="S118" s="4">
        <f t="shared" si="23"/>
        <v>1.4545454545454546</v>
      </c>
      <c r="T118" s="4">
        <f t="shared" si="24"/>
        <v>1.2458942122550686E-2</v>
      </c>
      <c r="U118" s="4">
        <f t="shared" si="30"/>
        <v>0</v>
      </c>
      <c r="W118" s="3">
        <f>IFERROR(VLOOKUP(I118,FuelTypes!$A$2:$G$40,5,FALSE)*M118,0)</f>
        <v>0</v>
      </c>
      <c r="Y118" s="3">
        <f t="shared" si="28"/>
        <v>0</v>
      </c>
      <c r="Z118" s="3">
        <f t="shared" si="25"/>
        <v>0</v>
      </c>
      <c r="AB118" s="3">
        <f t="shared" si="29"/>
        <v>0</v>
      </c>
      <c r="AC118" s="3">
        <f t="shared" si="26"/>
        <v>0</v>
      </c>
    </row>
    <row r="119" spans="1:29" x14ac:dyDescent="0.25">
      <c r="A119" s="6" t="s">
        <v>165</v>
      </c>
      <c r="B119" s="6">
        <v>0.5</v>
      </c>
      <c r="C119" s="6"/>
      <c r="D119" s="6"/>
      <c r="E119" s="6">
        <v>0.15</v>
      </c>
      <c r="F119" s="6">
        <v>455</v>
      </c>
      <c r="G119" s="6">
        <v>67</v>
      </c>
      <c r="H119" s="6">
        <v>200</v>
      </c>
      <c r="I119" s="6" t="s">
        <v>163</v>
      </c>
      <c r="J119" s="4">
        <f t="shared" si="31"/>
        <v>0</v>
      </c>
      <c r="K119" s="4">
        <f t="shared" si="27"/>
        <v>0</v>
      </c>
      <c r="L119" s="4">
        <f t="shared" si="32"/>
        <v>0.5</v>
      </c>
      <c r="M119" s="4">
        <f>IFERROR(VLOOKUP(I119,FuelTypes!$A$1:$B$32,2,FALSE)*J119,0)</f>
        <v>0</v>
      </c>
      <c r="N119" s="4">
        <f t="shared" si="34"/>
        <v>0.5</v>
      </c>
      <c r="O119" s="4">
        <f t="shared" si="33"/>
        <v>0</v>
      </c>
      <c r="P119" s="4">
        <f>VLOOKUP(I119, FuelTypes!$A$1:$R$12,17,FALSE)*J119</f>
        <v>0</v>
      </c>
      <c r="Q119" s="4">
        <f>VLOOKUP(I119, FuelTypes!$A$1:$R$12,18,FALSE)*J119</f>
        <v>0</v>
      </c>
      <c r="R119" s="4">
        <f t="shared" si="22"/>
        <v>13.4</v>
      </c>
      <c r="S119" s="4">
        <f t="shared" si="23"/>
        <v>1.4925373134328359</v>
      </c>
      <c r="T119" s="4">
        <f t="shared" si="24"/>
        <v>1.5010473726070056E-2</v>
      </c>
      <c r="U119" s="4">
        <f t="shared" si="30"/>
        <v>0</v>
      </c>
      <c r="W119" s="3">
        <f>IFERROR(VLOOKUP(I119,FuelTypes!$A$2:$G$40,5,FALSE)*M119,0)</f>
        <v>0</v>
      </c>
      <c r="Y119" s="3">
        <f t="shared" si="28"/>
        <v>0</v>
      </c>
      <c r="Z119" s="3">
        <f t="shared" si="25"/>
        <v>0</v>
      </c>
      <c r="AB119" s="3">
        <f t="shared" si="29"/>
        <v>0</v>
      </c>
      <c r="AC119" s="3">
        <f t="shared" si="26"/>
        <v>0</v>
      </c>
    </row>
    <row r="120" spans="1:29" x14ac:dyDescent="0.25">
      <c r="A120" s="6" t="s">
        <v>147</v>
      </c>
      <c r="B120" s="6">
        <v>8.66</v>
      </c>
      <c r="C120" s="6"/>
      <c r="D120" s="6"/>
      <c r="E120" s="6">
        <v>0.15</v>
      </c>
      <c r="F120" s="6">
        <v>445</v>
      </c>
      <c r="G120" s="6">
        <v>900</v>
      </c>
      <c r="H120" s="6">
        <v>160</v>
      </c>
      <c r="I120" s="6" t="s">
        <v>163</v>
      </c>
      <c r="J120" s="4">
        <f t="shared" si="31"/>
        <v>0</v>
      </c>
      <c r="K120" s="4">
        <f t="shared" si="27"/>
        <v>0</v>
      </c>
      <c r="L120" s="4">
        <f t="shared" si="32"/>
        <v>8.66</v>
      </c>
      <c r="M120" s="4">
        <f>IFERROR(VLOOKUP(I120,FuelTypes!$A$1:$B$32,2,FALSE)*J120,0)</f>
        <v>0</v>
      </c>
      <c r="N120" s="4">
        <f t="shared" si="34"/>
        <v>8.66</v>
      </c>
      <c r="O120" s="4">
        <f t="shared" si="33"/>
        <v>0</v>
      </c>
      <c r="P120" s="4">
        <f>VLOOKUP(I120, FuelTypes!$A$1:$R$12,17,FALSE)*J120</f>
        <v>0</v>
      </c>
      <c r="Q120" s="4">
        <f>VLOOKUP(I120, FuelTypes!$A$1:$R$12,18,FALSE)*J120</f>
        <v>0</v>
      </c>
      <c r="R120" s="4">
        <f t="shared" si="22"/>
        <v>10.392609699769054</v>
      </c>
      <c r="S120" s="4">
        <f t="shared" si="23"/>
        <v>1.5395555555555556</v>
      </c>
      <c r="T120" s="4">
        <f t="shared" si="24"/>
        <v>0.20616431295742707</v>
      </c>
      <c r="U120" s="4">
        <f t="shared" si="30"/>
        <v>0</v>
      </c>
      <c r="W120" s="3">
        <f>IFERROR(VLOOKUP(I120,FuelTypes!$A$2:$G$40,5,FALSE)*M120,0)</f>
        <v>0</v>
      </c>
      <c r="Y120" s="3">
        <f t="shared" si="28"/>
        <v>0</v>
      </c>
      <c r="Z120" s="3">
        <f t="shared" si="25"/>
        <v>0</v>
      </c>
      <c r="AB120" s="3">
        <f t="shared" si="29"/>
        <v>0</v>
      </c>
      <c r="AC120" s="3">
        <f t="shared" si="26"/>
        <v>0</v>
      </c>
    </row>
    <row r="121" spans="1:29" x14ac:dyDescent="0.25">
      <c r="A121" s="6" t="s">
        <v>148</v>
      </c>
      <c r="B121" s="6">
        <v>11.404999999999999</v>
      </c>
      <c r="C121" s="6"/>
      <c r="D121" s="6"/>
      <c r="E121" s="6">
        <v>0.15</v>
      </c>
      <c r="F121" s="6">
        <v>326</v>
      </c>
      <c r="G121" s="6">
        <v>3174</v>
      </c>
      <c r="H121" s="6">
        <v>425</v>
      </c>
      <c r="I121" s="6" t="s">
        <v>108</v>
      </c>
      <c r="J121" s="4">
        <f t="shared" si="31"/>
        <v>0</v>
      </c>
      <c r="K121" s="4">
        <f t="shared" si="27"/>
        <v>0</v>
      </c>
      <c r="L121" s="4">
        <f t="shared" si="32"/>
        <v>11.404999999999999</v>
      </c>
      <c r="M121" s="4">
        <f>IFERROR(VLOOKUP(I121,FuelTypes!$A$1:$B$32,2,FALSE)*J121,0)</f>
        <v>0</v>
      </c>
      <c r="N121" s="4">
        <f t="shared" si="34"/>
        <v>11.404999999999999</v>
      </c>
      <c r="O121" s="4">
        <f t="shared" si="33"/>
        <v>0</v>
      </c>
      <c r="P121" s="4">
        <f>VLOOKUP(I121, FuelTypes!$A$1:$R$12,17,FALSE)*J121</f>
        <v>0</v>
      </c>
      <c r="Q121" s="4">
        <f>VLOOKUP(I121, FuelTypes!$A$1:$R$12,18,FALSE)*J121</f>
        <v>0</v>
      </c>
      <c r="R121" s="4">
        <f t="shared" si="22"/>
        <v>27.829899167032007</v>
      </c>
      <c r="S121" s="4">
        <f t="shared" si="23"/>
        <v>1.5271345305608064</v>
      </c>
      <c r="T121" s="4">
        <f t="shared" si="24"/>
        <v>0.99247668899270181</v>
      </c>
      <c r="U121" s="4">
        <f t="shared" si="30"/>
        <v>0</v>
      </c>
      <c r="W121" s="3">
        <f>IFERROR(VLOOKUP(I121,FuelTypes!$A$2:$G$40,5,FALSE)*M121,0)</f>
        <v>0</v>
      </c>
      <c r="Y121" s="3">
        <f t="shared" si="28"/>
        <v>0</v>
      </c>
      <c r="Z121" s="3">
        <f t="shared" si="25"/>
        <v>0</v>
      </c>
      <c r="AB121" s="3">
        <f t="shared" si="29"/>
        <v>0</v>
      </c>
      <c r="AC121" s="3">
        <f t="shared" si="26"/>
        <v>0</v>
      </c>
    </row>
    <row r="122" spans="1:29" x14ac:dyDescent="0.25">
      <c r="A122" s="6" t="s">
        <v>149</v>
      </c>
      <c r="B122" s="6">
        <v>13.1</v>
      </c>
      <c r="C122" s="6"/>
      <c r="D122" s="6"/>
      <c r="E122" s="6">
        <v>0.15</v>
      </c>
      <c r="F122" s="6">
        <v>328</v>
      </c>
      <c r="G122" s="6">
        <v>4190</v>
      </c>
      <c r="H122" s="6">
        <v>475</v>
      </c>
      <c r="I122" s="6" t="s">
        <v>108</v>
      </c>
      <c r="J122" s="4">
        <f t="shared" si="31"/>
        <v>0</v>
      </c>
      <c r="K122" s="4">
        <f t="shared" si="27"/>
        <v>0</v>
      </c>
      <c r="L122" s="4">
        <f t="shared" si="32"/>
        <v>13.1</v>
      </c>
      <c r="M122" s="4">
        <f>IFERROR(VLOOKUP(I122,FuelTypes!$A$1:$B$32,2,FALSE)*J122,0)</f>
        <v>0</v>
      </c>
      <c r="N122" s="4">
        <f t="shared" si="34"/>
        <v>13.1</v>
      </c>
      <c r="O122" s="4">
        <f t="shared" si="33"/>
        <v>0</v>
      </c>
      <c r="P122" s="4">
        <f>VLOOKUP(I122, FuelTypes!$A$1:$R$12,17,FALSE)*J122</f>
        <v>0</v>
      </c>
      <c r="Q122" s="4">
        <f>VLOOKUP(I122, FuelTypes!$A$1:$R$12,18,FALSE)*J122</f>
        <v>0</v>
      </c>
      <c r="R122" s="4">
        <f t="shared" si="22"/>
        <v>31.984732824427482</v>
      </c>
      <c r="S122" s="4">
        <f t="shared" si="23"/>
        <v>1.4850835322195703</v>
      </c>
      <c r="T122" s="4">
        <f t="shared" si="24"/>
        <v>1.3021804529971903</v>
      </c>
      <c r="U122" s="4">
        <f t="shared" si="30"/>
        <v>0</v>
      </c>
      <c r="W122" s="3">
        <f>IFERROR(VLOOKUP(I122,FuelTypes!$A$2:$G$40,5,FALSE)*M122,0)</f>
        <v>0</v>
      </c>
      <c r="Y122" s="3">
        <f t="shared" si="28"/>
        <v>0</v>
      </c>
      <c r="Z122" s="3">
        <f t="shared" si="25"/>
        <v>0</v>
      </c>
      <c r="AB122" s="3">
        <f t="shared" si="29"/>
        <v>0</v>
      </c>
      <c r="AC122" s="3">
        <f t="shared" si="26"/>
        <v>0</v>
      </c>
    </row>
    <row r="123" spans="1:29" x14ac:dyDescent="0.25">
      <c r="A123" s="6" t="s">
        <v>150</v>
      </c>
      <c r="B123" s="6">
        <v>10.81</v>
      </c>
      <c r="C123" s="6"/>
      <c r="D123" s="6"/>
      <c r="E123" s="6">
        <v>0.15</v>
      </c>
      <c r="F123" s="6">
        <v>435</v>
      </c>
      <c r="G123" s="6">
        <v>1695</v>
      </c>
      <c r="H123" s="6"/>
      <c r="I123" s="6" t="s">
        <v>163</v>
      </c>
      <c r="J123" s="4">
        <f t="shared" si="31"/>
        <v>0</v>
      </c>
      <c r="K123" s="4">
        <f t="shared" si="27"/>
        <v>0</v>
      </c>
      <c r="L123" s="4">
        <f t="shared" si="32"/>
        <v>10.81</v>
      </c>
      <c r="M123" s="4">
        <f>IFERROR(VLOOKUP(I123,FuelTypes!$A$1:$B$32,2,FALSE)*J123,0)</f>
        <v>0</v>
      </c>
      <c r="N123" s="4">
        <f t="shared" si="34"/>
        <v>10.81</v>
      </c>
      <c r="O123" s="4">
        <f t="shared" si="33"/>
        <v>0</v>
      </c>
      <c r="P123" s="4">
        <f>VLOOKUP(I123, FuelTypes!$A$1:$R$12,17,FALSE)*J123</f>
        <v>0</v>
      </c>
      <c r="Q123" s="4">
        <f>VLOOKUP(I123, FuelTypes!$A$1:$R$12,18,FALSE)*J123</f>
        <v>0</v>
      </c>
      <c r="R123" s="4">
        <f t="shared" si="22"/>
        <v>15.679925994449583</v>
      </c>
      <c r="S123" s="4">
        <f t="shared" si="23"/>
        <v>0</v>
      </c>
      <c r="T123" s="4">
        <f t="shared" si="24"/>
        <v>0.39720201061548732</v>
      </c>
      <c r="U123" s="4">
        <f t="shared" si="30"/>
        <v>0</v>
      </c>
      <c r="W123" s="3">
        <f>IFERROR(VLOOKUP(I123,FuelTypes!$A$2:$G$40,5,FALSE)*M123,0)</f>
        <v>0</v>
      </c>
      <c r="Y123" s="3">
        <f t="shared" si="28"/>
        <v>0</v>
      </c>
      <c r="Z123" s="3">
        <f t="shared" si="25"/>
        <v>0</v>
      </c>
      <c r="AB123" s="3">
        <f t="shared" si="29"/>
        <v>0</v>
      </c>
      <c r="AC123" s="3">
        <f t="shared" si="26"/>
        <v>0</v>
      </c>
    </row>
    <row r="124" spans="1:29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4">
        <f t="shared" si="31"/>
        <v>0</v>
      </c>
      <c r="K124" s="4">
        <f t="shared" si="27"/>
        <v>0</v>
      </c>
      <c r="L124" s="4">
        <f t="shared" si="32"/>
        <v>0</v>
      </c>
      <c r="M124" s="4">
        <f>IFERROR(VLOOKUP(I124,FuelTypes!$A$1:$B$32,2,FALSE)*J124,0)</f>
        <v>0</v>
      </c>
      <c r="N124" s="4">
        <f t="shared" si="34"/>
        <v>0</v>
      </c>
      <c r="O124" s="4">
        <f t="shared" si="33"/>
        <v>0</v>
      </c>
      <c r="P124" s="4" t="e">
        <f>VLOOKUP(I124, FuelTypes!$A$1:$R$12,17,FALSE)*J124</f>
        <v>#N/A</v>
      </c>
      <c r="Q124" s="4" t="e">
        <f>VLOOKUP(I124, FuelTypes!$A$1:$R$12,18,FALSE)*J124</f>
        <v>#N/A</v>
      </c>
      <c r="R124" s="4">
        <f t="shared" si="22"/>
        <v>0</v>
      </c>
      <c r="S124" s="4">
        <f t="shared" si="23"/>
        <v>0</v>
      </c>
      <c r="T124" s="4" t="e">
        <f t="shared" si="24"/>
        <v>#DIV/0!</v>
      </c>
      <c r="U124" s="4" t="e">
        <f t="shared" si="30"/>
        <v>#DIV/0!</v>
      </c>
      <c r="W124" s="3">
        <f>IFERROR(VLOOKUP(I124,FuelTypes!$A$2:$G$40,5,FALSE)*M124,0)</f>
        <v>0</v>
      </c>
      <c r="Y124" s="3">
        <f t="shared" si="28"/>
        <v>0</v>
      </c>
      <c r="Z124" s="3" t="e">
        <f t="shared" si="25"/>
        <v>#DIV/0!</v>
      </c>
      <c r="AB124" s="3">
        <f t="shared" si="29"/>
        <v>0</v>
      </c>
      <c r="AC124" s="3">
        <f t="shared" si="26"/>
        <v>0</v>
      </c>
    </row>
    <row r="125" spans="1:29" x14ac:dyDescent="0.25">
      <c r="A125" s="6" t="s">
        <v>352</v>
      </c>
      <c r="B125" s="6">
        <v>0</v>
      </c>
      <c r="C125" s="6">
        <v>12.25</v>
      </c>
      <c r="D125" s="6">
        <v>0.2</v>
      </c>
      <c r="E125" s="6">
        <v>0.2</v>
      </c>
      <c r="F125" s="6">
        <v>220</v>
      </c>
      <c r="G125" s="6">
        <f>ROUNDUP(C125*42.85714286,0)</f>
        <v>526</v>
      </c>
      <c r="H125" s="6">
        <v>20</v>
      </c>
      <c r="I125" s="6" t="s">
        <v>110</v>
      </c>
      <c r="J125" s="4">
        <f t="shared" si="31"/>
        <v>9.8000000000000007</v>
      </c>
      <c r="K125" s="4">
        <f t="shared" si="27"/>
        <v>2.9400000000000004</v>
      </c>
      <c r="L125" s="4">
        <f t="shared" si="32"/>
        <v>2.9400000000000004</v>
      </c>
      <c r="M125" s="4">
        <f>IFERROR(VLOOKUP(I125,FuelTypes!$A$1:$B$32,2,FALSE)*J125,0)</f>
        <v>14.700000000000001</v>
      </c>
      <c r="N125" s="4">
        <f t="shared" si="34"/>
        <v>17.64</v>
      </c>
      <c r="O125" s="4">
        <f t="shared" si="33"/>
        <v>0.83333333333333337</v>
      </c>
      <c r="P125" s="4">
        <f>VLOOKUP(I125, FuelTypes!$A$1:$R$12,17,FALSE)*J125</f>
        <v>1960.0000000000002</v>
      </c>
      <c r="Q125" s="4">
        <f>VLOOKUP(I125, FuelTypes!$A$1:$R$12,18,FALSE)*J125</f>
        <v>0</v>
      </c>
      <c r="R125" s="4">
        <f t="shared" si="22"/>
        <v>2.9818594104308391</v>
      </c>
      <c r="S125" s="4">
        <f t="shared" si="23"/>
        <v>0.11178707224334603</v>
      </c>
      <c r="T125" s="4">
        <f t="shared" si="24"/>
        <v>0.24372161986840882</v>
      </c>
      <c r="U125" s="4">
        <f t="shared" si="30"/>
        <v>60.314714828897351</v>
      </c>
      <c r="W125" s="3">
        <f>IFERROR(VLOOKUP(I125,FuelTypes!$A$2:$G$40,5,FALSE)*M125,0)</f>
        <v>1764.0000000000002</v>
      </c>
      <c r="Y125" s="3">
        <f t="shared" si="28"/>
        <v>1764.0000000000002</v>
      </c>
      <c r="Z125" s="3">
        <f t="shared" si="25"/>
        <v>0</v>
      </c>
      <c r="AB125" s="3">
        <f t="shared" si="29"/>
        <v>0.83333333333333337</v>
      </c>
      <c r="AC125" s="3">
        <f t="shared" si="26"/>
        <v>0.83333333333333337</v>
      </c>
    </row>
    <row r="126" spans="1:29" x14ac:dyDescent="0.25">
      <c r="A126" s="6"/>
      <c r="B126" s="6">
        <v>0</v>
      </c>
      <c r="C126" s="6">
        <f>2*$C$125</f>
        <v>24.5</v>
      </c>
      <c r="D126" s="6">
        <v>0.2</v>
      </c>
      <c r="E126" s="6">
        <v>0.2</v>
      </c>
      <c r="F126" s="6">
        <v>220</v>
      </c>
      <c r="G126" s="6">
        <f t="shared" ref="G126:G133" si="35">ROUNDUP(C126*42.85714286,0)</f>
        <v>1051</v>
      </c>
      <c r="H126" s="6">
        <v>20</v>
      </c>
      <c r="I126" s="6" t="s">
        <v>110</v>
      </c>
      <c r="J126" s="4">
        <f t="shared" si="31"/>
        <v>19.600000000000001</v>
      </c>
      <c r="K126" s="4">
        <f t="shared" si="27"/>
        <v>5.8800000000000008</v>
      </c>
      <c r="L126" s="4">
        <f t="shared" si="32"/>
        <v>5.8800000000000008</v>
      </c>
      <c r="M126" s="4">
        <f>IFERROR(VLOOKUP(I126,FuelTypes!$A$1:$B$32,2,FALSE)*J126,0)</f>
        <v>29.400000000000002</v>
      </c>
      <c r="N126" s="4">
        <f t="shared" si="34"/>
        <v>35.28</v>
      </c>
      <c r="O126" s="4">
        <f t="shared" si="33"/>
        <v>0.83333333333333337</v>
      </c>
      <c r="P126" s="4">
        <f>VLOOKUP(I126, FuelTypes!$A$1:$R$12,17,FALSE)*J126</f>
        <v>3920.0000000000005</v>
      </c>
      <c r="Q126" s="4">
        <f>VLOOKUP(I126, FuelTypes!$A$1:$R$12,18,FALSE)*J126</f>
        <v>0</v>
      </c>
      <c r="R126" s="4">
        <f t="shared" si="22"/>
        <v>2.9790249433106579</v>
      </c>
      <c r="S126" s="4">
        <f t="shared" si="23"/>
        <v>0.11189343482397718</v>
      </c>
      <c r="T126" s="4">
        <f t="shared" si="24"/>
        <v>0.48697989064961533</v>
      </c>
      <c r="U126" s="4">
        <f t="shared" si="30"/>
        <v>60.372102759276892</v>
      </c>
      <c r="W126" s="3">
        <f>IFERROR(VLOOKUP(I126,FuelTypes!$A$2:$G$40,5,FALSE)*M126,0)</f>
        <v>3528.0000000000005</v>
      </c>
      <c r="Y126" s="3">
        <f t="shared" si="28"/>
        <v>3528.0000000000005</v>
      </c>
      <c r="Z126" s="3">
        <f t="shared" si="25"/>
        <v>0</v>
      </c>
      <c r="AB126" s="3">
        <f t="shared" si="29"/>
        <v>0.83333333333333337</v>
      </c>
      <c r="AC126" s="3">
        <f t="shared" si="26"/>
        <v>0.83333333333333337</v>
      </c>
    </row>
    <row r="127" spans="1:29" x14ac:dyDescent="0.25">
      <c r="A127" s="6">
        <f>G125/C125</f>
        <v>42.938775510204081</v>
      </c>
      <c r="B127" s="6"/>
      <c r="C127" s="6">
        <f>3*$C$125</f>
        <v>36.75</v>
      </c>
      <c r="D127" s="6">
        <v>0.2</v>
      </c>
      <c r="E127" s="6">
        <v>0.2</v>
      </c>
      <c r="F127" s="6">
        <v>220</v>
      </c>
      <c r="G127" s="6">
        <f t="shared" si="35"/>
        <v>1576</v>
      </c>
      <c r="H127" s="6">
        <v>20</v>
      </c>
      <c r="I127" s="6" t="s">
        <v>110</v>
      </c>
      <c r="J127" s="4">
        <f t="shared" si="31"/>
        <v>29.4</v>
      </c>
      <c r="K127" s="4">
        <f t="shared" si="27"/>
        <v>8.8199999999999985</v>
      </c>
      <c r="L127" s="4">
        <f t="shared" si="32"/>
        <v>8.8199999999999985</v>
      </c>
      <c r="M127" s="4">
        <f>IFERROR(VLOOKUP(I127,FuelTypes!$A$1:$B$32,2,FALSE)*J127,0)</f>
        <v>44.099999999999994</v>
      </c>
      <c r="N127" s="4">
        <f t="shared" si="34"/>
        <v>52.919999999999995</v>
      </c>
      <c r="O127" s="4">
        <f t="shared" si="33"/>
        <v>0.83333333333333326</v>
      </c>
      <c r="P127" s="4">
        <f>VLOOKUP(I127, FuelTypes!$A$1:$R$12,17,FALSE)*J127</f>
        <v>5880</v>
      </c>
      <c r="Q127" s="4">
        <f>VLOOKUP(I127, FuelTypes!$A$1:$R$12,18,FALSE)*J127</f>
        <v>0</v>
      </c>
      <c r="R127" s="4">
        <f t="shared" si="22"/>
        <v>2.9780801209372645</v>
      </c>
      <c r="S127" s="4">
        <f t="shared" si="23"/>
        <v>0.11192893401015226</v>
      </c>
      <c r="T127" s="4">
        <f t="shared" si="24"/>
        <v>0.73023816143082187</v>
      </c>
      <c r="U127" s="4">
        <f t="shared" si="30"/>
        <v>60.391256345177666</v>
      </c>
      <c r="W127" s="3">
        <f>IFERROR(VLOOKUP(I127,FuelTypes!$A$2:$G$40,5,FALSE)*M127,0)</f>
        <v>5291.9999999999991</v>
      </c>
      <c r="Y127" s="3">
        <f t="shared" si="28"/>
        <v>5291.9999999999991</v>
      </c>
      <c r="Z127" s="3">
        <f t="shared" si="25"/>
        <v>0</v>
      </c>
      <c r="AB127" s="3">
        <f t="shared" si="29"/>
        <v>0.83333333333333326</v>
      </c>
      <c r="AC127" s="3">
        <f t="shared" si="26"/>
        <v>0.83333333333333326</v>
      </c>
    </row>
    <row r="128" spans="1:29" x14ac:dyDescent="0.25">
      <c r="A128" s="6"/>
      <c r="B128" s="6"/>
      <c r="C128" s="6">
        <f>4*$C$125</f>
        <v>49</v>
      </c>
      <c r="D128" s="6">
        <v>0.2</v>
      </c>
      <c r="E128" s="6">
        <v>0.2</v>
      </c>
      <c r="F128" s="6">
        <v>220</v>
      </c>
      <c r="G128" s="6">
        <f t="shared" si="35"/>
        <v>2101</v>
      </c>
      <c r="H128" s="6">
        <v>20</v>
      </c>
      <c r="I128" s="6" t="s">
        <v>110</v>
      </c>
      <c r="J128" s="4">
        <f t="shared" si="31"/>
        <v>39.200000000000003</v>
      </c>
      <c r="K128" s="4">
        <f t="shared" si="27"/>
        <v>11.760000000000002</v>
      </c>
      <c r="L128" s="4">
        <f t="shared" si="32"/>
        <v>11.760000000000002</v>
      </c>
      <c r="M128" s="4">
        <f>IFERROR(VLOOKUP(I128,FuelTypes!$A$1:$B$32,2,FALSE)*J128,0)</f>
        <v>58.800000000000004</v>
      </c>
      <c r="N128" s="4">
        <f t="shared" si="34"/>
        <v>70.56</v>
      </c>
      <c r="O128" s="4">
        <f t="shared" si="33"/>
        <v>0.83333333333333337</v>
      </c>
      <c r="P128" s="4">
        <f>VLOOKUP(I128, FuelTypes!$A$1:$R$12,17,FALSE)*J128</f>
        <v>7840.0000000000009</v>
      </c>
      <c r="Q128" s="4">
        <f>VLOOKUP(I128, FuelTypes!$A$1:$R$12,18,FALSE)*J128</f>
        <v>0</v>
      </c>
      <c r="R128" s="4">
        <f t="shared" si="22"/>
        <v>2.9776077097505671</v>
      </c>
      <c r="S128" s="4">
        <f t="shared" si="23"/>
        <v>0.1119466920514041</v>
      </c>
      <c r="T128" s="4">
        <f t="shared" si="24"/>
        <v>0.97349643221202842</v>
      </c>
      <c r="U128" s="4">
        <f t="shared" si="30"/>
        <v>60.400837696335088</v>
      </c>
      <c r="W128" s="3">
        <f>IFERROR(VLOOKUP(I128,FuelTypes!$A$2:$G$40,5,FALSE)*M128,0)</f>
        <v>7056.0000000000009</v>
      </c>
      <c r="Y128" s="3">
        <f t="shared" si="28"/>
        <v>7056.0000000000009</v>
      </c>
      <c r="Z128" s="3">
        <f t="shared" si="25"/>
        <v>0</v>
      </c>
      <c r="AB128" s="3">
        <f t="shared" si="29"/>
        <v>0.83333333333333337</v>
      </c>
      <c r="AC128" s="3">
        <f t="shared" si="26"/>
        <v>0.83333333333333337</v>
      </c>
    </row>
    <row r="129" spans="1:29" x14ac:dyDescent="0.25">
      <c r="A129" s="6"/>
      <c r="B129" s="6"/>
      <c r="C129" s="6">
        <f>5*$C$125</f>
        <v>61.25</v>
      </c>
      <c r="D129" s="6">
        <v>0.2</v>
      </c>
      <c r="E129" s="6">
        <v>0.2</v>
      </c>
      <c r="F129" s="6">
        <v>220</v>
      </c>
      <c r="G129" s="6">
        <f t="shared" si="35"/>
        <v>2626</v>
      </c>
      <c r="H129" s="6">
        <v>20</v>
      </c>
      <c r="I129" s="6" t="s">
        <v>110</v>
      </c>
      <c r="J129" s="4">
        <f t="shared" si="31"/>
        <v>49</v>
      </c>
      <c r="K129" s="4">
        <f t="shared" si="27"/>
        <v>14.700000000000001</v>
      </c>
      <c r="L129" s="4">
        <f t="shared" si="32"/>
        <v>14.700000000000001</v>
      </c>
      <c r="M129" s="4">
        <f>IFERROR(VLOOKUP(I129,FuelTypes!$A$1:$B$32,2,FALSE)*J129,0)</f>
        <v>73.5</v>
      </c>
      <c r="N129" s="4">
        <f t="shared" si="34"/>
        <v>88.2</v>
      </c>
      <c r="O129" s="4">
        <f t="shared" si="33"/>
        <v>0.83333333333333326</v>
      </c>
      <c r="P129" s="4">
        <f>VLOOKUP(I129, FuelTypes!$A$1:$R$12,17,FALSE)*J129</f>
        <v>9800</v>
      </c>
      <c r="Q129" s="4">
        <f>VLOOKUP(I129, FuelTypes!$A$1:$R$12,18,FALSE)*J129</f>
        <v>0</v>
      </c>
      <c r="R129" s="4">
        <f t="shared" si="22"/>
        <v>2.977324263038549</v>
      </c>
      <c r="S129" s="4">
        <f t="shared" si="23"/>
        <v>0.11195734958111196</v>
      </c>
      <c r="T129" s="4">
        <f t="shared" si="24"/>
        <v>1.2167547029932348</v>
      </c>
      <c r="U129" s="4">
        <f t="shared" si="30"/>
        <v>60.406587966488971</v>
      </c>
      <c r="W129" s="3">
        <f>IFERROR(VLOOKUP(I129,FuelTypes!$A$2:$G$40,5,FALSE)*M129,0)</f>
        <v>8820</v>
      </c>
      <c r="Y129" s="3">
        <f t="shared" si="28"/>
        <v>8820</v>
      </c>
      <c r="Z129" s="3">
        <f t="shared" si="25"/>
        <v>0</v>
      </c>
      <c r="AB129" s="3">
        <f t="shared" si="29"/>
        <v>0.83333333333333326</v>
      </c>
      <c r="AC129" s="3">
        <f t="shared" si="26"/>
        <v>0.83333333333333326</v>
      </c>
    </row>
    <row r="130" spans="1:29" x14ac:dyDescent="0.25">
      <c r="A130" s="6"/>
      <c r="B130" s="6"/>
      <c r="C130" s="6">
        <f>6*$C$125</f>
        <v>73.5</v>
      </c>
      <c r="D130" s="6">
        <v>0.2</v>
      </c>
      <c r="E130" s="6">
        <v>0.2</v>
      </c>
      <c r="F130" s="6">
        <v>220</v>
      </c>
      <c r="G130" s="6">
        <f t="shared" si="35"/>
        <v>3151</v>
      </c>
      <c r="H130" s="6">
        <v>20</v>
      </c>
      <c r="I130" s="6" t="s">
        <v>110</v>
      </c>
      <c r="J130" s="4">
        <f t="shared" ref="J130:J150" si="36">C130 - (D130*C130)</f>
        <v>58.8</v>
      </c>
      <c r="K130" s="4">
        <f t="shared" si="27"/>
        <v>17.639999999999997</v>
      </c>
      <c r="L130" s="4">
        <f t="shared" ref="L130:L150" si="37">K130+B130</f>
        <v>17.639999999999997</v>
      </c>
      <c r="M130" s="4">
        <f>IFERROR(VLOOKUP(I130,FuelTypes!$A$1:$B$32,2,FALSE)*J130,0)</f>
        <v>88.199999999999989</v>
      </c>
      <c r="N130" s="4">
        <f t="shared" si="34"/>
        <v>105.83999999999999</v>
      </c>
      <c r="O130" s="4">
        <f t="shared" ref="O130:O150" si="38">IF(M130&gt;0, M130/N130,0)</f>
        <v>0.83333333333333326</v>
      </c>
      <c r="P130" s="4">
        <f>VLOOKUP(I130, FuelTypes!$A$1:$R$12,17,FALSE)*J130</f>
        <v>11760</v>
      </c>
      <c r="Q130" s="4">
        <f>VLOOKUP(I130, FuelTypes!$A$1:$R$12,18,FALSE)*J130</f>
        <v>0</v>
      </c>
      <c r="R130" s="4">
        <f t="shared" ref="R130:R193" si="39">IF(L130&gt;0, (G130*0.1)/N130,0)</f>
        <v>2.9771352985638706</v>
      </c>
      <c r="S130" s="4">
        <f t="shared" ref="S130:S193" si="40">IFERROR(H130/G130*L130,0)</f>
        <v>0.11196445572834018</v>
      </c>
      <c r="T130" s="4">
        <f t="shared" ref="T130:T193" si="41">G130 / (9.81 * F130)</f>
        <v>1.4600129737744414</v>
      </c>
      <c r="U130" s="4">
        <f t="shared" si="30"/>
        <v>60.410422088225964</v>
      </c>
      <c r="W130" s="3">
        <f>IFERROR(VLOOKUP(I130,FuelTypes!$A$2:$G$40,5,FALSE)*M130,0)</f>
        <v>10583.999999999998</v>
      </c>
      <c r="Y130" s="3">
        <f t="shared" si="28"/>
        <v>10583.999999999998</v>
      </c>
      <c r="Z130" s="3">
        <f t="shared" ref="Z130:Z193" si="42">X130/L130</f>
        <v>0</v>
      </c>
      <c r="AB130" s="3">
        <f t="shared" si="29"/>
        <v>0.83333333333333326</v>
      </c>
      <c r="AC130" s="3">
        <f t="shared" ref="AC130:AC193" si="43">IFERROR(M130/N130, 0)</f>
        <v>0.83333333333333326</v>
      </c>
    </row>
    <row r="131" spans="1:29" x14ac:dyDescent="0.25">
      <c r="A131" s="6"/>
      <c r="B131" s="6"/>
      <c r="C131" s="6">
        <f>7*$C$125</f>
        <v>85.75</v>
      </c>
      <c r="D131" s="6">
        <v>0.2</v>
      </c>
      <c r="E131" s="6">
        <v>0.2</v>
      </c>
      <c r="F131" s="6">
        <v>220</v>
      </c>
      <c r="G131" s="6">
        <f t="shared" si="35"/>
        <v>3676</v>
      </c>
      <c r="H131" s="6">
        <v>20</v>
      </c>
      <c r="I131" s="6" t="s">
        <v>110</v>
      </c>
      <c r="J131" s="4">
        <f t="shared" si="36"/>
        <v>68.599999999999994</v>
      </c>
      <c r="K131" s="4">
        <f t="shared" ref="K131:K194" si="44">E131*M131</f>
        <v>20.58</v>
      </c>
      <c r="L131" s="4">
        <f t="shared" si="37"/>
        <v>20.58</v>
      </c>
      <c r="M131" s="4">
        <f>IFERROR(VLOOKUP(I131,FuelTypes!$A$1:$B$32,2,FALSE)*J131,0)</f>
        <v>102.89999999999999</v>
      </c>
      <c r="N131" s="4">
        <f t="shared" si="34"/>
        <v>123.47999999999999</v>
      </c>
      <c r="O131" s="4">
        <f t="shared" si="38"/>
        <v>0.83333333333333337</v>
      </c>
      <c r="P131" s="4">
        <f>VLOOKUP(I131, FuelTypes!$A$1:$R$12,17,FALSE)*J131</f>
        <v>13719.999999999998</v>
      </c>
      <c r="Q131" s="4">
        <f>VLOOKUP(I131, FuelTypes!$A$1:$R$12,18,FALSE)*J131</f>
        <v>0</v>
      </c>
      <c r="R131" s="4">
        <f t="shared" si="39"/>
        <v>2.9770003239390999</v>
      </c>
      <c r="S131" s="4">
        <f t="shared" si="40"/>
        <v>0.11196953210010881</v>
      </c>
      <c r="T131" s="4">
        <f t="shared" si="41"/>
        <v>1.7032712445556479</v>
      </c>
      <c r="U131" s="4">
        <f t="shared" si="30"/>
        <v>60.413161044613716</v>
      </c>
      <c r="W131" s="3">
        <f>IFERROR(VLOOKUP(I131,FuelTypes!$A$2:$G$40,5,FALSE)*M131,0)</f>
        <v>12347.999999999998</v>
      </c>
      <c r="Y131" s="3">
        <f t="shared" ref="Y131:Y194" si="45">X131+W131</f>
        <v>12347.999999999998</v>
      </c>
      <c r="Z131" s="3">
        <f t="shared" si="42"/>
        <v>0</v>
      </c>
      <c r="AB131" s="3">
        <f t="shared" ref="AB131:AB194" si="46">IFERROR(M131/(M131+K131), 0)</f>
        <v>0.83333333333333337</v>
      </c>
      <c r="AC131" s="3">
        <f t="shared" si="43"/>
        <v>0.83333333333333337</v>
      </c>
    </row>
    <row r="132" spans="1:29" x14ac:dyDescent="0.25">
      <c r="A132" s="6"/>
      <c r="B132" s="6"/>
      <c r="C132" s="6">
        <f>8*$C$125</f>
        <v>98</v>
      </c>
      <c r="D132" s="6">
        <v>0.2</v>
      </c>
      <c r="E132" s="6">
        <v>0.2</v>
      </c>
      <c r="F132" s="6">
        <v>220</v>
      </c>
      <c r="G132" s="6">
        <f t="shared" si="35"/>
        <v>4201</v>
      </c>
      <c r="H132" s="6">
        <v>20</v>
      </c>
      <c r="I132" s="6" t="s">
        <v>110</v>
      </c>
      <c r="J132" s="4">
        <f t="shared" si="36"/>
        <v>78.400000000000006</v>
      </c>
      <c r="K132" s="4">
        <f t="shared" si="44"/>
        <v>23.520000000000003</v>
      </c>
      <c r="L132" s="4">
        <f t="shared" si="37"/>
        <v>23.520000000000003</v>
      </c>
      <c r="M132" s="4">
        <f>IFERROR(VLOOKUP(I132,FuelTypes!$A$1:$B$32,2,FALSE)*J132,0)</f>
        <v>117.60000000000001</v>
      </c>
      <c r="N132" s="4">
        <f t="shared" si="34"/>
        <v>141.12</v>
      </c>
      <c r="O132" s="4">
        <f t="shared" si="38"/>
        <v>0.83333333333333337</v>
      </c>
      <c r="P132" s="4">
        <f>VLOOKUP(I132, FuelTypes!$A$1:$R$12,17,FALSE)*J132</f>
        <v>15680.000000000002</v>
      </c>
      <c r="Q132" s="4">
        <f>VLOOKUP(I132, FuelTypes!$A$1:$R$12,18,FALSE)*J132</f>
        <v>0</v>
      </c>
      <c r="R132" s="4">
        <f t="shared" si="39"/>
        <v>2.9768990929705215</v>
      </c>
      <c r="S132" s="4">
        <f t="shared" si="40"/>
        <v>0.11197333968102834</v>
      </c>
      <c r="T132" s="4">
        <f t="shared" si="41"/>
        <v>1.9465295153368545</v>
      </c>
      <c r="U132" s="4">
        <f t="shared" ref="U132:U195" si="47">M132/T132</f>
        <v>60.415215424898847</v>
      </c>
      <c r="W132" s="3">
        <f>IFERROR(VLOOKUP(I132,FuelTypes!$A$2:$G$40,5,FALSE)*M132,0)</f>
        <v>14112.000000000002</v>
      </c>
      <c r="Y132" s="3">
        <f t="shared" si="45"/>
        <v>14112.000000000002</v>
      </c>
      <c r="Z132" s="3">
        <f t="shared" si="42"/>
        <v>0</v>
      </c>
      <c r="AB132" s="3">
        <f t="shared" si="46"/>
        <v>0.83333333333333337</v>
      </c>
      <c r="AC132" s="3">
        <f t="shared" si="43"/>
        <v>0.83333333333333337</v>
      </c>
    </row>
    <row r="133" spans="1:29" x14ac:dyDescent="0.25">
      <c r="A133" s="6"/>
      <c r="B133" s="6"/>
      <c r="C133" s="6">
        <f>9*$C$125</f>
        <v>110.25</v>
      </c>
      <c r="D133" s="6">
        <v>0.2</v>
      </c>
      <c r="E133" s="6">
        <v>0.2</v>
      </c>
      <c r="F133" s="6">
        <v>220</v>
      </c>
      <c r="G133" s="6">
        <f t="shared" si="35"/>
        <v>4726</v>
      </c>
      <c r="H133" s="6">
        <v>20</v>
      </c>
      <c r="I133" s="6" t="s">
        <v>110</v>
      </c>
      <c r="J133" s="4">
        <f t="shared" si="36"/>
        <v>88.2</v>
      </c>
      <c r="K133" s="4">
        <f t="shared" si="44"/>
        <v>26.460000000000004</v>
      </c>
      <c r="L133" s="4">
        <f t="shared" si="37"/>
        <v>26.460000000000004</v>
      </c>
      <c r="M133" s="4">
        <f>IFERROR(VLOOKUP(I133,FuelTypes!$A$1:$B$32,2,FALSE)*J133,0)</f>
        <v>132.30000000000001</v>
      </c>
      <c r="N133" s="4">
        <f t="shared" si="34"/>
        <v>158.76000000000002</v>
      </c>
      <c r="O133" s="4">
        <f t="shared" si="38"/>
        <v>0.83333333333333326</v>
      </c>
      <c r="P133" s="4">
        <f>VLOOKUP(I133, FuelTypes!$A$1:$R$12,17,FALSE)*J133</f>
        <v>17640</v>
      </c>
      <c r="Q133" s="4">
        <f>VLOOKUP(I133, FuelTypes!$A$1:$R$12,18,FALSE)*J133</f>
        <v>0</v>
      </c>
      <c r="R133" s="4">
        <f t="shared" si="39"/>
        <v>2.9768203577727386</v>
      </c>
      <c r="S133" s="4">
        <f t="shared" si="40"/>
        <v>0.11197630131189168</v>
      </c>
      <c r="T133" s="4">
        <f t="shared" si="41"/>
        <v>2.1897877861180612</v>
      </c>
      <c r="U133" s="4">
        <f t="shared" si="47"/>
        <v>60.416813372831157</v>
      </c>
      <c r="W133" s="3">
        <f>IFERROR(VLOOKUP(I133,FuelTypes!$A$2:$G$40,5,FALSE)*M133,0)</f>
        <v>15876.000000000002</v>
      </c>
      <c r="Y133" s="3">
        <f t="shared" si="45"/>
        <v>15876.000000000002</v>
      </c>
      <c r="Z133" s="3">
        <f t="shared" si="42"/>
        <v>0</v>
      </c>
      <c r="AB133" s="3">
        <f t="shared" si="46"/>
        <v>0.83333333333333326</v>
      </c>
      <c r="AC133" s="3">
        <f t="shared" si="43"/>
        <v>0.83333333333333326</v>
      </c>
    </row>
    <row r="134" spans="1:29" x14ac:dyDescent="0.25">
      <c r="A134" s="6"/>
      <c r="B134" s="6">
        <v>0</v>
      </c>
      <c r="C134" s="6">
        <v>502</v>
      </c>
      <c r="D134" s="6">
        <v>0</v>
      </c>
      <c r="E134" s="6">
        <v>0</v>
      </c>
      <c r="F134" s="6">
        <v>268</v>
      </c>
      <c r="G134" s="6">
        <v>14780</v>
      </c>
      <c r="H134" s="6">
        <v>20</v>
      </c>
      <c r="I134" s="6" t="s">
        <v>108</v>
      </c>
      <c r="J134" s="4">
        <f t="shared" si="36"/>
        <v>502</v>
      </c>
      <c r="K134" s="4">
        <f t="shared" si="44"/>
        <v>0</v>
      </c>
      <c r="L134" s="4">
        <f t="shared" si="37"/>
        <v>0</v>
      </c>
      <c r="M134" s="4">
        <f>IFERROR(VLOOKUP(I134,FuelTypes!$A$1:$B$32,2,FALSE)*J134,0)</f>
        <v>502</v>
      </c>
      <c r="N134" s="4">
        <f t="shared" si="34"/>
        <v>502</v>
      </c>
      <c r="O134" s="4">
        <f t="shared" si="38"/>
        <v>1</v>
      </c>
      <c r="P134" s="4">
        <f>VLOOKUP(I134, FuelTypes!$A$1:$R$12,17,FALSE)*J134</f>
        <v>45180</v>
      </c>
      <c r="Q134" s="4">
        <f>VLOOKUP(I134, FuelTypes!$A$1:$R$12,18,FALSE)*J134</f>
        <v>55220</v>
      </c>
      <c r="R134" s="4">
        <f t="shared" si="39"/>
        <v>0</v>
      </c>
      <c r="S134" s="4">
        <f t="shared" si="40"/>
        <v>0</v>
      </c>
      <c r="T134" s="4">
        <f t="shared" si="41"/>
        <v>5.6217384027872868</v>
      </c>
      <c r="U134" s="4">
        <f t="shared" si="47"/>
        <v>89.296221921515567</v>
      </c>
      <c r="W134" s="3">
        <f>IFERROR(VLOOKUP(I134,FuelTypes!$A$2:$G$40,5,FALSE)*M134,0)</f>
        <v>23041.8</v>
      </c>
      <c r="Y134" s="3">
        <f t="shared" si="45"/>
        <v>23041.8</v>
      </c>
      <c r="Z134" s="3" t="e">
        <f t="shared" si="42"/>
        <v>#DIV/0!</v>
      </c>
      <c r="AB134" s="3">
        <f t="shared" si="46"/>
        <v>1</v>
      </c>
      <c r="AC134" s="3">
        <f t="shared" si="43"/>
        <v>1</v>
      </c>
    </row>
    <row r="135" spans="1:29" x14ac:dyDescent="0.25">
      <c r="A135" s="6"/>
      <c r="B135" s="6"/>
      <c r="C135" s="6"/>
      <c r="D135" s="6"/>
      <c r="E135" s="6"/>
      <c r="F135" s="6"/>
      <c r="G135" s="6">
        <f t="shared" ref="G135:G142" si="48">0.5*G126</f>
        <v>525.5</v>
      </c>
      <c r="H135" s="6"/>
      <c r="I135" s="6"/>
      <c r="J135" s="4">
        <f t="shared" si="36"/>
        <v>0</v>
      </c>
      <c r="K135" s="4">
        <f t="shared" si="44"/>
        <v>0</v>
      </c>
      <c r="L135" s="4">
        <f t="shared" si="37"/>
        <v>0</v>
      </c>
      <c r="M135" s="4">
        <f>IFERROR(VLOOKUP(I135,FuelTypes!$A$1:$B$32,2,FALSE)*J135,0)</f>
        <v>0</v>
      </c>
      <c r="N135" s="4">
        <f t="shared" si="34"/>
        <v>0</v>
      </c>
      <c r="O135" s="4">
        <f t="shared" si="38"/>
        <v>0</v>
      </c>
      <c r="P135" s="4" t="e">
        <f>VLOOKUP(I135, FuelTypes!$A$1:$R$12,17,FALSE)*J135</f>
        <v>#N/A</v>
      </c>
      <c r="Q135" s="4" t="e">
        <f>VLOOKUP(I135, FuelTypes!$A$1:$R$12,18,FALSE)*J135</f>
        <v>#N/A</v>
      </c>
      <c r="R135" s="4">
        <f t="shared" si="39"/>
        <v>0</v>
      </c>
      <c r="S135" s="4">
        <f t="shared" si="40"/>
        <v>0</v>
      </c>
      <c r="T135" s="4" t="e">
        <f t="shared" si="41"/>
        <v>#DIV/0!</v>
      </c>
      <c r="U135" s="4" t="e">
        <f t="shared" si="47"/>
        <v>#DIV/0!</v>
      </c>
      <c r="W135" s="3">
        <f>IFERROR(VLOOKUP(I135,FuelTypes!$A$2:$G$40,5,FALSE)*M135,0)</f>
        <v>0</v>
      </c>
      <c r="Y135" s="3">
        <f t="shared" si="45"/>
        <v>0</v>
      </c>
      <c r="Z135" s="3" t="e">
        <f t="shared" si="42"/>
        <v>#DIV/0!</v>
      </c>
      <c r="AB135" s="3">
        <f t="shared" si="46"/>
        <v>0</v>
      </c>
      <c r="AC135" s="3">
        <f t="shared" si="43"/>
        <v>0</v>
      </c>
    </row>
    <row r="136" spans="1:29" x14ac:dyDescent="0.25">
      <c r="A136" s="6"/>
      <c r="B136" s="6"/>
      <c r="C136" s="6"/>
      <c r="D136" s="6"/>
      <c r="E136" s="6"/>
      <c r="F136" s="6"/>
      <c r="G136" s="6">
        <f t="shared" si="48"/>
        <v>788</v>
      </c>
      <c r="H136" s="6"/>
      <c r="I136" s="6"/>
      <c r="J136" s="4">
        <f t="shared" si="36"/>
        <v>0</v>
      </c>
      <c r="K136" s="4">
        <f t="shared" si="44"/>
        <v>0</v>
      </c>
      <c r="L136" s="4">
        <f t="shared" si="37"/>
        <v>0</v>
      </c>
      <c r="M136" s="4">
        <f>IFERROR(VLOOKUP(I136,FuelTypes!$A$1:$B$32,2,FALSE)*J136,0)</f>
        <v>0</v>
      </c>
      <c r="N136" s="4">
        <f t="shared" si="34"/>
        <v>0</v>
      </c>
      <c r="O136" s="4">
        <f t="shared" si="38"/>
        <v>0</v>
      </c>
      <c r="P136" s="4" t="e">
        <f>VLOOKUP(I136, FuelTypes!$A$1:$R$12,17,FALSE)*J136</f>
        <v>#N/A</v>
      </c>
      <c r="Q136" s="4" t="e">
        <f>VLOOKUP(I136, FuelTypes!$A$1:$R$12,18,FALSE)*J136</f>
        <v>#N/A</v>
      </c>
      <c r="R136" s="4">
        <f t="shared" si="39"/>
        <v>0</v>
      </c>
      <c r="S136" s="4">
        <f t="shared" si="40"/>
        <v>0</v>
      </c>
      <c r="T136" s="4" t="e">
        <f t="shared" si="41"/>
        <v>#DIV/0!</v>
      </c>
      <c r="U136" s="4" t="e">
        <f t="shared" si="47"/>
        <v>#DIV/0!</v>
      </c>
      <c r="W136" s="3">
        <f>IFERROR(VLOOKUP(I136,FuelTypes!$A$2:$G$40,5,FALSE)*M136,0)</f>
        <v>0</v>
      </c>
      <c r="Y136" s="3">
        <f t="shared" si="45"/>
        <v>0</v>
      </c>
      <c r="Z136" s="3" t="e">
        <f t="shared" si="42"/>
        <v>#DIV/0!</v>
      </c>
      <c r="AB136" s="3">
        <f t="shared" si="46"/>
        <v>0</v>
      </c>
      <c r="AC136" s="3">
        <f t="shared" si="43"/>
        <v>0</v>
      </c>
    </row>
    <row r="137" spans="1:29" x14ac:dyDescent="0.25">
      <c r="A137" s="6"/>
      <c r="B137" s="6"/>
      <c r="C137" s="6"/>
      <c r="D137" s="6"/>
      <c r="E137" s="6"/>
      <c r="F137" s="6"/>
      <c r="G137" s="6">
        <f t="shared" si="48"/>
        <v>1050.5</v>
      </c>
      <c r="H137" s="6"/>
      <c r="I137" s="6"/>
      <c r="J137" s="4">
        <f t="shared" si="36"/>
        <v>0</v>
      </c>
      <c r="K137" s="4">
        <f t="shared" si="44"/>
        <v>0</v>
      </c>
      <c r="L137" s="4">
        <f t="shared" si="37"/>
        <v>0</v>
      </c>
      <c r="M137" s="4">
        <f>IFERROR(VLOOKUP(I137,FuelTypes!$A$1:$B$32,2,FALSE)*J137,0)</f>
        <v>0</v>
      </c>
      <c r="N137" s="4">
        <f t="shared" si="34"/>
        <v>0</v>
      </c>
      <c r="O137" s="4">
        <f t="shared" si="38"/>
        <v>0</v>
      </c>
      <c r="P137" s="4" t="e">
        <f>VLOOKUP(I137, FuelTypes!$A$1:$R$12,17,FALSE)*J137</f>
        <v>#N/A</v>
      </c>
      <c r="Q137" s="4" t="e">
        <f>VLOOKUP(I137, FuelTypes!$A$1:$R$12,18,FALSE)*J137</f>
        <v>#N/A</v>
      </c>
      <c r="R137" s="4">
        <f t="shared" si="39"/>
        <v>0</v>
      </c>
      <c r="S137" s="4">
        <f t="shared" si="40"/>
        <v>0</v>
      </c>
      <c r="T137" s="4" t="e">
        <f t="shared" si="41"/>
        <v>#DIV/0!</v>
      </c>
      <c r="U137" s="4" t="e">
        <f t="shared" si="47"/>
        <v>#DIV/0!</v>
      </c>
      <c r="W137" s="3">
        <f>IFERROR(VLOOKUP(I137,FuelTypes!$A$2:$G$40,5,FALSE)*M137,0)</f>
        <v>0</v>
      </c>
      <c r="Y137" s="3">
        <f t="shared" si="45"/>
        <v>0</v>
      </c>
      <c r="Z137" s="3" t="e">
        <f t="shared" si="42"/>
        <v>#DIV/0!</v>
      </c>
      <c r="AB137" s="3">
        <f t="shared" si="46"/>
        <v>0</v>
      </c>
      <c r="AC137" s="3">
        <f t="shared" si="43"/>
        <v>0</v>
      </c>
    </row>
    <row r="138" spans="1:29" x14ac:dyDescent="0.25">
      <c r="A138" s="6"/>
      <c r="B138" s="6"/>
      <c r="C138" s="6"/>
      <c r="D138" s="6"/>
      <c r="E138" s="6"/>
      <c r="F138" s="6"/>
      <c r="G138" s="6">
        <f t="shared" si="48"/>
        <v>1313</v>
      </c>
      <c r="H138" s="6"/>
      <c r="I138" s="6"/>
      <c r="J138" s="4">
        <f t="shared" si="36"/>
        <v>0</v>
      </c>
      <c r="K138" s="4">
        <f t="shared" si="44"/>
        <v>0</v>
      </c>
      <c r="L138" s="4">
        <f t="shared" si="37"/>
        <v>0</v>
      </c>
      <c r="M138" s="4">
        <f>IFERROR(VLOOKUP(I138,FuelTypes!$A$1:$B$32,2,FALSE)*J138,0)</f>
        <v>0</v>
      </c>
      <c r="N138" s="4">
        <f t="shared" si="34"/>
        <v>0</v>
      </c>
      <c r="O138" s="4">
        <f t="shared" si="38"/>
        <v>0</v>
      </c>
      <c r="P138" s="4" t="e">
        <f>VLOOKUP(I138, FuelTypes!$A$1:$R$12,17,FALSE)*J138</f>
        <v>#N/A</v>
      </c>
      <c r="Q138" s="4" t="e">
        <f>VLOOKUP(I138, FuelTypes!$A$1:$R$12,18,FALSE)*J138</f>
        <v>#N/A</v>
      </c>
      <c r="R138" s="4">
        <f t="shared" si="39"/>
        <v>0</v>
      </c>
      <c r="S138" s="4">
        <f t="shared" si="40"/>
        <v>0</v>
      </c>
      <c r="T138" s="4" t="e">
        <f t="shared" si="41"/>
        <v>#DIV/0!</v>
      </c>
      <c r="U138" s="4" t="e">
        <f t="shared" si="47"/>
        <v>#DIV/0!</v>
      </c>
      <c r="W138" s="3">
        <f>IFERROR(VLOOKUP(I138,FuelTypes!$A$2:$G$40,5,FALSE)*M138,0)</f>
        <v>0</v>
      </c>
      <c r="Y138" s="3">
        <f t="shared" si="45"/>
        <v>0</v>
      </c>
      <c r="Z138" s="3" t="e">
        <f t="shared" si="42"/>
        <v>#DIV/0!</v>
      </c>
      <c r="AB138" s="3">
        <f t="shared" si="46"/>
        <v>0</v>
      </c>
      <c r="AC138" s="3">
        <f t="shared" si="43"/>
        <v>0</v>
      </c>
    </row>
    <row r="139" spans="1:29" x14ac:dyDescent="0.25">
      <c r="A139" s="6"/>
      <c r="B139" s="6"/>
      <c r="C139" s="6"/>
      <c r="D139" s="6"/>
      <c r="E139" s="6"/>
      <c r="F139" s="6"/>
      <c r="G139" s="6">
        <f t="shared" si="48"/>
        <v>1575.5</v>
      </c>
      <c r="H139" s="6"/>
      <c r="I139" s="6"/>
      <c r="J139" s="4">
        <f t="shared" si="36"/>
        <v>0</v>
      </c>
      <c r="K139" s="4">
        <f t="shared" si="44"/>
        <v>0</v>
      </c>
      <c r="L139" s="4">
        <f t="shared" si="37"/>
        <v>0</v>
      </c>
      <c r="M139" s="4">
        <f>IFERROR(VLOOKUP(I139,FuelTypes!$A$1:$B$32,2,FALSE)*J139,0)</f>
        <v>0</v>
      </c>
      <c r="N139" s="4">
        <f t="shared" si="34"/>
        <v>0</v>
      </c>
      <c r="O139" s="4">
        <f t="shared" si="38"/>
        <v>0</v>
      </c>
      <c r="P139" s="4" t="e">
        <f>VLOOKUP(I139, FuelTypes!$A$1:$R$12,17,FALSE)*J139</f>
        <v>#N/A</v>
      </c>
      <c r="Q139" s="4" t="e">
        <f>VLOOKUP(I139, FuelTypes!$A$1:$R$12,18,FALSE)*J139</f>
        <v>#N/A</v>
      </c>
      <c r="R139" s="4">
        <f t="shared" si="39"/>
        <v>0</v>
      </c>
      <c r="S139" s="4">
        <f t="shared" si="40"/>
        <v>0</v>
      </c>
      <c r="T139" s="4" t="e">
        <f t="shared" si="41"/>
        <v>#DIV/0!</v>
      </c>
      <c r="U139" s="4" t="e">
        <f t="shared" si="47"/>
        <v>#DIV/0!</v>
      </c>
      <c r="W139" s="3">
        <f>IFERROR(VLOOKUP(I139,FuelTypes!$A$2:$G$40,5,FALSE)*M139,0)</f>
        <v>0</v>
      </c>
      <c r="Y139" s="3">
        <f t="shared" si="45"/>
        <v>0</v>
      </c>
      <c r="Z139" s="3" t="e">
        <f t="shared" si="42"/>
        <v>#DIV/0!</v>
      </c>
      <c r="AB139" s="3">
        <f t="shared" si="46"/>
        <v>0</v>
      </c>
      <c r="AC139" s="3">
        <f t="shared" si="43"/>
        <v>0</v>
      </c>
    </row>
    <row r="140" spans="1:29" x14ac:dyDescent="0.25">
      <c r="A140" s="6"/>
      <c r="B140" s="6"/>
      <c r="C140" s="6"/>
      <c r="D140" s="6"/>
      <c r="E140" s="6"/>
      <c r="F140" s="6"/>
      <c r="G140" s="6">
        <f t="shared" si="48"/>
        <v>1838</v>
      </c>
      <c r="H140" s="6"/>
      <c r="I140" s="6"/>
      <c r="J140" s="4">
        <f t="shared" si="36"/>
        <v>0</v>
      </c>
      <c r="K140" s="4">
        <f t="shared" si="44"/>
        <v>0</v>
      </c>
      <c r="L140" s="4">
        <f t="shared" si="37"/>
        <v>0</v>
      </c>
      <c r="M140" s="4">
        <f>IFERROR(VLOOKUP(I140,FuelTypes!$A$1:$B$32,2,FALSE)*J140,0)</f>
        <v>0</v>
      </c>
      <c r="N140" s="4">
        <f t="shared" si="34"/>
        <v>0</v>
      </c>
      <c r="O140" s="4">
        <f t="shared" si="38"/>
        <v>0</v>
      </c>
      <c r="P140" s="4" t="e">
        <f>VLOOKUP(I140, FuelTypes!$A$1:$R$12,17,FALSE)*J140</f>
        <v>#N/A</v>
      </c>
      <c r="Q140" s="4" t="e">
        <f>VLOOKUP(I140, FuelTypes!$A$1:$R$12,18,FALSE)*J140</f>
        <v>#N/A</v>
      </c>
      <c r="R140" s="4">
        <f t="shared" si="39"/>
        <v>0</v>
      </c>
      <c r="S140" s="4">
        <f t="shared" si="40"/>
        <v>0</v>
      </c>
      <c r="T140" s="4" t="e">
        <f t="shared" si="41"/>
        <v>#DIV/0!</v>
      </c>
      <c r="U140" s="4" t="e">
        <f t="shared" si="47"/>
        <v>#DIV/0!</v>
      </c>
      <c r="W140" s="3">
        <f>IFERROR(VLOOKUP(I140,FuelTypes!$A$2:$G$40,5,FALSE)*M140,0)</f>
        <v>0</v>
      </c>
      <c r="Y140" s="3">
        <f t="shared" si="45"/>
        <v>0</v>
      </c>
      <c r="Z140" s="3" t="e">
        <f t="shared" si="42"/>
        <v>#DIV/0!</v>
      </c>
      <c r="AB140" s="3">
        <f t="shared" si="46"/>
        <v>0</v>
      </c>
      <c r="AC140" s="3">
        <f t="shared" si="43"/>
        <v>0</v>
      </c>
    </row>
    <row r="141" spans="1:29" x14ac:dyDescent="0.25">
      <c r="A141" s="6"/>
      <c r="B141" s="6"/>
      <c r="C141" s="6"/>
      <c r="D141" s="6"/>
      <c r="E141" s="6"/>
      <c r="F141" s="6"/>
      <c r="G141" s="6">
        <f t="shared" si="48"/>
        <v>2100.5</v>
      </c>
      <c r="H141" s="6"/>
      <c r="I141" s="6"/>
      <c r="J141" s="4">
        <f t="shared" si="36"/>
        <v>0</v>
      </c>
      <c r="K141" s="4">
        <f t="shared" si="44"/>
        <v>0</v>
      </c>
      <c r="L141" s="4">
        <f t="shared" si="37"/>
        <v>0</v>
      </c>
      <c r="M141" s="4">
        <f>IFERROR(VLOOKUP(I141,FuelTypes!$A$1:$B$32,2,FALSE)*J141,0)</f>
        <v>0</v>
      </c>
      <c r="N141" s="4">
        <f t="shared" si="34"/>
        <v>0</v>
      </c>
      <c r="O141" s="4">
        <f t="shared" si="38"/>
        <v>0</v>
      </c>
      <c r="P141" s="4" t="e">
        <f>VLOOKUP(I141, FuelTypes!$A$1:$R$12,17,FALSE)*J141</f>
        <v>#N/A</v>
      </c>
      <c r="Q141" s="4" t="e">
        <f>VLOOKUP(I141, FuelTypes!$A$1:$R$12,18,FALSE)*J141</f>
        <v>#N/A</v>
      </c>
      <c r="R141" s="4">
        <f t="shared" si="39"/>
        <v>0</v>
      </c>
      <c r="S141" s="4">
        <f t="shared" si="40"/>
        <v>0</v>
      </c>
      <c r="T141" s="4" t="e">
        <f t="shared" si="41"/>
        <v>#DIV/0!</v>
      </c>
      <c r="U141" s="4" t="e">
        <f t="shared" si="47"/>
        <v>#DIV/0!</v>
      </c>
      <c r="W141" s="3">
        <f>IFERROR(VLOOKUP(I141,FuelTypes!$A$2:$G$40,5,FALSE)*M141,0)</f>
        <v>0</v>
      </c>
      <c r="Y141" s="3">
        <f t="shared" si="45"/>
        <v>0</v>
      </c>
      <c r="Z141" s="3" t="e">
        <f t="shared" si="42"/>
        <v>#DIV/0!</v>
      </c>
      <c r="AB141" s="3">
        <f t="shared" si="46"/>
        <v>0</v>
      </c>
      <c r="AC141" s="3">
        <f t="shared" si="43"/>
        <v>0</v>
      </c>
    </row>
    <row r="142" spans="1:29" x14ac:dyDescent="0.25">
      <c r="A142" s="6"/>
      <c r="B142" s="6"/>
      <c r="C142" s="6"/>
      <c r="D142" s="6"/>
      <c r="E142" s="6"/>
      <c r="F142" s="6"/>
      <c r="G142" s="6">
        <f t="shared" si="48"/>
        <v>2363</v>
      </c>
      <c r="H142" s="6"/>
      <c r="I142" s="6"/>
      <c r="J142" s="4">
        <f t="shared" si="36"/>
        <v>0</v>
      </c>
      <c r="K142" s="4">
        <f t="shared" si="44"/>
        <v>0</v>
      </c>
      <c r="L142" s="4">
        <f t="shared" si="37"/>
        <v>0</v>
      </c>
      <c r="M142" s="4">
        <f>IFERROR(VLOOKUP(I142,FuelTypes!$A$1:$B$32,2,FALSE)*J142,0)</f>
        <v>0</v>
      </c>
      <c r="N142" s="4">
        <f t="shared" si="34"/>
        <v>0</v>
      </c>
      <c r="O142" s="4">
        <f t="shared" si="38"/>
        <v>0</v>
      </c>
      <c r="P142" s="4" t="e">
        <f>VLOOKUP(I142, FuelTypes!$A$1:$R$12,17,FALSE)*J142</f>
        <v>#N/A</v>
      </c>
      <c r="Q142" s="4" t="e">
        <f>VLOOKUP(I142, FuelTypes!$A$1:$R$12,18,FALSE)*J142</f>
        <v>#N/A</v>
      </c>
      <c r="R142" s="4">
        <f t="shared" si="39"/>
        <v>0</v>
      </c>
      <c r="S142" s="4">
        <f t="shared" si="40"/>
        <v>0</v>
      </c>
      <c r="T142" s="4" t="e">
        <f t="shared" si="41"/>
        <v>#DIV/0!</v>
      </c>
      <c r="U142" s="4" t="e">
        <f t="shared" si="47"/>
        <v>#DIV/0!</v>
      </c>
      <c r="W142" s="3">
        <f>IFERROR(VLOOKUP(I142,FuelTypes!$A$2:$G$40,5,FALSE)*M142,0)</f>
        <v>0</v>
      </c>
      <c r="Y142" s="3">
        <f t="shared" si="45"/>
        <v>0</v>
      </c>
      <c r="Z142" s="3" t="e">
        <f t="shared" si="42"/>
        <v>#DIV/0!</v>
      </c>
      <c r="AB142" s="3">
        <f t="shared" si="46"/>
        <v>0</v>
      </c>
      <c r="AC142" s="3">
        <f t="shared" si="43"/>
        <v>0</v>
      </c>
    </row>
    <row r="143" spans="1:29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4">
        <f t="shared" si="36"/>
        <v>0</v>
      </c>
      <c r="K143" s="4">
        <f t="shared" si="44"/>
        <v>0</v>
      </c>
      <c r="L143" s="4">
        <f t="shared" si="37"/>
        <v>0</v>
      </c>
      <c r="M143" s="4">
        <f>IFERROR(VLOOKUP(I143,FuelTypes!$A$1:$B$32,2,FALSE)*J143,0)</f>
        <v>0</v>
      </c>
      <c r="N143" s="4">
        <f t="shared" si="34"/>
        <v>0</v>
      </c>
      <c r="O143" s="4">
        <f t="shared" si="38"/>
        <v>0</v>
      </c>
      <c r="P143" s="4" t="e">
        <f>VLOOKUP(I143, FuelTypes!$A$1:$R$12,17,FALSE)*J143</f>
        <v>#N/A</v>
      </c>
      <c r="Q143" s="4" t="e">
        <f>VLOOKUP(I143, FuelTypes!$A$1:$R$12,18,FALSE)*J143</f>
        <v>#N/A</v>
      </c>
      <c r="R143" s="4">
        <f t="shared" si="39"/>
        <v>0</v>
      </c>
      <c r="S143" s="4">
        <f t="shared" si="40"/>
        <v>0</v>
      </c>
      <c r="T143" s="4" t="e">
        <f t="shared" si="41"/>
        <v>#DIV/0!</v>
      </c>
      <c r="U143" s="4" t="e">
        <f t="shared" si="47"/>
        <v>#DIV/0!</v>
      </c>
      <c r="W143" s="3">
        <f>IFERROR(VLOOKUP(I143,FuelTypes!$A$2:$G$40,5,FALSE)*M143,0)</f>
        <v>0</v>
      </c>
      <c r="Y143" s="3">
        <f t="shared" si="45"/>
        <v>0</v>
      </c>
      <c r="Z143" s="3" t="e">
        <f t="shared" si="42"/>
        <v>#DIV/0!</v>
      </c>
      <c r="AB143" s="3">
        <f t="shared" si="46"/>
        <v>0</v>
      </c>
      <c r="AC143" s="3">
        <f t="shared" si="43"/>
        <v>0</v>
      </c>
    </row>
    <row r="144" spans="1:29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4">
        <f t="shared" si="36"/>
        <v>0</v>
      </c>
      <c r="K144" s="4">
        <f t="shared" si="44"/>
        <v>0</v>
      </c>
      <c r="L144" s="4">
        <f t="shared" si="37"/>
        <v>0</v>
      </c>
      <c r="M144" s="4">
        <f>IFERROR(VLOOKUP(I144,FuelTypes!$A$1:$B$32,2,FALSE)*J144,0)</f>
        <v>0</v>
      </c>
      <c r="N144" s="4">
        <f t="shared" si="34"/>
        <v>0</v>
      </c>
      <c r="O144" s="4">
        <f t="shared" si="38"/>
        <v>0</v>
      </c>
      <c r="P144" s="4" t="e">
        <f>VLOOKUP(I144, FuelTypes!$A$1:$R$12,17,FALSE)*J144</f>
        <v>#N/A</v>
      </c>
      <c r="Q144" s="4" t="e">
        <f>VLOOKUP(I144, FuelTypes!$A$1:$R$12,18,FALSE)*J144</f>
        <v>#N/A</v>
      </c>
      <c r="R144" s="4">
        <f t="shared" si="39"/>
        <v>0</v>
      </c>
      <c r="S144" s="4">
        <f t="shared" si="40"/>
        <v>0</v>
      </c>
      <c r="T144" s="4" t="e">
        <f t="shared" si="41"/>
        <v>#DIV/0!</v>
      </c>
      <c r="U144" s="4" t="e">
        <f t="shared" si="47"/>
        <v>#DIV/0!</v>
      </c>
      <c r="W144" s="3">
        <f>IFERROR(VLOOKUP(I144,FuelTypes!$A$2:$G$40,5,FALSE)*M144,0)</f>
        <v>0</v>
      </c>
      <c r="Y144" s="3">
        <f t="shared" si="45"/>
        <v>0</v>
      </c>
      <c r="Z144" s="3" t="e">
        <f t="shared" si="42"/>
        <v>#DIV/0!</v>
      </c>
      <c r="AB144" s="3">
        <f t="shared" si="46"/>
        <v>0</v>
      </c>
      <c r="AC144" s="3">
        <f t="shared" si="43"/>
        <v>0</v>
      </c>
    </row>
    <row r="145" spans="1:29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4">
        <f t="shared" si="36"/>
        <v>0</v>
      </c>
      <c r="K145" s="4">
        <f t="shared" si="44"/>
        <v>0</v>
      </c>
      <c r="L145" s="4">
        <f t="shared" si="37"/>
        <v>0</v>
      </c>
      <c r="M145" s="4">
        <f>IFERROR(VLOOKUP(I145,FuelTypes!$A$1:$B$32,2,FALSE)*J145,0)</f>
        <v>0</v>
      </c>
      <c r="N145" s="4">
        <f t="shared" si="34"/>
        <v>0</v>
      </c>
      <c r="O145" s="4">
        <f t="shared" si="38"/>
        <v>0</v>
      </c>
      <c r="P145" s="4" t="e">
        <f>VLOOKUP(I145, FuelTypes!$A$1:$R$12,17,FALSE)*J145</f>
        <v>#N/A</v>
      </c>
      <c r="Q145" s="4" t="e">
        <f>VLOOKUP(I145, FuelTypes!$A$1:$R$12,18,FALSE)*J145</f>
        <v>#N/A</v>
      </c>
      <c r="R145" s="4">
        <f t="shared" si="39"/>
        <v>0</v>
      </c>
      <c r="S145" s="4">
        <f t="shared" si="40"/>
        <v>0</v>
      </c>
      <c r="T145" s="4" t="e">
        <f t="shared" si="41"/>
        <v>#DIV/0!</v>
      </c>
      <c r="U145" s="4" t="e">
        <f t="shared" si="47"/>
        <v>#DIV/0!</v>
      </c>
      <c r="W145" s="3">
        <f>IFERROR(VLOOKUP(I145,FuelTypes!$A$2:$G$40,5,FALSE)*M145,0)</f>
        <v>0</v>
      </c>
      <c r="Y145" s="3">
        <f t="shared" si="45"/>
        <v>0</v>
      </c>
      <c r="Z145" s="3" t="e">
        <f t="shared" si="42"/>
        <v>#DIV/0!</v>
      </c>
      <c r="AB145" s="3">
        <f t="shared" si="46"/>
        <v>0</v>
      </c>
      <c r="AC145" s="3">
        <f t="shared" si="43"/>
        <v>0</v>
      </c>
    </row>
    <row r="146" spans="1:29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4">
        <f t="shared" si="36"/>
        <v>0</v>
      </c>
      <c r="K146" s="4">
        <f t="shared" si="44"/>
        <v>0</v>
      </c>
      <c r="L146" s="4">
        <f t="shared" si="37"/>
        <v>0</v>
      </c>
      <c r="M146" s="4">
        <f>IFERROR(VLOOKUP(I146,FuelTypes!$A$1:$B$32,2,FALSE)*J146,0)</f>
        <v>0</v>
      </c>
      <c r="N146" s="4">
        <f t="shared" si="34"/>
        <v>0</v>
      </c>
      <c r="O146" s="4">
        <f t="shared" si="38"/>
        <v>0</v>
      </c>
      <c r="P146" s="4" t="e">
        <f>VLOOKUP(I146, FuelTypes!$A$1:$R$12,17,FALSE)*J146</f>
        <v>#N/A</v>
      </c>
      <c r="Q146" s="4" t="e">
        <f>VLOOKUP(I146, FuelTypes!$A$1:$R$12,18,FALSE)*J146</f>
        <v>#N/A</v>
      </c>
      <c r="R146" s="4">
        <f t="shared" si="39"/>
        <v>0</v>
      </c>
      <c r="S146" s="4">
        <f t="shared" si="40"/>
        <v>0</v>
      </c>
      <c r="T146" s="4" t="e">
        <f t="shared" si="41"/>
        <v>#DIV/0!</v>
      </c>
      <c r="U146" s="4" t="e">
        <f t="shared" si="47"/>
        <v>#DIV/0!</v>
      </c>
      <c r="W146" s="3">
        <f>IFERROR(VLOOKUP(I146,FuelTypes!$A$2:$G$40,5,FALSE)*M146,0)</f>
        <v>0</v>
      </c>
      <c r="Y146" s="3">
        <f t="shared" si="45"/>
        <v>0</v>
      </c>
      <c r="Z146" s="3" t="e">
        <f t="shared" si="42"/>
        <v>#DIV/0!</v>
      </c>
      <c r="AB146" s="3">
        <f t="shared" si="46"/>
        <v>0</v>
      </c>
      <c r="AC146" s="3">
        <f t="shared" si="43"/>
        <v>0</v>
      </c>
    </row>
    <row r="147" spans="1:29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4">
        <f t="shared" si="36"/>
        <v>0</v>
      </c>
      <c r="K147" s="4">
        <f t="shared" si="44"/>
        <v>0</v>
      </c>
      <c r="L147" s="4">
        <f t="shared" si="37"/>
        <v>0</v>
      </c>
      <c r="M147" s="4">
        <f>IFERROR(VLOOKUP(I147,FuelTypes!$A$1:$B$32,2,FALSE)*J147,0)</f>
        <v>0</v>
      </c>
      <c r="N147" s="4">
        <f t="shared" si="34"/>
        <v>0</v>
      </c>
      <c r="O147" s="4">
        <f t="shared" si="38"/>
        <v>0</v>
      </c>
      <c r="P147" s="4" t="e">
        <f>VLOOKUP(I147, FuelTypes!$A$1:$R$12,17,FALSE)*J147</f>
        <v>#N/A</v>
      </c>
      <c r="Q147" s="4" t="e">
        <f>VLOOKUP(I147, FuelTypes!$A$1:$R$12,18,FALSE)*J147</f>
        <v>#N/A</v>
      </c>
      <c r="R147" s="4">
        <f t="shared" si="39"/>
        <v>0</v>
      </c>
      <c r="S147" s="4">
        <f t="shared" si="40"/>
        <v>0</v>
      </c>
      <c r="T147" s="4" t="e">
        <f t="shared" si="41"/>
        <v>#DIV/0!</v>
      </c>
      <c r="U147" s="4" t="e">
        <f t="shared" si="47"/>
        <v>#DIV/0!</v>
      </c>
      <c r="W147" s="3">
        <f>IFERROR(VLOOKUP(I147,FuelTypes!$A$2:$G$40,5,FALSE)*M147,0)</f>
        <v>0</v>
      </c>
      <c r="Y147" s="3">
        <f t="shared" si="45"/>
        <v>0</v>
      </c>
      <c r="Z147" s="3" t="e">
        <f t="shared" si="42"/>
        <v>#DIV/0!</v>
      </c>
      <c r="AB147" s="3">
        <f t="shared" si="46"/>
        <v>0</v>
      </c>
      <c r="AC147" s="3">
        <f t="shared" si="43"/>
        <v>0</v>
      </c>
    </row>
    <row r="148" spans="1:29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4">
        <f t="shared" si="36"/>
        <v>0</v>
      </c>
      <c r="K148" s="4">
        <f t="shared" si="44"/>
        <v>0</v>
      </c>
      <c r="L148" s="4">
        <f t="shared" si="37"/>
        <v>0</v>
      </c>
      <c r="M148" s="4">
        <f>IFERROR(VLOOKUP(I148,FuelTypes!$A$1:$B$32,2,FALSE)*J148,0)</f>
        <v>0</v>
      </c>
      <c r="N148" s="4">
        <f t="shared" si="34"/>
        <v>0</v>
      </c>
      <c r="O148" s="4">
        <f t="shared" si="38"/>
        <v>0</v>
      </c>
      <c r="P148" s="4" t="e">
        <f>VLOOKUP(I148, FuelTypes!$A$1:$R$12,17,FALSE)*J148</f>
        <v>#N/A</v>
      </c>
      <c r="Q148" s="4" t="e">
        <f>VLOOKUP(I148, FuelTypes!$A$1:$R$12,18,FALSE)*J148</f>
        <v>#N/A</v>
      </c>
      <c r="R148" s="4">
        <f t="shared" si="39"/>
        <v>0</v>
      </c>
      <c r="S148" s="4">
        <f t="shared" si="40"/>
        <v>0</v>
      </c>
      <c r="T148" s="4" t="e">
        <f t="shared" si="41"/>
        <v>#DIV/0!</v>
      </c>
      <c r="U148" s="4" t="e">
        <f t="shared" si="47"/>
        <v>#DIV/0!</v>
      </c>
      <c r="W148" s="3">
        <f>IFERROR(VLOOKUP(I148,FuelTypes!$A$2:$G$40,5,FALSE)*M148,0)</f>
        <v>0</v>
      </c>
      <c r="Y148" s="3">
        <f t="shared" si="45"/>
        <v>0</v>
      </c>
      <c r="Z148" s="3" t="e">
        <f t="shared" si="42"/>
        <v>#DIV/0!</v>
      </c>
      <c r="AB148" s="3">
        <f t="shared" si="46"/>
        <v>0</v>
      </c>
      <c r="AC148" s="3">
        <f t="shared" si="43"/>
        <v>0</v>
      </c>
    </row>
    <row r="149" spans="1:29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4">
        <f t="shared" si="36"/>
        <v>0</v>
      </c>
      <c r="K149" s="4">
        <f t="shared" si="44"/>
        <v>0</v>
      </c>
      <c r="L149" s="4">
        <f t="shared" si="37"/>
        <v>0</v>
      </c>
      <c r="M149" s="4">
        <f>IFERROR(VLOOKUP(I149,FuelTypes!$A$1:$B$32,2,FALSE)*J149,0)</f>
        <v>0</v>
      </c>
      <c r="N149" s="4">
        <f t="shared" si="34"/>
        <v>0</v>
      </c>
      <c r="O149" s="4">
        <f t="shared" si="38"/>
        <v>0</v>
      </c>
      <c r="P149" s="4" t="e">
        <f>VLOOKUP(I149, FuelTypes!$A$1:$R$12,17,FALSE)*J149</f>
        <v>#N/A</v>
      </c>
      <c r="Q149" s="4" t="e">
        <f>VLOOKUP(I149, FuelTypes!$A$1:$R$12,18,FALSE)*J149</f>
        <v>#N/A</v>
      </c>
      <c r="R149" s="4">
        <f t="shared" si="39"/>
        <v>0</v>
      </c>
      <c r="S149" s="4">
        <f t="shared" si="40"/>
        <v>0</v>
      </c>
      <c r="T149" s="4" t="e">
        <f t="shared" si="41"/>
        <v>#DIV/0!</v>
      </c>
      <c r="U149" s="4" t="e">
        <f t="shared" si="47"/>
        <v>#DIV/0!</v>
      </c>
      <c r="W149" s="3">
        <f>IFERROR(VLOOKUP(I149,FuelTypes!$A$2:$G$40,5,FALSE)*M149,0)</f>
        <v>0</v>
      </c>
      <c r="Y149" s="3">
        <f t="shared" si="45"/>
        <v>0</v>
      </c>
      <c r="Z149" s="3" t="e">
        <f t="shared" si="42"/>
        <v>#DIV/0!</v>
      </c>
      <c r="AB149" s="3">
        <f t="shared" si="46"/>
        <v>0</v>
      </c>
      <c r="AC149" s="3">
        <f t="shared" si="43"/>
        <v>0</v>
      </c>
    </row>
    <row r="150" spans="1:29" x14ac:dyDescent="0.25">
      <c r="A150" s="6" t="s">
        <v>117</v>
      </c>
      <c r="B150" s="6">
        <v>5</v>
      </c>
      <c r="C150" s="6"/>
      <c r="D150" s="6"/>
      <c r="E150" s="6">
        <v>0.15</v>
      </c>
      <c r="F150" s="6"/>
      <c r="G150" s="6"/>
      <c r="H150" s="6"/>
      <c r="I150" s="6"/>
      <c r="J150" s="4">
        <f t="shared" si="36"/>
        <v>0</v>
      </c>
      <c r="K150" s="4">
        <f t="shared" si="44"/>
        <v>0</v>
      </c>
      <c r="L150" s="4">
        <f t="shared" si="37"/>
        <v>5</v>
      </c>
      <c r="M150" s="4">
        <f>IFERROR(VLOOKUP(I150,FuelTypes!$A$1:$B$32,2,FALSE)*J150,0)</f>
        <v>0</v>
      </c>
      <c r="N150" s="4">
        <f t="shared" si="34"/>
        <v>5</v>
      </c>
      <c r="O150" s="4">
        <f t="shared" si="38"/>
        <v>0</v>
      </c>
      <c r="P150" s="4" t="e">
        <f>VLOOKUP(I150, FuelTypes!$A$1:$R$12,17,FALSE)*J150</f>
        <v>#N/A</v>
      </c>
      <c r="Q150" s="4" t="e">
        <f>VLOOKUP(I150, FuelTypes!$A$1:$R$12,18,FALSE)*J150</f>
        <v>#N/A</v>
      </c>
      <c r="R150" s="4">
        <f t="shared" si="39"/>
        <v>0</v>
      </c>
      <c r="S150" s="4">
        <f t="shared" si="40"/>
        <v>0</v>
      </c>
      <c r="T150" s="4" t="e">
        <f t="shared" si="41"/>
        <v>#DIV/0!</v>
      </c>
      <c r="U150" s="4" t="e">
        <f t="shared" si="47"/>
        <v>#DIV/0!</v>
      </c>
      <c r="W150" s="3">
        <f>IFERROR(VLOOKUP(I150,FuelTypes!$A$2:$G$40,5,FALSE)*M150,0)</f>
        <v>0</v>
      </c>
      <c r="Y150" s="3">
        <f t="shared" si="45"/>
        <v>0</v>
      </c>
      <c r="Z150" s="3">
        <f t="shared" si="42"/>
        <v>0</v>
      </c>
      <c r="AB150" s="3">
        <f t="shared" si="46"/>
        <v>0</v>
      </c>
      <c r="AC150" s="3">
        <f t="shared" si="43"/>
        <v>0</v>
      </c>
    </row>
    <row r="151" spans="1:29" x14ac:dyDescent="0.25">
      <c r="A151" s="6" t="s">
        <v>114</v>
      </c>
      <c r="B151" s="6">
        <v>10</v>
      </c>
      <c r="C151" s="6"/>
      <c r="D151" s="6"/>
      <c r="E151" s="6">
        <v>0.15</v>
      </c>
      <c r="F151" s="6"/>
      <c r="G151" s="6"/>
      <c r="H151" s="6"/>
      <c r="I151" s="6"/>
      <c r="J151" s="4">
        <f t="shared" ref="J151:J214" si="49">C151 - (D151*C151)</f>
        <v>0</v>
      </c>
      <c r="K151" s="4">
        <f t="shared" si="44"/>
        <v>0</v>
      </c>
      <c r="L151" s="4">
        <f t="shared" ref="L151:L214" si="50">K151+B151</f>
        <v>10</v>
      </c>
      <c r="M151" s="4">
        <f>IFERROR(VLOOKUP(I151,FuelTypes!$A$1:$B$32,2,FALSE)*J151,0)</f>
        <v>0</v>
      </c>
      <c r="N151" s="4">
        <f t="shared" ref="N151:N214" si="51">L151+M151</f>
        <v>10</v>
      </c>
      <c r="O151" s="4">
        <f t="shared" ref="O151:O214" si="52">IF(M151&gt;0, M151/N151,0)</f>
        <v>0</v>
      </c>
      <c r="P151" s="4" t="e">
        <f>VLOOKUP(I151, FuelTypes!$A$1:$R$12,17,FALSE)*J151</f>
        <v>#N/A</v>
      </c>
      <c r="Q151" s="4" t="e">
        <f>VLOOKUP(I151, FuelTypes!$A$1:$R$12,18,FALSE)*J151</f>
        <v>#N/A</v>
      </c>
      <c r="R151" s="4">
        <f t="shared" si="39"/>
        <v>0</v>
      </c>
      <c r="S151" s="4">
        <f t="shared" si="40"/>
        <v>0</v>
      </c>
      <c r="T151" s="4" t="e">
        <f t="shared" si="41"/>
        <v>#DIV/0!</v>
      </c>
      <c r="U151" s="4" t="e">
        <f t="shared" si="47"/>
        <v>#DIV/0!</v>
      </c>
      <c r="W151" s="3">
        <f>IFERROR(VLOOKUP(I151,FuelTypes!$A$2:$G$40,5,FALSE)*M151,0)</f>
        <v>0</v>
      </c>
      <c r="Y151" s="3">
        <f t="shared" si="45"/>
        <v>0</v>
      </c>
      <c r="Z151" s="3">
        <f t="shared" si="42"/>
        <v>0</v>
      </c>
      <c r="AB151" s="3">
        <f t="shared" si="46"/>
        <v>0</v>
      </c>
      <c r="AC151" s="3">
        <f t="shared" si="43"/>
        <v>0</v>
      </c>
    </row>
    <row r="152" spans="1:29" x14ac:dyDescent="0.25">
      <c r="A152" s="6" t="s">
        <v>115</v>
      </c>
      <c r="B152" s="6">
        <v>20</v>
      </c>
      <c r="C152" s="6"/>
      <c r="D152" s="6"/>
      <c r="E152" s="6">
        <v>0.15</v>
      </c>
      <c r="F152" s="6"/>
      <c r="G152" s="6"/>
      <c r="H152" s="6"/>
      <c r="I152" s="6"/>
      <c r="J152" s="4">
        <f t="shared" si="49"/>
        <v>0</v>
      </c>
      <c r="K152" s="4">
        <f t="shared" si="44"/>
        <v>0</v>
      </c>
      <c r="L152" s="4">
        <f t="shared" si="50"/>
        <v>20</v>
      </c>
      <c r="M152" s="4">
        <f>IFERROR(VLOOKUP(I152,FuelTypes!$A$1:$B$32,2,FALSE)*J152,0)</f>
        <v>0</v>
      </c>
      <c r="N152" s="4">
        <f t="shared" si="51"/>
        <v>20</v>
      </c>
      <c r="O152" s="4">
        <f t="shared" si="52"/>
        <v>0</v>
      </c>
      <c r="P152" s="4" t="e">
        <f>VLOOKUP(I152, FuelTypes!$A$1:$R$12,17,FALSE)*J152</f>
        <v>#N/A</v>
      </c>
      <c r="Q152" s="4" t="e">
        <f>VLOOKUP(I152, FuelTypes!$A$1:$R$12,18,FALSE)*J152</f>
        <v>#N/A</v>
      </c>
      <c r="R152" s="4">
        <f t="shared" si="39"/>
        <v>0</v>
      </c>
      <c r="S152" s="4">
        <f t="shared" si="40"/>
        <v>0</v>
      </c>
      <c r="T152" s="4" t="e">
        <f t="shared" si="41"/>
        <v>#DIV/0!</v>
      </c>
      <c r="U152" s="4" t="e">
        <f t="shared" si="47"/>
        <v>#DIV/0!</v>
      </c>
      <c r="W152" s="3">
        <f>IFERROR(VLOOKUP(I152,FuelTypes!$A$2:$G$40,5,FALSE)*M152,0)</f>
        <v>0</v>
      </c>
      <c r="Y152" s="3">
        <f t="shared" si="45"/>
        <v>0</v>
      </c>
      <c r="Z152" s="3">
        <f t="shared" si="42"/>
        <v>0</v>
      </c>
      <c r="AB152" s="3">
        <f t="shared" si="46"/>
        <v>0</v>
      </c>
      <c r="AC152" s="3">
        <f t="shared" si="43"/>
        <v>0</v>
      </c>
    </row>
    <row r="153" spans="1:29" x14ac:dyDescent="0.25">
      <c r="A153" s="6" t="s">
        <v>116</v>
      </c>
      <c r="B153" s="6">
        <v>40</v>
      </c>
      <c r="C153" s="6"/>
      <c r="D153" s="6"/>
      <c r="E153" s="6">
        <v>0.15</v>
      </c>
      <c r="F153" s="6"/>
      <c r="G153" s="6"/>
      <c r="H153" s="6"/>
      <c r="I153" s="6"/>
      <c r="J153" s="4">
        <f t="shared" si="49"/>
        <v>0</v>
      </c>
      <c r="K153" s="4">
        <f t="shared" si="44"/>
        <v>0</v>
      </c>
      <c r="L153" s="4">
        <f t="shared" si="50"/>
        <v>40</v>
      </c>
      <c r="M153" s="4">
        <f>IFERROR(VLOOKUP(I153,FuelTypes!$A$1:$B$32,2,FALSE)*J153,0)</f>
        <v>0</v>
      </c>
      <c r="N153" s="4">
        <f t="shared" si="51"/>
        <v>40</v>
      </c>
      <c r="O153" s="4">
        <f t="shared" si="52"/>
        <v>0</v>
      </c>
      <c r="P153" s="4" t="e">
        <f>VLOOKUP(I153, FuelTypes!$A$1:$R$12,17,FALSE)*J153</f>
        <v>#N/A</v>
      </c>
      <c r="Q153" s="4" t="e">
        <f>VLOOKUP(I153, FuelTypes!$A$1:$R$12,18,FALSE)*J153</f>
        <v>#N/A</v>
      </c>
      <c r="R153" s="4">
        <f t="shared" si="39"/>
        <v>0</v>
      </c>
      <c r="S153" s="4">
        <f t="shared" si="40"/>
        <v>0</v>
      </c>
      <c r="T153" s="4" t="e">
        <f t="shared" si="41"/>
        <v>#DIV/0!</v>
      </c>
      <c r="U153" s="4" t="e">
        <f t="shared" si="47"/>
        <v>#DIV/0!</v>
      </c>
      <c r="W153" s="3">
        <f>IFERROR(VLOOKUP(I153,FuelTypes!$A$2:$G$40,5,FALSE)*M153,0)</f>
        <v>0</v>
      </c>
      <c r="Y153" s="3">
        <f t="shared" si="45"/>
        <v>0</v>
      </c>
      <c r="Z153" s="3">
        <f t="shared" si="42"/>
        <v>0</v>
      </c>
      <c r="AB153" s="3">
        <f t="shared" si="46"/>
        <v>0</v>
      </c>
      <c r="AC153" s="3">
        <f t="shared" si="43"/>
        <v>0</v>
      </c>
    </row>
    <row r="154" spans="1:29" x14ac:dyDescent="0.25">
      <c r="A154" s="6" t="s">
        <v>81</v>
      </c>
      <c r="B154" s="6">
        <v>70</v>
      </c>
      <c r="C154" s="6"/>
      <c r="D154" s="6"/>
      <c r="E154" s="6">
        <v>0.15</v>
      </c>
      <c r="F154" s="6"/>
      <c r="G154" s="6"/>
      <c r="H154" s="6"/>
      <c r="I154" s="6"/>
      <c r="J154" s="4">
        <f t="shared" si="49"/>
        <v>0</v>
      </c>
      <c r="K154" s="4">
        <f t="shared" si="44"/>
        <v>0</v>
      </c>
      <c r="L154" s="4">
        <f t="shared" si="50"/>
        <v>70</v>
      </c>
      <c r="M154" s="4">
        <f>IFERROR(VLOOKUP(I154,FuelTypes!$A$1:$B$32,2,FALSE)*J154,0)</f>
        <v>0</v>
      </c>
      <c r="N154" s="4">
        <f t="shared" si="51"/>
        <v>70</v>
      </c>
      <c r="O154" s="4">
        <f t="shared" si="52"/>
        <v>0</v>
      </c>
      <c r="P154" s="4" t="e">
        <f>VLOOKUP(I154, FuelTypes!$A$1:$R$12,17,FALSE)*J154</f>
        <v>#N/A</v>
      </c>
      <c r="Q154" s="4" t="e">
        <f>VLOOKUP(I154, FuelTypes!$A$1:$R$12,18,FALSE)*J154</f>
        <v>#N/A</v>
      </c>
      <c r="R154" s="4">
        <f t="shared" si="39"/>
        <v>0</v>
      </c>
      <c r="S154" s="4">
        <f t="shared" si="40"/>
        <v>0</v>
      </c>
      <c r="T154" s="4" t="e">
        <f t="shared" si="41"/>
        <v>#DIV/0!</v>
      </c>
      <c r="U154" s="4" t="e">
        <f t="shared" si="47"/>
        <v>#DIV/0!</v>
      </c>
      <c r="W154" s="3">
        <f>IFERROR(VLOOKUP(I154,FuelTypes!$A$2:$G$40,5,FALSE)*M154,0)</f>
        <v>0</v>
      </c>
      <c r="Y154" s="3">
        <f t="shared" si="45"/>
        <v>0</v>
      </c>
      <c r="Z154" s="3">
        <f t="shared" si="42"/>
        <v>0</v>
      </c>
      <c r="AB154" s="3">
        <f t="shared" si="46"/>
        <v>0</v>
      </c>
      <c r="AC154" s="3">
        <f t="shared" si="43"/>
        <v>0</v>
      </c>
    </row>
    <row r="155" spans="1:29" x14ac:dyDescent="0.25">
      <c r="A155" s="6" t="s">
        <v>82</v>
      </c>
      <c r="B155" s="6">
        <v>80</v>
      </c>
      <c r="C155" s="6"/>
      <c r="D155" s="6"/>
      <c r="E155" s="6">
        <v>0.15</v>
      </c>
      <c r="F155" s="6"/>
      <c r="G155" s="6"/>
      <c r="H155" s="6"/>
      <c r="I155" s="6"/>
      <c r="J155" s="4">
        <f t="shared" si="49"/>
        <v>0</v>
      </c>
      <c r="K155" s="4">
        <f t="shared" si="44"/>
        <v>0</v>
      </c>
      <c r="L155" s="4">
        <f t="shared" si="50"/>
        <v>80</v>
      </c>
      <c r="M155" s="4">
        <f>IFERROR(VLOOKUP(I155,FuelTypes!$A$1:$B$32,2,FALSE)*J155,0)</f>
        <v>0</v>
      </c>
      <c r="N155" s="4">
        <f t="shared" si="51"/>
        <v>80</v>
      </c>
      <c r="O155" s="4">
        <f t="shared" si="52"/>
        <v>0</v>
      </c>
      <c r="P155" s="4" t="e">
        <f>VLOOKUP(I155, FuelTypes!$A$1:$R$12,17,FALSE)*J155</f>
        <v>#N/A</v>
      </c>
      <c r="Q155" s="4" t="e">
        <f>VLOOKUP(I155, FuelTypes!$A$1:$R$12,18,FALSE)*J155</f>
        <v>#N/A</v>
      </c>
      <c r="R155" s="4">
        <f t="shared" si="39"/>
        <v>0</v>
      </c>
      <c r="S155" s="4">
        <f t="shared" si="40"/>
        <v>0</v>
      </c>
      <c r="T155" s="4" t="e">
        <f t="shared" si="41"/>
        <v>#DIV/0!</v>
      </c>
      <c r="U155" s="4" t="e">
        <f t="shared" si="47"/>
        <v>#DIV/0!</v>
      </c>
      <c r="W155" s="3">
        <f>IFERROR(VLOOKUP(I155,FuelTypes!$A$2:$G$40,5,FALSE)*M155,0)</f>
        <v>0</v>
      </c>
      <c r="Y155" s="3">
        <f t="shared" si="45"/>
        <v>0</v>
      </c>
      <c r="Z155" s="3">
        <f t="shared" si="42"/>
        <v>0</v>
      </c>
      <c r="AB155" s="3">
        <f t="shared" si="46"/>
        <v>0</v>
      </c>
      <c r="AC155" s="3">
        <f t="shared" si="43"/>
        <v>0</v>
      </c>
    </row>
    <row r="156" spans="1:29" x14ac:dyDescent="0.25">
      <c r="A156" s="6" t="s">
        <v>83</v>
      </c>
      <c r="B156" s="6">
        <v>90</v>
      </c>
      <c r="C156" s="6"/>
      <c r="D156" s="6"/>
      <c r="E156" s="6">
        <v>0.15</v>
      </c>
      <c r="F156" s="6"/>
      <c r="G156" s="6"/>
      <c r="H156" s="6"/>
      <c r="I156" s="6"/>
      <c r="J156" s="4">
        <f t="shared" si="49"/>
        <v>0</v>
      </c>
      <c r="K156" s="4">
        <f t="shared" si="44"/>
        <v>0</v>
      </c>
      <c r="L156" s="4">
        <f t="shared" si="50"/>
        <v>90</v>
      </c>
      <c r="M156" s="4">
        <f>IFERROR(VLOOKUP(I156,FuelTypes!$A$1:$B$32,2,FALSE)*J156,0)</f>
        <v>0</v>
      </c>
      <c r="N156" s="4">
        <f t="shared" si="51"/>
        <v>90</v>
      </c>
      <c r="O156" s="4">
        <f t="shared" si="52"/>
        <v>0</v>
      </c>
      <c r="P156" s="4" t="e">
        <f>VLOOKUP(I156, FuelTypes!$A$1:$R$12,17,FALSE)*J156</f>
        <v>#N/A</v>
      </c>
      <c r="Q156" s="4" t="e">
        <f>VLOOKUP(I156, FuelTypes!$A$1:$R$12,18,FALSE)*J156</f>
        <v>#N/A</v>
      </c>
      <c r="R156" s="4">
        <f t="shared" si="39"/>
        <v>0</v>
      </c>
      <c r="S156" s="4">
        <f t="shared" si="40"/>
        <v>0</v>
      </c>
      <c r="T156" s="4" t="e">
        <f t="shared" si="41"/>
        <v>#DIV/0!</v>
      </c>
      <c r="U156" s="4" t="e">
        <f t="shared" si="47"/>
        <v>#DIV/0!</v>
      </c>
      <c r="W156" s="3">
        <f>IFERROR(VLOOKUP(I156,FuelTypes!$A$2:$G$40,5,FALSE)*M156,0)</f>
        <v>0</v>
      </c>
      <c r="Y156" s="3">
        <f t="shared" si="45"/>
        <v>0</v>
      </c>
      <c r="Z156" s="3">
        <f t="shared" si="42"/>
        <v>0</v>
      </c>
      <c r="AB156" s="3">
        <f t="shared" si="46"/>
        <v>0</v>
      </c>
      <c r="AC156" s="3">
        <f t="shared" si="43"/>
        <v>0</v>
      </c>
    </row>
    <row r="157" spans="1:29" x14ac:dyDescent="0.25">
      <c r="A157" s="6" t="s">
        <v>84</v>
      </c>
      <c r="B157" s="6">
        <v>100</v>
      </c>
      <c r="C157" s="6"/>
      <c r="D157" s="6"/>
      <c r="E157" s="6">
        <v>0.15</v>
      </c>
      <c r="F157" s="6"/>
      <c r="G157" s="6"/>
      <c r="H157" s="6"/>
      <c r="I157" s="6"/>
      <c r="J157" s="4">
        <f t="shared" si="49"/>
        <v>0</v>
      </c>
      <c r="K157" s="4">
        <f t="shared" si="44"/>
        <v>0</v>
      </c>
      <c r="L157" s="4">
        <f t="shared" si="50"/>
        <v>100</v>
      </c>
      <c r="M157" s="4">
        <f>IFERROR(VLOOKUP(I157,FuelTypes!$A$1:$B$32,2,FALSE)*J157,0)</f>
        <v>0</v>
      </c>
      <c r="N157" s="4">
        <f t="shared" si="51"/>
        <v>100</v>
      </c>
      <c r="O157" s="4">
        <f t="shared" si="52"/>
        <v>0</v>
      </c>
      <c r="P157" s="4" t="e">
        <f>VLOOKUP(I157, FuelTypes!$A$1:$R$12,17,FALSE)*J157</f>
        <v>#N/A</v>
      </c>
      <c r="Q157" s="4" t="e">
        <f>VLOOKUP(I157, FuelTypes!$A$1:$R$12,18,FALSE)*J157</f>
        <v>#N/A</v>
      </c>
      <c r="R157" s="4">
        <f t="shared" si="39"/>
        <v>0</v>
      </c>
      <c r="S157" s="4">
        <f t="shared" si="40"/>
        <v>0</v>
      </c>
      <c r="T157" s="4" t="e">
        <f t="shared" si="41"/>
        <v>#DIV/0!</v>
      </c>
      <c r="U157" s="4" t="e">
        <f t="shared" si="47"/>
        <v>#DIV/0!</v>
      </c>
      <c r="W157" s="3">
        <f>IFERROR(VLOOKUP(I157,FuelTypes!$A$2:$G$40,5,FALSE)*M157,0)</f>
        <v>0</v>
      </c>
      <c r="Y157" s="3">
        <f t="shared" si="45"/>
        <v>0</v>
      </c>
      <c r="Z157" s="3">
        <f t="shared" si="42"/>
        <v>0</v>
      </c>
      <c r="AB157" s="3">
        <f t="shared" si="46"/>
        <v>0</v>
      </c>
      <c r="AC157" s="3">
        <f t="shared" si="43"/>
        <v>0</v>
      </c>
    </row>
    <row r="158" spans="1:29" x14ac:dyDescent="0.25">
      <c r="A158" s="6" t="s">
        <v>85</v>
      </c>
      <c r="B158" s="6">
        <v>110</v>
      </c>
      <c r="C158" s="6"/>
      <c r="D158" s="6"/>
      <c r="E158" s="6">
        <v>0.15</v>
      </c>
      <c r="F158" s="6"/>
      <c r="G158" s="6"/>
      <c r="H158" s="6"/>
      <c r="I158" s="6"/>
      <c r="J158" s="4">
        <f t="shared" si="49"/>
        <v>0</v>
      </c>
      <c r="K158" s="4">
        <f t="shared" si="44"/>
        <v>0</v>
      </c>
      <c r="L158" s="4">
        <f t="shared" si="50"/>
        <v>110</v>
      </c>
      <c r="M158" s="4">
        <f>IFERROR(VLOOKUP(I158,FuelTypes!$A$1:$B$32,2,FALSE)*J158,0)</f>
        <v>0</v>
      </c>
      <c r="N158" s="4">
        <f t="shared" si="51"/>
        <v>110</v>
      </c>
      <c r="O158" s="4">
        <f t="shared" si="52"/>
        <v>0</v>
      </c>
      <c r="P158" s="4" t="e">
        <f>VLOOKUP(I158, FuelTypes!$A$1:$R$12,17,FALSE)*J158</f>
        <v>#N/A</v>
      </c>
      <c r="Q158" s="4" t="e">
        <f>VLOOKUP(I158, FuelTypes!$A$1:$R$12,18,FALSE)*J158</f>
        <v>#N/A</v>
      </c>
      <c r="R158" s="4">
        <f t="shared" si="39"/>
        <v>0</v>
      </c>
      <c r="S158" s="4">
        <f t="shared" si="40"/>
        <v>0</v>
      </c>
      <c r="T158" s="4" t="e">
        <f t="shared" si="41"/>
        <v>#DIV/0!</v>
      </c>
      <c r="U158" s="4" t="e">
        <f t="shared" si="47"/>
        <v>#DIV/0!</v>
      </c>
      <c r="W158" s="3">
        <f>IFERROR(VLOOKUP(I158,FuelTypes!$A$2:$G$40,5,FALSE)*M158,0)</f>
        <v>0</v>
      </c>
      <c r="Y158" s="3">
        <f t="shared" si="45"/>
        <v>0</v>
      </c>
      <c r="Z158" s="3">
        <f t="shared" si="42"/>
        <v>0</v>
      </c>
      <c r="AB158" s="3">
        <f t="shared" si="46"/>
        <v>0</v>
      </c>
      <c r="AC158" s="3">
        <f t="shared" si="43"/>
        <v>0</v>
      </c>
    </row>
    <row r="159" spans="1:29" x14ac:dyDescent="0.25">
      <c r="A159" s="6" t="s">
        <v>86</v>
      </c>
      <c r="B159" s="6">
        <v>120</v>
      </c>
      <c r="C159" s="6"/>
      <c r="D159" s="6"/>
      <c r="E159" s="6">
        <v>0.15</v>
      </c>
      <c r="F159" s="6"/>
      <c r="G159" s="6"/>
      <c r="H159" s="6"/>
      <c r="I159" s="6"/>
      <c r="J159" s="4">
        <f t="shared" si="49"/>
        <v>0</v>
      </c>
      <c r="K159" s="4">
        <f t="shared" si="44"/>
        <v>0</v>
      </c>
      <c r="L159" s="4">
        <f t="shared" si="50"/>
        <v>120</v>
      </c>
      <c r="M159" s="4">
        <f>IFERROR(VLOOKUP(I159,FuelTypes!$A$1:$B$32,2,FALSE)*J159,0)</f>
        <v>0</v>
      </c>
      <c r="N159" s="4">
        <f t="shared" si="51"/>
        <v>120</v>
      </c>
      <c r="O159" s="4">
        <f t="shared" si="52"/>
        <v>0</v>
      </c>
      <c r="P159" s="4" t="e">
        <f>VLOOKUP(I159, FuelTypes!$A$1:$R$12,17,FALSE)*J159</f>
        <v>#N/A</v>
      </c>
      <c r="Q159" s="4" t="e">
        <f>VLOOKUP(I159, FuelTypes!$A$1:$R$12,18,FALSE)*J159</f>
        <v>#N/A</v>
      </c>
      <c r="R159" s="4">
        <f t="shared" si="39"/>
        <v>0</v>
      </c>
      <c r="S159" s="4">
        <f t="shared" si="40"/>
        <v>0</v>
      </c>
      <c r="T159" s="4" t="e">
        <f t="shared" si="41"/>
        <v>#DIV/0!</v>
      </c>
      <c r="U159" s="4" t="e">
        <f t="shared" si="47"/>
        <v>#DIV/0!</v>
      </c>
      <c r="W159" s="3">
        <f>IFERROR(VLOOKUP(I159,FuelTypes!$A$2:$G$40,5,FALSE)*M159,0)</f>
        <v>0</v>
      </c>
      <c r="Y159" s="3">
        <f t="shared" si="45"/>
        <v>0</v>
      </c>
      <c r="Z159" s="3">
        <f t="shared" si="42"/>
        <v>0</v>
      </c>
      <c r="AB159" s="3">
        <f t="shared" si="46"/>
        <v>0</v>
      </c>
      <c r="AC159" s="3">
        <f t="shared" si="43"/>
        <v>0</v>
      </c>
    </row>
    <row r="160" spans="1:29" x14ac:dyDescent="0.25">
      <c r="A160" s="6" t="s">
        <v>87</v>
      </c>
      <c r="B160" s="6">
        <v>130</v>
      </c>
      <c r="C160" s="6"/>
      <c r="D160" s="6"/>
      <c r="E160" s="6">
        <v>0.15</v>
      </c>
      <c r="F160" s="6"/>
      <c r="G160" s="6"/>
      <c r="H160" s="6"/>
      <c r="I160" s="6"/>
      <c r="J160" s="4">
        <f t="shared" si="49"/>
        <v>0</v>
      </c>
      <c r="K160" s="4">
        <f t="shared" si="44"/>
        <v>0</v>
      </c>
      <c r="L160" s="4">
        <f t="shared" si="50"/>
        <v>130</v>
      </c>
      <c r="M160" s="4">
        <f>IFERROR(VLOOKUP(I160,FuelTypes!$A$1:$B$32,2,FALSE)*J160,0)</f>
        <v>0</v>
      </c>
      <c r="N160" s="4">
        <f t="shared" si="51"/>
        <v>130</v>
      </c>
      <c r="O160" s="4">
        <f t="shared" si="52"/>
        <v>0</v>
      </c>
      <c r="P160" s="4" t="e">
        <f>VLOOKUP(I160, FuelTypes!$A$1:$R$12,17,FALSE)*J160</f>
        <v>#N/A</v>
      </c>
      <c r="Q160" s="4" t="e">
        <f>VLOOKUP(I160, FuelTypes!$A$1:$R$12,18,FALSE)*J160</f>
        <v>#N/A</v>
      </c>
      <c r="R160" s="4">
        <f t="shared" si="39"/>
        <v>0</v>
      </c>
      <c r="S160" s="4">
        <f t="shared" si="40"/>
        <v>0</v>
      </c>
      <c r="T160" s="4" t="e">
        <f t="shared" si="41"/>
        <v>#DIV/0!</v>
      </c>
      <c r="U160" s="4" t="e">
        <f t="shared" si="47"/>
        <v>#DIV/0!</v>
      </c>
      <c r="W160" s="3">
        <f>IFERROR(VLOOKUP(I160,FuelTypes!$A$2:$G$40,5,FALSE)*M160,0)</f>
        <v>0</v>
      </c>
      <c r="Y160" s="3">
        <f t="shared" si="45"/>
        <v>0</v>
      </c>
      <c r="Z160" s="3">
        <f t="shared" si="42"/>
        <v>0</v>
      </c>
      <c r="AB160" s="3">
        <f t="shared" si="46"/>
        <v>0</v>
      </c>
      <c r="AC160" s="3">
        <f t="shared" si="43"/>
        <v>0</v>
      </c>
    </row>
    <row r="161" spans="1:29" x14ac:dyDescent="0.25">
      <c r="A161" s="6" t="s">
        <v>88</v>
      </c>
      <c r="B161" s="6">
        <v>140</v>
      </c>
      <c r="C161" s="6"/>
      <c r="D161" s="6"/>
      <c r="E161" s="6">
        <v>0.15</v>
      </c>
      <c r="F161" s="6"/>
      <c r="G161" s="6"/>
      <c r="H161" s="6"/>
      <c r="I161" s="6"/>
      <c r="J161" s="4">
        <f t="shared" si="49"/>
        <v>0</v>
      </c>
      <c r="K161" s="4">
        <f t="shared" si="44"/>
        <v>0</v>
      </c>
      <c r="L161" s="4">
        <f t="shared" si="50"/>
        <v>140</v>
      </c>
      <c r="M161" s="4">
        <f>IFERROR(VLOOKUP(I161,FuelTypes!$A$1:$B$32,2,FALSE)*J161,0)</f>
        <v>0</v>
      </c>
      <c r="N161" s="4">
        <f t="shared" si="51"/>
        <v>140</v>
      </c>
      <c r="O161" s="4">
        <f t="shared" si="52"/>
        <v>0</v>
      </c>
      <c r="P161" s="4" t="e">
        <f>VLOOKUP(I161, FuelTypes!$A$1:$R$12,17,FALSE)*J161</f>
        <v>#N/A</v>
      </c>
      <c r="Q161" s="4" t="e">
        <f>VLOOKUP(I161, FuelTypes!$A$1:$R$12,18,FALSE)*J161</f>
        <v>#N/A</v>
      </c>
      <c r="R161" s="4">
        <f t="shared" si="39"/>
        <v>0</v>
      </c>
      <c r="S161" s="4">
        <f t="shared" si="40"/>
        <v>0</v>
      </c>
      <c r="T161" s="4" t="e">
        <f t="shared" si="41"/>
        <v>#DIV/0!</v>
      </c>
      <c r="U161" s="4" t="e">
        <f t="shared" si="47"/>
        <v>#DIV/0!</v>
      </c>
      <c r="W161" s="3">
        <f>IFERROR(VLOOKUP(I161,FuelTypes!$A$2:$G$40,5,FALSE)*M161,0)</f>
        <v>0</v>
      </c>
      <c r="Y161" s="3">
        <f t="shared" si="45"/>
        <v>0</v>
      </c>
      <c r="Z161" s="3">
        <f t="shared" si="42"/>
        <v>0</v>
      </c>
      <c r="AB161" s="3">
        <f t="shared" si="46"/>
        <v>0</v>
      </c>
      <c r="AC161" s="3">
        <f t="shared" si="43"/>
        <v>0</v>
      </c>
    </row>
    <row r="162" spans="1:29" x14ac:dyDescent="0.25">
      <c r="A162" s="6" t="s">
        <v>89</v>
      </c>
      <c r="B162" s="6">
        <v>150</v>
      </c>
      <c r="C162" s="6"/>
      <c r="D162" s="6"/>
      <c r="E162" s="6">
        <v>0.15</v>
      </c>
      <c r="F162" s="6"/>
      <c r="G162" s="6"/>
      <c r="H162" s="6"/>
      <c r="I162" s="6"/>
      <c r="J162" s="4">
        <f t="shared" si="49"/>
        <v>0</v>
      </c>
      <c r="K162" s="4">
        <f t="shared" si="44"/>
        <v>0</v>
      </c>
      <c r="L162" s="4">
        <f t="shared" si="50"/>
        <v>150</v>
      </c>
      <c r="M162" s="4">
        <f>IFERROR(VLOOKUP(I162,FuelTypes!$A$1:$B$32,2,FALSE)*J162,0)</f>
        <v>0</v>
      </c>
      <c r="N162" s="4">
        <f t="shared" si="51"/>
        <v>150</v>
      </c>
      <c r="O162" s="4">
        <f t="shared" si="52"/>
        <v>0</v>
      </c>
      <c r="P162" s="4" t="e">
        <f>VLOOKUP(I162, FuelTypes!$A$1:$R$12,17,FALSE)*J162</f>
        <v>#N/A</v>
      </c>
      <c r="Q162" s="4" t="e">
        <f>VLOOKUP(I162, FuelTypes!$A$1:$R$12,18,FALSE)*J162</f>
        <v>#N/A</v>
      </c>
      <c r="R162" s="4">
        <f t="shared" si="39"/>
        <v>0</v>
      </c>
      <c r="S162" s="4">
        <f t="shared" si="40"/>
        <v>0</v>
      </c>
      <c r="T162" s="4" t="e">
        <f t="shared" si="41"/>
        <v>#DIV/0!</v>
      </c>
      <c r="U162" s="4" t="e">
        <f t="shared" si="47"/>
        <v>#DIV/0!</v>
      </c>
      <c r="W162" s="3">
        <f>IFERROR(VLOOKUP(I162,FuelTypes!$A$2:$G$40,5,FALSE)*M162,0)</f>
        <v>0</v>
      </c>
      <c r="Y162" s="3">
        <f t="shared" si="45"/>
        <v>0</v>
      </c>
      <c r="Z162" s="3">
        <f t="shared" si="42"/>
        <v>0</v>
      </c>
      <c r="AB162" s="3">
        <f t="shared" si="46"/>
        <v>0</v>
      </c>
      <c r="AC162" s="3">
        <f t="shared" si="43"/>
        <v>0</v>
      </c>
    </row>
    <row r="163" spans="1:29" x14ac:dyDescent="0.25">
      <c r="A163" s="6" t="s">
        <v>90</v>
      </c>
      <c r="B163" s="6">
        <v>160</v>
      </c>
      <c r="C163" s="6"/>
      <c r="D163" s="6"/>
      <c r="E163" s="6">
        <v>0.15</v>
      </c>
      <c r="F163" s="6"/>
      <c r="G163" s="6"/>
      <c r="H163" s="6"/>
      <c r="I163" s="6"/>
      <c r="J163" s="4">
        <f t="shared" si="49"/>
        <v>0</v>
      </c>
      <c r="K163" s="4">
        <f t="shared" si="44"/>
        <v>0</v>
      </c>
      <c r="L163" s="4">
        <f t="shared" si="50"/>
        <v>160</v>
      </c>
      <c r="M163" s="4">
        <f>IFERROR(VLOOKUP(I163,FuelTypes!$A$1:$B$32,2,FALSE)*J163,0)</f>
        <v>0</v>
      </c>
      <c r="N163" s="4">
        <f t="shared" si="51"/>
        <v>160</v>
      </c>
      <c r="O163" s="4">
        <f t="shared" si="52"/>
        <v>0</v>
      </c>
      <c r="P163" s="4" t="e">
        <f>VLOOKUP(I163, FuelTypes!$A$1:$R$12,17,FALSE)*J163</f>
        <v>#N/A</v>
      </c>
      <c r="Q163" s="4" t="e">
        <f>VLOOKUP(I163, FuelTypes!$A$1:$R$12,18,FALSE)*J163</f>
        <v>#N/A</v>
      </c>
      <c r="R163" s="4">
        <f t="shared" si="39"/>
        <v>0</v>
      </c>
      <c r="S163" s="4">
        <f t="shared" si="40"/>
        <v>0</v>
      </c>
      <c r="T163" s="4" t="e">
        <f t="shared" si="41"/>
        <v>#DIV/0!</v>
      </c>
      <c r="U163" s="4" t="e">
        <f t="shared" si="47"/>
        <v>#DIV/0!</v>
      </c>
      <c r="W163" s="3">
        <f>IFERROR(VLOOKUP(I163,FuelTypes!$A$2:$G$40,5,FALSE)*M163,0)</f>
        <v>0</v>
      </c>
      <c r="Y163" s="3">
        <f t="shared" si="45"/>
        <v>0</v>
      </c>
      <c r="Z163" s="3">
        <f t="shared" si="42"/>
        <v>0</v>
      </c>
      <c r="AB163" s="3">
        <f t="shared" si="46"/>
        <v>0</v>
      </c>
      <c r="AC163" s="3">
        <f t="shared" si="43"/>
        <v>0</v>
      </c>
    </row>
    <row r="164" spans="1:29" x14ac:dyDescent="0.25">
      <c r="A164" s="6" t="s">
        <v>123</v>
      </c>
      <c r="B164" s="6">
        <v>170</v>
      </c>
      <c r="C164" s="6"/>
      <c r="D164" s="6"/>
      <c r="E164" s="6">
        <v>0.15</v>
      </c>
      <c r="F164" s="6"/>
      <c r="G164" s="6"/>
      <c r="H164" s="6"/>
      <c r="I164" s="6"/>
      <c r="J164" s="4">
        <f t="shared" si="49"/>
        <v>0</v>
      </c>
      <c r="K164" s="4">
        <f t="shared" si="44"/>
        <v>0</v>
      </c>
      <c r="L164" s="4">
        <f t="shared" si="50"/>
        <v>170</v>
      </c>
      <c r="M164" s="4">
        <f>IFERROR(VLOOKUP(I164,FuelTypes!$A$1:$B$32,2,FALSE)*J164,0)</f>
        <v>0</v>
      </c>
      <c r="N164" s="4">
        <f t="shared" si="51"/>
        <v>170</v>
      </c>
      <c r="O164" s="4">
        <f t="shared" si="52"/>
        <v>0</v>
      </c>
      <c r="P164" s="4" t="e">
        <f>VLOOKUP(I164, FuelTypes!$A$1:$R$12,17,FALSE)*J164</f>
        <v>#N/A</v>
      </c>
      <c r="Q164" s="4" t="e">
        <f>VLOOKUP(I164, FuelTypes!$A$1:$R$12,18,FALSE)*J164</f>
        <v>#N/A</v>
      </c>
      <c r="R164" s="4">
        <f t="shared" si="39"/>
        <v>0</v>
      </c>
      <c r="S164" s="4">
        <f t="shared" si="40"/>
        <v>0</v>
      </c>
      <c r="T164" s="4" t="e">
        <f t="shared" si="41"/>
        <v>#DIV/0!</v>
      </c>
      <c r="U164" s="4" t="e">
        <f t="shared" si="47"/>
        <v>#DIV/0!</v>
      </c>
      <c r="W164" s="3">
        <f>IFERROR(VLOOKUP(I164,FuelTypes!$A$2:$G$40,5,FALSE)*M164,0)</f>
        <v>0</v>
      </c>
      <c r="Y164" s="3">
        <f t="shared" si="45"/>
        <v>0</v>
      </c>
      <c r="Z164" s="3">
        <f t="shared" si="42"/>
        <v>0</v>
      </c>
      <c r="AB164" s="3">
        <f t="shared" si="46"/>
        <v>0</v>
      </c>
      <c r="AC164" s="3">
        <f t="shared" si="43"/>
        <v>0</v>
      </c>
    </row>
    <row r="165" spans="1:29" x14ac:dyDescent="0.25">
      <c r="A165" s="6" t="s">
        <v>91</v>
      </c>
      <c r="B165" s="6">
        <v>180</v>
      </c>
      <c r="C165" s="6"/>
      <c r="D165" s="6"/>
      <c r="E165" s="6">
        <v>0.15</v>
      </c>
      <c r="F165" s="6"/>
      <c r="G165" s="6"/>
      <c r="H165" s="6"/>
      <c r="I165" s="6"/>
      <c r="J165" s="4">
        <f t="shared" si="49"/>
        <v>0</v>
      </c>
      <c r="K165" s="4">
        <f t="shared" si="44"/>
        <v>0</v>
      </c>
      <c r="L165" s="4">
        <f t="shared" si="50"/>
        <v>180</v>
      </c>
      <c r="M165" s="4">
        <f>IFERROR(VLOOKUP(I165,FuelTypes!$A$1:$B$32,2,FALSE)*J165,0)</f>
        <v>0</v>
      </c>
      <c r="N165" s="4">
        <f t="shared" si="51"/>
        <v>180</v>
      </c>
      <c r="O165" s="4">
        <f t="shared" si="52"/>
        <v>0</v>
      </c>
      <c r="P165" s="4" t="e">
        <f>VLOOKUP(I165, FuelTypes!$A$1:$R$12,17,FALSE)*J165</f>
        <v>#N/A</v>
      </c>
      <c r="Q165" s="4" t="e">
        <f>VLOOKUP(I165, FuelTypes!$A$1:$R$12,18,FALSE)*J165</f>
        <v>#N/A</v>
      </c>
      <c r="R165" s="4">
        <f t="shared" si="39"/>
        <v>0</v>
      </c>
      <c r="S165" s="4">
        <f t="shared" si="40"/>
        <v>0</v>
      </c>
      <c r="T165" s="4" t="e">
        <f t="shared" si="41"/>
        <v>#DIV/0!</v>
      </c>
      <c r="U165" s="4" t="e">
        <f t="shared" si="47"/>
        <v>#DIV/0!</v>
      </c>
      <c r="W165" s="3">
        <f>IFERROR(VLOOKUP(I165,FuelTypes!$A$2:$G$40,5,FALSE)*M165,0)</f>
        <v>0</v>
      </c>
      <c r="Y165" s="3">
        <f t="shared" si="45"/>
        <v>0</v>
      </c>
      <c r="Z165" s="3">
        <f t="shared" si="42"/>
        <v>0</v>
      </c>
      <c r="AB165" s="3">
        <f t="shared" si="46"/>
        <v>0</v>
      </c>
      <c r="AC165" s="3">
        <f t="shared" si="43"/>
        <v>0</v>
      </c>
    </row>
    <row r="166" spans="1:29" x14ac:dyDescent="0.25">
      <c r="A166" s="6" t="s">
        <v>124</v>
      </c>
      <c r="B166" s="6">
        <v>190</v>
      </c>
      <c r="C166" s="6"/>
      <c r="D166" s="6"/>
      <c r="E166" s="6">
        <v>0.15</v>
      </c>
      <c r="F166" s="6"/>
      <c r="G166" s="6"/>
      <c r="H166" s="6"/>
      <c r="I166" s="6"/>
      <c r="J166" s="4">
        <f t="shared" si="49"/>
        <v>0</v>
      </c>
      <c r="K166" s="4">
        <f t="shared" si="44"/>
        <v>0</v>
      </c>
      <c r="L166" s="4">
        <f t="shared" si="50"/>
        <v>190</v>
      </c>
      <c r="M166" s="4">
        <f>IFERROR(VLOOKUP(I166,FuelTypes!$A$1:$B$32,2,FALSE)*J166,0)</f>
        <v>0</v>
      </c>
      <c r="N166" s="4">
        <f t="shared" si="51"/>
        <v>190</v>
      </c>
      <c r="O166" s="4">
        <f t="shared" si="52"/>
        <v>0</v>
      </c>
      <c r="P166" s="4" t="e">
        <f>VLOOKUP(I166, FuelTypes!$A$1:$R$12,17,FALSE)*J166</f>
        <v>#N/A</v>
      </c>
      <c r="Q166" s="4" t="e">
        <f>VLOOKUP(I166, FuelTypes!$A$1:$R$12,18,FALSE)*J166</f>
        <v>#N/A</v>
      </c>
      <c r="R166" s="4">
        <f t="shared" si="39"/>
        <v>0</v>
      </c>
      <c r="S166" s="4">
        <f t="shared" si="40"/>
        <v>0</v>
      </c>
      <c r="T166" s="4" t="e">
        <f t="shared" si="41"/>
        <v>#DIV/0!</v>
      </c>
      <c r="U166" s="4" t="e">
        <f t="shared" si="47"/>
        <v>#DIV/0!</v>
      </c>
      <c r="W166" s="3">
        <f>IFERROR(VLOOKUP(I166,FuelTypes!$A$2:$G$40,5,FALSE)*M166,0)</f>
        <v>0</v>
      </c>
      <c r="Y166" s="3">
        <f t="shared" si="45"/>
        <v>0</v>
      </c>
      <c r="Z166" s="3">
        <f t="shared" si="42"/>
        <v>0</v>
      </c>
      <c r="AB166" s="3">
        <f t="shared" si="46"/>
        <v>0</v>
      </c>
      <c r="AC166" s="3">
        <f t="shared" si="43"/>
        <v>0</v>
      </c>
    </row>
    <row r="167" spans="1:29" x14ac:dyDescent="0.25">
      <c r="A167" s="6" t="s">
        <v>92</v>
      </c>
      <c r="B167" s="6">
        <v>200</v>
      </c>
      <c r="C167" s="6"/>
      <c r="D167" s="6"/>
      <c r="E167" s="6">
        <v>0.15</v>
      </c>
      <c r="F167" s="6"/>
      <c r="G167" s="6"/>
      <c r="H167" s="6"/>
      <c r="I167" s="6"/>
      <c r="J167" s="4">
        <f t="shared" si="49"/>
        <v>0</v>
      </c>
      <c r="K167" s="4">
        <f t="shared" si="44"/>
        <v>0</v>
      </c>
      <c r="L167" s="4">
        <f t="shared" si="50"/>
        <v>200</v>
      </c>
      <c r="M167" s="4">
        <f>IFERROR(VLOOKUP(I167,FuelTypes!$A$1:$B$32,2,FALSE)*J167,0)</f>
        <v>0</v>
      </c>
      <c r="N167" s="4">
        <f t="shared" si="51"/>
        <v>200</v>
      </c>
      <c r="O167" s="4">
        <f t="shared" si="52"/>
        <v>0</v>
      </c>
      <c r="P167" s="4" t="e">
        <f>VLOOKUP(I167, FuelTypes!$A$1:$R$12,17,FALSE)*J167</f>
        <v>#N/A</v>
      </c>
      <c r="Q167" s="4" t="e">
        <f>VLOOKUP(I167, FuelTypes!$A$1:$R$12,18,FALSE)*J167</f>
        <v>#N/A</v>
      </c>
      <c r="R167" s="4">
        <f t="shared" si="39"/>
        <v>0</v>
      </c>
      <c r="S167" s="4">
        <f t="shared" si="40"/>
        <v>0</v>
      </c>
      <c r="T167" s="4" t="e">
        <f t="shared" si="41"/>
        <v>#DIV/0!</v>
      </c>
      <c r="U167" s="4" t="e">
        <f t="shared" si="47"/>
        <v>#DIV/0!</v>
      </c>
      <c r="W167" s="3">
        <f>IFERROR(VLOOKUP(I167,FuelTypes!$A$2:$G$40,5,FALSE)*M167,0)</f>
        <v>0</v>
      </c>
      <c r="Y167" s="3">
        <f t="shared" si="45"/>
        <v>0</v>
      </c>
      <c r="Z167" s="3">
        <f t="shared" si="42"/>
        <v>0</v>
      </c>
      <c r="AB167" s="3">
        <f t="shared" si="46"/>
        <v>0</v>
      </c>
      <c r="AC167" s="3">
        <f t="shared" si="43"/>
        <v>0</v>
      </c>
    </row>
    <row r="168" spans="1:29" x14ac:dyDescent="0.25">
      <c r="A168" s="6" t="s">
        <v>125</v>
      </c>
      <c r="B168" s="6">
        <v>210</v>
      </c>
      <c r="C168" s="6"/>
      <c r="D168" s="6"/>
      <c r="E168" s="6">
        <v>0.15</v>
      </c>
      <c r="F168" s="6"/>
      <c r="G168" s="6"/>
      <c r="H168" s="6"/>
      <c r="I168" s="6"/>
      <c r="J168" s="4">
        <f t="shared" si="49"/>
        <v>0</v>
      </c>
      <c r="K168" s="4">
        <f t="shared" si="44"/>
        <v>0</v>
      </c>
      <c r="L168" s="4">
        <f t="shared" si="50"/>
        <v>210</v>
      </c>
      <c r="M168" s="4">
        <f>IFERROR(VLOOKUP(I168,FuelTypes!$A$1:$B$32,2,FALSE)*J168,0)</f>
        <v>0</v>
      </c>
      <c r="N168" s="4">
        <f t="shared" si="51"/>
        <v>210</v>
      </c>
      <c r="O168" s="4">
        <f t="shared" si="52"/>
        <v>0</v>
      </c>
      <c r="P168" s="4" t="e">
        <f>VLOOKUP(I168, FuelTypes!$A$1:$R$12,17,FALSE)*J168</f>
        <v>#N/A</v>
      </c>
      <c r="Q168" s="4" t="e">
        <f>VLOOKUP(I168, FuelTypes!$A$1:$R$12,18,FALSE)*J168</f>
        <v>#N/A</v>
      </c>
      <c r="R168" s="4">
        <f t="shared" si="39"/>
        <v>0</v>
      </c>
      <c r="S168" s="4">
        <f t="shared" si="40"/>
        <v>0</v>
      </c>
      <c r="T168" s="4" t="e">
        <f t="shared" si="41"/>
        <v>#DIV/0!</v>
      </c>
      <c r="U168" s="4" t="e">
        <f t="shared" si="47"/>
        <v>#DIV/0!</v>
      </c>
      <c r="W168" s="3">
        <f>IFERROR(VLOOKUP(I168,FuelTypes!$A$2:$G$40,5,FALSE)*M168,0)</f>
        <v>0</v>
      </c>
      <c r="Y168" s="3">
        <f t="shared" si="45"/>
        <v>0</v>
      </c>
      <c r="Z168" s="3">
        <f t="shared" si="42"/>
        <v>0</v>
      </c>
      <c r="AB168" s="3">
        <f t="shared" si="46"/>
        <v>0</v>
      </c>
      <c r="AC168" s="3">
        <f t="shared" si="43"/>
        <v>0</v>
      </c>
    </row>
    <row r="169" spans="1:29" x14ac:dyDescent="0.25">
      <c r="A169" s="6" t="s">
        <v>93</v>
      </c>
      <c r="B169" s="6">
        <v>220</v>
      </c>
      <c r="C169" s="6"/>
      <c r="D169" s="6"/>
      <c r="E169" s="6">
        <v>0.15</v>
      </c>
      <c r="F169" s="6"/>
      <c r="G169" s="6"/>
      <c r="H169" s="6"/>
      <c r="I169" s="6"/>
      <c r="J169" s="4">
        <f t="shared" si="49"/>
        <v>0</v>
      </c>
      <c r="K169" s="4">
        <f t="shared" si="44"/>
        <v>0</v>
      </c>
      <c r="L169" s="4">
        <f t="shared" si="50"/>
        <v>220</v>
      </c>
      <c r="M169" s="4">
        <f>IFERROR(VLOOKUP(I169,FuelTypes!$A$1:$B$32,2,FALSE)*J169,0)</f>
        <v>0</v>
      </c>
      <c r="N169" s="4">
        <f t="shared" si="51"/>
        <v>220</v>
      </c>
      <c r="O169" s="4">
        <f t="shared" si="52"/>
        <v>0</v>
      </c>
      <c r="P169" s="4" t="e">
        <f>VLOOKUP(I169, FuelTypes!$A$1:$R$12,17,FALSE)*J169</f>
        <v>#N/A</v>
      </c>
      <c r="Q169" s="4" t="e">
        <f>VLOOKUP(I169, FuelTypes!$A$1:$R$12,18,FALSE)*J169</f>
        <v>#N/A</v>
      </c>
      <c r="R169" s="4">
        <f t="shared" si="39"/>
        <v>0</v>
      </c>
      <c r="S169" s="4">
        <f t="shared" si="40"/>
        <v>0</v>
      </c>
      <c r="T169" s="4" t="e">
        <f t="shared" si="41"/>
        <v>#DIV/0!</v>
      </c>
      <c r="U169" s="4" t="e">
        <f t="shared" si="47"/>
        <v>#DIV/0!</v>
      </c>
      <c r="W169" s="3">
        <f>IFERROR(VLOOKUP(I169,FuelTypes!$A$2:$G$40,5,FALSE)*M169,0)</f>
        <v>0</v>
      </c>
      <c r="Y169" s="3">
        <f t="shared" si="45"/>
        <v>0</v>
      </c>
      <c r="Z169" s="3">
        <f t="shared" si="42"/>
        <v>0</v>
      </c>
      <c r="AB169" s="3">
        <f t="shared" si="46"/>
        <v>0</v>
      </c>
      <c r="AC169" s="3">
        <f t="shared" si="43"/>
        <v>0</v>
      </c>
    </row>
    <row r="170" spans="1:29" x14ac:dyDescent="0.25">
      <c r="A170" s="6" t="s">
        <v>126</v>
      </c>
      <c r="B170" s="6">
        <v>230</v>
      </c>
      <c r="C170" s="6"/>
      <c r="D170" s="6"/>
      <c r="E170" s="6">
        <v>0.15</v>
      </c>
      <c r="F170" s="6"/>
      <c r="G170" s="6"/>
      <c r="H170" s="6"/>
      <c r="I170" s="6"/>
      <c r="J170" s="4">
        <f t="shared" si="49"/>
        <v>0</v>
      </c>
      <c r="K170" s="4">
        <f t="shared" si="44"/>
        <v>0</v>
      </c>
      <c r="L170" s="4">
        <f t="shared" si="50"/>
        <v>230</v>
      </c>
      <c r="M170" s="4">
        <f>IFERROR(VLOOKUP(I170,FuelTypes!$A$1:$B$32,2,FALSE)*J170,0)</f>
        <v>0</v>
      </c>
      <c r="N170" s="4">
        <f t="shared" si="51"/>
        <v>230</v>
      </c>
      <c r="O170" s="4">
        <f t="shared" si="52"/>
        <v>0</v>
      </c>
      <c r="P170" s="4" t="e">
        <f>VLOOKUP(I170, FuelTypes!$A$1:$R$12,17,FALSE)*J170</f>
        <v>#N/A</v>
      </c>
      <c r="Q170" s="4" t="e">
        <f>VLOOKUP(I170, FuelTypes!$A$1:$R$12,18,FALSE)*J170</f>
        <v>#N/A</v>
      </c>
      <c r="R170" s="4">
        <f t="shared" si="39"/>
        <v>0</v>
      </c>
      <c r="S170" s="4">
        <f t="shared" si="40"/>
        <v>0</v>
      </c>
      <c r="T170" s="4" t="e">
        <f t="shared" si="41"/>
        <v>#DIV/0!</v>
      </c>
      <c r="U170" s="4" t="e">
        <f t="shared" si="47"/>
        <v>#DIV/0!</v>
      </c>
      <c r="W170" s="3">
        <f>IFERROR(VLOOKUP(I170,FuelTypes!$A$2:$G$40,5,FALSE)*M170,0)</f>
        <v>0</v>
      </c>
      <c r="Y170" s="3">
        <f t="shared" si="45"/>
        <v>0</v>
      </c>
      <c r="Z170" s="3">
        <f t="shared" si="42"/>
        <v>0</v>
      </c>
      <c r="AB170" s="3">
        <f t="shared" si="46"/>
        <v>0</v>
      </c>
      <c r="AC170" s="3">
        <f t="shared" si="43"/>
        <v>0</v>
      </c>
    </row>
    <row r="171" spans="1:29" x14ac:dyDescent="0.25">
      <c r="A171" s="6" t="s">
        <v>94</v>
      </c>
      <c r="B171" s="6">
        <v>240</v>
      </c>
      <c r="C171" s="6"/>
      <c r="D171" s="6"/>
      <c r="E171" s="6">
        <v>0.15</v>
      </c>
      <c r="F171" s="6"/>
      <c r="G171" s="6"/>
      <c r="H171" s="6"/>
      <c r="I171" s="6"/>
      <c r="J171" s="4">
        <f t="shared" si="49"/>
        <v>0</v>
      </c>
      <c r="K171" s="4">
        <f t="shared" si="44"/>
        <v>0</v>
      </c>
      <c r="L171" s="4">
        <f t="shared" si="50"/>
        <v>240</v>
      </c>
      <c r="M171" s="4">
        <f>IFERROR(VLOOKUP(I171,FuelTypes!$A$1:$B$32,2,FALSE)*J171,0)</f>
        <v>0</v>
      </c>
      <c r="N171" s="4">
        <f t="shared" si="51"/>
        <v>240</v>
      </c>
      <c r="O171" s="4">
        <f t="shared" si="52"/>
        <v>0</v>
      </c>
      <c r="P171" s="4" t="e">
        <f>VLOOKUP(I171, FuelTypes!$A$1:$R$12,17,FALSE)*J171</f>
        <v>#N/A</v>
      </c>
      <c r="Q171" s="4" t="e">
        <f>VLOOKUP(I171, FuelTypes!$A$1:$R$12,18,FALSE)*J171</f>
        <v>#N/A</v>
      </c>
      <c r="R171" s="4">
        <f t="shared" si="39"/>
        <v>0</v>
      </c>
      <c r="S171" s="4">
        <f t="shared" si="40"/>
        <v>0</v>
      </c>
      <c r="T171" s="4" t="e">
        <f t="shared" si="41"/>
        <v>#DIV/0!</v>
      </c>
      <c r="U171" s="4" t="e">
        <f t="shared" si="47"/>
        <v>#DIV/0!</v>
      </c>
      <c r="W171" s="3">
        <f>IFERROR(VLOOKUP(I171,FuelTypes!$A$2:$G$40,5,FALSE)*M171,0)</f>
        <v>0</v>
      </c>
      <c r="Y171" s="3">
        <f t="shared" si="45"/>
        <v>0</v>
      </c>
      <c r="Z171" s="3">
        <f t="shared" si="42"/>
        <v>0</v>
      </c>
      <c r="AB171" s="3">
        <f t="shared" si="46"/>
        <v>0</v>
      </c>
      <c r="AC171" s="3">
        <f t="shared" si="43"/>
        <v>0</v>
      </c>
    </row>
    <row r="172" spans="1:29" x14ac:dyDescent="0.25">
      <c r="A172" s="6" t="s">
        <v>127</v>
      </c>
      <c r="B172" s="6">
        <v>250</v>
      </c>
      <c r="C172" s="6"/>
      <c r="D172" s="6"/>
      <c r="E172" s="6">
        <v>0.15</v>
      </c>
      <c r="F172" s="6"/>
      <c r="G172" s="6"/>
      <c r="H172" s="6"/>
      <c r="I172" s="6"/>
      <c r="J172" s="4">
        <f t="shared" si="49"/>
        <v>0</v>
      </c>
      <c r="K172" s="4">
        <f t="shared" si="44"/>
        <v>0</v>
      </c>
      <c r="L172" s="4">
        <f t="shared" si="50"/>
        <v>250</v>
      </c>
      <c r="M172" s="4">
        <f>IFERROR(VLOOKUP(I172,FuelTypes!$A$1:$B$32,2,FALSE)*J172,0)</f>
        <v>0</v>
      </c>
      <c r="N172" s="4">
        <f t="shared" si="51"/>
        <v>250</v>
      </c>
      <c r="O172" s="4">
        <f t="shared" si="52"/>
        <v>0</v>
      </c>
      <c r="P172" s="4" t="e">
        <f>VLOOKUP(I172, FuelTypes!$A$1:$R$12,17,FALSE)*J172</f>
        <v>#N/A</v>
      </c>
      <c r="Q172" s="4" t="e">
        <f>VLOOKUP(I172, FuelTypes!$A$1:$R$12,18,FALSE)*J172</f>
        <v>#N/A</v>
      </c>
      <c r="R172" s="4">
        <f t="shared" si="39"/>
        <v>0</v>
      </c>
      <c r="S172" s="4">
        <f t="shared" si="40"/>
        <v>0</v>
      </c>
      <c r="T172" s="4" t="e">
        <f t="shared" si="41"/>
        <v>#DIV/0!</v>
      </c>
      <c r="U172" s="4" t="e">
        <f t="shared" si="47"/>
        <v>#DIV/0!</v>
      </c>
      <c r="W172" s="3">
        <f>IFERROR(VLOOKUP(I172,FuelTypes!$A$2:$G$40,5,FALSE)*M172,0)</f>
        <v>0</v>
      </c>
      <c r="Y172" s="3">
        <f t="shared" si="45"/>
        <v>0</v>
      </c>
      <c r="Z172" s="3">
        <f t="shared" si="42"/>
        <v>0</v>
      </c>
      <c r="AB172" s="3">
        <f t="shared" si="46"/>
        <v>0</v>
      </c>
      <c r="AC172" s="3">
        <f t="shared" si="43"/>
        <v>0</v>
      </c>
    </row>
    <row r="173" spans="1:29" x14ac:dyDescent="0.25">
      <c r="A173" s="6" t="s">
        <v>95</v>
      </c>
      <c r="B173" s="6">
        <v>260</v>
      </c>
      <c r="C173" s="6"/>
      <c r="D173" s="6"/>
      <c r="E173" s="6">
        <v>0.15</v>
      </c>
      <c r="F173" s="6"/>
      <c r="G173" s="6"/>
      <c r="H173" s="6"/>
      <c r="I173" s="6"/>
      <c r="J173" s="4">
        <f t="shared" si="49"/>
        <v>0</v>
      </c>
      <c r="K173" s="4">
        <f t="shared" si="44"/>
        <v>0</v>
      </c>
      <c r="L173" s="4">
        <f t="shared" si="50"/>
        <v>260</v>
      </c>
      <c r="M173" s="4">
        <f>IFERROR(VLOOKUP(I173,FuelTypes!$A$1:$B$32,2,FALSE)*J173,0)</f>
        <v>0</v>
      </c>
      <c r="N173" s="4">
        <f t="shared" si="51"/>
        <v>260</v>
      </c>
      <c r="O173" s="4">
        <f t="shared" si="52"/>
        <v>0</v>
      </c>
      <c r="P173" s="4" t="e">
        <f>VLOOKUP(I173, FuelTypes!$A$1:$R$12,17,FALSE)*J173</f>
        <v>#N/A</v>
      </c>
      <c r="Q173" s="4" t="e">
        <f>VLOOKUP(I173, FuelTypes!$A$1:$R$12,18,FALSE)*J173</f>
        <v>#N/A</v>
      </c>
      <c r="R173" s="4">
        <f t="shared" si="39"/>
        <v>0</v>
      </c>
      <c r="S173" s="4">
        <f t="shared" si="40"/>
        <v>0</v>
      </c>
      <c r="T173" s="4" t="e">
        <f t="shared" si="41"/>
        <v>#DIV/0!</v>
      </c>
      <c r="U173" s="4" t="e">
        <f t="shared" si="47"/>
        <v>#DIV/0!</v>
      </c>
      <c r="W173" s="3">
        <f>IFERROR(VLOOKUP(I173,FuelTypes!$A$2:$G$40,5,FALSE)*M173,0)</f>
        <v>0</v>
      </c>
      <c r="Y173" s="3">
        <f t="shared" si="45"/>
        <v>0</v>
      </c>
      <c r="Z173" s="3">
        <f t="shared" si="42"/>
        <v>0</v>
      </c>
      <c r="AB173" s="3">
        <f t="shared" si="46"/>
        <v>0</v>
      </c>
      <c r="AC173" s="3">
        <f t="shared" si="43"/>
        <v>0</v>
      </c>
    </row>
    <row r="174" spans="1:29" x14ac:dyDescent="0.25">
      <c r="A174" s="6" t="s">
        <v>128</v>
      </c>
      <c r="B174" s="6">
        <v>270</v>
      </c>
      <c r="C174" s="6"/>
      <c r="D174" s="6"/>
      <c r="E174" s="6">
        <v>0.15</v>
      </c>
      <c r="F174" s="6"/>
      <c r="G174" s="6"/>
      <c r="H174" s="6"/>
      <c r="I174" s="6"/>
      <c r="J174" s="4">
        <f t="shared" si="49"/>
        <v>0</v>
      </c>
      <c r="K174" s="4">
        <f t="shared" si="44"/>
        <v>0</v>
      </c>
      <c r="L174" s="4">
        <f t="shared" si="50"/>
        <v>270</v>
      </c>
      <c r="M174" s="4">
        <f>IFERROR(VLOOKUP(I174,FuelTypes!$A$1:$B$32,2,FALSE)*J174,0)</f>
        <v>0</v>
      </c>
      <c r="N174" s="4">
        <f t="shared" si="51"/>
        <v>270</v>
      </c>
      <c r="O174" s="4">
        <f t="shared" si="52"/>
        <v>0</v>
      </c>
      <c r="P174" s="4" t="e">
        <f>VLOOKUP(I174, FuelTypes!$A$1:$R$12,17,FALSE)*J174</f>
        <v>#N/A</v>
      </c>
      <c r="Q174" s="4" t="e">
        <f>VLOOKUP(I174, FuelTypes!$A$1:$R$12,18,FALSE)*J174</f>
        <v>#N/A</v>
      </c>
      <c r="R174" s="4">
        <f t="shared" si="39"/>
        <v>0</v>
      </c>
      <c r="S174" s="4">
        <f t="shared" si="40"/>
        <v>0</v>
      </c>
      <c r="T174" s="4" t="e">
        <f t="shared" si="41"/>
        <v>#DIV/0!</v>
      </c>
      <c r="U174" s="4" t="e">
        <f t="shared" si="47"/>
        <v>#DIV/0!</v>
      </c>
      <c r="W174" s="3">
        <f>IFERROR(VLOOKUP(I174,FuelTypes!$A$2:$G$40,5,FALSE)*M174,0)</f>
        <v>0</v>
      </c>
      <c r="Y174" s="3">
        <f t="shared" si="45"/>
        <v>0</v>
      </c>
      <c r="Z174" s="3">
        <f t="shared" si="42"/>
        <v>0</v>
      </c>
      <c r="AB174" s="3">
        <f t="shared" si="46"/>
        <v>0</v>
      </c>
      <c r="AC174" s="3">
        <f t="shared" si="43"/>
        <v>0</v>
      </c>
    </row>
    <row r="175" spans="1:29" x14ac:dyDescent="0.25">
      <c r="A175" s="6" t="s">
        <v>96</v>
      </c>
      <c r="B175" s="6">
        <v>280</v>
      </c>
      <c r="C175" s="6"/>
      <c r="D175" s="6"/>
      <c r="E175" s="6">
        <v>0.15</v>
      </c>
      <c r="F175" s="6"/>
      <c r="G175" s="6"/>
      <c r="H175" s="6"/>
      <c r="I175" s="6"/>
      <c r="J175" s="4">
        <f t="shared" si="49"/>
        <v>0</v>
      </c>
      <c r="K175" s="4">
        <f t="shared" si="44"/>
        <v>0</v>
      </c>
      <c r="L175" s="4">
        <f t="shared" si="50"/>
        <v>280</v>
      </c>
      <c r="M175" s="4">
        <f>IFERROR(VLOOKUP(I175,FuelTypes!$A$1:$B$32,2,FALSE)*J175,0)</f>
        <v>0</v>
      </c>
      <c r="N175" s="4">
        <f t="shared" si="51"/>
        <v>280</v>
      </c>
      <c r="O175" s="4">
        <f t="shared" si="52"/>
        <v>0</v>
      </c>
      <c r="P175" s="4" t="e">
        <f>VLOOKUP(I175, FuelTypes!$A$1:$R$12,17,FALSE)*J175</f>
        <v>#N/A</v>
      </c>
      <c r="Q175" s="4" t="e">
        <f>VLOOKUP(I175, FuelTypes!$A$1:$R$12,18,FALSE)*J175</f>
        <v>#N/A</v>
      </c>
      <c r="R175" s="4">
        <f t="shared" si="39"/>
        <v>0</v>
      </c>
      <c r="S175" s="4">
        <f t="shared" si="40"/>
        <v>0</v>
      </c>
      <c r="T175" s="4" t="e">
        <f t="shared" si="41"/>
        <v>#DIV/0!</v>
      </c>
      <c r="U175" s="4" t="e">
        <f t="shared" si="47"/>
        <v>#DIV/0!</v>
      </c>
      <c r="W175" s="3">
        <f>IFERROR(VLOOKUP(I175,FuelTypes!$A$2:$G$40,5,FALSE)*M175,0)</f>
        <v>0</v>
      </c>
      <c r="Y175" s="3">
        <f t="shared" si="45"/>
        <v>0</v>
      </c>
      <c r="Z175" s="3">
        <f t="shared" si="42"/>
        <v>0</v>
      </c>
      <c r="AB175" s="3">
        <f t="shared" si="46"/>
        <v>0</v>
      </c>
      <c r="AC175" s="3">
        <f t="shared" si="43"/>
        <v>0</v>
      </c>
    </row>
    <row r="176" spans="1:29" x14ac:dyDescent="0.25">
      <c r="A176" s="6" t="s">
        <v>129</v>
      </c>
      <c r="B176" s="6">
        <v>290</v>
      </c>
      <c r="C176" s="6"/>
      <c r="D176" s="6"/>
      <c r="E176" s="6">
        <v>0.15</v>
      </c>
      <c r="F176" s="6"/>
      <c r="G176" s="6"/>
      <c r="H176" s="6"/>
      <c r="I176" s="6"/>
      <c r="J176" s="4">
        <f t="shared" si="49"/>
        <v>0</v>
      </c>
      <c r="K176" s="4">
        <f t="shared" si="44"/>
        <v>0</v>
      </c>
      <c r="L176" s="4">
        <f t="shared" si="50"/>
        <v>290</v>
      </c>
      <c r="M176" s="4">
        <f>IFERROR(VLOOKUP(I176,FuelTypes!$A$1:$B$32,2,FALSE)*J176,0)</f>
        <v>0</v>
      </c>
      <c r="N176" s="4">
        <f t="shared" si="51"/>
        <v>290</v>
      </c>
      <c r="O176" s="4">
        <f t="shared" si="52"/>
        <v>0</v>
      </c>
      <c r="P176" s="4" t="e">
        <f>VLOOKUP(I176, FuelTypes!$A$1:$R$12,17,FALSE)*J176</f>
        <v>#N/A</v>
      </c>
      <c r="Q176" s="4" t="e">
        <f>VLOOKUP(I176, FuelTypes!$A$1:$R$12,18,FALSE)*J176</f>
        <v>#N/A</v>
      </c>
      <c r="R176" s="4">
        <f t="shared" si="39"/>
        <v>0</v>
      </c>
      <c r="S176" s="4">
        <f t="shared" si="40"/>
        <v>0</v>
      </c>
      <c r="T176" s="4" t="e">
        <f t="shared" si="41"/>
        <v>#DIV/0!</v>
      </c>
      <c r="U176" s="4" t="e">
        <f t="shared" si="47"/>
        <v>#DIV/0!</v>
      </c>
      <c r="W176" s="3">
        <f>IFERROR(VLOOKUP(I176,FuelTypes!$A$2:$G$40,5,FALSE)*M176,0)</f>
        <v>0</v>
      </c>
      <c r="Y176" s="3">
        <f t="shared" si="45"/>
        <v>0</v>
      </c>
      <c r="Z176" s="3">
        <f t="shared" si="42"/>
        <v>0</v>
      </c>
      <c r="AB176" s="3">
        <f t="shared" si="46"/>
        <v>0</v>
      </c>
      <c r="AC176" s="3">
        <f t="shared" si="43"/>
        <v>0</v>
      </c>
    </row>
    <row r="177" spans="1:29" x14ac:dyDescent="0.25">
      <c r="A177" s="6" t="s">
        <v>97</v>
      </c>
      <c r="B177" s="6">
        <v>300</v>
      </c>
      <c r="C177" s="6"/>
      <c r="D177" s="6"/>
      <c r="E177" s="6">
        <v>0.15</v>
      </c>
      <c r="F177" s="6"/>
      <c r="G177" s="6"/>
      <c r="H177" s="6"/>
      <c r="I177" s="6"/>
      <c r="J177" s="4">
        <f t="shared" si="49"/>
        <v>0</v>
      </c>
      <c r="K177" s="4">
        <f t="shared" si="44"/>
        <v>0</v>
      </c>
      <c r="L177" s="4">
        <f t="shared" si="50"/>
        <v>300</v>
      </c>
      <c r="M177" s="4">
        <f>IFERROR(VLOOKUP(I177,FuelTypes!$A$1:$B$32,2,FALSE)*J177,0)</f>
        <v>0</v>
      </c>
      <c r="N177" s="4">
        <f t="shared" si="51"/>
        <v>300</v>
      </c>
      <c r="O177" s="4">
        <f t="shared" si="52"/>
        <v>0</v>
      </c>
      <c r="P177" s="4" t="e">
        <f>VLOOKUP(I177, FuelTypes!$A$1:$R$12,17,FALSE)*J177</f>
        <v>#N/A</v>
      </c>
      <c r="Q177" s="4" t="e">
        <f>VLOOKUP(I177, FuelTypes!$A$1:$R$12,18,FALSE)*J177</f>
        <v>#N/A</v>
      </c>
      <c r="R177" s="4">
        <f t="shared" si="39"/>
        <v>0</v>
      </c>
      <c r="S177" s="4">
        <f t="shared" si="40"/>
        <v>0</v>
      </c>
      <c r="T177" s="4" t="e">
        <f t="shared" si="41"/>
        <v>#DIV/0!</v>
      </c>
      <c r="U177" s="4" t="e">
        <f t="shared" si="47"/>
        <v>#DIV/0!</v>
      </c>
      <c r="W177" s="3">
        <f>IFERROR(VLOOKUP(I177,FuelTypes!$A$2:$G$40,5,FALSE)*M177,0)</f>
        <v>0</v>
      </c>
      <c r="Y177" s="3">
        <f t="shared" si="45"/>
        <v>0</v>
      </c>
      <c r="Z177" s="3">
        <f t="shared" si="42"/>
        <v>0</v>
      </c>
      <c r="AB177" s="3">
        <f t="shared" si="46"/>
        <v>0</v>
      </c>
      <c r="AC177" s="3">
        <f t="shared" si="43"/>
        <v>0</v>
      </c>
    </row>
    <row r="178" spans="1:29" x14ac:dyDescent="0.25">
      <c r="A178" s="6" t="s">
        <v>130</v>
      </c>
      <c r="B178" s="6">
        <v>310</v>
      </c>
      <c r="C178" s="6"/>
      <c r="D178" s="6"/>
      <c r="E178" s="6">
        <v>0.15</v>
      </c>
      <c r="F178" s="6"/>
      <c r="G178" s="6"/>
      <c r="H178" s="6"/>
      <c r="I178" s="6"/>
      <c r="J178" s="4">
        <f t="shared" si="49"/>
        <v>0</v>
      </c>
      <c r="K178" s="4">
        <f t="shared" si="44"/>
        <v>0</v>
      </c>
      <c r="L178" s="4">
        <f t="shared" si="50"/>
        <v>310</v>
      </c>
      <c r="M178" s="4">
        <f>IFERROR(VLOOKUP(I178,FuelTypes!$A$1:$B$32,2,FALSE)*J178,0)</f>
        <v>0</v>
      </c>
      <c r="N178" s="4">
        <f t="shared" si="51"/>
        <v>310</v>
      </c>
      <c r="O178" s="4">
        <f t="shared" si="52"/>
        <v>0</v>
      </c>
      <c r="P178" s="4" t="e">
        <f>VLOOKUP(I178, FuelTypes!$A$1:$R$12,17,FALSE)*J178</f>
        <v>#N/A</v>
      </c>
      <c r="Q178" s="4" t="e">
        <f>VLOOKUP(I178, FuelTypes!$A$1:$R$12,18,FALSE)*J178</f>
        <v>#N/A</v>
      </c>
      <c r="R178" s="4">
        <f t="shared" si="39"/>
        <v>0</v>
      </c>
      <c r="S178" s="4">
        <f t="shared" si="40"/>
        <v>0</v>
      </c>
      <c r="T178" s="4" t="e">
        <f t="shared" si="41"/>
        <v>#DIV/0!</v>
      </c>
      <c r="U178" s="4" t="e">
        <f t="shared" si="47"/>
        <v>#DIV/0!</v>
      </c>
      <c r="W178" s="3">
        <f>IFERROR(VLOOKUP(I178,FuelTypes!$A$2:$G$40,5,FALSE)*M178,0)</f>
        <v>0</v>
      </c>
      <c r="Y178" s="3">
        <f t="shared" si="45"/>
        <v>0</v>
      </c>
      <c r="Z178" s="3">
        <f t="shared" si="42"/>
        <v>0</v>
      </c>
      <c r="AB178" s="3">
        <f t="shared" si="46"/>
        <v>0</v>
      </c>
      <c r="AC178" s="3">
        <f t="shared" si="43"/>
        <v>0</v>
      </c>
    </row>
    <row r="179" spans="1:29" x14ac:dyDescent="0.25">
      <c r="A179" s="6" t="s">
        <v>98</v>
      </c>
      <c r="B179" s="6">
        <v>320</v>
      </c>
      <c r="C179" s="6"/>
      <c r="D179" s="6"/>
      <c r="E179" s="6">
        <v>0.15</v>
      </c>
      <c r="F179" s="6"/>
      <c r="G179" s="6"/>
      <c r="H179" s="6"/>
      <c r="I179" s="6"/>
      <c r="J179" s="4">
        <f t="shared" si="49"/>
        <v>0</v>
      </c>
      <c r="K179" s="4">
        <f t="shared" si="44"/>
        <v>0</v>
      </c>
      <c r="L179" s="4">
        <f t="shared" si="50"/>
        <v>320</v>
      </c>
      <c r="M179" s="4">
        <f>IFERROR(VLOOKUP(I179,FuelTypes!$A$1:$B$32,2,FALSE)*J179,0)</f>
        <v>0</v>
      </c>
      <c r="N179" s="4">
        <f t="shared" si="51"/>
        <v>320</v>
      </c>
      <c r="O179" s="4">
        <f t="shared" si="52"/>
        <v>0</v>
      </c>
      <c r="P179" s="4" t="e">
        <f>VLOOKUP(I179, FuelTypes!$A$1:$R$12,17,FALSE)*J179</f>
        <v>#N/A</v>
      </c>
      <c r="Q179" s="4" t="e">
        <f>VLOOKUP(I179, FuelTypes!$A$1:$R$12,18,FALSE)*J179</f>
        <v>#N/A</v>
      </c>
      <c r="R179" s="4">
        <f t="shared" si="39"/>
        <v>0</v>
      </c>
      <c r="S179" s="4">
        <f t="shared" si="40"/>
        <v>0</v>
      </c>
      <c r="T179" s="4" t="e">
        <f t="shared" si="41"/>
        <v>#DIV/0!</v>
      </c>
      <c r="U179" s="4" t="e">
        <f t="shared" si="47"/>
        <v>#DIV/0!</v>
      </c>
      <c r="W179" s="3">
        <f>IFERROR(VLOOKUP(I179,FuelTypes!$A$2:$G$40,5,FALSE)*M179,0)</f>
        <v>0</v>
      </c>
      <c r="Y179" s="3">
        <f t="shared" si="45"/>
        <v>0</v>
      </c>
      <c r="Z179" s="3">
        <f t="shared" si="42"/>
        <v>0</v>
      </c>
      <c r="AB179" s="3">
        <f t="shared" si="46"/>
        <v>0</v>
      </c>
      <c r="AC179" s="3">
        <f t="shared" si="43"/>
        <v>0</v>
      </c>
    </row>
    <row r="180" spans="1:29" x14ac:dyDescent="0.25">
      <c r="A180" s="6" t="s">
        <v>131</v>
      </c>
      <c r="B180" s="6">
        <v>330</v>
      </c>
      <c r="C180" s="6"/>
      <c r="D180" s="6"/>
      <c r="E180" s="6">
        <v>0.15</v>
      </c>
      <c r="F180" s="6"/>
      <c r="G180" s="6"/>
      <c r="H180" s="6"/>
      <c r="I180" s="6"/>
      <c r="J180" s="4">
        <f t="shared" si="49"/>
        <v>0</v>
      </c>
      <c r="K180" s="4">
        <f t="shared" si="44"/>
        <v>0</v>
      </c>
      <c r="L180" s="4">
        <f t="shared" si="50"/>
        <v>330</v>
      </c>
      <c r="M180" s="4">
        <f>IFERROR(VLOOKUP(I180,FuelTypes!$A$1:$B$32,2,FALSE)*J180,0)</f>
        <v>0</v>
      </c>
      <c r="N180" s="4">
        <f t="shared" si="51"/>
        <v>330</v>
      </c>
      <c r="O180" s="4">
        <f t="shared" si="52"/>
        <v>0</v>
      </c>
      <c r="P180" s="4" t="e">
        <f>VLOOKUP(I180, FuelTypes!$A$1:$R$12,17,FALSE)*J180</f>
        <v>#N/A</v>
      </c>
      <c r="Q180" s="4" t="e">
        <f>VLOOKUP(I180, FuelTypes!$A$1:$R$12,18,FALSE)*J180</f>
        <v>#N/A</v>
      </c>
      <c r="R180" s="4">
        <f t="shared" si="39"/>
        <v>0</v>
      </c>
      <c r="S180" s="4">
        <f t="shared" si="40"/>
        <v>0</v>
      </c>
      <c r="T180" s="4" t="e">
        <f t="shared" si="41"/>
        <v>#DIV/0!</v>
      </c>
      <c r="U180" s="4" t="e">
        <f t="shared" si="47"/>
        <v>#DIV/0!</v>
      </c>
      <c r="W180" s="3">
        <f>IFERROR(VLOOKUP(I180,FuelTypes!$A$2:$G$40,5,FALSE)*M180,0)</f>
        <v>0</v>
      </c>
      <c r="Y180" s="3">
        <f t="shared" si="45"/>
        <v>0</v>
      </c>
      <c r="Z180" s="3">
        <f t="shared" si="42"/>
        <v>0</v>
      </c>
      <c r="AB180" s="3">
        <f t="shared" si="46"/>
        <v>0</v>
      </c>
      <c r="AC180" s="3">
        <f t="shared" si="43"/>
        <v>0</v>
      </c>
    </row>
    <row r="181" spans="1:29" x14ac:dyDescent="0.25">
      <c r="A181" s="6" t="s">
        <v>99</v>
      </c>
      <c r="B181" s="6">
        <v>340</v>
      </c>
      <c r="C181" s="6"/>
      <c r="D181" s="6"/>
      <c r="E181" s="6">
        <v>0.15</v>
      </c>
      <c r="F181" s="6"/>
      <c r="G181" s="6"/>
      <c r="H181" s="6"/>
      <c r="I181" s="6"/>
      <c r="J181" s="4">
        <f t="shared" si="49"/>
        <v>0</v>
      </c>
      <c r="K181" s="4">
        <f t="shared" si="44"/>
        <v>0</v>
      </c>
      <c r="L181" s="4">
        <f t="shared" si="50"/>
        <v>340</v>
      </c>
      <c r="M181" s="4">
        <f>IFERROR(VLOOKUP(I181,FuelTypes!$A$1:$B$32,2,FALSE)*J181,0)</f>
        <v>0</v>
      </c>
      <c r="N181" s="4">
        <f t="shared" si="51"/>
        <v>340</v>
      </c>
      <c r="O181" s="4">
        <f t="shared" si="52"/>
        <v>0</v>
      </c>
      <c r="P181" s="4" t="e">
        <f>VLOOKUP(I181, FuelTypes!$A$1:$R$12,17,FALSE)*J181</f>
        <v>#N/A</v>
      </c>
      <c r="Q181" s="4" t="e">
        <f>VLOOKUP(I181, FuelTypes!$A$1:$R$12,18,FALSE)*J181</f>
        <v>#N/A</v>
      </c>
      <c r="R181" s="4">
        <f t="shared" si="39"/>
        <v>0</v>
      </c>
      <c r="S181" s="4">
        <f t="shared" si="40"/>
        <v>0</v>
      </c>
      <c r="T181" s="4" t="e">
        <f t="shared" si="41"/>
        <v>#DIV/0!</v>
      </c>
      <c r="U181" s="4" t="e">
        <f t="shared" si="47"/>
        <v>#DIV/0!</v>
      </c>
      <c r="W181" s="3">
        <f>IFERROR(VLOOKUP(I181,FuelTypes!$A$2:$G$40,5,FALSE)*M181,0)</f>
        <v>0</v>
      </c>
      <c r="Y181" s="3">
        <f t="shared" si="45"/>
        <v>0</v>
      </c>
      <c r="Z181" s="3">
        <f t="shared" si="42"/>
        <v>0</v>
      </c>
      <c r="AB181" s="3">
        <f t="shared" si="46"/>
        <v>0</v>
      </c>
      <c r="AC181" s="3">
        <f t="shared" si="43"/>
        <v>0</v>
      </c>
    </row>
    <row r="182" spans="1:29" x14ac:dyDescent="0.25">
      <c r="A182" s="6" t="s">
        <v>132</v>
      </c>
      <c r="B182" s="6">
        <v>350</v>
      </c>
      <c r="C182" s="6"/>
      <c r="D182" s="6"/>
      <c r="E182" s="6">
        <v>0.15</v>
      </c>
      <c r="F182" s="6"/>
      <c r="G182" s="6"/>
      <c r="H182" s="6"/>
      <c r="I182" s="6"/>
      <c r="J182" s="4">
        <f t="shared" si="49"/>
        <v>0</v>
      </c>
      <c r="K182" s="4">
        <f t="shared" si="44"/>
        <v>0</v>
      </c>
      <c r="L182" s="4">
        <f t="shared" si="50"/>
        <v>350</v>
      </c>
      <c r="M182" s="4">
        <f>IFERROR(VLOOKUP(I182,FuelTypes!$A$1:$B$32,2,FALSE)*J182,0)</f>
        <v>0</v>
      </c>
      <c r="N182" s="4">
        <f t="shared" si="51"/>
        <v>350</v>
      </c>
      <c r="O182" s="4">
        <f t="shared" si="52"/>
        <v>0</v>
      </c>
      <c r="P182" s="4" t="e">
        <f>VLOOKUP(I182, FuelTypes!$A$1:$R$12,17,FALSE)*J182</f>
        <v>#N/A</v>
      </c>
      <c r="Q182" s="4" t="e">
        <f>VLOOKUP(I182, FuelTypes!$A$1:$R$12,18,FALSE)*J182</f>
        <v>#N/A</v>
      </c>
      <c r="R182" s="4">
        <f t="shared" si="39"/>
        <v>0</v>
      </c>
      <c r="S182" s="4">
        <f t="shared" si="40"/>
        <v>0</v>
      </c>
      <c r="T182" s="4" t="e">
        <f t="shared" si="41"/>
        <v>#DIV/0!</v>
      </c>
      <c r="U182" s="4" t="e">
        <f t="shared" si="47"/>
        <v>#DIV/0!</v>
      </c>
      <c r="W182" s="3">
        <f>IFERROR(VLOOKUP(I182,FuelTypes!$A$2:$G$40,5,FALSE)*M182,0)</f>
        <v>0</v>
      </c>
      <c r="Y182" s="3">
        <f t="shared" si="45"/>
        <v>0</v>
      </c>
      <c r="Z182" s="3">
        <f t="shared" si="42"/>
        <v>0</v>
      </c>
      <c r="AB182" s="3">
        <f t="shared" si="46"/>
        <v>0</v>
      </c>
      <c r="AC182" s="3">
        <f t="shared" si="43"/>
        <v>0</v>
      </c>
    </row>
    <row r="183" spans="1:29" x14ac:dyDescent="0.25">
      <c r="A183" s="6" t="s">
        <v>100</v>
      </c>
      <c r="B183" s="6">
        <v>360</v>
      </c>
      <c r="C183" s="6"/>
      <c r="D183" s="6"/>
      <c r="E183" s="6">
        <v>0.15</v>
      </c>
      <c r="F183" s="6"/>
      <c r="G183" s="6"/>
      <c r="H183" s="6"/>
      <c r="I183" s="6"/>
      <c r="J183" s="4">
        <f t="shared" si="49"/>
        <v>0</v>
      </c>
      <c r="K183" s="4">
        <f t="shared" si="44"/>
        <v>0</v>
      </c>
      <c r="L183" s="4">
        <f t="shared" si="50"/>
        <v>360</v>
      </c>
      <c r="M183" s="4">
        <f>IFERROR(VLOOKUP(I183,FuelTypes!$A$1:$B$32,2,FALSE)*J183,0)</f>
        <v>0</v>
      </c>
      <c r="N183" s="4">
        <f t="shared" si="51"/>
        <v>360</v>
      </c>
      <c r="O183" s="4">
        <f t="shared" si="52"/>
        <v>0</v>
      </c>
      <c r="P183" s="4" t="e">
        <f>VLOOKUP(I183, FuelTypes!$A$1:$R$12,17,FALSE)*J183</f>
        <v>#N/A</v>
      </c>
      <c r="Q183" s="4" t="e">
        <f>VLOOKUP(I183, FuelTypes!$A$1:$R$12,18,FALSE)*J183</f>
        <v>#N/A</v>
      </c>
      <c r="R183" s="4">
        <f t="shared" si="39"/>
        <v>0</v>
      </c>
      <c r="S183" s="4">
        <f t="shared" si="40"/>
        <v>0</v>
      </c>
      <c r="T183" s="4" t="e">
        <f t="shared" si="41"/>
        <v>#DIV/0!</v>
      </c>
      <c r="U183" s="4" t="e">
        <f t="shared" si="47"/>
        <v>#DIV/0!</v>
      </c>
      <c r="W183" s="3">
        <f>IFERROR(VLOOKUP(I183,FuelTypes!$A$2:$G$40,5,FALSE)*M183,0)</f>
        <v>0</v>
      </c>
      <c r="Y183" s="3">
        <f t="shared" si="45"/>
        <v>0</v>
      </c>
      <c r="Z183" s="3">
        <f t="shared" si="42"/>
        <v>0</v>
      </c>
      <c r="AB183" s="3">
        <f t="shared" si="46"/>
        <v>0</v>
      </c>
      <c r="AC183" s="3">
        <f t="shared" si="43"/>
        <v>0</v>
      </c>
    </row>
    <row r="184" spans="1:29" x14ac:dyDescent="0.25">
      <c r="A184" s="6" t="s">
        <v>133</v>
      </c>
      <c r="B184" s="6">
        <v>370</v>
      </c>
      <c r="C184" s="6"/>
      <c r="D184" s="6"/>
      <c r="E184" s="6">
        <v>0.15</v>
      </c>
      <c r="F184" s="6"/>
      <c r="G184" s="6"/>
      <c r="H184" s="6"/>
      <c r="I184" s="6"/>
      <c r="J184" s="4">
        <f t="shared" si="49"/>
        <v>0</v>
      </c>
      <c r="K184" s="4">
        <f t="shared" si="44"/>
        <v>0</v>
      </c>
      <c r="L184" s="4">
        <f t="shared" si="50"/>
        <v>370</v>
      </c>
      <c r="M184" s="4">
        <f>IFERROR(VLOOKUP(I184,FuelTypes!$A$1:$B$32,2,FALSE)*J184,0)</f>
        <v>0</v>
      </c>
      <c r="N184" s="4">
        <f t="shared" si="51"/>
        <v>370</v>
      </c>
      <c r="O184" s="4">
        <f t="shared" si="52"/>
        <v>0</v>
      </c>
      <c r="P184" s="4" t="e">
        <f>VLOOKUP(I184, FuelTypes!$A$1:$R$12,17,FALSE)*J184</f>
        <v>#N/A</v>
      </c>
      <c r="Q184" s="4" t="e">
        <f>VLOOKUP(I184, FuelTypes!$A$1:$R$12,18,FALSE)*J184</f>
        <v>#N/A</v>
      </c>
      <c r="R184" s="4">
        <f t="shared" si="39"/>
        <v>0</v>
      </c>
      <c r="S184" s="4">
        <f t="shared" si="40"/>
        <v>0</v>
      </c>
      <c r="T184" s="4" t="e">
        <f t="shared" si="41"/>
        <v>#DIV/0!</v>
      </c>
      <c r="U184" s="4" t="e">
        <f t="shared" si="47"/>
        <v>#DIV/0!</v>
      </c>
      <c r="W184" s="3">
        <f>IFERROR(VLOOKUP(I184,FuelTypes!$A$2:$G$40,5,FALSE)*M184,0)</f>
        <v>0</v>
      </c>
      <c r="Y184" s="3">
        <f t="shared" si="45"/>
        <v>0</v>
      </c>
      <c r="Z184" s="3">
        <f t="shared" si="42"/>
        <v>0</v>
      </c>
      <c r="AB184" s="3">
        <f t="shared" si="46"/>
        <v>0</v>
      </c>
      <c r="AC184" s="3">
        <f t="shared" si="43"/>
        <v>0</v>
      </c>
    </row>
    <row r="185" spans="1:29" x14ac:dyDescent="0.25">
      <c r="A185" s="6" t="s">
        <v>101</v>
      </c>
      <c r="B185" s="6">
        <v>380</v>
      </c>
      <c r="C185" s="6"/>
      <c r="D185" s="6"/>
      <c r="E185" s="6">
        <v>0.15</v>
      </c>
      <c r="F185" s="6"/>
      <c r="G185" s="6"/>
      <c r="H185" s="6"/>
      <c r="I185" s="6"/>
      <c r="J185" s="4">
        <f t="shared" si="49"/>
        <v>0</v>
      </c>
      <c r="K185" s="4">
        <f t="shared" si="44"/>
        <v>0</v>
      </c>
      <c r="L185" s="4">
        <f t="shared" si="50"/>
        <v>380</v>
      </c>
      <c r="M185" s="4">
        <f>IFERROR(VLOOKUP(I185,FuelTypes!$A$1:$B$32,2,FALSE)*J185,0)</f>
        <v>0</v>
      </c>
      <c r="N185" s="4">
        <f t="shared" si="51"/>
        <v>380</v>
      </c>
      <c r="O185" s="4">
        <f t="shared" si="52"/>
        <v>0</v>
      </c>
      <c r="P185" s="4" t="e">
        <f>VLOOKUP(I185, FuelTypes!$A$1:$R$12,17,FALSE)*J185</f>
        <v>#N/A</v>
      </c>
      <c r="Q185" s="4" t="e">
        <f>VLOOKUP(I185, FuelTypes!$A$1:$R$12,18,FALSE)*J185</f>
        <v>#N/A</v>
      </c>
      <c r="R185" s="4">
        <f t="shared" si="39"/>
        <v>0</v>
      </c>
      <c r="S185" s="4">
        <f t="shared" si="40"/>
        <v>0</v>
      </c>
      <c r="T185" s="4" t="e">
        <f t="shared" si="41"/>
        <v>#DIV/0!</v>
      </c>
      <c r="U185" s="4" t="e">
        <f t="shared" si="47"/>
        <v>#DIV/0!</v>
      </c>
      <c r="W185" s="3">
        <f>IFERROR(VLOOKUP(I185,FuelTypes!$A$2:$G$40,5,FALSE)*M185,0)</f>
        <v>0</v>
      </c>
      <c r="Y185" s="3">
        <f t="shared" si="45"/>
        <v>0</v>
      </c>
      <c r="Z185" s="3">
        <f t="shared" si="42"/>
        <v>0</v>
      </c>
      <c r="AB185" s="3">
        <f t="shared" si="46"/>
        <v>0</v>
      </c>
      <c r="AC185" s="3">
        <f t="shared" si="43"/>
        <v>0</v>
      </c>
    </row>
    <row r="186" spans="1:29" x14ac:dyDescent="0.25">
      <c r="A186" s="6" t="s">
        <v>134</v>
      </c>
      <c r="B186" s="6">
        <v>390</v>
      </c>
      <c r="C186" s="6"/>
      <c r="D186" s="6"/>
      <c r="E186" s="6">
        <v>0.15</v>
      </c>
      <c r="F186" s="6"/>
      <c r="G186" s="6"/>
      <c r="H186" s="6"/>
      <c r="I186" s="6"/>
      <c r="J186" s="4">
        <f t="shared" si="49"/>
        <v>0</v>
      </c>
      <c r="K186" s="4">
        <f t="shared" si="44"/>
        <v>0</v>
      </c>
      <c r="L186" s="4">
        <f t="shared" si="50"/>
        <v>390</v>
      </c>
      <c r="M186" s="4">
        <f>IFERROR(VLOOKUP(I186,FuelTypes!$A$1:$B$32,2,FALSE)*J186,0)</f>
        <v>0</v>
      </c>
      <c r="N186" s="4">
        <f t="shared" si="51"/>
        <v>390</v>
      </c>
      <c r="O186" s="4">
        <f t="shared" si="52"/>
        <v>0</v>
      </c>
      <c r="P186" s="4" t="e">
        <f>VLOOKUP(I186, FuelTypes!$A$1:$R$12,17,FALSE)*J186</f>
        <v>#N/A</v>
      </c>
      <c r="Q186" s="4" t="e">
        <f>VLOOKUP(I186, FuelTypes!$A$1:$R$12,18,FALSE)*J186</f>
        <v>#N/A</v>
      </c>
      <c r="R186" s="4">
        <f t="shared" si="39"/>
        <v>0</v>
      </c>
      <c r="S186" s="4">
        <f t="shared" si="40"/>
        <v>0</v>
      </c>
      <c r="T186" s="4" t="e">
        <f t="shared" si="41"/>
        <v>#DIV/0!</v>
      </c>
      <c r="U186" s="4" t="e">
        <f t="shared" si="47"/>
        <v>#DIV/0!</v>
      </c>
      <c r="W186" s="3">
        <f>IFERROR(VLOOKUP(I186,FuelTypes!$A$2:$G$40,5,FALSE)*M186,0)</f>
        <v>0</v>
      </c>
      <c r="Y186" s="3">
        <f t="shared" si="45"/>
        <v>0</v>
      </c>
      <c r="Z186" s="3">
        <f t="shared" si="42"/>
        <v>0</v>
      </c>
      <c r="AB186" s="3">
        <f t="shared" si="46"/>
        <v>0</v>
      </c>
      <c r="AC186" s="3">
        <f t="shared" si="43"/>
        <v>0</v>
      </c>
    </row>
    <row r="187" spans="1:29" x14ac:dyDescent="0.25">
      <c r="A187" s="6" t="s">
        <v>102</v>
      </c>
      <c r="B187" s="6">
        <v>400</v>
      </c>
      <c r="C187" s="6"/>
      <c r="D187" s="6"/>
      <c r="E187" s="6">
        <v>0.15</v>
      </c>
      <c r="F187" s="6"/>
      <c r="G187" s="6"/>
      <c r="H187" s="6"/>
      <c r="I187" s="6"/>
      <c r="J187" s="4">
        <f t="shared" si="49"/>
        <v>0</v>
      </c>
      <c r="K187" s="4">
        <f t="shared" si="44"/>
        <v>0</v>
      </c>
      <c r="L187" s="4">
        <f t="shared" si="50"/>
        <v>400</v>
      </c>
      <c r="M187" s="4">
        <f>IFERROR(VLOOKUP(I187,FuelTypes!$A$1:$B$32,2,FALSE)*J187,0)</f>
        <v>0</v>
      </c>
      <c r="N187" s="4">
        <f t="shared" si="51"/>
        <v>400</v>
      </c>
      <c r="O187" s="4">
        <f t="shared" si="52"/>
        <v>0</v>
      </c>
      <c r="P187" s="4" t="e">
        <f>VLOOKUP(I187, FuelTypes!$A$1:$R$12,17,FALSE)*J187</f>
        <v>#N/A</v>
      </c>
      <c r="Q187" s="4" t="e">
        <f>VLOOKUP(I187, FuelTypes!$A$1:$R$12,18,FALSE)*J187</f>
        <v>#N/A</v>
      </c>
      <c r="R187" s="4">
        <f t="shared" si="39"/>
        <v>0</v>
      </c>
      <c r="S187" s="4">
        <f t="shared" si="40"/>
        <v>0</v>
      </c>
      <c r="T187" s="4" t="e">
        <f t="shared" si="41"/>
        <v>#DIV/0!</v>
      </c>
      <c r="U187" s="4" t="e">
        <f t="shared" si="47"/>
        <v>#DIV/0!</v>
      </c>
      <c r="W187" s="3">
        <f>IFERROR(VLOOKUP(I187,FuelTypes!$A$2:$G$40,5,FALSE)*M187,0)</f>
        <v>0</v>
      </c>
      <c r="Y187" s="3">
        <f t="shared" si="45"/>
        <v>0</v>
      </c>
      <c r="Z187" s="3">
        <f t="shared" si="42"/>
        <v>0</v>
      </c>
      <c r="AB187" s="3">
        <f t="shared" si="46"/>
        <v>0</v>
      </c>
      <c r="AC187" s="3">
        <f t="shared" si="43"/>
        <v>0</v>
      </c>
    </row>
    <row r="188" spans="1:29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4">
        <f t="shared" si="49"/>
        <v>0</v>
      </c>
      <c r="K188" s="4">
        <f t="shared" si="44"/>
        <v>0</v>
      </c>
      <c r="L188" s="4">
        <f t="shared" si="50"/>
        <v>0</v>
      </c>
      <c r="M188" s="4">
        <f>IFERROR(VLOOKUP(I188,FuelTypes!$A$1:$B$32,2,FALSE)*J188,0)</f>
        <v>0</v>
      </c>
      <c r="N188" s="4">
        <f t="shared" si="51"/>
        <v>0</v>
      </c>
      <c r="O188" s="4">
        <f t="shared" si="52"/>
        <v>0</v>
      </c>
      <c r="P188" s="4" t="e">
        <f>VLOOKUP(I188, FuelTypes!$A$1:$R$12,17,FALSE)*J188</f>
        <v>#N/A</v>
      </c>
      <c r="Q188" s="4" t="e">
        <f>VLOOKUP(I188, FuelTypes!$A$1:$R$12,18,FALSE)*J188</f>
        <v>#N/A</v>
      </c>
      <c r="R188" s="4">
        <f t="shared" si="39"/>
        <v>0</v>
      </c>
      <c r="S188" s="4">
        <f t="shared" si="40"/>
        <v>0</v>
      </c>
      <c r="T188" s="4" t="e">
        <f t="shared" si="41"/>
        <v>#DIV/0!</v>
      </c>
      <c r="U188" s="4" t="e">
        <f t="shared" si="47"/>
        <v>#DIV/0!</v>
      </c>
      <c r="W188" s="3">
        <f>IFERROR(VLOOKUP(I188,FuelTypes!$A$2:$G$40,5,FALSE)*M188,0)</f>
        <v>0</v>
      </c>
      <c r="Y188" s="3">
        <f t="shared" si="45"/>
        <v>0</v>
      </c>
      <c r="Z188" s="3" t="e">
        <f t="shared" si="42"/>
        <v>#DIV/0!</v>
      </c>
      <c r="AB188" s="3">
        <f t="shared" si="46"/>
        <v>0</v>
      </c>
      <c r="AC188" s="3">
        <f t="shared" si="43"/>
        <v>0</v>
      </c>
    </row>
    <row r="189" spans="1:29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4">
        <f t="shared" si="49"/>
        <v>0</v>
      </c>
      <c r="K189" s="4">
        <f t="shared" si="44"/>
        <v>0</v>
      </c>
      <c r="L189" s="4">
        <f t="shared" si="50"/>
        <v>0</v>
      </c>
      <c r="M189" s="4">
        <f>IFERROR(VLOOKUP(I189,FuelTypes!$A$1:$B$32,2,FALSE)*J189,0)</f>
        <v>0</v>
      </c>
      <c r="N189" s="4">
        <f t="shared" si="51"/>
        <v>0</v>
      </c>
      <c r="O189" s="4">
        <f t="shared" si="52"/>
        <v>0</v>
      </c>
      <c r="P189" s="4" t="e">
        <f>VLOOKUP(I189, FuelTypes!$A$1:$R$12,17,FALSE)*J189</f>
        <v>#N/A</v>
      </c>
      <c r="Q189" s="4" t="e">
        <f>VLOOKUP(I189, FuelTypes!$A$1:$R$12,18,FALSE)*J189</f>
        <v>#N/A</v>
      </c>
      <c r="R189" s="4">
        <f t="shared" si="39"/>
        <v>0</v>
      </c>
      <c r="S189" s="4">
        <f t="shared" si="40"/>
        <v>0</v>
      </c>
      <c r="T189" s="4" t="e">
        <f t="shared" si="41"/>
        <v>#DIV/0!</v>
      </c>
      <c r="U189" s="4" t="e">
        <f t="shared" si="47"/>
        <v>#DIV/0!</v>
      </c>
      <c r="W189" s="3">
        <f>IFERROR(VLOOKUP(I189,FuelTypes!$A$2:$G$40,5,FALSE)*M189,0)</f>
        <v>0</v>
      </c>
      <c r="Y189" s="3">
        <f t="shared" si="45"/>
        <v>0</v>
      </c>
      <c r="Z189" s="3" t="e">
        <f t="shared" si="42"/>
        <v>#DIV/0!</v>
      </c>
      <c r="AB189" s="3">
        <f t="shared" si="46"/>
        <v>0</v>
      </c>
      <c r="AC189" s="3">
        <f t="shared" si="43"/>
        <v>0</v>
      </c>
    </row>
    <row r="190" spans="1:29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4">
        <f t="shared" si="49"/>
        <v>0</v>
      </c>
      <c r="K190" s="4">
        <f t="shared" si="44"/>
        <v>0</v>
      </c>
      <c r="L190" s="4">
        <f t="shared" si="50"/>
        <v>0</v>
      </c>
      <c r="M190" s="4">
        <f>IFERROR(VLOOKUP(I190,FuelTypes!$A$1:$B$32,2,FALSE)*J190,0)</f>
        <v>0</v>
      </c>
      <c r="N190" s="4">
        <f t="shared" si="51"/>
        <v>0</v>
      </c>
      <c r="O190" s="4">
        <f t="shared" si="52"/>
        <v>0</v>
      </c>
      <c r="P190" s="4" t="e">
        <f>VLOOKUP(I190, FuelTypes!$A$1:$R$12,17,FALSE)*J190</f>
        <v>#N/A</v>
      </c>
      <c r="Q190" s="4" t="e">
        <f>VLOOKUP(I190, FuelTypes!$A$1:$R$12,18,FALSE)*J190</f>
        <v>#N/A</v>
      </c>
      <c r="R190" s="4">
        <f t="shared" si="39"/>
        <v>0</v>
      </c>
      <c r="S190" s="4">
        <f t="shared" si="40"/>
        <v>0</v>
      </c>
      <c r="T190" s="4" t="e">
        <f t="shared" si="41"/>
        <v>#DIV/0!</v>
      </c>
      <c r="U190" s="4" t="e">
        <f t="shared" si="47"/>
        <v>#DIV/0!</v>
      </c>
      <c r="W190" s="3">
        <f>IFERROR(VLOOKUP(I190,FuelTypes!$A$2:$G$40,5,FALSE)*M190,0)</f>
        <v>0</v>
      </c>
      <c r="Y190" s="3">
        <f t="shared" si="45"/>
        <v>0</v>
      </c>
      <c r="Z190" s="3" t="e">
        <f t="shared" si="42"/>
        <v>#DIV/0!</v>
      </c>
      <c r="AB190" s="3">
        <f t="shared" si="46"/>
        <v>0</v>
      </c>
      <c r="AC190" s="3">
        <f t="shared" si="43"/>
        <v>0</v>
      </c>
    </row>
    <row r="191" spans="1:29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4">
        <f t="shared" si="49"/>
        <v>0</v>
      </c>
      <c r="K191" s="4">
        <f t="shared" si="44"/>
        <v>0</v>
      </c>
      <c r="L191" s="4">
        <f t="shared" si="50"/>
        <v>0</v>
      </c>
      <c r="M191" s="4">
        <f>IFERROR(VLOOKUP(I191,FuelTypes!$A$1:$B$32,2,FALSE)*J191,0)</f>
        <v>0</v>
      </c>
      <c r="N191" s="4">
        <f t="shared" si="51"/>
        <v>0</v>
      </c>
      <c r="O191" s="4">
        <f t="shared" si="52"/>
        <v>0</v>
      </c>
      <c r="P191" s="4" t="e">
        <f>VLOOKUP(I191, FuelTypes!$A$1:$R$12,17,FALSE)*J191</f>
        <v>#N/A</v>
      </c>
      <c r="Q191" s="4" t="e">
        <f>VLOOKUP(I191, FuelTypes!$A$1:$R$12,18,FALSE)*J191</f>
        <v>#N/A</v>
      </c>
      <c r="R191" s="4">
        <f t="shared" si="39"/>
        <v>0</v>
      </c>
      <c r="S191" s="4">
        <f t="shared" si="40"/>
        <v>0</v>
      </c>
      <c r="T191" s="4" t="e">
        <f t="shared" si="41"/>
        <v>#DIV/0!</v>
      </c>
      <c r="U191" s="4" t="e">
        <f t="shared" si="47"/>
        <v>#DIV/0!</v>
      </c>
      <c r="W191" s="3">
        <f>IFERROR(VLOOKUP(I191,FuelTypes!$A$2:$G$40,5,FALSE)*M191,0)</f>
        <v>0</v>
      </c>
      <c r="Y191" s="3">
        <f t="shared" si="45"/>
        <v>0</v>
      </c>
      <c r="Z191" s="3" t="e">
        <f t="shared" si="42"/>
        <v>#DIV/0!</v>
      </c>
      <c r="AB191" s="3">
        <f t="shared" si="46"/>
        <v>0</v>
      </c>
      <c r="AC191" s="3">
        <f t="shared" si="43"/>
        <v>0</v>
      </c>
    </row>
    <row r="192" spans="1:29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4">
        <f t="shared" si="49"/>
        <v>0</v>
      </c>
      <c r="K192" s="4">
        <f t="shared" si="44"/>
        <v>0</v>
      </c>
      <c r="L192" s="4">
        <f t="shared" si="50"/>
        <v>0</v>
      </c>
      <c r="M192" s="4">
        <f>IFERROR(VLOOKUP(I192,FuelTypes!$A$1:$B$32,2,FALSE)*J192,0)</f>
        <v>0</v>
      </c>
      <c r="N192" s="4">
        <f t="shared" si="51"/>
        <v>0</v>
      </c>
      <c r="O192" s="4">
        <f t="shared" si="52"/>
        <v>0</v>
      </c>
      <c r="P192" s="4" t="e">
        <f>VLOOKUP(I192, FuelTypes!$A$1:$R$12,17,FALSE)*J192</f>
        <v>#N/A</v>
      </c>
      <c r="Q192" s="4" t="e">
        <f>VLOOKUP(I192, FuelTypes!$A$1:$R$12,18,FALSE)*J192</f>
        <v>#N/A</v>
      </c>
      <c r="R192" s="4">
        <f t="shared" si="39"/>
        <v>0</v>
      </c>
      <c r="S192" s="4">
        <f t="shared" si="40"/>
        <v>0</v>
      </c>
      <c r="T192" s="4" t="e">
        <f t="shared" si="41"/>
        <v>#DIV/0!</v>
      </c>
      <c r="U192" s="4" t="e">
        <f t="shared" si="47"/>
        <v>#DIV/0!</v>
      </c>
      <c r="W192" s="3">
        <f>IFERROR(VLOOKUP(I192,FuelTypes!$A$2:$G$40,5,FALSE)*M192,0)</f>
        <v>0</v>
      </c>
      <c r="Y192" s="3">
        <f t="shared" si="45"/>
        <v>0</v>
      </c>
      <c r="Z192" s="3" t="e">
        <f t="shared" si="42"/>
        <v>#DIV/0!</v>
      </c>
      <c r="AB192" s="3">
        <f t="shared" si="46"/>
        <v>0</v>
      </c>
      <c r="AC192" s="3">
        <f t="shared" si="43"/>
        <v>0</v>
      </c>
    </row>
    <row r="193" spans="1:29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4">
        <f t="shared" si="49"/>
        <v>0</v>
      </c>
      <c r="K193" s="4">
        <f t="shared" si="44"/>
        <v>0</v>
      </c>
      <c r="L193" s="4">
        <f t="shared" si="50"/>
        <v>0</v>
      </c>
      <c r="M193" s="4">
        <f>IFERROR(VLOOKUP(I193,FuelTypes!$A$1:$B$32,2,FALSE)*J193,0)</f>
        <v>0</v>
      </c>
      <c r="N193" s="4">
        <f t="shared" si="51"/>
        <v>0</v>
      </c>
      <c r="O193" s="4">
        <f t="shared" si="52"/>
        <v>0</v>
      </c>
      <c r="P193" s="4" t="e">
        <f>VLOOKUP(I193, FuelTypes!$A$1:$R$12,17,FALSE)*J193</f>
        <v>#N/A</v>
      </c>
      <c r="Q193" s="4" t="e">
        <f>VLOOKUP(I193, FuelTypes!$A$1:$R$12,18,FALSE)*J193</f>
        <v>#N/A</v>
      </c>
      <c r="R193" s="4">
        <f t="shared" si="39"/>
        <v>0</v>
      </c>
      <c r="S193" s="4">
        <f t="shared" si="40"/>
        <v>0</v>
      </c>
      <c r="T193" s="4" t="e">
        <f t="shared" si="41"/>
        <v>#DIV/0!</v>
      </c>
      <c r="U193" s="4" t="e">
        <f t="shared" si="47"/>
        <v>#DIV/0!</v>
      </c>
      <c r="W193" s="3">
        <f>IFERROR(VLOOKUP(I193,FuelTypes!$A$2:$G$40,5,FALSE)*M193,0)</f>
        <v>0</v>
      </c>
      <c r="Y193" s="3">
        <f t="shared" si="45"/>
        <v>0</v>
      </c>
      <c r="Z193" s="3" t="e">
        <f t="shared" si="42"/>
        <v>#DIV/0!</v>
      </c>
      <c r="AB193" s="3">
        <f t="shared" si="46"/>
        <v>0</v>
      </c>
      <c r="AC193" s="3">
        <f t="shared" si="43"/>
        <v>0</v>
      </c>
    </row>
    <row r="194" spans="1:29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4">
        <f t="shared" si="49"/>
        <v>0</v>
      </c>
      <c r="K194" s="4">
        <f t="shared" si="44"/>
        <v>0</v>
      </c>
      <c r="L194" s="4">
        <f t="shared" si="50"/>
        <v>0</v>
      </c>
      <c r="M194" s="4">
        <f>IFERROR(VLOOKUP(I194,FuelTypes!$A$1:$B$32,2,FALSE)*J194,0)</f>
        <v>0</v>
      </c>
      <c r="N194" s="4">
        <f t="shared" si="51"/>
        <v>0</v>
      </c>
      <c r="O194" s="4">
        <f t="shared" si="52"/>
        <v>0</v>
      </c>
      <c r="P194" s="4" t="e">
        <f>VLOOKUP(I194, FuelTypes!$A$1:$R$12,17,FALSE)*J194</f>
        <v>#N/A</v>
      </c>
      <c r="Q194" s="4" t="e">
        <f>VLOOKUP(I194, FuelTypes!$A$1:$R$12,18,FALSE)*J194</f>
        <v>#N/A</v>
      </c>
      <c r="R194" s="4">
        <f t="shared" ref="R194:R257" si="53">IF(L194&gt;0, (G194*0.1)/N194,0)</f>
        <v>0</v>
      </c>
      <c r="S194" s="4">
        <f t="shared" ref="S194:S257" si="54">IFERROR(H194/G194*L194,0)</f>
        <v>0</v>
      </c>
      <c r="T194" s="4" t="e">
        <f t="shared" ref="T194:T257" si="55">G194 / (9.81 * F194)</f>
        <v>#DIV/0!</v>
      </c>
      <c r="U194" s="4" t="e">
        <f t="shared" si="47"/>
        <v>#DIV/0!</v>
      </c>
      <c r="W194" s="3">
        <f>IFERROR(VLOOKUP(I194,FuelTypes!$A$2:$G$40,5,FALSE)*M194,0)</f>
        <v>0</v>
      </c>
      <c r="Y194" s="3">
        <f t="shared" si="45"/>
        <v>0</v>
      </c>
      <c r="Z194" s="3" t="e">
        <f t="shared" ref="Z194:Z257" si="56">X194/L194</f>
        <v>#DIV/0!</v>
      </c>
      <c r="AB194" s="3">
        <f t="shared" si="46"/>
        <v>0</v>
      </c>
      <c r="AC194" s="3">
        <f t="shared" ref="AC194:AC257" si="57">IFERROR(M194/N194, 0)</f>
        <v>0</v>
      </c>
    </row>
    <row r="195" spans="1:29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4">
        <f t="shared" si="49"/>
        <v>0</v>
      </c>
      <c r="K195" s="4">
        <f t="shared" ref="K195:K258" si="58">E195*M195</f>
        <v>0</v>
      </c>
      <c r="L195" s="4">
        <f t="shared" si="50"/>
        <v>0</v>
      </c>
      <c r="M195" s="4">
        <f>IFERROR(VLOOKUP(I195,FuelTypes!$A$1:$B$32,2,FALSE)*J195,0)</f>
        <v>0</v>
      </c>
      <c r="N195" s="4">
        <f t="shared" si="51"/>
        <v>0</v>
      </c>
      <c r="O195" s="4">
        <f t="shared" si="52"/>
        <v>0</v>
      </c>
      <c r="P195" s="4" t="e">
        <f>VLOOKUP(I195, FuelTypes!$A$1:$R$12,17,FALSE)*J195</f>
        <v>#N/A</v>
      </c>
      <c r="Q195" s="4" t="e">
        <f>VLOOKUP(I195, FuelTypes!$A$1:$R$12,18,FALSE)*J195</f>
        <v>#N/A</v>
      </c>
      <c r="R195" s="4">
        <f t="shared" si="53"/>
        <v>0</v>
      </c>
      <c r="S195" s="4">
        <f t="shared" si="54"/>
        <v>0</v>
      </c>
      <c r="T195" s="4" t="e">
        <f t="shared" si="55"/>
        <v>#DIV/0!</v>
      </c>
      <c r="U195" s="4" t="e">
        <f t="shared" si="47"/>
        <v>#DIV/0!</v>
      </c>
      <c r="W195" s="3">
        <f>IFERROR(VLOOKUP(I195,FuelTypes!$A$2:$G$40,5,FALSE)*M195,0)</f>
        <v>0</v>
      </c>
      <c r="Y195" s="3">
        <f t="shared" ref="Y195:Y258" si="59">X195+W195</f>
        <v>0</v>
      </c>
      <c r="Z195" s="3" t="e">
        <f t="shared" si="56"/>
        <v>#DIV/0!</v>
      </c>
      <c r="AB195" s="3">
        <f t="shared" ref="AB195:AB258" si="60">IFERROR(M195/(M195+K195), 0)</f>
        <v>0</v>
      </c>
      <c r="AC195" s="3">
        <f t="shared" si="57"/>
        <v>0</v>
      </c>
    </row>
    <row r="196" spans="1:29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4">
        <f t="shared" si="49"/>
        <v>0</v>
      </c>
      <c r="K196" s="4">
        <f t="shared" si="58"/>
        <v>0</v>
      </c>
      <c r="L196" s="4">
        <f t="shared" si="50"/>
        <v>0</v>
      </c>
      <c r="M196" s="4">
        <f>IFERROR(VLOOKUP(I196,FuelTypes!$A$1:$B$32,2,FALSE)*J196,0)</f>
        <v>0</v>
      </c>
      <c r="N196" s="4">
        <f t="shared" si="51"/>
        <v>0</v>
      </c>
      <c r="O196" s="4">
        <f t="shared" si="52"/>
        <v>0</v>
      </c>
      <c r="P196" s="4" t="e">
        <f>VLOOKUP(I196, FuelTypes!$A$1:$R$12,17,FALSE)*J196</f>
        <v>#N/A</v>
      </c>
      <c r="Q196" s="4" t="e">
        <f>VLOOKUP(I196, FuelTypes!$A$1:$R$12,18,FALSE)*J196</f>
        <v>#N/A</v>
      </c>
      <c r="R196" s="4">
        <f t="shared" si="53"/>
        <v>0</v>
      </c>
      <c r="S196" s="4">
        <f t="shared" si="54"/>
        <v>0</v>
      </c>
      <c r="T196" s="4" t="e">
        <f t="shared" si="55"/>
        <v>#DIV/0!</v>
      </c>
      <c r="U196" s="4" t="e">
        <f t="shared" ref="U196:U259" si="61">M196/T196</f>
        <v>#DIV/0!</v>
      </c>
      <c r="W196" s="3">
        <f>IFERROR(VLOOKUP(I196,FuelTypes!$A$2:$G$40,5,FALSE)*M196,0)</f>
        <v>0</v>
      </c>
      <c r="Y196" s="3">
        <f t="shared" si="59"/>
        <v>0</v>
      </c>
      <c r="Z196" s="3" t="e">
        <f t="shared" si="56"/>
        <v>#DIV/0!</v>
      </c>
      <c r="AB196" s="3">
        <f t="shared" si="60"/>
        <v>0</v>
      </c>
      <c r="AC196" s="3">
        <f t="shared" si="57"/>
        <v>0</v>
      </c>
    </row>
    <row r="197" spans="1:29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4">
        <f t="shared" si="49"/>
        <v>0</v>
      </c>
      <c r="K197" s="4">
        <f t="shared" si="58"/>
        <v>0</v>
      </c>
      <c r="L197" s="4">
        <f t="shared" si="50"/>
        <v>0</v>
      </c>
      <c r="M197" s="4">
        <f>IFERROR(VLOOKUP(I197,FuelTypes!$A$1:$B$32,2,FALSE)*J197,0)</f>
        <v>0</v>
      </c>
      <c r="N197" s="4">
        <f t="shared" si="51"/>
        <v>0</v>
      </c>
      <c r="O197" s="4">
        <f t="shared" si="52"/>
        <v>0</v>
      </c>
      <c r="P197" s="4" t="e">
        <f>VLOOKUP(I197, FuelTypes!$A$1:$R$12,17,FALSE)*J197</f>
        <v>#N/A</v>
      </c>
      <c r="Q197" s="4" t="e">
        <f>VLOOKUP(I197, FuelTypes!$A$1:$R$12,18,FALSE)*J197</f>
        <v>#N/A</v>
      </c>
      <c r="R197" s="4">
        <f t="shared" si="53"/>
        <v>0</v>
      </c>
      <c r="S197" s="4">
        <f t="shared" si="54"/>
        <v>0</v>
      </c>
      <c r="T197" s="4" t="e">
        <f t="shared" si="55"/>
        <v>#DIV/0!</v>
      </c>
      <c r="U197" s="4" t="e">
        <f t="shared" si="61"/>
        <v>#DIV/0!</v>
      </c>
      <c r="W197" s="3">
        <f>IFERROR(VLOOKUP(I197,FuelTypes!$A$2:$G$40,5,FALSE)*M197,0)</f>
        <v>0</v>
      </c>
      <c r="Y197" s="3">
        <f t="shared" si="59"/>
        <v>0</v>
      </c>
      <c r="Z197" s="3" t="e">
        <f t="shared" si="56"/>
        <v>#DIV/0!</v>
      </c>
      <c r="AB197" s="3">
        <f t="shared" si="60"/>
        <v>0</v>
      </c>
      <c r="AC197" s="3">
        <f t="shared" si="57"/>
        <v>0</v>
      </c>
    </row>
    <row r="198" spans="1:29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4">
        <f t="shared" si="49"/>
        <v>0</v>
      </c>
      <c r="K198" s="4">
        <f t="shared" si="58"/>
        <v>0</v>
      </c>
      <c r="L198" s="4">
        <f t="shared" si="50"/>
        <v>0</v>
      </c>
      <c r="M198" s="4">
        <f>IFERROR(VLOOKUP(I198,FuelTypes!$A$1:$B$32,2,FALSE)*J198,0)</f>
        <v>0</v>
      </c>
      <c r="N198" s="4">
        <f t="shared" si="51"/>
        <v>0</v>
      </c>
      <c r="O198" s="4">
        <f t="shared" si="52"/>
        <v>0</v>
      </c>
      <c r="P198" s="4" t="e">
        <f>VLOOKUP(I198, FuelTypes!$A$1:$R$12,17,FALSE)*J198</f>
        <v>#N/A</v>
      </c>
      <c r="Q198" s="4" t="e">
        <f>VLOOKUP(I198, FuelTypes!$A$1:$R$12,18,FALSE)*J198</f>
        <v>#N/A</v>
      </c>
      <c r="R198" s="4">
        <f t="shared" si="53"/>
        <v>0</v>
      </c>
      <c r="S198" s="4">
        <f t="shared" si="54"/>
        <v>0</v>
      </c>
      <c r="T198" s="4" t="e">
        <f t="shared" si="55"/>
        <v>#DIV/0!</v>
      </c>
      <c r="U198" s="4" t="e">
        <f t="shared" si="61"/>
        <v>#DIV/0!</v>
      </c>
      <c r="W198" s="3">
        <f>IFERROR(VLOOKUP(I198,FuelTypes!$A$2:$G$40,5,FALSE)*M198,0)</f>
        <v>0</v>
      </c>
      <c r="Y198" s="3">
        <f t="shared" si="59"/>
        <v>0</v>
      </c>
      <c r="Z198" s="3" t="e">
        <f t="shared" si="56"/>
        <v>#DIV/0!</v>
      </c>
      <c r="AB198" s="3">
        <f t="shared" si="60"/>
        <v>0</v>
      </c>
      <c r="AC198" s="3">
        <f t="shared" si="57"/>
        <v>0</v>
      </c>
    </row>
    <row r="199" spans="1:29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4">
        <f t="shared" si="49"/>
        <v>0</v>
      </c>
      <c r="K199" s="4">
        <f t="shared" si="58"/>
        <v>0</v>
      </c>
      <c r="L199" s="4">
        <f t="shared" si="50"/>
        <v>0</v>
      </c>
      <c r="M199" s="4">
        <f>IFERROR(VLOOKUP(I199,FuelTypes!$A$1:$B$32,2,FALSE)*J199,0)</f>
        <v>0</v>
      </c>
      <c r="N199" s="4">
        <f t="shared" si="51"/>
        <v>0</v>
      </c>
      <c r="O199" s="4">
        <f t="shared" si="52"/>
        <v>0</v>
      </c>
      <c r="P199" s="4" t="e">
        <f>VLOOKUP(I199, FuelTypes!$A$1:$R$12,17,FALSE)*J199</f>
        <v>#N/A</v>
      </c>
      <c r="Q199" s="4" t="e">
        <f>VLOOKUP(I199, FuelTypes!$A$1:$R$12,18,FALSE)*J199</f>
        <v>#N/A</v>
      </c>
      <c r="R199" s="4">
        <f t="shared" si="53"/>
        <v>0</v>
      </c>
      <c r="S199" s="4">
        <f t="shared" si="54"/>
        <v>0</v>
      </c>
      <c r="T199" s="4" t="e">
        <f t="shared" si="55"/>
        <v>#DIV/0!</v>
      </c>
      <c r="U199" s="4" t="e">
        <f t="shared" si="61"/>
        <v>#DIV/0!</v>
      </c>
      <c r="W199" s="3">
        <f>IFERROR(VLOOKUP(I199,FuelTypes!$A$2:$G$40,5,FALSE)*M199,0)</f>
        <v>0</v>
      </c>
      <c r="Y199" s="3">
        <f t="shared" si="59"/>
        <v>0</v>
      </c>
      <c r="Z199" s="3" t="e">
        <f t="shared" si="56"/>
        <v>#DIV/0!</v>
      </c>
      <c r="AB199" s="3">
        <f t="shared" si="60"/>
        <v>0</v>
      </c>
      <c r="AC199" s="3">
        <f t="shared" si="57"/>
        <v>0</v>
      </c>
    </row>
    <row r="200" spans="1:29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4">
        <f t="shared" si="49"/>
        <v>0</v>
      </c>
      <c r="K200" s="4">
        <f t="shared" si="58"/>
        <v>0</v>
      </c>
      <c r="L200" s="4">
        <f t="shared" si="50"/>
        <v>0</v>
      </c>
      <c r="M200" s="4">
        <f>IFERROR(VLOOKUP(I200,FuelTypes!$A$1:$B$32,2,FALSE)*J200,0)</f>
        <v>0</v>
      </c>
      <c r="N200" s="4">
        <f t="shared" si="51"/>
        <v>0</v>
      </c>
      <c r="O200" s="4">
        <f t="shared" si="52"/>
        <v>0</v>
      </c>
      <c r="P200" s="4" t="e">
        <f>VLOOKUP(I200, FuelTypes!$A$1:$R$12,17,FALSE)*J200</f>
        <v>#N/A</v>
      </c>
      <c r="Q200" s="4" t="e">
        <f>VLOOKUP(I200, FuelTypes!$A$1:$R$12,18,FALSE)*J200</f>
        <v>#N/A</v>
      </c>
      <c r="R200" s="4">
        <f t="shared" si="53"/>
        <v>0</v>
      </c>
      <c r="S200" s="4">
        <f t="shared" si="54"/>
        <v>0</v>
      </c>
      <c r="T200" s="4" t="e">
        <f t="shared" si="55"/>
        <v>#DIV/0!</v>
      </c>
      <c r="U200" s="4" t="e">
        <f t="shared" si="61"/>
        <v>#DIV/0!</v>
      </c>
      <c r="W200" s="3">
        <f>IFERROR(VLOOKUP(I200,FuelTypes!$A$2:$G$40,5,FALSE)*M200,0)</f>
        <v>0</v>
      </c>
      <c r="Y200" s="3">
        <f t="shared" si="59"/>
        <v>0</v>
      </c>
      <c r="Z200" s="3" t="e">
        <f t="shared" si="56"/>
        <v>#DIV/0!</v>
      </c>
      <c r="AB200" s="3">
        <f t="shared" si="60"/>
        <v>0</v>
      </c>
      <c r="AC200" s="3">
        <f t="shared" si="57"/>
        <v>0</v>
      </c>
    </row>
    <row r="201" spans="1:29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4">
        <f t="shared" si="49"/>
        <v>0</v>
      </c>
      <c r="K201" s="4">
        <f t="shared" si="58"/>
        <v>0</v>
      </c>
      <c r="L201" s="4">
        <f t="shared" si="50"/>
        <v>0</v>
      </c>
      <c r="M201" s="4">
        <f>IFERROR(VLOOKUP(I201,FuelTypes!$A$1:$B$32,2,FALSE)*J201,0)</f>
        <v>0</v>
      </c>
      <c r="N201" s="4">
        <f t="shared" si="51"/>
        <v>0</v>
      </c>
      <c r="O201" s="4">
        <f t="shared" si="52"/>
        <v>0</v>
      </c>
      <c r="P201" s="4" t="e">
        <f>VLOOKUP(I201, FuelTypes!$A$1:$R$12,17,FALSE)*J201</f>
        <v>#N/A</v>
      </c>
      <c r="Q201" s="4" t="e">
        <f>VLOOKUP(I201, FuelTypes!$A$1:$R$12,18,FALSE)*J201</f>
        <v>#N/A</v>
      </c>
      <c r="R201" s="4">
        <f t="shared" si="53"/>
        <v>0</v>
      </c>
      <c r="S201" s="4">
        <f t="shared" si="54"/>
        <v>0</v>
      </c>
      <c r="T201" s="4" t="e">
        <f t="shared" si="55"/>
        <v>#DIV/0!</v>
      </c>
      <c r="U201" s="4" t="e">
        <f t="shared" si="61"/>
        <v>#DIV/0!</v>
      </c>
      <c r="W201" s="3">
        <f>IFERROR(VLOOKUP(I201,FuelTypes!$A$2:$G$40,5,FALSE)*M201,0)</f>
        <v>0</v>
      </c>
      <c r="Y201" s="3">
        <f t="shared" si="59"/>
        <v>0</v>
      </c>
      <c r="Z201" s="3" t="e">
        <f t="shared" si="56"/>
        <v>#DIV/0!</v>
      </c>
      <c r="AB201" s="3">
        <f t="shared" si="60"/>
        <v>0</v>
      </c>
      <c r="AC201" s="3">
        <f t="shared" si="57"/>
        <v>0</v>
      </c>
    </row>
    <row r="202" spans="1:29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4">
        <f t="shared" si="49"/>
        <v>0</v>
      </c>
      <c r="K202" s="4">
        <f t="shared" si="58"/>
        <v>0</v>
      </c>
      <c r="L202" s="4">
        <f t="shared" si="50"/>
        <v>0</v>
      </c>
      <c r="M202" s="4">
        <f>IFERROR(VLOOKUP(I202,FuelTypes!$A$1:$B$32,2,FALSE)*J202,0)</f>
        <v>0</v>
      </c>
      <c r="N202" s="4">
        <f t="shared" si="51"/>
        <v>0</v>
      </c>
      <c r="O202" s="4">
        <f t="shared" si="52"/>
        <v>0</v>
      </c>
      <c r="P202" s="4" t="e">
        <f>VLOOKUP(I202, FuelTypes!$A$1:$R$12,17,FALSE)*J202</f>
        <v>#N/A</v>
      </c>
      <c r="Q202" s="4" t="e">
        <f>VLOOKUP(I202, FuelTypes!$A$1:$R$12,18,FALSE)*J202</f>
        <v>#N/A</v>
      </c>
      <c r="R202" s="4">
        <f t="shared" si="53"/>
        <v>0</v>
      </c>
      <c r="S202" s="4">
        <f t="shared" si="54"/>
        <v>0</v>
      </c>
      <c r="T202" s="4" t="e">
        <f t="shared" si="55"/>
        <v>#DIV/0!</v>
      </c>
      <c r="U202" s="4" t="e">
        <f t="shared" si="61"/>
        <v>#DIV/0!</v>
      </c>
      <c r="W202" s="3">
        <f>IFERROR(VLOOKUP(I202,FuelTypes!$A$2:$G$40,5,FALSE)*M202,0)</f>
        <v>0</v>
      </c>
      <c r="Y202" s="3">
        <f t="shared" si="59"/>
        <v>0</v>
      </c>
      <c r="Z202" s="3" t="e">
        <f t="shared" si="56"/>
        <v>#DIV/0!</v>
      </c>
      <c r="AB202" s="3">
        <f t="shared" si="60"/>
        <v>0</v>
      </c>
      <c r="AC202" s="3">
        <f t="shared" si="57"/>
        <v>0</v>
      </c>
    </row>
    <row r="203" spans="1:29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4">
        <f t="shared" si="49"/>
        <v>0</v>
      </c>
      <c r="K203" s="4">
        <f t="shared" si="58"/>
        <v>0</v>
      </c>
      <c r="L203" s="4">
        <f t="shared" si="50"/>
        <v>0</v>
      </c>
      <c r="M203" s="4">
        <f>IFERROR(VLOOKUP(I203,FuelTypes!$A$1:$B$32,2,FALSE)*J203,0)</f>
        <v>0</v>
      </c>
      <c r="N203" s="4">
        <f t="shared" si="51"/>
        <v>0</v>
      </c>
      <c r="O203" s="4">
        <f t="shared" si="52"/>
        <v>0</v>
      </c>
      <c r="P203" s="4" t="e">
        <f>VLOOKUP(I203, FuelTypes!$A$1:$R$12,17,FALSE)*J203</f>
        <v>#N/A</v>
      </c>
      <c r="Q203" s="4" t="e">
        <f>VLOOKUP(I203, FuelTypes!$A$1:$R$12,18,FALSE)*J203</f>
        <v>#N/A</v>
      </c>
      <c r="R203" s="4">
        <f t="shared" si="53"/>
        <v>0</v>
      </c>
      <c r="S203" s="4">
        <f t="shared" si="54"/>
        <v>0</v>
      </c>
      <c r="T203" s="4" t="e">
        <f t="shared" si="55"/>
        <v>#DIV/0!</v>
      </c>
      <c r="U203" s="4" t="e">
        <f t="shared" si="61"/>
        <v>#DIV/0!</v>
      </c>
      <c r="W203" s="3">
        <f>IFERROR(VLOOKUP(I203,FuelTypes!$A$2:$G$40,5,FALSE)*M203,0)</f>
        <v>0</v>
      </c>
      <c r="Y203" s="3">
        <f t="shared" si="59"/>
        <v>0</v>
      </c>
      <c r="Z203" s="3" t="e">
        <f t="shared" si="56"/>
        <v>#DIV/0!</v>
      </c>
      <c r="AB203" s="3">
        <f t="shared" si="60"/>
        <v>0</v>
      </c>
      <c r="AC203" s="3">
        <f t="shared" si="57"/>
        <v>0</v>
      </c>
    </row>
    <row r="204" spans="1:29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4">
        <f t="shared" si="49"/>
        <v>0</v>
      </c>
      <c r="K204" s="4">
        <f t="shared" si="58"/>
        <v>0</v>
      </c>
      <c r="L204" s="4">
        <f t="shared" si="50"/>
        <v>0</v>
      </c>
      <c r="M204" s="4">
        <f>IFERROR(VLOOKUP(I204,FuelTypes!$A$1:$B$32,2,FALSE)*J204,0)</f>
        <v>0</v>
      </c>
      <c r="N204" s="4">
        <f t="shared" si="51"/>
        <v>0</v>
      </c>
      <c r="O204" s="4">
        <f t="shared" si="52"/>
        <v>0</v>
      </c>
      <c r="P204" s="4" t="e">
        <f>VLOOKUP(I204, FuelTypes!$A$1:$R$12,17,FALSE)*J204</f>
        <v>#N/A</v>
      </c>
      <c r="Q204" s="4" t="e">
        <f>VLOOKUP(I204, FuelTypes!$A$1:$R$12,18,FALSE)*J204</f>
        <v>#N/A</v>
      </c>
      <c r="R204" s="4">
        <f t="shared" si="53"/>
        <v>0</v>
      </c>
      <c r="S204" s="4">
        <f t="shared" si="54"/>
        <v>0</v>
      </c>
      <c r="T204" s="4" t="e">
        <f t="shared" si="55"/>
        <v>#DIV/0!</v>
      </c>
      <c r="U204" s="4" t="e">
        <f t="shared" si="61"/>
        <v>#DIV/0!</v>
      </c>
      <c r="W204" s="3">
        <f>IFERROR(VLOOKUP(I204,FuelTypes!$A$2:$G$40,5,FALSE)*M204,0)</f>
        <v>0</v>
      </c>
      <c r="Y204" s="3">
        <f t="shared" si="59"/>
        <v>0</v>
      </c>
      <c r="Z204" s="3" t="e">
        <f t="shared" si="56"/>
        <v>#DIV/0!</v>
      </c>
      <c r="AB204" s="3">
        <f t="shared" si="60"/>
        <v>0</v>
      </c>
      <c r="AC204" s="3">
        <f t="shared" si="57"/>
        <v>0</v>
      </c>
    </row>
    <row r="205" spans="1:29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4">
        <f t="shared" si="49"/>
        <v>0</v>
      </c>
      <c r="K205" s="4">
        <f t="shared" si="58"/>
        <v>0</v>
      </c>
      <c r="L205" s="4">
        <f t="shared" si="50"/>
        <v>0</v>
      </c>
      <c r="M205" s="4">
        <f>IFERROR(VLOOKUP(I205,FuelTypes!$A$1:$B$32,2,FALSE)*J205,0)</f>
        <v>0</v>
      </c>
      <c r="N205" s="4">
        <f t="shared" si="51"/>
        <v>0</v>
      </c>
      <c r="O205" s="4">
        <f t="shared" si="52"/>
        <v>0</v>
      </c>
      <c r="P205" s="4" t="e">
        <f>VLOOKUP(I205, FuelTypes!$A$1:$R$12,17,FALSE)*J205</f>
        <v>#N/A</v>
      </c>
      <c r="Q205" s="4" t="e">
        <f>VLOOKUP(I205, FuelTypes!$A$1:$R$12,18,FALSE)*J205</f>
        <v>#N/A</v>
      </c>
      <c r="R205" s="4">
        <f t="shared" si="53"/>
        <v>0</v>
      </c>
      <c r="S205" s="4">
        <f t="shared" si="54"/>
        <v>0</v>
      </c>
      <c r="T205" s="4" t="e">
        <f t="shared" si="55"/>
        <v>#DIV/0!</v>
      </c>
      <c r="U205" s="4" t="e">
        <f t="shared" si="61"/>
        <v>#DIV/0!</v>
      </c>
      <c r="W205" s="3">
        <f>IFERROR(VLOOKUP(I205,FuelTypes!$A$2:$G$40,5,FALSE)*M205,0)</f>
        <v>0</v>
      </c>
      <c r="Y205" s="3">
        <f t="shared" si="59"/>
        <v>0</v>
      </c>
      <c r="Z205" s="3" t="e">
        <f t="shared" si="56"/>
        <v>#DIV/0!</v>
      </c>
      <c r="AB205" s="3">
        <f t="shared" si="60"/>
        <v>0</v>
      </c>
      <c r="AC205" s="3">
        <f t="shared" si="57"/>
        <v>0</v>
      </c>
    </row>
    <row r="206" spans="1:29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4">
        <f t="shared" si="49"/>
        <v>0</v>
      </c>
      <c r="K206" s="4">
        <f t="shared" si="58"/>
        <v>0</v>
      </c>
      <c r="L206" s="4">
        <f t="shared" si="50"/>
        <v>0</v>
      </c>
      <c r="M206" s="4">
        <f>IFERROR(VLOOKUP(I206,FuelTypes!$A$1:$B$32,2,FALSE)*J206,0)</f>
        <v>0</v>
      </c>
      <c r="N206" s="4">
        <f t="shared" si="51"/>
        <v>0</v>
      </c>
      <c r="O206" s="4">
        <f t="shared" si="52"/>
        <v>0</v>
      </c>
      <c r="P206" s="4" t="e">
        <f>VLOOKUP(I206, FuelTypes!$A$1:$R$12,17,FALSE)*J206</f>
        <v>#N/A</v>
      </c>
      <c r="Q206" s="4" t="e">
        <f>VLOOKUP(I206, FuelTypes!$A$1:$R$12,18,FALSE)*J206</f>
        <v>#N/A</v>
      </c>
      <c r="R206" s="4">
        <f t="shared" si="53"/>
        <v>0</v>
      </c>
      <c r="S206" s="4">
        <f t="shared" si="54"/>
        <v>0</v>
      </c>
      <c r="T206" s="4" t="e">
        <f t="shared" si="55"/>
        <v>#DIV/0!</v>
      </c>
      <c r="U206" s="4" t="e">
        <f t="shared" si="61"/>
        <v>#DIV/0!</v>
      </c>
      <c r="W206" s="3">
        <f>IFERROR(VLOOKUP(I206,FuelTypes!$A$2:$G$40,5,FALSE)*M206,0)</f>
        <v>0</v>
      </c>
      <c r="Y206" s="3">
        <f t="shared" si="59"/>
        <v>0</v>
      </c>
      <c r="Z206" s="3" t="e">
        <f t="shared" si="56"/>
        <v>#DIV/0!</v>
      </c>
      <c r="AB206" s="3">
        <f t="shared" si="60"/>
        <v>0</v>
      </c>
      <c r="AC206" s="3">
        <f t="shared" si="57"/>
        <v>0</v>
      </c>
    </row>
    <row r="207" spans="1:29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4">
        <f t="shared" si="49"/>
        <v>0</v>
      </c>
      <c r="K207" s="4">
        <f t="shared" si="58"/>
        <v>0</v>
      </c>
      <c r="L207" s="4">
        <f t="shared" si="50"/>
        <v>0</v>
      </c>
      <c r="M207" s="4">
        <f>IFERROR(VLOOKUP(I207,FuelTypes!$A$1:$B$32,2,FALSE)*J207,0)</f>
        <v>0</v>
      </c>
      <c r="N207" s="4">
        <f t="shared" si="51"/>
        <v>0</v>
      </c>
      <c r="O207" s="4">
        <f t="shared" si="52"/>
        <v>0</v>
      </c>
      <c r="P207" s="4" t="e">
        <f>VLOOKUP(I207, FuelTypes!$A$1:$R$12,17,FALSE)*J207</f>
        <v>#N/A</v>
      </c>
      <c r="Q207" s="4" t="e">
        <f>VLOOKUP(I207, FuelTypes!$A$1:$R$12,18,FALSE)*J207</f>
        <v>#N/A</v>
      </c>
      <c r="R207" s="4">
        <f t="shared" si="53"/>
        <v>0</v>
      </c>
      <c r="S207" s="4">
        <f t="shared" si="54"/>
        <v>0</v>
      </c>
      <c r="T207" s="4" t="e">
        <f t="shared" si="55"/>
        <v>#DIV/0!</v>
      </c>
      <c r="U207" s="4" t="e">
        <f t="shared" si="61"/>
        <v>#DIV/0!</v>
      </c>
      <c r="W207" s="3">
        <f>IFERROR(VLOOKUP(I207,FuelTypes!$A$2:$G$40,5,FALSE)*M207,0)</f>
        <v>0</v>
      </c>
      <c r="Y207" s="3">
        <f t="shared" si="59"/>
        <v>0</v>
      </c>
      <c r="Z207" s="3" t="e">
        <f t="shared" si="56"/>
        <v>#DIV/0!</v>
      </c>
      <c r="AB207" s="3">
        <f t="shared" si="60"/>
        <v>0</v>
      </c>
      <c r="AC207" s="3">
        <f t="shared" si="57"/>
        <v>0</v>
      </c>
    </row>
    <row r="208" spans="1:29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4">
        <f t="shared" si="49"/>
        <v>0</v>
      </c>
      <c r="K208" s="4">
        <f t="shared" si="58"/>
        <v>0</v>
      </c>
      <c r="L208" s="4">
        <f t="shared" si="50"/>
        <v>0</v>
      </c>
      <c r="M208" s="4">
        <f>IFERROR(VLOOKUP(I208,FuelTypes!$A$1:$B$32,2,FALSE)*J208,0)</f>
        <v>0</v>
      </c>
      <c r="N208" s="4">
        <f t="shared" si="51"/>
        <v>0</v>
      </c>
      <c r="O208" s="4">
        <f t="shared" si="52"/>
        <v>0</v>
      </c>
      <c r="P208" s="4" t="e">
        <f>VLOOKUP(I208, FuelTypes!$A$1:$R$12,17,FALSE)*J208</f>
        <v>#N/A</v>
      </c>
      <c r="Q208" s="4" t="e">
        <f>VLOOKUP(I208, FuelTypes!$A$1:$R$12,18,FALSE)*J208</f>
        <v>#N/A</v>
      </c>
      <c r="R208" s="4">
        <f t="shared" si="53"/>
        <v>0</v>
      </c>
      <c r="S208" s="4">
        <f t="shared" si="54"/>
        <v>0</v>
      </c>
      <c r="T208" s="4" t="e">
        <f t="shared" si="55"/>
        <v>#DIV/0!</v>
      </c>
      <c r="U208" s="4" t="e">
        <f t="shared" si="61"/>
        <v>#DIV/0!</v>
      </c>
      <c r="W208" s="3">
        <f>IFERROR(VLOOKUP(I208,FuelTypes!$A$2:$G$40,5,FALSE)*M208,0)</f>
        <v>0</v>
      </c>
      <c r="Y208" s="3">
        <f t="shared" si="59"/>
        <v>0</v>
      </c>
      <c r="Z208" s="3" t="e">
        <f t="shared" si="56"/>
        <v>#DIV/0!</v>
      </c>
      <c r="AB208" s="3">
        <f t="shared" si="60"/>
        <v>0</v>
      </c>
      <c r="AC208" s="3">
        <f t="shared" si="57"/>
        <v>0</v>
      </c>
    </row>
    <row r="209" spans="1:29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4">
        <f t="shared" si="49"/>
        <v>0</v>
      </c>
      <c r="K209" s="4">
        <f t="shared" si="58"/>
        <v>0</v>
      </c>
      <c r="L209" s="4">
        <f t="shared" si="50"/>
        <v>0</v>
      </c>
      <c r="M209" s="4">
        <f>IFERROR(VLOOKUP(I209,FuelTypes!$A$1:$B$32,2,FALSE)*J209,0)</f>
        <v>0</v>
      </c>
      <c r="N209" s="4">
        <f t="shared" si="51"/>
        <v>0</v>
      </c>
      <c r="O209" s="4">
        <f t="shared" si="52"/>
        <v>0</v>
      </c>
      <c r="P209" s="4" t="e">
        <f>VLOOKUP(I209, FuelTypes!$A$1:$R$12,17,FALSE)*J209</f>
        <v>#N/A</v>
      </c>
      <c r="Q209" s="4" t="e">
        <f>VLOOKUP(I209, FuelTypes!$A$1:$R$12,18,FALSE)*J209</f>
        <v>#N/A</v>
      </c>
      <c r="R209" s="4">
        <f t="shared" si="53"/>
        <v>0</v>
      </c>
      <c r="S209" s="4">
        <f t="shared" si="54"/>
        <v>0</v>
      </c>
      <c r="T209" s="4" t="e">
        <f t="shared" si="55"/>
        <v>#DIV/0!</v>
      </c>
      <c r="U209" s="4" t="e">
        <f t="shared" si="61"/>
        <v>#DIV/0!</v>
      </c>
      <c r="W209" s="3">
        <f>IFERROR(VLOOKUP(I209,FuelTypes!$A$2:$G$40,5,FALSE)*M209,0)</f>
        <v>0</v>
      </c>
      <c r="Y209" s="3">
        <f t="shared" si="59"/>
        <v>0</v>
      </c>
      <c r="Z209" s="3" t="e">
        <f t="shared" si="56"/>
        <v>#DIV/0!</v>
      </c>
      <c r="AB209" s="3">
        <f t="shared" si="60"/>
        <v>0</v>
      </c>
      <c r="AC209" s="3">
        <f t="shared" si="57"/>
        <v>0</v>
      </c>
    </row>
    <row r="210" spans="1:29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4">
        <f t="shared" si="49"/>
        <v>0</v>
      </c>
      <c r="K210" s="4">
        <f t="shared" si="58"/>
        <v>0</v>
      </c>
      <c r="L210" s="4">
        <f t="shared" si="50"/>
        <v>0</v>
      </c>
      <c r="M210" s="4">
        <f>IFERROR(VLOOKUP(I210,FuelTypes!$A$1:$B$32,2,FALSE)*J210,0)</f>
        <v>0</v>
      </c>
      <c r="N210" s="4">
        <f t="shared" si="51"/>
        <v>0</v>
      </c>
      <c r="O210" s="4">
        <f t="shared" si="52"/>
        <v>0</v>
      </c>
      <c r="P210" s="4" t="e">
        <f>VLOOKUP(I210, FuelTypes!$A$1:$R$12,17,FALSE)*J210</f>
        <v>#N/A</v>
      </c>
      <c r="Q210" s="4" t="e">
        <f>VLOOKUP(I210, FuelTypes!$A$1:$R$12,18,FALSE)*J210</f>
        <v>#N/A</v>
      </c>
      <c r="R210" s="4">
        <f t="shared" si="53"/>
        <v>0</v>
      </c>
      <c r="S210" s="4">
        <f t="shared" si="54"/>
        <v>0</v>
      </c>
      <c r="T210" s="4" t="e">
        <f t="shared" si="55"/>
        <v>#DIV/0!</v>
      </c>
      <c r="U210" s="4" t="e">
        <f t="shared" si="61"/>
        <v>#DIV/0!</v>
      </c>
      <c r="W210" s="3">
        <f>IFERROR(VLOOKUP(I210,FuelTypes!$A$2:$G$40,5,FALSE)*M210,0)</f>
        <v>0</v>
      </c>
      <c r="Y210" s="3">
        <f t="shared" si="59"/>
        <v>0</v>
      </c>
      <c r="Z210" s="3" t="e">
        <f t="shared" si="56"/>
        <v>#DIV/0!</v>
      </c>
      <c r="AB210" s="3">
        <f t="shared" si="60"/>
        <v>0</v>
      </c>
      <c r="AC210" s="3">
        <f t="shared" si="57"/>
        <v>0</v>
      </c>
    </row>
    <row r="211" spans="1:29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4">
        <f t="shared" si="49"/>
        <v>0</v>
      </c>
      <c r="K211" s="4">
        <f t="shared" si="58"/>
        <v>0</v>
      </c>
      <c r="L211" s="4">
        <f t="shared" si="50"/>
        <v>0</v>
      </c>
      <c r="M211" s="4">
        <f>IFERROR(VLOOKUP(I211,FuelTypes!$A$1:$B$32,2,FALSE)*J211,0)</f>
        <v>0</v>
      </c>
      <c r="N211" s="4">
        <f t="shared" si="51"/>
        <v>0</v>
      </c>
      <c r="O211" s="4">
        <f t="shared" si="52"/>
        <v>0</v>
      </c>
      <c r="P211" s="4" t="e">
        <f>VLOOKUP(I211, FuelTypes!$A$1:$R$12,17,FALSE)*J211</f>
        <v>#N/A</v>
      </c>
      <c r="Q211" s="4" t="e">
        <f>VLOOKUP(I211, FuelTypes!$A$1:$R$12,18,FALSE)*J211</f>
        <v>#N/A</v>
      </c>
      <c r="R211" s="4">
        <f t="shared" si="53"/>
        <v>0</v>
      </c>
      <c r="S211" s="4">
        <f t="shared" si="54"/>
        <v>0</v>
      </c>
      <c r="T211" s="4" t="e">
        <f t="shared" si="55"/>
        <v>#DIV/0!</v>
      </c>
      <c r="U211" s="4" t="e">
        <f t="shared" si="61"/>
        <v>#DIV/0!</v>
      </c>
      <c r="W211" s="3">
        <f>IFERROR(VLOOKUP(I211,FuelTypes!$A$2:$G$40,5,FALSE)*M211,0)</f>
        <v>0</v>
      </c>
      <c r="Y211" s="3">
        <f t="shared" si="59"/>
        <v>0</v>
      </c>
      <c r="Z211" s="3" t="e">
        <f t="shared" si="56"/>
        <v>#DIV/0!</v>
      </c>
      <c r="AB211" s="3">
        <f t="shared" si="60"/>
        <v>0</v>
      </c>
      <c r="AC211" s="3">
        <f t="shared" si="57"/>
        <v>0</v>
      </c>
    </row>
    <row r="212" spans="1:29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4">
        <f t="shared" si="49"/>
        <v>0</v>
      </c>
      <c r="K212" s="4">
        <f t="shared" si="58"/>
        <v>0</v>
      </c>
      <c r="L212" s="4">
        <f t="shared" si="50"/>
        <v>0</v>
      </c>
      <c r="M212" s="4">
        <f>IFERROR(VLOOKUP(I212,FuelTypes!$A$1:$B$32,2,FALSE)*J212,0)</f>
        <v>0</v>
      </c>
      <c r="N212" s="4">
        <f t="shared" si="51"/>
        <v>0</v>
      </c>
      <c r="O212" s="4">
        <f t="shared" si="52"/>
        <v>0</v>
      </c>
      <c r="P212" s="4" t="e">
        <f>VLOOKUP(I212, FuelTypes!$A$1:$R$12,17,FALSE)*J212</f>
        <v>#N/A</v>
      </c>
      <c r="Q212" s="4" t="e">
        <f>VLOOKUP(I212, FuelTypes!$A$1:$R$12,18,FALSE)*J212</f>
        <v>#N/A</v>
      </c>
      <c r="R212" s="4">
        <f t="shared" si="53"/>
        <v>0</v>
      </c>
      <c r="S212" s="4">
        <f t="shared" si="54"/>
        <v>0</v>
      </c>
      <c r="T212" s="4" t="e">
        <f t="shared" si="55"/>
        <v>#DIV/0!</v>
      </c>
      <c r="U212" s="4" t="e">
        <f t="shared" si="61"/>
        <v>#DIV/0!</v>
      </c>
      <c r="W212" s="3">
        <f>IFERROR(VLOOKUP(I212,FuelTypes!$A$2:$G$40,5,FALSE)*M212,0)</f>
        <v>0</v>
      </c>
      <c r="Y212" s="3">
        <f t="shared" si="59"/>
        <v>0</v>
      </c>
      <c r="Z212" s="3" t="e">
        <f t="shared" si="56"/>
        <v>#DIV/0!</v>
      </c>
      <c r="AB212" s="3">
        <f t="shared" si="60"/>
        <v>0</v>
      </c>
      <c r="AC212" s="3">
        <f t="shared" si="57"/>
        <v>0</v>
      </c>
    </row>
    <row r="213" spans="1:29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4">
        <f t="shared" si="49"/>
        <v>0</v>
      </c>
      <c r="K213" s="4">
        <f t="shared" si="58"/>
        <v>0</v>
      </c>
      <c r="L213" s="4">
        <f t="shared" si="50"/>
        <v>0</v>
      </c>
      <c r="M213" s="4">
        <f>IFERROR(VLOOKUP(I213,FuelTypes!$A$1:$B$32,2,FALSE)*J213,0)</f>
        <v>0</v>
      </c>
      <c r="N213" s="4">
        <f t="shared" si="51"/>
        <v>0</v>
      </c>
      <c r="O213" s="4">
        <f t="shared" si="52"/>
        <v>0</v>
      </c>
      <c r="P213" s="4" t="e">
        <f>VLOOKUP(I213, FuelTypes!$A$1:$R$12,17,FALSE)*J213</f>
        <v>#N/A</v>
      </c>
      <c r="Q213" s="4" t="e">
        <f>VLOOKUP(I213, FuelTypes!$A$1:$R$12,18,FALSE)*J213</f>
        <v>#N/A</v>
      </c>
      <c r="R213" s="4">
        <f t="shared" si="53"/>
        <v>0</v>
      </c>
      <c r="S213" s="4">
        <f t="shared" si="54"/>
        <v>0</v>
      </c>
      <c r="T213" s="4" t="e">
        <f t="shared" si="55"/>
        <v>#DIV/0!</v>
      </c>
      <c r="U213" s="4" t="e">
        <f t="shared" si="61"/>
        <v>#DIV/0!</v>
      </c>
      <c r="W213" s="3">
        <f>IFERROR(VLOOKUP(I213,FuelTypes!$A$2:$G$40,5,FALSE)*M213,0)</f>
        <v>0</v>
      </c>
      <c r="Y213" s="3">
        <f t="shared" si="59"/>
        <v>0</v>
      </c>
      <c r="Z213" s="3" t="e">
        <f t="shared" si="56"/>
        <v>#DIV/0!</v>
      </c>
      <c r="AB213" s="3">
        <f t="shared" si="60"/>
        <v>0</v>
      </c>
      <c r="AC213" s="3">
        <f t="shared" si="57"/>
        <v>0</v>
      </c>
    </row>
    <row r="214" spans="1:29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4">
        <f t="shared" si="49"/>
        <v>0</v>
      </c>
      <c r="K214" s="4">
        <f t="shared" si="58"/>
        <v>0</v>
      </c>
      <c r="L214" s="4">
        <f t="shared" si="50"/>
        <v>0</v>
      </c>
      <c r="M214" s="4">
        <f>IFERROR(VLOOKUP(I214,FuelTypes!$A$1:$B$32,2,FALSE)*J214,0)</f>
        <v>0</v>
      </c>
      <c r="N214" s="4">
        <f t="shared" si="51"/>
        <v>0</v>
      </c>
      <c r="O214" s="4">
        <f t="shared" si="52"/>
        <v>0</v>
      </c>
      <c r="P214" s="4" t="e">
        <f>VLOOKUP(I214, FuelTypes!$A$1:$R$12,17,FALSE)*J214</f>
        <v>#N/A</v>
      </c>
      <c r="Q214" s="4" t="e">
        <f>VLOOKUP(I214, FuelTypes!$A$1:$R$12,18,FALSE)*J214</f>
        <v>#N/A</v>
      </c>
      <c r="R214" s="4">
        <f t="shared" si="53"/>
        <v>0</v>
      </c>
      <c r="S214" s="4">
        <f t="shared" si="54"/>
        <v>0</v>
      </c>
      <c r="T214" s="4" t="e">
        <f t="shared" si="55"/>
        <v>#DIV/0!</v>
      </c>
      <c r="U214" s="4" t="e">
        <f t="shared" si="61"/>
        <v>#DIV/0!</v>
      </c>
      <c r="W214" s="3">
        <f>IFERROR(VLOOKUP(I214,FuelTypes!$A$2:$G$40,5,FALSE)*M214,0)</f>
        <v>0</v>
      </c>
      <c r="Y214" s="3">
        <f t="shared" si="59"/>
        <v>0</v>
      </c>
      <c r="Z214" s="3" t="e">
        <f t="shared" si="56"/>
        <v>#DIV/0!</v>
      </c>
      <c r="AB214" s="3">
        <f t="shared" si="60"/>
        <v>0</v>
      </c>
      <c r="AC214" s="3">
        <f t="shared" si="57"/>
        <v>0</v>
      </c>
    </row>
    <row r="215" spans="1:29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4">
        <f t="shared" ref="J215:J278" si="62">C215 - (D215*C215)</f>
        <v>0</v>
      </c>
      <c r="K215" s="4">
        <f t="shared" si="58"/>
        <v>0</v>
      </c>
      <c r="L215" s="4">
        <f t="shared" ref="L215:L278" si="63">K215+B215</f>
        <v>0</v>
      </c>
      <c r="M215" s="4">
        <f>IFERROR(VLOOKUP(I215,FuelTypes!$A$1:$B$32,2,FALSE)*J215,0)</f>
        <v>0</v>
      </c>
      <c r="N215" s="4">
        <f t="shared" ref="N215:N278" si="64">L215+M215</f>
        <v>0</v>
      </c>
      <c r="O215" s="4">
        <f t="shared" ref="O215:O278" si="65">IF(M215&gt;0, M215/N215,0)</f>
        <v>0</v>
      </c>
      <c r="P215" s="4" t="e">
        <f>VLOOKUP(I215, FuelTypes!$A$1:$R$12,17,FALSE)*J215</f>
        <v>#N/A</v>
      </c>
      <c r="Q215" s="4" t="e">
        <f>VLOOKUP(I215, FuelTypes!$A$1:$R$12,18,FALSE)*J215</f>
        <v>#N/A</v>
      </c>
      <c r="R215" s="4">
        <f t="shared" si="53"/>
        <v>0</v>
      </c>
      <c r="S215" s="4">
        <f t="shared" si="54"/>
        <v>0</v>
      </c>
      <c r="T215" s="4" t="e">
        <f t="shared" si="55"/>
        <v>#DIV/0!</v>
      </c>
      <c r="U215" s="4" t="e">
        <f t="shared" si="61"/>
        <v>#DIV/0!</v>
      </c>
      <c r="W215" s="3">
        <f>IFERROR(VLOOKUP(I215,FuelTypes!$A$2:$G$40,5,FALSE)*M215,0)</f>
        <v>0</v>
      </c>
      <c r="Y215" s="3">
        <f t="shared" si="59"/>
        <v>0</v>
      </c>
      <c r="Z215" s="3" t="e">
        <f t="shared" si="56"/>
        <v>#DIV/0!</v>
      </c>
      <c r="AB215" s="3">
        <f t="shared" si="60"/>
        <v>0</v>
      </c>
      <c r="AC215" s="3">
        <f t="shared" si="57"/>
        <v>0</v>
      </c>
    </row>
    <row r="216" spans="1:29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4">
        <f t="shared" si="62"/>
        <v>0</v>
      </c>
      <c r="K216" s="4">
        <f t="shared" si="58"/>
        <v>0</v>
      </c>
      <c r="L216" s="4">
        <f t="shared" si="63"/>
        <v>0</v>
      </c>
      <c r="M216" s="4">
        <f>IFERROR(VLOOKUP(I216,FuelTypes!$A$1:$B$32,2,FALSE)*J216,0)</f>
        <v>0</v>
      </c>
      <c r="N216" s="4">
        <f t="shared" si="64"/>
        <v>0</v>
      </c>
      <c r="O216" s="4">
        <f t="shared" si="65"/>
        <v>0</v>
      </c>
      <c r="P216" s="4" t="e">
        <f>VLOOKUP(I216, FuelTypes!$A$1:$R$12,17,FALSE)*J216</f>
        <v>#N/A</v>
      </c>
      <c r="Q216" s="4" t="e">
        <f>VLOOKUP(I216, FuelTypes!$A$1:$R$12,18,FALSE)*J216</f>
        <v>#N/A</v>
      </c>
      <c r="R216" s="4">
        <f t="shared" si="53"/>
        <v>0</v>
      </c>
      <c r="S216" s="4">
        <f t="shared" si="54"/>
        <v>0</v>
      </c>
      <c r="T216" s="4" t="e">
        <f t="shared" si="55"/>
        <v>#DIV/0!</v>
      </c>
      <c r="U216" s="4" t="e">
        <f t="shared" si="61"/>
        <v>#DIV/0!</v>
      </c>
      <c r="W216" s="3">
        <f>IFERROR(VLOOKUP(I216,FuelTypes!$A$2:$G$40,5,FALSE)*M216,0)</f>
        <v>0</v>
      </c>
      <c r="Y216" s="3">
        <f t="shared" si="59"/>
        <v>0</v>
      </c>
      <c r="Z216" s="3" t="e">
        <f t="shared" si="56"/>
        <v>#DIV/0!</v>
      </c>
      <c r="AB216" s="3">
        <f t="shared" si="60"/>
        <v>0</v>
      </c>
      <c r="AC216" s="3">
        <f t="shared" si="57"/>
        <v>0</v>
      </c>
    </row>
    <row r="217" spans="1:29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4">
        <f t="shared" si="62"/>
        <v>0</v>
      </c>
      <c r="K217" s="4">
        <f t="shared" si="58"/>
        <v>0</v>
      </c>
      <c r="L217" s="4">
        <f t="shared" si="63"/>
        <v>0</v>
      </c>
      <c r="M217" s="4">
        <f>IFERROR(VLOOKUP(I217,FuelTypes!$A$1:$B$32,2,FALSE)*J217,0)</f>
        <v>0</v>
      </c>
      <c r="N217" s="4">
        <f t="shared" si="64"/>
        <v>0</v>
      </c>
      <c r="O217" s="4">
        <f t="shared" si="65"/>
        <v>0</v>
      </c>
      <c r="P217" s="4" t="e">
        <f>VLOOKUP(I217, FuelTypes!$A$1:$R$12,17,FALSE)*J217</f>
        <v>#N/A</v>
      </c>
      <c r="Q217" s="4" t="e">
        <f>VLOOKUP(I217, FuelTypes!$A$1:$R$12,18,FALSE)*J217</f>
        <v>#N/A</v>
      </c>
      <c r="R217" s="4">
        <f t="shared" si="53"/>
        <v>0</v>
      </c>
      <c r="S217" s="4">
        <f t="shared" si="54"/>
        <v>0</v>
      </c>
      <c r="T217" s="4" t="e">
        <f t="shared" si="55"/>
        <v>#DIV/0!</v>
      </c>
      <c r="U217" s="4" t="e">
        <f t="shared" si="61"/>
        <v>#DIV/0!</v>
      </c>
      <c r="W217" s="3">
        <f>IFERROR(VLOOKUP(I217,FuelTypes!$A$2:$G$40,5,FALSE)*M217,0)</f>
        <v>0</v>
      </c>
      <c r="Y217" s="3">
        <f t="shared" si="59"/>
        <v>0</v>
      </c>
      <c r="Z217" s="3" t="e">
        <f t="shared" si="56"/>
        <v>#DIV/0!</v>
      </c>
      <c r="AB217" s="3">
        <f t="shared" si="60"/>
        <v>0</v>
      </c>
      <c r="AC217" s="3">
        <f t="shared" si="57"/>
        <v>0</v>
      </c>
    </row>
    <row r="218" spans="1:29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4">
        <f t="shared" si="62"/>
        <v>0</v>
      </c>
      <c r="K218" s="4">
        <f t="shared" si="58"/>
        <v>0</v>
      </c>
      <c r="L218" s="4">
        <f t="shared" si="63"/>
        <v>0</v>
      </c>
      <c r="M218" s="4">
        <f>IFERROR(VLOOKUP(I218,FuelTypes!$A$1:$B$32,2,FALSE)*J218,0)</f>
        <v>0</v>
      </c>
      <c r="N218" s="4">
        <f t="shared" si="64"/>
        <v>0</v>
      </c>
      <c r="O218" s="4">
        <f t="shared" si="65"/>
        <v>0</v>
      </c>
      <c r="P218" s="4" t="e">
        <f>VLOOKUP(I218, FuelTypes!$A$1:$R$12,17,FALSE)*J218</f>
        <v>#N/A</v>
      </c>
      <c r="Q218" s="4" t="e">
        <f>VLOOKUP(I218, FuelTypes!$A$1:$R$12,18,FALSE)*J218</f>
        <v>#N/A</v>
      </c>
      <c r="R218" s="4">
        <f t="shared" si="53"/>
        <v>0</v>
      </c>
      <c r="S218" s="4">
        <f t="shared" si="54"/>
        <v>0</v>
      </c>
      <c r="T218" s="4" t="e">
        <f t="shared" si="55"/>
        <v>#DIV/0!</v>
      </c>
      <c r="U218" s="4" t="e">
        <f t="shared" si="61"/>
        <v>#DIV/0!</v>
      </c>
      <c r="W218" s="3">
        <f>IFERROR(VLOOKUP(I218,FuelTypes!$A$2:$G$40,5,FALSE)*M218,0)</f>
        <v>0</v>
      </c>
      <c r="Y218" s="3">
        <f t="shared" si="59"/>
        <v>0</v>
      </c>
      <c r="Z218" s="3" t="e">
        <f t="shared" si="56"/>
        <v>#DIV/0!</v>
      </c>
      <c r="AB218" s="3">
        <f t="shared" si="60"/>
        <v>0</v>
      </c>
      <c r="AC218" s="3">
        <f t="shared" si="57"/>
        <v>0</v>
      </c>
    </row>
    <row r="219" spans="1:29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4">
        <f t="shared" si="62"/>
        <v>0</v>
      </c>
      <c r="K219" s="4">
        <f t="shared" si="58"/>
        <v>0</v>
      </c>
      <c r="L219" s="4">
        <f t="shared" si="63"/>
        <v>0</v>
      </c>
      <c r="M219" s="4">
        <f>IFERROR(VLOOKUP(I219,FuelTypes!$A$1:$B$32,2,FALSE)*J219,0)</f>
        <v>0</v>
      </c>
      <c r="N219" s="4">
        <f t="shared" si="64"/>
        <v>0</v>
      </c>
      <c r="O219" s="4">
        <f t="shared" si="65"/>
        <v>0</v>
      </c>
      <c r="P219" s="4" t="e">
        <f>VLOOKUP(I219, FuelTypes!$A$1:$R$12,17,FALSE)*J219</f>
        <v>#N/A</v>
      </c>
      <c r="Q219" s="4" t="e">
        <f>VLOOKUP(I219, FuelTypes!$A$1:$R$12,18,FALSE)*J219</f>
        <v>#N/A</v>
      </c>
      <c r="R219" s="4">
        <f t="shared" si="53"/>
        <v>0</v>
      </c>
      <c r="S219" s="4">
        <f t="shared" si="54"/>
        <v>0</v>
      </c>
      <c r="T219" s="4" t="e">
        <f t="shared" si="55"/>
        <v>#DIV/0!</v>
      </c>
      <c r="U219" s="4" t="e">
        <f t="shared" si="61"/>
        <v>#DIV/0!</v>
      </c>
      <c r="W219" s="3">
        <f>IFERROR(VLOOKUP(I219,FuelTypes!$A$2:$G$40,5,FALSE)*M219,0)</f>
        <v>0</v>
      </c>
      <c r="Y219" s="3">
        <f t="shared" si="59"/>
        <v>0</v>
      </c>
      <c r="Z219" s="3" t="e">
        <f t="shared" si="56"/>
        <v>#DIV/0!</v>
      </c>
      <c r="AB219" s="3">
        <f t="shared" si="60"/>
        <v>0</v>
      </c>
      <c r="AC219" s="3">
        <f t="shared" si="57"/>
        <v>0</v>
      </c>
    </row>
    <row r="220" spans="1:29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4">
        <f t="shared" si="62"/>
        <v>0</v>
      </c>
      <c r="K220" s="4">
        <f t="shared" si="58"/>
        <v>0</v>
      </c>
      <c r="L220" s="4">
        <f t="shared" si="63"/>
        <v>0</v>
      </c>
      <c r="M220" s="4">
        <f>IFERROR(VLOOKUP(I220,FuelTypes!$A$1:$B$32,2,FALSE)*J220,0)</f>
        <v>0</v>
      </c>
      <c r="N220" s="4">
        <f t="shared" si="64"/>
        <v>0</v>
      </c>
      <c r="O220" s="4">
        <f t="shared" si="65"/>
        <v>0</v>
      </c>
      <c r="P220" s="4" t="e">
        <f>VLOOKUP(I220, FuelTypes!$A$1:$R$12,17,FALSE)*J220</f>
        <v>#N/A</v>
      </c>
      <c r="Q220" s="4" t="e">
        <f>VLOOKUP(I220, FuelTypes!$A$1:$R$12,18,FALSE)*J220</f>
        <v>#N/A</v>
      </c>
      <c r="R220" s="4">
        <f t="shared" si="53"/>
        <v>0</v>
      </c>
      <c r="S220" s="4">
        <f t="shared" si="54"/>
        <v>0</v>
      </c>
      <c r="T220" s="4" t="e">
        <f t="shared" si="55"/>
        <v>#DIV/0!</v>
      </c>
      <c r="U220" s="4" t="e">
        <f t="shared" si="61"/>
        <v>#DIV/0!</v>
      </c>
      <c r="W220" s="3">
        <f>IFERROR(VLOOKUP(I220,FuelTypes!$A$2:$G$40,5,FALSE)*M220,0)</f>
        <v>0</v>
      </c>
      <c r="Y220" s="3">
        <f t="shared" si="59"/>
        <v>0</v>
      </c>
      <c r="Z220" s="3" t="e">
        <f t="shared" si="56"/>
        <v>#DIV/0!</v>
      </c>
      <c r="AB220" s="3">
        <f t="shared" si="60"/>
        <v>0</v>
      </c>
      <c r="AC220" s="3">
        <f t="shared" si="57"/>
        <v>0</v>
      </c>
    </row>
    <row r="221" spans="1:29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4">
        <f t="shared" si="62"/>
        <v>0</v>
      </c>
      <c r="K221" s="4">
        <f t="shared" si="58"/>
        <v>0</v>
      </c>
      <c r="L221" s="4">
        <f t="shared" si="63"/>
        <v>0</v>
      </c>
      <c r="M221" s="4">
        <f>IFERROR(VLOOKUP(I221,FuelTypes!$A$1:$B$32,2,FALSE)*J221,0)</f>
        <v>0</v>
      </c>
      <c r="N221" s="4">
        <f t="shared" si="64"/>
        <v>0</v>
      </c>
      <c r="O221" s="4">
        <f t="shared" si="65"/>
        <v>0</v>
      </c>
      <c r="P221" s="4" t="e">
        <f>VLOOKUP(I221, FuelTypes!$A$1:$R$12,17,FALSE)*J221</f>
        <v>#N/A</v>
      </c>
      <c r="Q221" s="4" t="e">
        <f>VLOOKUP(I221, FuelTypes!$A$1:$R$12,18,FALSE)*J221</f>
        <v>#N/A</v>
      </c>
      <c r="R221" s="4">
        <f t="shared" si="53"/>
        <v>0</v>
      </c>
      <c r="S221" s="4">
        <f t="shared" si="54"/>
        <v>0</v>
      </c>
      <c r="T221" s="4" t="e">
        <f t="shared" si="55"/>
        <v>#DIV/0!</v>
      </c>
      <c r="U221" s="4" t="e">
        <f t="shared" si="61"/>
        <v>#DIV/0!</v>
      </c>
      <c r="W221" s="3">
        <f>IFERROR(VLOOKUP(I221,FuelTypes!$A$2:$G$40,5,FALSE)*M221,0)</f>
        <v>0</v>
      </c>
      <c r="Y221" s="3">
        <f t="shared" si="59"/>
        <v>0</v>
      </c>
      <c r="Z221" s="3" t="e">
        <f t="shared" si="56"/>
        <v>#DIV/0!</v>
      </c>
      <c r="AB221" s="3">
        <f t="shared" si="60"/>
        <v>0</v>
      </c>
      <c r="AC221" s="3">
        <f t="shared" si="57"/>
        <v>0</v>
      </c>
    </row>
    <row r="222" spans="1:29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4">
        <f t="shared" si="62"/>
        <v>0</v>
      </c>
      <c r="K222" s="4">
        <f t="shared" si="58"/>
        <v>0</v>
      </c>
      <c r="L222" s="4">
        <f t="shared" si="63"/>
        <v>0</v>
      </c>
      <c r="M222" s="4">
        <f>IFERROR(VLOOKUP(I222,FuelTypes!$A$1:$B$32,2,FALSE)*J222,0)</f>
        <v>0</v>
      </c>
      <c r="N222" s="4">
        <f t="shared" si="64"/>
        <v>0</v>
      </c>
      <c r="O222" s="4">
        <f t="shared" si="65"/>
        <v>0</v>
      </c>
      <c r="P222" s="4" t="e">
        <f>VLOOKUP(I222, FuelTypes!$A$1:$R$12,17,FALSE)*J222</f>
        <v>#N/A</v>
      </c>
      <c r="Q222" s="4" t="e">
        <f>VLOOKUP(I222, FuelTypes!$A$1:$R$12,18,FALSE)*J222</f>
        <v>#N/A</v>
      </c>
      <c r="R222" s="4">
        <f t="shared" si="53"/>
        <v>0</v>
      </c>
      <c r="S222" s="4">
        <f t="shared" si="54"/>
        <v>0</v>
      </c>
      <c r="T222" s="4" t="e">
        <f t="shared" si="55"/>
        <v>#DIV/0!</v>
      </c>
      <c r="U222" s="4" t="e">
        <f t="shared" si="61"/>
        <v>#DIV/0!</v>
      </c>
      <c r="W222" s="3">
        <f>IFERROR(VLOOKUP(I222,FuelTypes!$A$2:$G$40,5,FALSE)*M222,0)</f>
        <v>0</v>
      </c>
      <c r="Y222" s="3">
        <f t="shared" si="59"/>
        <v>0</v>
      </c>
      <c r="Z222" s="3" t="e">
        <f t="shared" si="56"/>
        <v>#DIV/0!</v>
      </c>
      <c r="AB222" s="3">
        <f t="shared" si="60"/>
        <v>0</v>
      </c>
      <c r="AC222" s="3">
        <f t="shared" si="57"/>
        <v>0</v>
      </c>
    </row>
    <row r="223" spans="1:29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4">
        <f t="shared" si="62"/>
        <v>0</v>
      </c>
      <c r="K223" s="4">
        <f t="shared" si="58"/>
        <v>0</v>
      </c>
      <c r="L223" s="4">
        <f t="shared" si="63"/>
        <v>0</v>
      </c>
      <c r="M223" s="4">
        <f>IFERROR(VLOOKUP(I223,FuelTypes!$A$1:$B$32,2,FALSE)*J223,0)</f>
        <v>0</v>
      </c>
      <c r="N223" s="4">
        <f t="shared" si="64"/>
        <v>0</v>
      </c>
      <c r="O223" s="4">
        <f t="shared" si="65"/>
        <v>0</v>
      </c>
      <c r="P223" s="4" t="e">
        <f>VLOOKUP(I223, FuelTypes!$A$1:$R$12,17,FALSE)*J223</f>
        <v>#N/A</v>
      </c>
      <c r="Q223" s="4" t="e">
        <f>VLOOKUP(I223, FuelTypes!$A$1:$R$12,18,FALSE)*J223</f>
        <v>#N/A</v>
      </c>
      <c r="R223" s="4">
        <f t="shared" si="53"/>
        <v>0</v>
      </c>
      <c r="S223" s="4">
        <f t="shared" si="54"/>
        <v>0</v>
      </c>
      <c r="T223" s="4" t="e">
        <f t="shared" si="55"/>
        <v>#DIV/0!</v>
      </c>
      <c r="U223" s="4" t="e">
        <f t="shared" si="61"/>
        <v>#DIV/0!</v>
      </c>
      <c r="W223" s="3">
        <f>IFERROR(VLOOKUP(I223,FuelTypes!$A$2:$G$40,5,FALSE)*M223,0)</f>
        <v>0</v>
      </c>
      <c r="Y223" s="3">
        <f t="shared" si="59"/>
        <v>0</v>
      </c>
      <c r="Z223" s="3" t="e">
        <f t="shared" si="56"/>
        <v>#DIV/0!</v>
      </c>
      <c r="AB223" s="3">
        <f t="shared" si="60"/>
        <v>0</v>
      </c>
      <c r="AC223" s="3">
        <f t="shared" si="57"/>
        <v>0</v>
      </c>
    </row>
    <row r="224" spans="1:29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4">
        <f t="shared" si="62"/>
        <v>0</v>
      </c>
      <c r="K224" s="4">
        <f t="shared" si="58"/>
        <v>0</v>
      </c>
      <c r="L224" s="4">
        <f t="shared" si="63"/>
        <v>0</v>
      </c>
      <c r="M224" s="4">
        <f>IFERROR(VLOOKUP(I224,FuelTypes!$A$1:$B$32,2,FALSE)*J224,0)</f>
        <v>0</v>
      </c>
      <c r="N224" s="4">
        <f t="shared" si="64"/>
        <v>0</v>
      </c>
      <c r="O224" s="4">
        <f t="shared" si="65"/>
        <v>0</v>
      </c>
      <c r="P224" s="4" t="e">
        <f>VLOOKUP(I224, FuelTypes!$A$1:$R$12,17,FALSE)*J224</f>
        <v>#N/A</v>
      </c>
      <c r="Q224" s="4" t="e">
        <f>VLOOKUP(I224, FuelTypes!$A$1:$R$12,18,FALSE)*J224</f>
        <v>#N/A</v>
      </c>
      <c r="R224" s="4">
        <f t="shared" si="53"/>
        <v>0</v>
      </c>
      <c r="S224" s="4">
        <f t="shared" si="54"/>
        <v>0</v>
      </c>
      <c r="T224" s="4" t="e">
        <f t="shared" si="55"/>
        <v>#DIV/0!</v>
      </c>
      <c r="U224" s="4" t="e">
        <f t="shared" si="61"/>
        <v>#DIV/0!</v>
      </c>
      <c r="W224" s="3">
        <f>IFERROR(VLOOKUP(I224,FuelTypes!$A$2:$G$40,5,FALSE)*M224,0)</f>
        <v>0</v>
      </c>
      <c r="Y224" s="3">
        <f t="shared" si="59"/>
        <v>0</v>
      </c>
      <c r="Z224" s="3" t="e">
        <f t="shared" si="56"/>
        <v>#DIV/0!</v>
      </c>
      <c r="AB224" s="3">
        <f t="shared" si="60"/>
        <v>0</v>
      </c>
      <c r="AC224" s="3">
        <f t="shared" si="57"/>
        <v>0</v>
      </c>
    </row>
    <row r="225" spans="1:29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4">
        <f t="shared" si="62"/>
        <v>0</v>
      </c>
      <c r="K225" s="4">
        <f t="shared" si="58"/>
        <v>0</v>
      </c>
      <c r="L225" s="4">
        <f t="shared" si="63"/>
        <v>0</v>
      </c>
      <c r="M225" s="4">
        <f>IFERROR(VLOOKUP(I225,FuelTypes!$A$1:$B$32,2,FALSE)*J225,0)</f>
        <v>0</v>
      </c>
      <c r="N225" s="4">
        <f t="shared" si="64"/>
        <v>0</v>
      </c>
      <c r="O225" s="4">
        <f t="shared" si="65"/>
        <v>0</v>
      </c>
      <c r="P225" s="4" t="e">
        <f>VLOOKUP(I225, FuelTypes!$A$1:$R$12,17,FALSE)*J225</f>
        <v>#N/A</v>
      </c>
      <c r="Q225" s="4" t="e">
        <f>VLOOKUP(I225, FuelTypes!$A$1:$R$12,18,FALSE)*J225</f>
        <v>#N/A</v>
      </c>
      <c r="R225" s="4">
        <f t="shared" si="53"/>
        <v>0</v>
      </c>
      <c r="S225" s="4">
        <f t="shared" si="54"/>
        <v>0</v>
      </c>
      <c r="T225" s="4" t="e">
        <f t="shared" si="55"/>
        <v>#DIV/0!</v>
      </c>
      <c r="U225" s="4" t="e">
        <f t="shared" si="61"/>
        <v>#DIV/0!</v>
      </c>
      <c r="W225" s="3">
        <f>IFERROR(VLOOKUP(I225,FuelTypes!$A$2:$G$40,5,FALSE)*M225,0)</f>
        <v>0</v>
      </c>
      <c r="Y225" s="3">
        <f t="shared" si="59"/>
        <v>0</v>
      </c>
      <c r="Z225" s="3" t="e">
        <f t="shared" si="56"/>
        <v>#DIV/0!</v>
      </c>
      <c r="AB225" s="3">
        <f t="shared" si="60"/>
        <v>0</v>
      </c>
      <c r="AC225" s="3">
        <f t="shared" si="57"/>
        <v>0</v>
      </c>
    </row>
    <row r="226" spans="1:29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4">
        <f t="shared" si="62"/>
        <v>0</v>
      </c>
      <c r="K226" s="4">
        <f t="shared" si="58"/>
        <v>0</v>
      </c>
      <c r="L226" s="4">
        <f t="shared" si="63"/>
        <v>0</v>
      </c>
      <c r="M226" s="4">
        <f>IFERROR(VLOOKUP(I226,FuelTypes!$A$1:$B$32,2,FALSE)*J226,0)</f>
        <v>0</v>
      </c>
      <c r="N226" s="4">
        <f t="shared" si="64"/>
        <v>0</v>
      </c>
      <c r="O226" s="4">
        <f t="shared" si="65"/>
        <v>0</v>
      </c>
      <c r="P226" s="4" t="e">
        <f>VLOOKUP(I226, FuelTypes!$A$1:$R$12,17,FALSE)*J226</f>
        <v>#N/A</v>
      </c>
      <c r="Q226" s="4" t="e">
        <f>VLOOKUP(I226, FuelTypes!$A$1:$R$12,18,FALSE)*J226</f>
        <v>#N/A</v>
      </c>
      <c r="R226" s="4">
        <f t="shared" si="53"/>
        <v>0</v>
      </c>
      <c r="S226" s="4">
        <f t="shared" si="54"/>
        <v>0</v>
      </c>
      <c r="T226" s="4" t="e">
        <f t="shared" si="55"/>
        <v>#DIV/0!</v>
      </c>
      <c r="U226" s="4" t="e">
        <f t="shared" si="61"/>
        <v>#DIV/0!</v>
      </c>
      <c r="W226" s="3">
        <f>IFERROR(VLOOKUP(I226,FuelTypes!$A$2:$G$40,5,FALSE)*M226,0)</f>
        <v>0</v>
      </c>
      <c r="Y226" s="3">
        <f t="shared" si="59"/>
        <v>0</v>
      </c>
      <c r="Z226" s="3" t="e">
        <f t="shared" si="56"/>
        <v>#DIV/0!</v>
      </c>
      <c r="AB226" s="3">
        <f t="shared" si="60"/>
        <v>0</v>
      </c>
      <c r="AC226" s="3">
        <f t="shared" si="57"/>
        <v>0</v>
      </c>
    </row>
    <row r="227" spans="1:29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4">
        <f t="shared" si="62"/>
        <v>0</v>
      </c>
      <c r="K227" s="4">
        <f t="shared" si="58"/>
        <v>0</v>
      </c>
      <c r="L227" s="4">
        <f t="shared" si="63"/>
        <v>0</v>
      </c>
      <c r="M227" s="4">
        <f>IFERROR(VLOOKUP(I227,FuelTypes!$A$1:$B$32,2,FALSE)*J227,0)</f>
        <v>0</v>
      </c>
      <c r="N227" s="4">
        <f t="shared" si="64"/>
        <v>0</v>
      </c>
      <c r="O227" s="4">
        <f t="shared" si="65"/>
        <v>0</v>
      </c>
      <c r="P227" s="4" t="e">
        <f>VLOOKUP(I227, FuelTypes!$A$1:$R$12,17,FALSE)*J227</f>
        <v>#N/A</v>
      </c>
      <c r="Q227" s="4" t="e">
        <f>VLOOKUP(I227, FuelTypes!$A$1:$R$12,18,FALSE)*J227</f>
        <v>#N/A</v>
      </c>
      <c r="R227" s="4">
        <f t="shared" si="53"/>
        <v>0</v>
      </c>
      <c r="S227" s="4">
        <f t="shared" si="54"/>
        <v>0</v>
      </c>
      <c r="T227" s="4" t="e">
        <f t="shared" si="55"/>
        <v>#DIV/0!</v>
      </c>
      <c r="U227" s="4" t="e">
        <f t="shared" si="61"/>
        <v>#DIV/0!</v>
      </c>
      <c r="W227" s="3">
        <f>IFERROR(VLOOKUP(I227,FuelTypes!$A$2:$G$40,5,FALSE)*M227,0)</f>
        <v>0</v>
      </c>
      <c r="Y227" s="3">
        <f t="shared" si="59"/>
        <v>0</v>
      </c>
      <c r="Z227" s="3" t="e">
        <f t="shared" si="56"/>
        <v>#DIV/0!</v>
      </c>
      <c r="AB227" s="3">
        <f t="shared" si="60"/>
        <v>0</v>
      </c>
      <c r="AC227" s="3">
        <f t="shared" si="57"/>
        <v>0</v>
      </c>
    </row>
    <row r="228" spans="1:29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4">
        <f t="shared" si="62"/>
        <v>0</v>
      </c>
      <c r="K228" s="4">
        <f t="shared" si="58"/>
        <v>0</v>
      </c>
      <c r="L228" s="4">
        <f t="shared" si="63"/>
        <v>0</v>
      </c>
      <c r="M228" s="4">
        <f>IFERROR(VLOOKUP(I228,FuelTypes!$A$1:$B$32,2,FALSE)*J228,0)</f>
        <v>0</v>
      </c>
      <c r="N228" s="4">
        <f t="shared" si="64"/>
        <v>0</v>
      </c>
      <c r="O228" s="4">
        <f t="shared" si="65"/>
        <v>0</v>
      </c>
      <c r="P228" s="4" t="e">
        <f>VLOOKUP(I228, FuelTypes!$A$1:$R$12,17,FALSE)*J228</f>
        <v>#N/A</v>
      </c>
      <c r="Q228" s="4" t="e">
        <f>VLOOKUP(I228, FuelTypes!$A$1:$R$12,18,FALSE)*J228</f>
        <v>#N/A</v>
      </c>
      <c r="R228" s="4">
        <f t="shared" si="53"/>
        <v>0</v>
      </c>
      <c r="S228" s="4">
        <f t="shared" si="54"/>
        <v>0</v>
      </c>
      <c r="T228" s="4" t="e">
        <f t="shared" si="55"/>
        <v>#DIV/0!</v>
      </c>
      <c r="U228" s="4" t="e">
        <f t="shared" si="61"/>
        <v>#DIV/0!</v>
      </c>
      <c r="W228" s="3">
        <f>IFERROR(VLOOKUP(I228,FuelTypes!$A$2:$G$40,5,FALSE)*M228,0)</f>
        <v>0</v>
      </c>
      <c r="Y228" s="3">
        <f t="shared" si="59"/>
        <v>0</v>
      </c>
      <c r="Z228" s="3" t="e">
        <f t="shared" si="56"/>
        <v>#DIV/0!</v>
      </c>
      <c r="AB228" s="3">
        <f t="shared" si="60"/>
        <v>0</v>
      </c>
      <c r="AC228" s="3">
        <f t="shared" si="57"/>
        <v>0</v>
      </c>
    </row>
    <row r="229" spans="1:29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4">
        <f t="shared" si="62"/>
        <v>0</v>
      </c>
      <c r="K229" s="4">
        <f t="shared" si="58"/>
        <v>0</v>
      </c>
      <c r="L229" s="4">
        <f t="shared" si="63"/>
        <v>0</v>
      </c>
      <c r="M229" s="4">
        <f>IFERROR(VLOOKUP(I229,FuelTypes!$A$1:$B$32,2,FALSE)*J229,0)</f>
        <v>0</v>
      </c>
      <c r="N229" s="4">
        <f t="shared" si="64"/>
        <v>0</v>
      </c>
      <c r="O229" s="4">
        <f t="shared" si="65"/>
        <v>0</v>
      </c>
      <c r="P229" s="4" t="e">
        <f>VLOOKUP(I229, FuelTypes!$A$1:$R$12,17,FALSE)*J229</f>
        <v>#N/A</v>
      </c>
      <c r="Q229" s="4" t="e">
        <f>VLOOKUP(I229, FuelTypes!$A$1:$R$12,18,FALSE)*J229</f>
        <v>#N/A</v>
      </c>
      <c r="R229" s="4">
        <f t="shared" si="53"/>
        <v>0</v>
      </c>
      <c r="S229" s="4">
        <f t="shared" si="54"/>
        <v>0</v>
      </c>
      <c r="T229" s="4" t="e">
        <f t="shared" si="55"/>
        <v>#DIV/0!</v>
      </c>
      <c r="U229" s="4" t="e">
        <f t="shared" si="61"/>
        <v>#DIV/0!</v>
      </c>
      <c r="W229" s="3">
        <f>IFERROR(VLOOKUP(I229,FuelTypes!$A$2:$G$40,5,FALSE)*M229,0)</f>
        <v>0</v>
      </c>
      <c r="Y229" s="3">
        <f t="shared" si="59"/>
        <v>0</v>
      </c>
      <c r="Z229" s="3" t="e">
        <f t="shared" si="56"/>
        <v>#DIV/0!</v>
      </c>
      <c r="AB229" s="3">
        <f t="shared" si="60"/>
        <v>0</v>
      </c>
      <c r="AC229" s="3">
        <f t="shared" si="57"/>
        <v>0</v>
      </c>
    </row>
    <row r="230" spans="1:29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4">
        <f t="shared" si="62"/>
        <v>0</v>
      </c>
      <c r="K230" s="4">
        <f t="shared" si="58"/>
        <v>0</v>
      </c>
      <c r="L230" s="4">
        <f t="shared" si="63"/>
        <v>0</v>
      </c>
      <c r="M230" s="4">
        <f>IFERROR(VLOOKUP(I230,FuelTypes!$A$1:$B$32,2,FALSE)*J230,0)</f>
        <v>0</v>
      </c>
      <c r="N230" s="4">
        <f t="shared" si="64"/>
        <v>0</v>
      </c>
      <c r="O230" s="4">
        <f t="shared" si="65"/>
        <v>0</v>
      </c>
      <c r="P230" s="4" t="e">
        <f>VLOOKUP(I230, FuelTypes!$A$1:$R$12,17,FALSE)*J230</f>
        <v>#N/A</v>
      </c>
      <c r="Q230" s="4" t="e">
        <f>VLOOKUP(I230, FuelTypes!$A$1:$R$12,18,FALSE)*J230</f>
        <v>#N/A</v>
      </c>
      <c r="R230" s="4">
        <f t="shared" si="53"/>
        <v>0</v>
      </c>
      <c r="S230" s="4">
        <f t="shared" si="54"/>
        <v>0</v>
      </c>
      <c r="T230" s="4" t="e">
        <f t="shared" si="55"/>
        <v>#DIV/0!</v>
      </c>
      <c r="U230" s="4" t="e">
        <f t="shared" si="61"/>
        <v>#DIV/0!</v>
      </c>
      <c r="W230" s="3">
        <f>IFERROR(VLOOKUP(I230,FuelTypes!$A$2:$G$40,5,FALSE)*M230,0)</f>
        <v>0</v>
      </c>
      <c r="Y230" s="3">
        <f t="shared" si="59"/>
        <v>0</v>
      </c>
      <c r="Z230" s="3" t="e">
        <f t="shared" si="56"/>
        <v>#DIV/0!</v>
      </c>
      <c r="AB230" s="3">
        <f t="shared" si="60"/>
        <v>0</v>
      </c>
      <c r="AC230" s="3">
        <f t="shared" si="57"/>
        <v>0</v>
      </c>
    </row>
    <row r="231" spans="1:29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4">
        <f t="shared" si="62"/>
        <v>0</v>
      </c>
      <c r="K231" s="4">
        <f t="shared" si="58"/>
        <v>0</v>
      </c>
      <c r="L231" s="4">
        <f t="shared" si="63"/>
        <v>0</v>
      </c>
      <c r="M231" s="4">
        <f>IFERROR(VLOOKUP(I231,FuelTypes!$A$1:$B$32,2,FALSE)*J231,0)</f>
        <v>0</v>
      </c>
      <c r="N231" s="4">
        <f t="shared" si="64"/>
        <v>0</v>
      </c>
      <c r="O231" s="4">
        <f t="shared" si="65"/>
        <v>0</v>
      </c>
      <c r="P231" s="4" t="e">
        <f>VLOOKUP(I231, FuelTypes!$A$1:$R$12,17,FALSE)*J231</f>
        <v>#N/A</v>
      </c>
      <c r="Q231" s="4" t="e">
        <f>VLOOKUP(I231, FuelTypes!$A$1:$R$12,18,FALSE)*J231</f>
        <v>#N/A</v>
      </c>
      <c r="R231" s="4">
        <f t="shared" si="53"/>
        <v>0</v>
      </c>
      <c r="S231" s="4">
        <f t="shared" si="54"/>
        <v>0</v>
      </c>
      <c r="T231" s="4" t="e">
        <f t="shared" si="55"/>
        <v>#DIV/0!</v>
      </c>
      <c r="U231" s="4" t="e">
        <f t="shared" si="61"/>
        <v>#DIV/0!</v>
      </c>
      <c r="W231" s="3">
        <f>IFERROR(VLOOKUP(I231,FuelTypes!$A$2:$G$40,5,FALSE)*M231,0)</f>
        <v>0</v>
      </c>
      <c r="Y231" s="3">
        <f t="shared" si="59"/>
        <v>0</v>
      </c>
      <c r="Z231" s="3" t="e">
        <f t="shared" si="56"/>
        <v>#DIV/0!</v>
      </c>
      <c r="AB231" s="3">
        <f t="shared" si="60"/>
        <v>0</v>
      </c>
      <c r="AC231" s="3">
        <f t="shared" si="57"/>
        <v>0</v>
      </c>
    </row>
    <row r="232" spans="1:29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4">
        <f t="shared" si="62"/>
        <v>0</v>
      </c>
      <c r="K232" s="4">
        <f t="shared" si="58"/>
        <v>0</v>
      </c>
      <c r="L232" s="4">
        <f t="shared" si="63"/>
        <v>0</v>
      </c>
      <c r="M232" s="4">
        <f>IFERROR(VLOOKUP(I232,FuelTypes!$A$1:$B$32,2,FALSE)*J232,0)</f>
        <v>0</v>
      </c>
      <c r="N232" s="4">
        <f t="shared" si="64"/>
        <v>0</v>
      </c>
      <c r="O232" s="4">
        <f t="shared" si="65"/>
        <v>0</v>
      </c>
      <c r="P232" s="4" t="e">
        <f>VLOOKUP(I232, FuelTypes!$A$1:$R$12,17,FALSE)*J232</f>
        <v>#N/A</v>
      </c>
      <c r="Q232" s="4" t="e">
        <f>VLOOKUP(I232, FuelTypes!$A$1:$R$12,18,FALSE)*J232</f>
        <v>#N/A</v>
      </c>
      <c r="R232" s="4">
        <f t="shared" si="53"/>
        <v>0</v>
      </c>
      <c r="S232" s="4">
        <f t="shared" si="54"/>
        <v>0</v>
      </c>
      <c r="T232" s="4" t="e">
        <f t="shared" si="55"/>
        <v>#DIV/0!</v>
      </c>
      <c r="U232" s="4" t="e">
        <f t="shared" si="61"/>
        <v>#DIV/0!</v>
      </c>
      <c r="W232" s="3">
        <f>IFERROR(VLOOKUP(I232,FuelTypes!$A$2:$G$40,5,FALSE)*M232,0)</f>
        <v>0</v>
      </c>
      <c r="Y232" s="3">
        <f t="shared" si="59"/>
        <v>0</v>
      </c>
      <c r="Z232" s="3" t="e">
        <f t="shared" si="56"/>
        <v>#DIV/0!</v>
      </c>
      <c r="AB232" s="3">
        <f t="shared" si="60"/>
        <v>0</v>
      </c>
      <c r="AC232" s="3">
        <f t="shared" si="57"/>
        <v>0</v>
      </c>
    </row>
    <row r="233" spans="1:29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4">
        <f t="shared" si="62"/>
        <v>0</v>
      </c>
      <c r="K233" s="4">
        <f t="shared" si="58"/>
        <v>0</v>
      </c>
      <c r="L233" s="4">
        <f t="shared" si="63"/>
        <v>0</v>
      </c>
      <c r="M233" s="4">
        <f>IFERROR(VLOOKUP(I233,FuelTypes!$A$1:$B$32,2,FALSE)*J233,0)</f>
        <v>0</v>
      </c>
      <c r="N233" s="4">
        <f t="shared" si="64"/>
        <v>0</v>
      </c>
      <c r="O233" s="4">
        <f t="shared" si="65"/>
        <v>0</v>
      </c>
      <c r="P233" s="4" t="e">
        <f>VLOOKUP(I233, FuelTypes!$A$1:$R$12,17,FALSE)*J233</f>
        <v>#N/A</v>
      </c>
      <c r="Q233" s="4" t="e">
        <f>VLOOKUP(I233, FuelTypes!$A$1:$R$12,18,FALSE)*J233</f>
        <v>#N/A</v>
      </c>
      <c r="R233" s="4">
        <f t="shared" si="53"/>
        <v>0</v>
      </c>
      <c r="S233" s="4">
        <f t="shared" si="54"/>
        <v>0</v>
      </c>
      <c r="T233" s="4" t="e">
        <f t="shared" si="55"/>
        <v>#DIV/0!</v>
      </c>
      <c r="U233" s="4" t="e">
        <f t="shared" si="61"/>
        <v>#DIV/0!</v>
      </c>
      <c r="W233" s="3">
        <f>IFERROR(VLOOKUP(I233,FuelTypes!$A$2:$G$40,5,FALSE)*M233,0)</f>
        <v>0</v>
      </c>
      <c r="Y233" s="3">
        <f t="shared" si="59"/>
        <v>0</v>
      </c>
      <c r="Z233" s="3" t="e">
        <f t="shared" si="56"/>
        <v>#DIV/0!</v>
      </c>
      <c r="AB233" s="3">
        <f t="shared" si="60"/>
        <v>0</v>
      </c>
      <c r="AC233" s="3">
        <f t="shared" si="57"/>
        <v>0</v>
      </c>
    </row>
    <row r="234" spans="1:29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4">
        <f t="shared" si="62"/>
        <v>0</v>
      </c>
      <c r="K234" s="4">
        <f t="shared" si="58"/>
        <v>0</v>
      </c>
      <c r="L234" s="4">
        <f t="shared" si="63"/>
        <v>0</v>
      </c>
      <c r="M234" s="4">
        <f>IFERROR(VLOOKUP(I234,FuelTypes!$A$1:$B$32,2,FALSE)*J234,0)</f>
        <v>0</v>
      </c>
      <c r="N234" s="4">
        <f t="shared" si="64"/>
        <v>0</v>
      </c>
      <c r="O234" s="4">
        <f t="shared" si="65"/>
        <v>0</v>
      </c>
      <c r="P234" s="4" t="e">
        <f>VLOOKUP(I234, FuelTypes!$A$1:$R$12,17,FALSE)*J234</f>
        <v>#N/A</v>
      </c>
      <c r="Q234" s="4" t="e">
        <f>VLOOKUP(I234, FuelTypes!$A$1:$R$12,18,FALSE)*J234</f>
        <v>#N/A</v>
      </c>
      <c r="R234" s="4">
        <f t="shared" si="53"/>
        <v>0</v>
      </c>
      <c r="S234" s="4">
        <f t="shared" si="54"/>
        <v>0</v>
      </c>
      <c r="T234" s="4" t="e">
        <f t="shared" si="55"/>
        <v>#DIV/0!</v>
      </c>
      <c r="U234" s="4" t="e">
        <f t="shared" si="61"/>
        <v>#DIV/0!</v>
      </c>
      <c r="W234" s="3">
        <f>IFERROR(VLOOKUP(I234,FuelTypes!$A$2:$G$40,5,FALSE)*M234,0)</f>
        <v>0</v>
      </c>
      <c r="Y234" s="3">
        <f t="shared" si="59"/>
        <v>0</v>
      </c>
      <c r="Z234" s="3" t="e">
        <f t="shared" si="56"/>
        <v>#DIV/0!</v>
      </c>
      <c r="AB234" s="3">
        <f t="shared" si="60"/>
        <v>0</v>
      </c>
      <c r="AC234" s="3">
        <f t="shared" si="57"/>
        <v>0</v>
      </c>
    </row>
    <row r="235" spans="1:29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4">
        <f t="shared" si="62"/>
        <v>0</v>
      </c>
      <c r="K235" s="4">
        <f t="shared" si="58"/>
        <v>0</v>
      </c>
      <c r="L235" s="4">
        <f t="shared" si="63"/>
        <v>0</v>
      </c>
      <c r="M235" s="4">
        <f>IFERROR(VLOOKUP(I235,FuelTypes!$A$1:$B$32,2,FALSE)*J235,0)</f>
        <v>0</v>
      </c>
      <c r="N235" s="4">
        <f t="shared" si="64"/>
        <v>0</v>
      </c>
      <c r="O235" s="4">
        <f t="shared" si="65"/>
        <v>0</v>
      </c>
      <c r="P235" s="4" t="e">
        <f>VLOOKUP(I235, FuelTypes!$A$1:$R$12,17,FALSE)*J235</f>
        <v>#N/A</v>
      </c>
      <c r="Q235" s="4" t="e">
        <f>VLOOKUP(I235, FuelTypes!$A$1:$R$12,18,FALSE)*J235</f>
        <v>#N/A</v>
      </c>
      <c r="R235" s="4">
        <f t="shared" si="53"/>
        <v>0</v>
      </c>
      <c r="S235" s="4">
        <f t="shared" si="54"/>
        <v>0</v>
      </c>
      <c r="T235" s="4" t="e">
        <f t="shared" si="55"/>
        <v>#DIV/0!</v>
      </c>
      <c r="U235" s="4" t="e">
        <f t="shared" si="61"/>
        <v>#DIV/0!</v>
      </c>
      <c r="W235" s="3">
        <f>IFERROR(VLOOKUP(I235,FuelTypes!$A$2:$G$40,5,FALSE)*M235,0)</f>
        <v>0</v>
      </c>
      <c r="Y235" s="3">
        <f t="shared" si="59"/>
        <v>0</v>
      </c>
      <c r="Z235" s="3" t="e">
        <f t="shared" si="56"/>
        <v>#DIV/0!</v>
      </c>
      <c r="AB235" s="3">
        <f t="shared" si="60"/>
        <v>0</v>
      </c>
      <c r="AC235" s="3">
        <f t="shared" si="57"/>
        <v>0</v>
      </c>
    </row>
    <row r="236" spans="1:29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4">
        <f t="shared" si="62"/>
        <v>0</v>
      </c>
      <c r="K236" s="4">
        <f t="shared" si="58"/>
        <v>0</v>
      </c>
      <c r="L236" s="4">
        <f t="shared" si="63"/>
        <v>0</v>
      </c>
      <c r="M236" s="4">
        <f>IFERROR(VLOOKUP(I236,FuelTypes!$A$1:$B$32,2,FALSE)*J236,0)</f>
        <v>0</v>
      </c>
      <c r="N236" s="4">
        <f t="shared" si="64"/>
        <v>0</v>
      </c>
      <c r="O236" s="4">
        <f t="shared" si="65"/>
        <v>0</v>
      </c>
      <c r="P236" s="4" t="e">
        <f>VLOOKUP(I236, FuelTypes!$A$1:$R$12,17,FALSE)*J236</f>
        <v>#N/A</v>
      </c>
      <c r="Q236" s="4" t="e">
        <f>VLOOKUP(I236, FuelTypes!$A$1:$R$12,18,FALSE)*J236</f>
        <v>#N/A</v>
      </c>
      <c r="R236" s="4">
        <f t="shared" si="53"/>
        <v>0</v>
      </c>
      <c r="S236" s="4">
        <f t="shared" si="54"/>
        <v>0</v>
      </c>
      <c r="T236" s="4" t="e">
        <f t="shared" si="55"/>
        <v>#DIV/0!</v>
      </c>
      <c r="U236" s="4" t="e">
        <f t="shared" si="61"/>
        <v>#DIV/0!</v>
      </c>
      <c r="W236" s="3">
        <f>IFERROR(VLOOKUP(I236,FuelTypes!$A$2:$G$40,5,FALSE)*M236,0)</f>
        <v>0</v>
      </c>
      <c r="Y236" s="3">
        <f t="shared" si="59"/>
        <v>0</v>
      </c>
      <c r="Z236" s="3" t="e">
        <f t="shared" si="56"/>
        <v>#DIV/0!</v>
      </c>
      <c r="AB236" s="3">
        <f t="shared" si="60"/>
        <v>0</v>
      </c>
      <c r="AC236" s="3">
        <f t="shared" si="57"/>
        <v>0</v>
      </c>
    </row>
    <row r="237" spans="1:29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4">
        <f t="shared" si="62"/>
        <v>0</v>
      </c>
      <c r="K237" s="4">
        <f t="shared" si="58"/>
        <v>0</v>
      </c>
      <c r="L237" s="4">
        <f t="shared" si="63"/>
        <v>0</v>
      </c>
      <c r="M237" s="4">
        <f>IFERROR(VLOOKUP(I237,FuelTypes!$A$1:$B$32,2,FALSE)*J237,0)</f>
        <v>0</v>
      </c>
      <c r="N237" s="4">
        <f t="shared" si="64"/>
        <v>0</v>
      </c>
      <c r="O237" s="4">
        <f t="shared" si="65"/>
        <v>0</v>
      </c>
      <c r="P237" s="4" t="e">
        <f>VLOOKUP(I237, FuelTypes!$A$1:$R$12,17,FALSE)*J237</f>
        <v>#N/A</v>
      </c>
      <c r="Q237" s="4" t="e">
        <f>VLOOKUP(I237, FuelTypes!$A$1:$R$12,18,FALSE)*J237</f>
        <v>#N/A</v>
      </c>
      <c r="R237" s="4">
        <f t="shared" si="53"/>
        <v>0</v>
      </c>
      <c r="S237" s="4">
        <f t="shared" si="54"/>
        <v>0</v>
      </c>
      <c r="T237" s="4" t="e">
        <f t="shared" si="55"/>
        <v>#DIV/0!</v>
      </c>
      <c r="U237" s="4" t="e">
        <f t="shared" si="61"/>
        <v>#DIV/0!</v>
      </c>
      <c r="W237" s="3">
        <f>IFERROR(VLOOKUP(I237,FuelTypes!$A$2:$G$40,5,FALSE)*M237,0)</f>
        <v>0</v>
      </c>
      <c r="Y237" s="3">
        <f t="shared" si="59"/>
        <v>0</v>
      </c>
      <c r="Z237" s="3" t="e">
        <f t="shared" si="56"/>
        <v>#DIV/0!</v>
      </c>
      <c r="AB237" s="3">
        <f t="shared" si="60"/>
        <v>0</v>
      </c>
      <c r="AC237" s="3">
        <f t="shared" si="57"/>
        <v>0</v>
      </c>
    </row>
    <row r="238" spans="1:29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4">
        <f t="shared" si="62"/>
        <v>0</v>
      </c>
      <c r="K238" s="4">
        <f t="shared" si="58"/>
        <v>0</v>
      </c>
      <c r="L238" s="4">
        <f t="shared" si="63"/>
        <v>0</v>
      </c>
      <c r="M238" s="4">
        <f>IFERROR(VLOOKUP(I238,FuelTypes!$A$1:$B$32,2,FALSE)*J238,0)</f>
        <v>0</v>
      </c>
      <c r="N238" s="4">
        <f t="shared" si="64"/>
        <v>0</v>
      </c>
      <c r="O238" s="4">
        <f t="shared" si="65"/>
        <v>0</v>
      </c>
      <c r="P238" s="4" t="e">
        <f>VLOOKUP(I238, FuelTypes!$A$1:$R$12,17,FALSE)*J238</f>
        <v>#N/A</v>
      </c>
      <c r="Q238" s="4" t="e">
        <f>VLOOKUP(I238, FuelTypes!$A$1:$R$12,18,FALSE)*J238</f>
        <v>#N/A</v>
      </c>
      <c r="R238" s="4">
        <f t="shared" si="53"/>
        <v>0</v>
      </c>
      <c r="S238" s="4">
        <f t="shared" si="54"/>
        <v>0</v>
      </c>
      <c r="T238" s="4" t="e">
        <f t="shared" si="55"/>
        <v>#DIV/0!</v>
      </c>
      <c r="U238" s="4" t="e">
        <f t="shared" si="61"/>
        <v>#DIV/0!</v>
      </c>
      <c r="W238" s="3">
        <f>IFERROR(VLOOKUP(I238,FuelTypes!$A$2:$G$40,5,FALSE)*M238,0)</f>
        <v>0</v>
      </c>
      <c r="Y238" s="3">
        <f t="shared" si="59"/>
        <v>0</v>
      </c>
      <c r="Z238" s="3" t="e">
        <f t="shared" si="56"/>
        <v>#DIV/0!</v>
      </c>
      <c r="AB238" s="3">
        <f t="shared" si="60"/>
        <v>0</v>
      </c>
      <c r="AC238" s="3">
        <f t="shared" si="57"/>
        <v>0</v>
      </c>
    </row>
    <row r="239" spans="1:29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4">
        <f t="shared" si="62"/>
        <v>0</v>
      </c>
      <c r="K239" s="4">
        <f t="shared" si="58"/>
        <v>0</v>
      </c>
      <c r="L239" s="4">
        <f t="shared" si="63"/>
        <v>0</v>
      </c>
      <c r="M239" s="4">
        <f>IFERROR(VLOOKUP(I239,FuelTypes!$A$1:$B$32,2,FALSE)*J239,0)</f>
        <v>0</v>
      </c>
      <c r="N239" s="4">
        <f t="shared" si="64"/>
        <v>0</v>
      </c>
      <c r="O239" s="4">
        <f t="shared" si="65"/>
        <v>0</v>
      </c>
      <c r="P239" s="4" t="e">
        <f>VLOOKUP(I239, FuelTypes!$A$1:$R$12,17,FALSE)*J239</f>
        <v>#N/A</v>
      </c>
      <c r="Q239" s="4" t="e">
        <f>VLOOKUP(I239, FuelTypes!$A$1:$R$12,18,FALSE)*J239</f>
        <v>#N/A</v>
      </c>
      <c r="R239" s="4">
        <f t="shared" si="53"/>
        <v>0</v>
      </c>
      <c r="S239" s="4">
        <f t="shared" si="54"/>
        <v>0</v>
      </c>
      <c r="T239" s="4" t="e">
        <f t="shared" si="55"/>
        <v>#DIV/0!</v>
      </c>
      <c r="U239" s="4" t="e">
        <f t="shared" si="61"/>
        <v>#DIV/0!</v>
      </c>
      <c r="W239" s="3">
        <f>IFERROR(VLOOKUP(I239,FuelTypes!$A$2:$G$40,5,FALSE)*M239,0)</f>
        <v>0</v>
      </c>
      <c r="Y239" s="3">
        <f t="shared" si="59"/>
        <v>0</v>
      </c>
      <c r="Z239" s="3" t="e">
        <f t="shared" si="56"/>
        <v>#DIV/0!</v>
      </c>
      <c r="AB239" s="3">
        <f t="shared" si="60"/>
        <v>0</v>
      </c>
      <c r="AC239" s="3">
        <f t="shared" si="57"/>
        <v>0</v>
      </c>
    </row>
    <row r="240" spans="1:29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4">
        <f t="shared" si="62"/>
        <v>0</v>
      </c>
      <c r="K240" s="4">
        <f t="shared" si="58"/>
        <v>0</v>
      </c>
      <c r="L240" s="4">
        <f t="shared" si="63"/>
        <v>0</v>
      </c>
      <c r="M240" s="4">
        <f>IFERROR(VLOOKUP(I240,FuelTypes!$A$1:$B$32,2,FALSE)*J240,0)</f>
        <v>0</v>
      </c>
      <c r="N240" s="4">
        <f t="shared" si="64"/>
        <v>0</v>
      </c>
      <c r="O240" s="4">
        <f t="shared" si="65"/>
        <v>0</v>
      </c>
      <c r="P240" s="4" t="e">
        <f>VLOOKUP(I240, FuelTypes!$A$1:$R$12,17,FALSE)*J240</f>
        <v>#N/A</v>
      </c>
      <c r="Q240" s="4" t="e">
        <f>VLOOKUP(I240, FuelTypes!$A$1:$R$12,18,FALSE)*J240</f>
        <v>#N/A</v>
      </c>
      <c r="R240" s="4">
        <f t="shared" si="53"/>
        <v>0</v>
      </c>
      <c r="S240" s="4">
        <f t="shared" si="54"/>
        <v>0</v>
      </c>
      <c r="T240" s="4" t="e">
        <f t="shared" si="55"/>
        <v>#DIV/0!</v>
      </c>
      <c r="U240" s="4" t="e">
        <f t="shared" si="61"/>
        <v>#DIV/0!</v>
      </c>
      <c r="W240" s="3">
        <f>IFERROR(VLOOKUP(I240,FuelTypes!$A$2:$G$40,5,FALSE)*M240,0)</f>
        <v>0</v>
      </c>
      <c r="Y240" s="3">
        <f t="shared" si="59"/>
        <v>0</v>
      </c>
      <c r="Z240" s="3" t="e">
        <f t="shared" si="56"/>
        <v>#DIV/0!</v>
      </c>
      <c r="AB240" s="3">
        <f t="shared" si="60"/>
        <v>0</v>
      </c>
      <c r="AC240" s="3">
        <f t="shared" si="57"/>
        <v>0</v>
      </c>
    </row>
    <row r="241" spans="1:29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4">
        <f t="shared" si="62"/>
        <v>0</v>
      </c>
      <c r="K241" s="4">
        <f t="shared" si="58"/>
        <v>0</v>
      </c>
      <c r="L241" s="4">
        <f t="shared" si="63"/>
        <v>0</v>
      </c>
      <c r="M241" s="4">
        <f>IFERROR(VLOOKUP(I241,FuelTypes!$A$1:$B$32,2,FALSE)*J241,0)</f>
        <v>0</v>
      </c>
      <c r="N241" s="4">
        <f t="shared" si="64"/>
        <v>0</v>
      </c>
      <c r="O241" s="4">
        <f t="shared" si="65"/>
        <v>0</v>
      </c>
      <c r="P241" s="4" t="e">
        <f>VLOOKUP(I241, FuelTypes!$A$1:$R$12,17,FALSE)*J241</f>
        <v>#N/A</v>
      </c>
      <c r="Q241" s="4" t="e">
        <f>VLOOKUP(I241, FuelTypes!$A$1:$R$12,18,FALSE)*J241</f>
        <v>#N/A</v>
      </c>
      <c r="R241" s="4">
        <f t="shared" si="53"/>
        <v>0</v>
      </c>
      <c r="S241" s="4">
        <f t="shared" si="54"/>
        <v>0</v>
      </c>
      <c r="T241" s="4" t="e">
        <f t="shared" si="55"/>
        <v>#DIV/0!</v>
      </c>
      <c r="U241" s="4" t="e">
        <f t="shared" si="61"/>
        <v>#DIV/0!</v>
      </c>
      <c r="W241" s="3">
        <f>IFERROR(VLOOKUP(I241,FuelTypes!$A$2:$G$40,5,FALSE)*M241,0)</f>
        <v>0</v>
      </c>
      <c r="Y241" s="3">
        <f t="shared" si="59"/>
        <v>0</v>
      </c>
      <c r="Z241" s="3" t="e">
        <f t="shared" si="56"/>
        <v>#DIV/0!</v>
      </c>
      <c r="AB241" s="3">
        <f t="shared" si="60"/>
        <v>0</v>
      </c>
      <c r="AC241" s="3">
        <f t="shared" si="57"/>
        <v>0</v>
      </c>
    </row>
    <row r="242" spans="1:29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4">
        <f t="shared" si="62"/>
        <v>0</v>
      </c>
      <c r="K242" s="4">
        <f t="shared" si="58"/>
        <v>0</v>
      </c>
      <c r="L242" s="4">
        <f t="shared" si="63"/>
        <v>0</v>
      </c>
      <c r="M242" s="4">
        <f>IFERROR(VLOOKUP(I242,FuelTypes!$A$1:$B$32,2,FALSE)*J242,0)</f>
        <v>0</v>
      </c>
      <c r="N242" s="4">
        <f t="shared" si="64"/>
        <v>0</v>
      </c>
      <c r="O242" s="4">
        <f t="shared" si="65"/>
        <v>0</v>
      </c>
      <c r="P242" s="4" t="e">
        <f>VLOOKUP(I242, FuelTypes!$A$1:$R$12,17,FALSE)*J242</f>
        <v>#N/A</v>
      </c>
      <c r="Q242" s="4" t="e">
        <f>VLOOKUP(I242, FuelTypes!$A$1:$R$12,18,FALSE)*J242</f>
        <v>#N/A</v>
      </c>
      <c r="R242" s="4">
        <f t="shared" si="53"/>
        <v>0</v>
      </c>
      <c r="S242" s="4">
        <f t="shared" si="54"/>
        <v>0</v>
      </c>
      <c r="T242" s="4" t="e">
        <f t="shared" si="55"/>
        <v>#DIV/0!</v>
      </c>
      <c r="U242" s="4" t="e">
        <f t="shared" si="61"/>
        <v>#DIV/0!</v>
      </c>
      <c r="W242" s="3">
        <f>IFERROR(VLOOKUP(I242,FuelTypes!$A$2:$G$40,5,FALSE)*M242,0)</f>
        <v>0</v>
      </c>
      <c r="Y242" s="3">
        <f t="shared" si="59"/>
        <v>0</v>
      </c>
      <c r="Z242" s="3" t="e">
        <f t="shared" si="56"/>
        <v>#DIV/0!</v>
      </c>
      <c r="AB242" s="3">
        <f t="shared" si="60"/>
        <v>0</v>
      </c>
      <c r="AC242" s="3">
        <f t="shared" si="57"/>
        <v>0</v>
      </c>
    </row>
    <row r="243" spans="1:29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4">
        <f t="shared" si="62"/>
        <v>0</v>
      </c>
      <c r="K243" s="4">
        <f t="shared" si="58"/>
        <v>0</v>
      </c>
      <c r="L243" s="4">
        <f t="shared" si="63"/>
        <v>0</v>
      </c>
      <c r="M243" s="4">
        <f>IFERROR(VLOOKUP(I243,FuelTypes!$A$1:$B$32,2,FALSE)*J243,0)</f>
        <v>0</v>
      </c>
      <c r="N243" s="4">
        <f t="shared" si="64"/>
        <v>0</v>
      </c>
      <c r="O243" s="4">
        <f t="shared" si="65"/>
        <v>0</v>
      </c>
      <c r="P243" s="4" t="e">
        <f>VLOOKUP(I243, FuelTypes!$A$1:$R$12,17,FALSE)*J243</f>
        <v>#N/A</v>
      </c>
      <c r="Q243" s="4" t="e">
        <f>VLOOKUP(I243, FuelTypes!$A$1:$R$12,18,FALSE)*J243</f>
        <v>#N/A</v>
      </c>
      <c r="R243" s="4">
        <f t="shared" si="53"/>
        <v>0</v>
      </c>
      <c r="S243" s="4">
        <f t="shared" si="54"/>
        <v>0</v>
      </c>
      <c r="T243" s="4" t="e">
        <f t="shared" si="55"/>
        <v>#DIV/0!</v>
      </c>
      <c r="U243" s="4" t="e">
        <f t="shared" si="61"/>
        <v>#DIV/0!</v>
      </c>
      <c r="W243" s="3">
        <f>IFERROR(VLOOKUP(I243,FuelTypes!$A$2:$G$40,5,FALSE)*M243,0)</f>
        <v>0</v>
      </c>
      <c r="Y243" s="3">
        <f t="shared" si="59"/>
        <v>0</v>
      </c>
      <c r="Z243" s="3" t="e">
        <f t="shared" si="56"/>
        <v>#DIV/0!</v>
      </c>
      <c r="AB243" s="3">
        <f t="shared" si="60"/>
        <v>0</v>
      </c>
      <c r="AC243" s="3">
        <f t="shared" si="57"/>
        <v>0</v>
      </c>
    </row>
    <row r="244" spans="1:29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4">
        <f t="shared" si="62"/>
        <v>0</v>
      </c>
      <c r="K244" s="4">
        <f t="shared" si="58"/>
        <v>0</v>
      </c>
      <c r="L244" s="4">
        <f t="shared" si="63"/>
        <v>0</v>
      </c>
      <c r="M244" s="4">
        <f>IFERROR(VLOOKUP(I244,FuelTypes!$A$1:$B$32,2,FALSE)*J244,0)</f>
        <v>0</v>
      </c>
      <c r="N244" s="4">
        <f t="shared" si="64"/>
        <v>0</v>
      </c>
      <c r="O244" s="4">
        <f t="shared" si="65"/>
        <v>0</v>
      </c>
      <c r="P244" s="4" t="e">
        <f>VLOOKUP(I244, FuelTypes!$A$1:$R$12,17,FALSE)*J244</f>
        <v>#N/A</v>
      </c>
      <c r="Q244" s="4" t="e">
        <f>VLOOKUP(I244, FuelTypes!$A$1:$R$12,18,FALSE)*J244</f>
        <v>#N/A</v>
      </c>
      <c r="R244" s="4">
        <f t="shared" si="53"/>
        <v>0</v>
      </c>
      <c r="S244" s="4">
        <f t="shared" si="54"/>
        <v>0</v>
      </c>
      <c r="T244" s="4" t="e">
        <f t="shared" si="55"/>
        <v>#DIV/0!</v>
      </c>
      <c r="U244" s="4" t="e">
        <f t="shared" si="61"/>
        <v>#DIV/0!</v>
      </c>
      <c r="W244" s="3">
        <f>IFERROR(VLOOKUP(I244,FuelTypes!$A$2:$G$40,5,FALSE)*M244,0)</f>
        <v>0</v>
      </c>
      <c r="Y244" s="3">
        <f t="shared" si="59"/>
        <v>0</v>
      </c>
      <c r="Z244" s="3" t="e">
        <f t="shared" si="56"/>
        <v>#DIV/0!</v>
      </c>
      <c r="AB244" s="3">
        <f t="shared" si="60"/>
        <v>0</v>
      </c>
      <c r="AC244" s="3">
        <f t="shared" si="57"/>
        <v>0</v>
      </c>
    </row>
    <row r="245" spans="1:29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4">
        <f t="shared" si="62"/>
        <v>0</v>
      </c>
      <c r="K245" s="4">
        <f t="shared" si="58"/>
        <v>0</v>
      </c>
      <c r="L245" s="4">
        <f t="shared" si="63"/>
        <v>0</v>
      </c>
      <c r="M245" s="4">
        <f>IFERROR(VLOOKUP(I245,FuelTypes!$A$1:$B$32,2,FALSE)*J245,0)</f>
        <v>0</v>
      </c>
      <c r="N245" s="4">
        <f t="shared" si="64"/>
        <v>0</v>
      </c>
      <c r="O245" s="4">
        <f t="shared" si="65"/>
        <v>0</v>
      </c>
      <c r="P245" s="4" t="e">
        <f>VLOOKUP(I245, FuelTypes!$A$1:$R$12,17,FALSE)*J245</f>
        <v>#N/A</v>
      </c>
      <c r="Q245" s="4" t="e">
        <f>VLOOKUP(I245, FuelTypes!$A$1:$R$12,18,FALSE)*J245</f>
        <v>#N/A</v>
      </c>
      <c r="R245" s="4">
        <f t="shared" si="53"/>
        <v>0</v>
      </c>
      <c r="S245" s="4">
        <f t="shared" si="54"/>
        <v>0</v>
      </c>
      <c r="T245" s="4" t="e">
        <f t="shared" si="55"/>
        <v>#DIV/0!</v>
      </c>
      <c r="U245" s="4" t="e">
        <f t="shared" si="61"/>
        <v>#DIV/0!</v>
      </c>
      <c r="W245" s="3">
        <f>IFERROR(VLOOKUP(I245,FuelTypes!$A$2:$G$40,5,FALSE)*M245,0)</f>
        <v>0</v>
      </c>
      <c r="Y245" s="3">
        <f t="shared" si="59"/>
        <v>0</v>
      </c>
      <c r="Z245" s="3" t="e">
        <f t="shared" si="56"/>
        <v>#DIV/0!</v>
      </c>
      <c r="AB245" s="3">
        <f t="shared" si="60"/>
        <v>0</v>
      </c>
      <c r="AC245" s="3">
        <f t="shared" si="57"/>
        <v>0</v>
      </c>
    </row>
    <row r="246" spans="1:29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4">
        <f t="shared" si="62"/>
        <v>0</v>
      </c>
      <c r="K246" s="4">
        <f t="shared" si="58"/>
        <v>0</v>
      </c>
      <c r="L246" s="4">
        <f t="shared" si="63"/>
        <v>0</v>
      </c>
      <c r="M246" s="4">
        <f>IFERROR(VLOOKUP(I246,FuelTypes!$A$1:$B$32,2,FALSE)*J246,0)</f>
        <v>0</v>
      </c>
      <c r="N246" s="4">
        <f t="shared" si="64"/>
        <v>0</v>
      </c>
      <c r="O246" s="4">
        <f t="shared" si="65"/>
        <v>0</v>
      </c>
      <c r="P246" s="4" t="e">
        <f>VLOOKUP(I246, FuelTypes!$A$1:$R$12,17,FALSE)*J246</f>
        <v>#N/A</v>
      </c>
      <c r="Q246" s="4" t="e">
        <f>VLOOKUP(I246, FuelTypes!$A$1:$R$12,18,FALSE)*J246</f>
        <v>#N/A</v>
      </c>
      <c r="R246" s="4">
        <f t="shared" si="53"/>
        <v>0</v>
      </c>
      <c r="S246" s="4">
        <f t="shared" si="54"/>
        <v>0</v>
      </c>
      <c r="T246" s="4" t="e">
        <f t="shared" si="55"/>
        <v>#DIV/0!</v>
      </c>
      <c r="U246" s="4" t="e">
        <f t="shared" si="61"/>
        <v>#DIV/0!</v>
      </c>
      <c r="W246" s="3">
        <f>IFERROR(VLOOKUP(I246,FuelTypes!$A$2:$G$40,5,FALSE)*M246,0)</f>
        <v>0</v>
      </c>
      <c r="Y246" s="3">
        <f t="shared" si="59"/>
        <v>0</v>
      </c>
      <c r="Z246" s="3" t="e">
        <f t="shared" si="56"/>
        <v>#DIV/0!</v>
      </c>
      <c r="AB246" s="3">
        <f t="shared" si="60"/>
        <v>0</v>
      </c>
      <c r="AC246" s="3">
        <f t="shared" si="57"/>
        <v>0</v>
      </c>
    </row>
    <row r="247" spans="1:29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4">
        <f t="shared" si="62"/>
        <v>0</v>
      </c>
      <c r="K247" s="4">
        <f t="shared" si="58"/>
        <v>0</v>
      </c>
      <c r="L247" s="4">
        <f t="shared" si="63"/>
        <v>0</v>
      </c>
      <c r="M247" s="4">
        <f>IFERROR(VLOOKUP(I247,FuelTypes!$A$1:$B$32,2,FALSE)*J247,0)</f>
        <v>0</v>
      </c>
      <c r="N247" s="4">
        <f t="shared" si="64"/>
        <v>0</v>
      </c>
      <c r="O247" s="4">
        <f t="shared" si="65"/>
        <v>0</v>
      </c>
      <c r="P247" s="4" t="e">
        <f>VLOOKUP(I247, FuelTypes!$A$1:$R$12,17,FALSE)*J247</f>
        <v>#N/A</v>
      </c>
      <c r="Q247" s="4" t="e">
        <f>VLOOKUP(I247, FuelTypes!$A$1:$R$12,18,FALSE)*J247</f>
        <v>#N/A</v>
      </c>
      <c r="R247" s="4">
        <f t="shared" si="53"/>
        <v>0</v>
      </c>
      <c r="S247" s="4">
        <f t="shared" si="54"/>
        <v>0</v>
      </c>
      <c r="T247" s="4" t="e">
        <f t="shared" si="55"/>
        <v>#DIV/0!</v>
      </c>
      <c r="U247" s="4" t="e">
        <f t="shared" si="61"/>
        <v>#DIV/0!</v>
      </c>
      <c r="W247" s="3">
        <f>IFERROR(VLOOKUP(I247,FuelTypes!$A$2:$G$40,5,FALSE)*M247,0)</f>
        <v>0</v>
      </c>
      <c r="Y247" s="3">
        <f t="shared" si="59"/>
        <v>0</v>
      </c>
      <c r="Z247" s="3" t="e">
        <f t="shared" si="56"/>
        <v>#DIV/0!</v>
      </c>
      <c r="AB247" s="3">
        <f t="shared" si="60"/>
        <v>0</v>
      </c>
      <c r="AC247" s="3">
        <f t="shared" si="57"/>
        <v>0</v>
      </c>
    </row>
    <row r="248" spans="1:29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4">
        <f t="shared" si="62"/>
        <v>0</v>
      </c>
      <c r="K248" s="4">
        <f t="shared" si="58"/>
        <v>0</v>
      </c>
      <c r="L248" s="4">
        <f t="shared" si="63"/>
        <v>0</v>
      </c>
      <c r="M248" s="4">
        <f>IFERROR(VLOOKUP(I248,FuelTypes!$A$1:$B$32,2,FALSE)*J248,0)</f>
        <v>0</v>
      </c>
      <c r="N248" s="4">
        <f t="shared" si="64"/>
        <v>0</v>
      </c>
      <c r="O248" s="4">
        <f t="shared" si="65"/>
        <v>0</v>
      </c>
      <c r="P248" s="4" t="e">
        <f>VLOOKUP(I248, FuelTypes!$A$1:$R$12,17,FALSE)*J248</f>
        <v>#N/A</v>
      </c>
      <c r="Q248" s="4" t="e">
        <f>VLOOKUP(I248, FuelTypes!$A$1:$R$12,18,FALSE)*J248</f>
        <v>#N/A</v>
      </c>
      <c r="R248" s="4">
        <f t="shared" si="53"/>
        <v>0</v>
      </c>
      <c r="S248" s="4">
        <f t="shared" si="54"/>
        <v>0</v>
      </c>
      <c r="T248" s="4" t="e">
        <f t="shared" si="55"/>
        <v>#DIV/0!</v>
      </c>
      <c r="U248" s="4" t="e">
        <f t="shared" si="61"/>
        <v>#DIV/0!</v>
      </c>
      <c r="W248" s="3">
        <f>IFERROR(VLOOKUP(I248,FuelTypes!$A$2:$G$40,5,FALSE)*M248,0)</f>
        <v>0</v>
      </c>
      <c r="Y248" s="3">
        <f t="shared" si="59"/>
        <v>0</v>
      </c>
      <c r="Z248" s="3" t="e">
        <f t="shared" si="56"/>
        <v>#DIV/0!</v>
      </c>
      <c r="AB248" s="3">
        <f t="shared" si="60"/>
        <v>0</v>
      </c>
      <c r="AC248" s="3">
        <f t="shared" si="57"/>
        <v>0</v>
      </c>
    </row>
    <row r="249" spans="1:29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4">
        <f t="shared" si="62"/>
        <v>0</v>
      </c>
      <c r="K249" s="4">
        <f t="shared" si="58"/>
        <v>0</v>
      </c>
      <c r="L249" s="4">
        <f t="shared" si="63"/>
        <v>0</v>
      </c>
      <c r="M249" s="4">
        <f>IFERROR(VLOOKUP(I249,FuelTypes!$A$1:$B$32,2,FALSE)*J249,0)</f>
        <v>0</v>
      </c>
      <c r="N249" s="4">
        <f t="shared" si="64"/>
        <v>0</v>
      </c>
      <c r="O249" s="4">
        <f t="shared" si="65"/>
        <v>0</v>
      </c>
      <c r="P249" s="4" t="e">
        <f>VLOOKUP(I249, FuelTypes!$A$1:$R$12,17,FALSE)*J249</f>
        <v>#N/A</v>
      </c>
      <c r="Q249" s="4" t="e">
        <f>VLOOKUP(I249, FuelTypes!$A$1:$R$12,18,FALSE)*J249</f>
        <v>#N/A</v>
      </c>
      <c r="R249" s="4">
        <f t="shared" si="53"/>
        <v>0</v>
      </c>
      <c r="S249" s="4">
        <f t="shared" si="54"/>
        <v>0</v>
      </c>
      <c r="T249" s="4" t="e">
        <f t="shared" si="55"/>
        <v>#DIV/0!</v>
      </c>
      <c r="U249" s="4" t="e">
        <f t="shared" si="61"/>
        <v>#DIV/0!</v>
      </c>
      <c r="W249" s="3">
        <f>IFERROR(VLOOKUP(I249,FuelTypes!$A$2:$G$40,5,FALSE)*M249,0)</f>
        <v>0</v>
      </c>
      <c r="Y249" s="3">
        <f t="shared" si="59"/>
        <v>0</v>
      </c>
      <c r="Z249" s="3" t="e">
        <f t="shared" si="56"/>
        <v>#DIV/0!</v>
      </c>
      <c r="AB249" s="3">
        <f t="shared" si="60"/>
        <v>0</v>
      </c>
      <c r="AC249" s="3">
        <f t="shared" si="57"/>
        <v>0</v>
      </c>
    </row>
    <row r="250" spans="1:29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4">
        <f t="shared" si="62"/>
        <v>0</v>
      </c>
      <c r="K250" s="4">
        <f t="shared" si="58"/>
        <v>0</v>
      </c>
      <c r="L250" s="4">
        <f t="shared" si="63"/>
        <v>0</v>
      </c>
      <c r="M250" s="4">
        <f>IFERROR(VLOOKUP(I250,FuelTypes!$A$1:$B$32,2,FALSE)*J250,0)</f>
        <v>0</v>
      </c>
      <c r="N250" s="4">
        <f t="shared" si="64"/>
        <v>0</v>
      </c>
      <c r="O250" s="4">
        <f t="shared" si="65"/>
        <v>0</v>
      </c>
      <c r="P250" s="4" t="e">
        <f>VLOOKUP(I250, FuelTypes!$A$1:$R$12,17,FALSE)*J250</f>
        <v>#N/A</v>
      </c>
      <c r="Q250" s="4" t="e">
        <f>VLOOKUP(I250, FuelTypes!$A$1:$R$12,18,FALSE)*J250</f>
        <v>#N/A</v>
      </c>
      <c r="R250" s="4">
        <f t="shared" si="53"/>
        <v>0</v>
      </c>
      <c r="S250" s="4">
        <f t="shared" si="54"/>
        <v>0</v>
      </c>
      <c r="T250" s="4" t="e">
        <f t="shared" si="55"/>
        <v>#DIV/0!</v>
      </c>
      <c r="U250" s="4" t="e">
        <f t="shared" si="61"/>
        <v>#DIV/0!</v>
      </c>
      <c r="W250" s="3">
        <f>IFERROR(VLOOKUP(I250,FuelTypes!$A$2:$G$40,5,FALSE)*M250,0)</f>
        <v>0</v>
      </c>
      <c r="Y250" s="3">
        <f t="shared" si="59"/>
        <v>0</v>
      </c>
      <c r="Z250" s="3" t="e">
        <f t="shared" si="56"/>
        <v>#DIV/0!</v>
      </c>
      <c r="AB250" s="3">
        <f t="shared" si="60"/>
        <v>0</v>
      </c>
      <c r="AC250" s="3">
        <f t="shared" si="57"/>
        <v>0</v>
      </c>
    </row>
    <row r="251" spans="1:29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4">
        <f t="shared" si="62"/>
        <v>0</v>
      </c>
      <c r="K251" s="4">
        <f t="shared" si="58"/>
        <v>0</v>
      </c>
      <c r="L251" s="4">
        <f t="shared" si="63"/>
        <v>0</v>
      </c>
      <c r="M251" s="4">
        <f>IFERROR(VLOOKUP(I251,FuelTypes!$A$1:$B$32,2,FALSE)*J251,0)</f>
        <v>0</v>
      </c>
      <c r="N251" s="4">
        <f t="shared" si="64"/>
        <v>0</v>
      </c>
      <c r="O251" s="4">
        <f t="shared" si="65"/>
        <v>0</v>
      </c>
      <c r="P251" s="4" t="e">
        <f>VLOOKUP(I251, FuelTypes!$A$1:$R$12,17,FALSE)*J251</f>
        <v>#N/A</v>
      </c>
      <c r="Q251" s="4" t="e">
        <f>VLOOKUP(I251, FuelTypes!$A$1:$R$12,18,FALSE)*J251</f>
        <v>#N/A</v>
      </c>
      <c r="R251" s="4">
        <f t="shared" si="53"/>
        <v>0</v>
      </c>
      <c r="S251" s="4">
        <f t="shared" si="54"/>
        <v>0</v>
      </c>
      <c r="T251" s="4" t="e">
        <f t="shared" si="55"/>
        <v>#DIV/0!</v>
      </c>
      <c r="U251" s="4" t="e">
        <f t="shared" si="61"/>
        <v>#DIV/0!</v>
      </c>
      <c r="W251" s="3">
        <f>IFERROR(VLOOKUP(I251,FuelTypes!$A$2:$G$40,5,FALSE)*M251,0)</f>
        <v>0</v>
      </c>
      <c r="Y251" s="3">
        <f t="shared" si="59"/>
        <v>0</v>
      </c>
      <c r="Z251" s="3" t="e">
        <f t="shared" si="56"/>
        <v>#DIV/0!</v>
      </c>
      <c r="AB251" s="3">
        <f t="shared" si="60"/>
        <v>0</v>
      </c>
      <c r="AC251" s="3">
        <f t="shared" si="57"/>
        <v>0</v>
      </c>
    </row>
    <row r="252" spans="1:29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4">
        <f t="shared" si="62"/>
        <v>0</v>
      </c>
      <c r="K252" s="4">
        <f t="shared" si="58"/>
        <v>0</v>
      </c>
      <c r="L252" s="4">
        <f t="shared" si="63"/>
        <v>0</v>
      </c>
      <c r="M252" s="4">
        <f>IFERROR(VLOOKUP(I252,FuelTypes!$A$1:$B$32,2,FALSE)*J252,0)</f>
        <v>0</v>
      </c>
      <c r="N252" s="4">
        <f t="shared" si="64"/>
        <v>0</v>
      </c>
      <c r="O252" s="4">
        <f t="shared" si="65"/>
        <v>0</v>
      </c>
      <c r="P252" s="4" t="e">
        <f>VLOOKUP(I252, FuelTypes!$A$1:$R$12,17,FALSE)*J252</f>
        <v>#N/A</v>
      </c>
      <c r="Q252" s="4" t="e">
        <f>VLOOKUP(I252, FuelTypes!$A$1:$R$12,18,FALSE)*J252</f>
        <v>#N/A</v>
      </c>
      <c r="R252" s="4">
        <f t="shared" si="53"/>
        <v>0</v>
      </c>
      <c r="S252" s="4">
        <f t="shared" si="54"/>
        <v>0</v>
      </c>
      <c r="T252" s="4" t="e">
        <f t="shared" si="55"/>
        <v>#DIV/0!</v>
      </c>
      <c r="U252" s="4" t="e">
        <f t="shared" si="61"/>
        <v>#DIV/0!</v>
      </c>
      <c r="W252" s="3">
        <f>IFERROR(VLOOKUP(I252,FuelTypes!$A$2:$G$40,5,FALSE)*M252,0)</f>
        <v>0</v>
      </c>
      <c r="Y252" s="3">
        <f t="shared" si="59"/>
        <v>0</v>
      </c>
      <c r="Z252" s="3" t="e">
        <f t="shared" si="56"/>
        <v>#DIV/0!</v>
      </c>
      <c r="AB252" s="3">
        <f t="shared" si="60"/>
        <v>0</v>
      </c>
      <c r="AC252" s="3">
        <f t="shared" si="57"/>
        <v>0</v>
      </c>
    </row>
    <row r="253" spans="1:29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4">
        <f t="shared" si="62"/>
        <v>0</v>
      </c>
      <c r="K253" s="4">
        <f t="shared" si="58"/>
        <v>0</v>
      </c>
      <c r="L253" s="4">
        <f t="shared" si="63"/>
        <v>0</v>
      </c>
      <c r="M253" s="4">
        <f>IFERROR(VLOOKUP(I253,FuelTypes!$A$1:$B$32,2,FALSE)*J253,0)</f>
        <v>0</v>
      </c>
      <c r="N253" s="4">
        <f t="shared" si="64"/>
        <v>0</v>
      </c>
      <c r="O253" s="4">
        <f t="shared" si="65"/>
        <v>0</v>
      </c>
      <c r="P253" s="4" t="e">
        <f>VLOOKUP(I253, FuelTypes!$A$1:$R$12,17,FALSE)*J253</f>
        <v>#N/A</v>
      </c>
      <c r="Q253" s="4" t="e">
        <f>VLOOKUP(I253, FuelTypes!$A$1:$R$12,18,FALSE)*J253</f>
        <v>#N/A</v>
      </c>
      <c r="R253" s="4">
        <f t="shared" si="53"/>
        <v>0</v>
      </c>
      <c r="S253" s="4">
        <f t="shared" si="54"/>
        <v>0</v>
      </c>
      <c r="T253" s="4" t="e">
        <f t="shared" si="55"/>
        <v>#DIV/0!</v>
      </c>
      <c r="U253" s="4" t="e">
        <f t="shared" si="61"/>
        <v>#DIV/0!</v>
      </c>
      <c r="W253" s="3">
        <f>IFERROR(VLOOKUP(I253,FuelTypes!$A$2:$G$40,5,FALSE)*M253,0)</f>
        <v>0</v>
      </c>
      <c r="Y253" s="3">
        <f t="shared" si="59"/>
        <v>0</v>
      </c>
      <c r="Z253" s="3" t="e">
        <f t="shared" si="56"/>
        <v>#DIV/0!</v>
      </c>
      <c r="AB253" s="3">
        <f t="shared" si="60"/>
        <v>0</v>
      </c>
      <c r="AC253" s="3">
        <f t="shared" si="57"/>
        <v>0</v>
      </c>
    </row>
    <row r="254" spans="1:29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4">
        <f t="shared" si="62"/>
        <v>0</v>
      </c>
      <c r="K254" s="4">
        <f t="shared" si="58"/>
        <v>0</v>
      </c>
      <c r="L254" s="4">
        <f t="shared" si="63"/>
        <v>0</v>
      </c>
      <c r="M254" s="4">
        <f>IFERROR(VLOOKUP(I254,FuelTypes!$A$1:$B$32,2,FALSE)*J254,0)</f>
        <v>0</v>
      </c>
      <c r="N254" s="4">
        <f t="shared" si="64"/>
        <v>0</v>
      </c>
      <c r="O254" s="4">
        <f t="shared" si="65"/>
        <v>0</v>
      </c>
      <c r="P254" s="4" t="e">
        <f>VLOOKUP(I254, FuelTypes!$A$1:$R$12,17,FALSE)*J254</f>
        <v>#N/A</v>
      </c>
      <c r="Q254" s="4" t="e">
        <f>VLOOKUP(I254, FuelTypes!$A$1:$R$12,18,FALSE)*J254</f>
        <v>#N/A</v>
      </c>
      <c r="R254" s="4">
        <f t="shared" si="53"/>
        <v>0</v>
      </c>
      <c r="S254" s="4">
        <f t="shared" si="54"/>
        <v>0</v>
      </c>
      <c r="T254" s="4" t="e">
        <f t="shared" si="55"/>
        <v>#DIV/0!</v>
      </c>
      <c r="U254" s="4" t="e">
        <f t="shared" si="61"/>
        <v>#DIV/0!</v>
      </c>
      <c r="W254" s="3">
        <f>IFERROR(VLOOKUP(I254,FuelTypes!$A$2:$G$40,5,FALSE)*M254,0)</f>
        <v>0</v>
      </c>
      <c r="Y254" s="3">
        <f t="shared" si="59"/>
        <v>0</v>
      </c>
      <c r="Z254" s="3" t="e">
        <f t="shared" si="56"/>
        <v>#DIV/0!</v>
      </c>
      <c r="AB254" s="3">
        <f t="shared" si="60"/>
        <v>0</v>
      </c>
      <c r="AC254" s="3">
        <f t="shared" si="57"/>
        <v>0</v>
      </c>
    </row>
    <row r="255" spans="1:29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4">
        <f t="shared" si="62"/>
        <v>0</v>
      </c>
      <c r="K255" s="4">
        <f t="shared" si="58"/>
        <v>0</v>
      </c>
      <c r="L255" s="4">
        <f t="shared" si="63"/>
        <v>0</v>
      </c>
      <c r="M255" s="4">
        <f>IFERROR(VLOOKUP(I255,FuelTypes!$A$1:$B$32,2,FALSE)*J255,0)</f>
        <v>0</v>
      </c>
      <c r="N255" s="4">
        <f t="shared" si="64"/>
        <v>0</v>
      </c>
      <c r="O255" s="4">
        <f t="shared" si="65"/>
        <v>0</v>
      </c>
      <c r="P255" s="4" t="e">
        <f>VLOOKUP(I255, FuelTypes!$A$1:$R$12,17,FALSE)*J255</f>
        <v>#N/A</v>
      </c>
      <c r="Q255" s="4" t="e">
        <f>VLOOKUP(I255, FuelTypes!$A$1:$R$12,18,FALSE)*J255</f>
        <v>#N/A</v>
      </c>
      <c r="R255" s="4">
        <f t="shared" si="53"/>
        <v>0</v>
      </c>
      <c r="S255" s="4">
        <f t="shared" si="54"/>
        <v>0</v>
      </c>
      <c r="T255" s="4" t="e">
        <f t="shared" si="55"/>
        <v>#DIV/0!</v>
      </c>
      <c r="U255" s="4" t="e">
        <f t="shared" si="61"/>
        <v>#DIV/0!</v>
      </c>
      <c r="W255" s="3">
        <f>IFERROR(VLOOKUP(I255,FuelTypes!$A$2:$G$40,5,FALSE)*M255,0)</f>
        <v>0</v>
      </c>
      <c r="Y255" s="3">
        <f t="shared" si="59"/>
        <v>0</v>
      </c>
      <c r="Z255" s="3" t="e">
        <f t="shared" si="56"/>
        <v>#DIV/0!</v>
      </c>
      <c r="AB255" s="3">
        <f t="shared" si="60"/>
        <v>0</v>
      </c>
      <c r="AC255" s="3">
        <f t="shared" si="57"/>
        <v>0</v>
      </c>
    </row>
    <row r="256" spans="1:29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4">
        <f t="shared" si="62"/>
        <v>0</v>
      </c>
      <c r="K256" s="4">
        <f t="shared" si="58"/>
        <v>0</v>
      </c>
      <c r="L256" s="4">
        <f t="shared" si="63"/>
        <v>0</v>
      </c>
      <c r="M256" s="4">
        <f>IFERROR(VLOOKUP(I256,FuelTypes!$A$1:$B$32,2,FALSE)*J256,0)</f>
        <v>0</v>
      </c>
      <c r="N256" s="4">
        <f t="shared" si="64"/>
        <v>0</v>
      </c>
      <c r="O256" s="4">
        <f t="shared" si="65"/>
        <v>0</v>
      </c>
      <c r="P256" s="4" t="e">
        <f>VLOOKUP(I256, FuelTypes!$A$1:$R$12,17,FALSE)*J256</f>
        <v>#N/A</v>
      </c>
      <c r="Q256" s="4" t="e">
        <f>VLOOKUP(I256, FuelTypes!$A$1:$R$12,18,FALSE)*J256</f>
        <v>#N/A</v>
      </c>
      <c r="R256" s="4">
        <f t="shared" si="53"/>
        <v>0</v>
      </c>
      <c r="S256" s="4">
        <f t="shared" si="54"/>
        <v>0</v>
      </c>
      <c r="T256" s="4" t="e">
        <f t="shared" si="55"/>
        <v>#DIV/0!</v>
      </c>
      <c r="U256" s="4" t="e">
        <f t="shared" si="61"/>
        <v>#DIV/0!</v>
      </c>
      <c r="W256" s="3">
        <f>IFERROR(VLOOKUP(I256,FuelTypes!$A$2:$G$40,5,FALSE)*M256,0)</f>
        <v>0</v>
      </c>
      <c r="Y256" s="3">
        <f t="shared" si="59"/>
        <v>0</v>
      </c>
      <c r="Z256" s="3" t="e">
        <f t="shared" si="56"/>
        <v>#DIV/0!</v>
      </c>
      <c r="AB256" s="3">
        <f t="shared" si="60"/>
        <v>0</v>
      </c>
      <c r="AC256" s="3">
        <f t="shared" si="57"/>
        <v>0</v>
      </c>
    </row>
    <row r="257" spans="1:29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4">
        <f t="shared" si="62"/>
        <v>0</v>
      </c>
      <c r="K257" s="4">
        <f t="shared" si="58"/>
        <v>0</v>
      </c>
      <c r="L257" s="4">
        <f t="shared" si="63"/>
        <v>0</v>
      </c>
      <c r="M257" s="4">
        <f>IFERROR(VLOOKUP(I257,FuelTypes!$A$1:$B$32,2,FALSE)*J257,0)</f>
        <v>0</v>
      </c>
      <c r="N257" s="4">
        <f t="shared" si="64"/>
        <v>0</v>
      </c>
      <c r="O257" s="4">
        <f t="shared" si="65"/>
        <v>0</v>
      </c>
      <c r="P257" s="4" t="e">
        <f>VLOOKUP(I257, FuelTypes!$A$1:$R$12,17,FALSE)*J257</f>
        <v>#N/A</v>
      </c>
      <c r="Q257" s="4" t="e">
        <f>VLOOKUP(I257, FuelTypes!$A$1:$R$12,18,FALSE)*J257</f>
        <v>#N/A</v>
      </c>
      <c r="R257" s="4">
        <f t="shared" si="53"/>
        <v>0</v>
      </c>
      <c r="S257" s="4">
        <f t="shared" si="54"/>
        <v>0</v>
      </c>
      <c r="T257" s="4" t="e">
        <f t="shared" si="55"/>
        <v>#DIV/0!</v>
      </c>
      <c r="U257" s="4" t="e">
        <f t="shared" si="61"/>
        <v>#DIV/0!</v>
      </c>
      <c r="W257" s="3">
        <f>IFERROR(VLOOKUP(I257,FuelTypes!$A$2:$G$40,5,FALSE)*M257,0)</f>
        <v>0</v>
      </c>
      <c r="Y257" s="3">
        <f t="shared" si="59"/>
        <v>0</v>
      </c>
      <c r="Z257" s="3" t="e">
        <f t="shared" si="56"/>
        <v>#DIV/0!</v>
      </c>
      <c r="AB257" s="3">
        <f t="shared" si="60"/>
        <v>0</v>
      </c>
      <c r="AC257" s="3">
        <f t="shared" si="57"/>
        <v>0</v>
      </c>
    </row>
    <row r="258" spans="1:29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4">
        <f t="shared" si="62"/>
        <v>0</v>
      </c>
      <c r="K258" s="4">
        <f t="shared" si="58"/>
        <v>0</v>
      </c>
      <c r="L258" s="4">
        <f t="shared" si="63"/>
        <v>0</v>
      </c>
      <c r="M258" s="4">
        <f>IFERROR(VLOOKUP(I258,FuelTypes!$A$1:$B$32,2,FALSE)*J258,0)</f>
        <v>0</v>
      </c>
      <c r="N258" s="4">
        <f t="shared" si="64"/>
        <v>0</v>
      </c>
      <c r="O258" s="4">
        <f t="shared" si="65"/>
        <v>0</v>
      </c>
      <c r="P258" s="4" t="e">
        <f>VLOOKUP(I258, FuelTypes!$A$1:$R$12,17,FALSE)*J258</f>
        <v>#N/A</v>
      </c>
      <c r="Q258" s="4" t="e">
        <f>VLOOKUP(I258, FuelTypes!$A$1:$R$12,18,FALSE)*J258</f>
        <v>#N/A</v>
      </c>
      <c r="R258" s="4">
        <f t="shared" ref="R258:R301" si="66">IF(L258&gt;0, (G258*0.1)/N258,0)</f>
        <v>0</v>
      </c>
      <c r="S258" s="4">
        <f t="shared" ref="S258:S301" si="67">IFERROR(H258/G258*L258,0)</f>
        <v>0</v>
      </c>
      <c r="T258" s="4" t="e">
        <f t="shared" ref="T258:T301" si="68">G258 / (9.81 * F258)</f>
        <v>#DIV/0!</v>
      </c>
      <c r="U258" s="4" t="e">
        <f t="shared" si="61"/>
        <v>#DIV/0!</v>
      </c>
      <c r="W258" s="3">
        <f>IFERROR(VLOOKUP(I258,FuelTypes!$A$2:$G$40,5,FALSE)*M258,0)</f>
        <v>0</v>
      </c>
      <c r="Y258" s="3">
        <f t="shared" si="59"/>
        <v>0</v>
      </c>
      <c r="Z258" s="3" t="e">
        <f t="shared" ref="Z258:Z301" si="69">X258/L258</f>
        <v>#DIV/0!</v>
      </c>
      <c r="AB258" s="3">
        <f t="shared" si="60"/>
        <v>0</v>
      </c>
      <c r="AC258" s="3">
        <f t="shared" ref="AC258:AC301" si="70">IFERROR(M258/N258, 0)</f>
        <v>0</v>
      </c>
    </row>
    <row r="259" spans="1:29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4">
        <f t="shared" si="62"/>
        <v>0</v>
      </c>
      <c r="K259" s="4">
        <f t="shared" ref="K259:K301" si="71">E259*M259</f>
        <v>0</v>
      </c>
      <c r="L259" s="4">
        <f t="shared" si="63"/>
        <v>0</v>
      </c>
      <c r="M259" s="4">
        <f>IFERROR(VLOOKUP(I259,FuelTypes!$A$1:$B$32,2,FALSE)*J259,0)</f>
        <v>0</v>
      </c>
      <c r="N259" s="4">
        <f t="shared" si="64"/>
        <v>0</v>
      </c>
      <c r="O259" s="4">
        <f t="shared" si="65"/>
        <v>0</v>
      </c>
      <c r="P259" s="4" t="e">
        <f>VLOOKUP(I259, FuelTypes!$A$1:$R$12,17,FALSE)*J259</f>
        <v>#N/A</v>
      </c>
      <c r="Q259" s="4" t="e">
        <f>VLOOKUP(I259, FuelTypes!$A$1:$R$12,18,FALSE)*J259</f>
        <v>#N/A</v>
      </c>
      <c r="R259" s="4">
        <f t="shared" si="66"/>
        <v>0</v>
      </c>
      <c r="S259" s="4">
        <f t="shared" si="67"/>
        <v>0</v>
      </c>
      <c r="T259" s="4" t="e">
        <f t="shared" si="68"/>
        <v>#DIV/0!</v>
      </c>
      <c r="U259" s="4" t="e">
        <f t="shared" si="61"/>
        <v>#DIV/0!</v>
      </c>
      <c r="W259" s="3">
        <f>IFERROR(VLOOKUP(I259,FuelTypes!$A$2:$G$40,5,FALSE)*M259,0)</f>
        <v>0</v>
      </c>
      <c r="Y259" s="3">
        <f t="shared" ref="Y259:Y301" si="72">X259+W259</f>
        <v>0</v>
      </c>
      <c r="Z259" s="3" t="e">
        <f t="shared" si="69"/>
        <v>#DIV/0!</v>
      </c>
      <c r="AB259" s="3">
        <f t="shared" ref="AB259:AB301" si="73">IFERROR(M259/(M259+K259), 0)</f>
        <v>0</v>
      </c>
      <c r="AC259" s="3">
        <f t="shared" si="70"/>
        <v>0</v>
      </c>
    </row>
    <row r="260" spans="1:29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4">
        <f t="shared" si="62"/>
        <v>0</v>
      </c>
      <c r="K260" s="4">
        <f t="shared" si="71"/>
        <v>0</v>
      </c>
      <c r="L260" s="4">
        <f t="shared" si="63"/>
        <v>0</v>
      </c>
      <c r="M260" s="4">
        <f>IFERROR(VLOOKUP(I260,FuelTypes!$A$1:$B$32,2,FALSE)*J260,0)</f>
        <v>0</v>
      </c>
      <c r="N260" s="4">
        <f t="shared" si="64"/>
        <v>0</v>
      </c>
      <c r="O260" s="4">
        <f t="shared" si="65"/>
        <v>0</v>
      </c>
      <c r="P260" s="4" t="e">
        <f>VLOOKUP(I260, FuelTypes!$A$1:$R$12,17,FALSE)*J260</f>
        <v>#N/A</v>
      </c>
      <c r="Q260" s="4" t="e">
        <f>VLOOKUP(I260, FuelTypes!$A$1:$R$12,18,FALSE)*J260</f>
        <v>#N/A</v>
      </c>
      <c r="R260" s="4">
        <f t="shared" si="66"/>
        <v>0</v>
      </c>
      <c r="S260" s="4">
        <f t="shared" si="67"/>
        <v>0</v>
      </c>
      <c r="T260" s="4" t="e">
        <f t="shared" si="68"/>
        <v>#DIV/0!</v>
      </c>
      <c r="U260" s="4" t="e">
        <f t="shared" ref="U260:U301" si="74">M260/T260</f>
        <v>#DIV/0!</v>
      </c>
      <c r="W260" s="3">
        <f>IFERROR(VLOOKUP(I260,FuelTypes!$A$2:$G$40,5,FALSE)*M260,0)</f>
        <v>0</v>
      </c>
      <c r="Y260" s="3">
        <f t="shared" si="72"/>
        <v>0</v>
      </c>
      <c r="Z260" s="3" t="e">
        <f t="shared" si="69"/>
        <v>#DIV/0!</v>
      </c>
      <c r="AB260" s="3">
        <f t="shared" si="73"/>
        <v>0</v>
      </c>
      <c r="AC260" s="3">
        <f t="shared" si="70"/>
        <v>0</v>
      </c>
    </row>
    <row r="261" spans="1:29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4">
        <f t="shared" si="62"/>
        <v>0</v>
      </c>
      <c r="K261" s="4">
        <f t="shared" si="71"/>
        <v>0</v>
      </c>
      <c r="L261" s="4">
        <f t="shared" si="63"/>
        <v>0</v>
      </c>
      <c r="M261" s="4">
        <f>IFERROR(VLOOKUP(I261,FuelTypes!$A$1:$B$32,2,FALSE)*J261,0)</f>
        <v>0</v>
      </c>
      <c r="N261" s="4">
        <f t="shared" si="64"/>
        <v>0</v>
      </c>
      <c r="O261" s="4">
        <f t="shared" si="65"/>
        <v>0</v>
      </c>
      <c r="P261" s="4" t="e">
        <f>VLOOKUP(I261, FuelTypes!$A$1:$R$12,17,FALSE)*J261</f>
        <v>#N/A</v>
      </c>
      <c r="Q261" s="4" t="e">
        <f>VLOOKUP(I261, FuelTypes!$A$1:$R$12,18,FALSE)*J261</f>
        <v>#N/A</v>
      </c>
      <c r="R261" s="4">
        <f t="shared" si="66"/>
        <v>0</v>
      </c>
      <c r="S261" s="4">
        <f t="shared" si="67"/>
        <v>0</v>
      </c>
      <c r="T261" s="4" t="e">
        <f t="shared" si="68"/>
        <v>#DIV/0!</v>
      </c>
      <c r="U261" s="4" t="e">
        <f t="shared" si="74"/>
        <v>#DIV/0!</v>
      </c>
      <c r="W261" s="3">
        <f>IFERROR(VLOOKUP(I261,FuelTypes!$A$2:$G$40,5,FALSE)*M261,0)</f>
        <v>0</v>
      </c>
      <c r="Y261" s="3">
        <f t="shared" si="72"/>
        <v>0</v>
      </c>
      <c r="Z261" s="3" t="e">
        <f t="shared" si="69"/>
        <v>#DIV/0!</v>
      </c>
      <c r="AB261" s="3">
        <f t="shared" si="73"/>
        <v>0</v>
      </c>
      <c r="AC261" s="3">
        <f t="shared" si="70"/>
        <v>0</v>
      </c>
    </row>
    <row r="262" spans="1:29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4">
        <f t="shared" si="62"/>
        <v>0</v>
      </c>
      <c r="K262" s="4">
        <f t="shared" si="71"/>
        <v>0</v>
      </c>
      <c r="L262" s="4">
        <f t="shared" si="63"/>
        <v>0</v>
      </c>
      <c r="M262" s="4">
        <f>IFERROR(VLOOKUP(I262,FuelTypes!$A$1:$B$32,2,FALSE)*J262,0)</f>
        <v>0</v>
      </c>
      <c r="N262" s="4">
        <f t="shared" si="64"/>
        <v>0</v>
      </c>
      <c r="O262" s="4">
        <f t="shared" si="65"/>
        <v>0</v>
      </c>
      <c r="P262" s="4" t="e">
        <f>VLOOKUP(I262, FuelTypes!$A$1:$R$12,17,FALSE)*J262</f>
        <v>#N/A</v>
      </c>
      <c r="Q262" s="4" t="e">
        <f>VLOOKUP(I262, FuelTypes!$A$1:$R$12,18,FALSE)*J262</f>
        <v>#N/A</v>
      </c>
      <c r="R262" s="4">
        <f t="shared" si="66"/>
        <v>0</v>
      </c>
      <c r="S262" s="4">
        <f t="shared" si="67"/>
        <v>0</v>
      </c>
      <c r="T262" s="4" t="e">
        <f t="shared" si="68"/>
        <v>#DIV/0!</v>
      </c>
      <c r="U262" s="4" t="e">
        <f t="shared" si="74"/>
        <v>#DIV/0!</v>
      </c>
      <c r="W262" s="3">
        <f>IFERROR(VLOOKUP(I262,FuelTypes!$A$2:$G$40,5,FALSE)*M262,0)</f>
        <v>0</v>
      </c>
      <c r="Y262" s="3">
        <f t="shared" si="72"/>
        <v>0</v>
      </c>
      <c r="Z262" s="3" t="e">
        <f t="shared" si="69"/>
        <v>#DIV/0!</v>
      </c>
      <c r="AB262" s="3">
        <f t="shared" si="73"/>
        <v>0</v>
      </c>
      <c r="AC262" s="3">
        <f t="shared" si="70"/>
        <v>0</v>
      </c>
    </row>
    <row r="263" spans="1:29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4">
        <f t="shared" si="62"/>
        <v>0</v>
      </c>
      <c r="K263" s="4">
        <f t="shared" si="71"/>
        <v>0</v>
      </c>
      <c r="L263" s="4">
        <f t="shared" si="63"/>
        <v>0</v>
      </c>
      <c r="M263" s="4">
        <f>IFERROR(VLOOKUP(I263,FuelTypes!$A$1:$B$32,2,FALSE)*J263,0)</f>
        <v>0</v>
      </c>
      <c r="N263" s="4">
        <f t="shared" si="64"/>
        <v>0</v>
      </c>
      <c r="O263" s="4">
        <f t="shared" si="65"/>
        <v>0</v>
      </c>
      <c r="P263" s="4" t="e">
        <f>VLOOKUP(I263, FuelTypes!$A$1:$R$12,17,FALSE)*J263</f>
        <v>#N/A</v>
      </c>
      <c r="Q263" s="4" t="e">
        <f>VLOOKUP(I263, FuelTypes!$A$1:$R$12,18,FALSE)*J263</f>
        <v>#N/A</v>
      </c>
      <c r="R263" s="4">
        <f t="shared" si="66"/>
        <v>0</v>
      </c>
      <c r="S263" s="4">
        <f t="shared" si="67"/>
        <v>0</v>
      </c>
      <c r="T263" s="4" t="e">
        <f t="shared" si="68"/>
        <v>#DIV/0!</v>
      </c>
      <c r="U263" s="4" t="e">
        <f t="shared" si="74"/>
        <v>#DIV/0!</v>
      </c>
      <c r="W263" s="3">
        <f>IFERROR(VLOOKUP(I263,FuelTypes!$A$2:$G$40,5,FALSE)*M263,0)</f>
        <v>0</v>
      </c>
      <c r="Y263" s="3">
        <f t="shared" si="72"/>
        <v>0</v>
      </c>
      <c r="Z263" s="3" t="e">
        <f t="shared" si="69"/>
        <v>#DIV/0!</v>
      </c>
      <c r="AB263" s="3">
        <f t="shared" si="73"/>
        <v>0</v>
      </c>
      <c r="AC263" s="3">
        <f t="shared" si="70"/>
        <v>0</v>
      </c>
    </row>
    <row r="264" spans="1:29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4">
        <f t="shared" si="62"/>
        <v>0</v>
      </c>
      <c r="K264" s="4">
        <f t="shared" si="71"/>
        <v>0</v>
      </c>
      <c r="L264" s="4">
        <f t="shared" si="63"/>
        <v>0</v>
      </c>
      <c r="M264" s="4">
        <f>IFERROR(VLOOKUP(I264,FuelTypes!$A$1:$B$32,2,FALSE)*J264,0)</f>
        <v>0</v>
      </c>
      <c r="N264" s="4">
        <f t="shared" si="64"/>
        <v>0</v>
      </c>
      <c r="O264" s="4">
        <f t="shared" si="65"/>
        <v>0</v>
      </c>
      <c r="P264" s="4" t="e">
        <f>VLOOKUP(I264, FuelTypes!$A$1:$R$12,17,FALSE)*J264</f>
        <v>#N/A</v>
      </c>
      <c r="Q264" s="4" t="e">
        <f>VLOOKUP(I264, FuelTypes!$A$1:$R$12,18,FALSE)*J264</f>
        <v>#N/A</v>
      </c>
      <c r="R264" s="4">
        <f t="shared" si="66"/>
        <v>0</v>
      </c>
      <c r="S264" s="4">
        <f t="shared" si="67"/>
        <v>0</v>
      </c>
      <c r="T264" s="4" t="e">
        <f t="shared" si="68"/>
        <v>#DIV/0!</v>
      </c>
      <c r="U264" s="4" t="e">
        <f t="shared" si="74"/>
        <v>#DIV/0!</v>
      </c>
      <c r="W264" s="3">
        <f>IFERROR(VLOOKUP(I264,FuelTypes!$A$2:$G$40,5,FALSE)*M264,0)</f>
        <v>0</v>
      </c>
      <c r="Y264" s="3">
        <f t="shared" si="72"/>
        <v>0</v>
      </c>
      <c r="Z264" s="3" t="e">
        <f t="shared" si="69"/>
        <v>#DIV/0!</v>
      </c>
      <c r="AB264" s="3">
        <f t="shared" si="73"/>
        <v>0</v>
      </c>
      <c r="AC264" s="3">
        <f t="shared" si="70"/>
        <v>0</v>
      </c>
    </row>
    <row r="265" spans="1:29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4">
        <f t="shared" si="62"/>
        <v>0</v>
      </c>
      <c r="K265" s="4">
        <f t="shared" si="71"/>
        <v>0</v>
      </c>
      <c r="L265" s="4">
        <f t="shared" si="63"/>
        <v>0</v>
      </c>
      <c r="M265" s="4">
        <f>IFERROR(VLOOKUP(I265,FuelTypes!$A$1:$B$32,2,FALSE)*J265,0)</f>
        <v>0</v>
      </c>
      <c r="N265" s="4">
        <f t="shared" si="64"/>
        <v>0</v>
      </c>
      <c r="O265" s="4">
        <f t="shared" si="65"/>
        <v>0</v>
      </c>
      <c r="P265" s="4" t="e">
        <f>VLOOKUP(I265, FuelTypes!$A$1:$R$12,17,FALSE)*J265</f>
        <v>#N/A</v>
      </c>
      <c r="Q265" s="4" t="e">
        <f>VLOOKUP(I265, FuelTypes!$A$1:$R$12,18,FALSE)*J265</f>
        <v>#N/A</v>
      </c>
      <c r="R265" s="4">
        <f t="shared" si="66"/>
        <v>0</v>
      </c>
      <c r="S265" s="4">
        <f t="shared" si="67"/>
        <v>0</v>
      </c>
      <c r="T265" s="4" t="e">
        <f t="shared" si="68"/>
        <v>#DIV/0!</v>
      </c>
      <c r="U265" s="4" t="e">
        <f t="shared" si="74"/>
        <v>#DIV/0!</v>
      </c>
      <c r="W265" s="3">
        <f>IFERROR(VLOOKUP(I265,FuelTypes!$A$2:$G$40,5,FALSE)*M265,0)</f>
        <v>0</v>
      </c>
      <c r="Y265" s="3">
        <f t="shared" si="72"/>
        <v>0</v>
      </c>
      <c r="Z265" s="3" t="e">
        <f t="shared" si="69"/>
        <v>#DIV/0!</v>
      </c>
      <c r="AB265" s="3">
        <f t="shared" si="73"/>
        <v>0</v>
      </c>
      <c r="AC265" s="3">
        <f t="shared" si="70"/>
        <v>0</v>
      </c>
    </row>
    <row r="266" spans="1:29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4">
        <f t="shared" si="62"/>
        <v>0</v>
      </c>
      <c r="K266" s="4">
        <f t="shared" si="71"/>
        <v>0</v>
      </c>
      <c r="L266" s="4">
        <f t="shared" si="63"/>
        <v>0</v>
      </c>
      <c r="M266" s="4">
        <f>IFERROR(VLOOKUP(I266,FuelTypes!$A$1:$B$32,2,FALSE)*J266,0)</f>
        <v>0</v>
      </c>
      <c r="N266" s="4">
        <f t="shared" si="64"/>
        <v>0</v>
      </c>
      <c r="O266" s="4">
        <f t="shared" si="65"/>
        <v>0</v>
      </c>
      <c r="P266" s="4" t="e">
        <f>VLOOKUP(I266, FuelTypes!$A$1:$R$12,17,FALSE)*J266</f>
        <v>#N/A</v>
      </c>
      <c r="Q266" s="4" t="e">
        <f>VLOOKUP(I266, FuelTypes!$A$1:$R$12,18,FALSE)*J266</f>
        <v>#N/A</v>
      </c>
      <c r="R266" s="4">
        <f t="shared" si="66"/>
        <v>0</v>
      </c>
      <c r="S266" s="4">
        <f t="shared" si="67"/>
        <v>0</v>
      </c>
      <c r="T266" s="4" t="e">
        <f t="shared" si="68"/>
        <v>#DIV/0!</v>
      </c>
      <c r="U266" s="4" t="e">
        <f t="shared" si="74"/>
        <v>#DIV/0!</v>
      </c>
      <c r="W266" s="3">
        <f>IFERROR(VLOOKUP(I266,FuelTypes!$A$2:$G$40,5,FALSE)*M266,0)</f>
        <v>0</v>
      </c>
      <c r="Y266" s="3">
        <f t="shared" si="72"/>
        <v>0</v>
      </c>
      <c r="Z266" s="3" t="e">
        <f t="shared" si="69"/>
        <v>#DIV/0!</v>
      </c>
      <c r="AB266" s="3">
        <f t="shared" si="73"/>
        <v>0</v>
      </c>
      <c r="AC266" s="3">
        <f t="shared" si="70"/>
        <v>0</v>
      </c>
    </row>
    <row r="267" spans="1:29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4">
        <f t="shared" si="62"/>
        <v>0</v>
      </c>
      <c r="K267" s="4">
        <f t="shared" si="71"/>
        <v>0</v>
      </c>
      <c r="L267" s="4">
        <f t="shared" si="63"/>
        <v>0</v>
      </c>
      <c r="M267" s="4">
        <f>IFERROR(VLOOKUP(I267,FuelTypes!$A$1:$B$32,2,FALSE)*J267,0)</f>
        <v>0</v>
      </c>
      <c r="N267" s="4">
        <f t="shared" si="64"/>
        <v>0</v>
      </c>
      <c r="O267" s="4">
        <f t="shared" si="65"/>
        <v>0</v>
      </c>
      <c r="P267" s="4" t="e">
        <f>VLOOKUP(I267, FuelTypes!$A$1:$R$12,17,FALSE)*J267</f>
        <v>#N/A</v>
      </c>
      <c r="Q267" s="4" t="e">
        <f>VLOOKUP(I267, FuelTypes!$A$1:$R$12,18,FALSE)*J267</f>
        <v>#N/A</v>
      </c>
      <c r="R267" s="4">
        <f t="shared" si="66"/>
        <v>0</v>
      </c>
      <c r="S267" s="4">
        <f t="shared" si="67"/>
        <v>0</v>
      </c>
      <c r="T267" s="4" t="e">
        <f t="shared" si="68"/>
        <v>#DIV/0!</v>
      </c>
      <c r="U267" s="4" t="e">
        <f t="shared" si="74"/>
        <v>#DIV/0!</v>
      </c>
      <c r="W267" s="3">
        <f>IFERROR(VLOOKUP(I267,FuelTypes!$A$2:$G$40,5,FALSE)*M267,0)</f>
        <v>0</v>
      </c>
      <c r="Y267" s="3">
        <f t="shared" si="72"/>
        <v>0</v>
      </c>
      <c r="Z267" s="3" t="e">
        <f t="shared" si="69"/>
        <v>#DIV/0!</v>
      </c>
      <c r="AB267" s="3">
        <f t="shared" si="73"/>
        <v>0</v>
      </c>
      <c r="AC267" s="3">
        <f t="shared" si="70"/>
        <v>0</v>
      </c>
    </row>
    <row r="268" spans="1:29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4">
        <f t="shared" si="62"/>
        <v>0</v>
      </c>
      <c r="K268" s="4">
        <f t="shared" si="71"/>
        <v>0</v>
      </c>
      <c r="L268" s="4">
        <f t="shared" si="63"/>
        <v>0</v>
      </c>
      <c r="M268" s="4">
        <f>IFERROR(VLOOKUP(I268,FuelTypes!$A$1:$B$32,2,FALSE)*J268,0)</f>
        <v>0</v>
      </c>
      <c r="N268" s="4">
        <f t="shared" si="64"/>
        <v>0</v>
      </c>
      <c r="O268" s="4">
        <f t="shared" si="65"/>
        <v>0</v>
      </c>
      <c r="P268" s="4" t="e">
        <f>VLOOKUP(I268, FuelTypes!$A$1:$R$12,17,FALSE)*J268</f>
        <v>#N/A</v>
      </c>
      <c r="Q268" s="4" t="e">
        <f>VLOOKUP(I268, FuelTypes!$A$1:$R$12,18,FALSE)*J268</f>
        <v>#N/A</v>
      </c>
      <c r="R268" s="4">
        <f t="shared" si="66"/>
        <v>0</v>
      </c>
      <c r="S268" s="4">
        <f t="shared" si="67"/>
        <v>0</v>
      </c>
      <c r="T268" s="4" t="e">
        <f t="shared" si="68"/>
        <v>#DIV/0!</v>
      </c>
      <c r="U268" s="4" t="e">
        <f t="shared" si="74"/>
        <v>#DIV/0!</v>
      </c>
      <c r="W268" s="3">
        <f>IFERROR(VLOOKUP(I268,FuelTypes!$A$2:$G$40,5,FALSE)*M268,0)</f>
        <v>0</v>
      </c>
      <c r="Y268" s="3">
        <f t="shared" si="72"/>
        <v>0</v>
      </c>
      <c r="Z268" s="3" t="e">
        <f t="shared" si="69"/>
        <v>#DIV/0!</v>
      </c>
      <c r="AB268" s="3">
        <f t="shared" si="73"/>
        <v>0</v>
      </c>
      <c r="AC268" s="3">
        <f t="shared" si="70"/>
        <v>0</v>
      </c>
    </row>
    <row r="269" spans="1:29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4">
        <f t="shared" si="62"/>
        <v>0</v>
      </c>
      <c r="K269" s="4">
        <f t="shared" si="71"/>
        <v>0</v>
      </c>
      <c r="L269" s="4">
        <f t="shared" si="63"/>
        <v>0</v>
      </c>
      <c r="M269" s="4">
        <f>IFERROR(VLOOKUP(I269,FuelTypes!$A$1:$B$32,2,FALSE)*J269,0)</f>
        <v>0</v>
      </c>
      <c r="N269" s="4">
        <f t="shared" si="64"/>
        <v>0</v>
      </c>
      <c r="O269" s="4">
        <f t="shared" si="65"/>
        <v>0</v>
      </c>
      <c r="P269" s="4" t="e">
        <f>VLOOKUP(I269, FuelTypes!$A$1:$R$12,17,FALSE)*J269</f>
        <v>#N/A</v>
      </c>
      <c r="Q269" s="4" t="e">
        <f>VLOOKUP(I269, FuelTypes!$A$1:$R$12,18,FALSE)*J269</f>
        <v>#N/A</v>
      </c>
      <c r="R269" s="4">
        <f t="shared" si="66"/>
        <v>0</v>
      </c>
      <c r="S269" s="4">
        <f t="shared" si="67"/>
        <v>0</v>
      </c>
      <c r="T269" s="4" t="e">
        <f t="shared" si="68"/>
        <v>#DIV/0!</v>
      </c>
      <c r="U269" s="4" t="e">
        <f t="shared" si="74"/>
        <v>#DIV/0!</v>
      </c>
      <c r="W269" s="3">
        <f>IFERROR(VLOOKUP(I269,FuelTypes!$A$2:$G$40,5,FALSE)*M269,0)</f>
        <v>0</v>
      </c>
      <c r="Y269" s="3">
        <f t="shared" si="72"/>
        <v>0</v>
      </c>
      <c r="Z269" s="3" t="e">
        <f t="shared" si="69"/>
        <v>#DIV/0!</v>
      </c>
      <c r="AB269" s="3">
        <f t="shared" si="73"/>
        <v>0</v>
      </c>
      <c r="AC269" s="3">
        <f t="shared" si="70"/>
        <v>0</v>
      </c>
    </row>
    <row r="270" spans="1:29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4">
        <f t="shared" si="62"/>
        <v>0</v>
      </c>
      <c r="K270" s="4">
        <f t="shared" si="71"/>
        <v>0</v>
      </c>
      <c r="L270" s="4">
        <f t="shared" si="63"/>
        <v>0</v>
      </c>
      <c r="M270" s="4">
        <f>IFERROR(VLOOKUP(I270,FuelTypes!$A$1:$B$32,2,FALSE)*J270,0)</f>
        <v>0</v>
      </c>
      <c r="N270" s="4">
        <f t="shared" si="64"/>
        <v>0</v>
      </c>
      <c r="O270" s="4">
        <f t="shared" si="65"/>
        <v>0</v>
      </c>
      <c r="P270" s="4" t="e">
        <f>VLOOKUP(I270, FuelTypes!$A$1:$R$12,17,FALSE)*J270</f>
        <v>#N/A</v>
      </c>
      <c r="Q270" s="4" t="e">
        <f>VLOOKUP(I270, FuelTypes!$A$1:$R$12,18,FALSE)*J270</f>
        <v>#N/A</v>
      </c>
      <c r="R270" s="4">
        <f t="shared" si="66"/>
        <v>0</v>
      </c>
      <c r="S270" s="4">
        <f t="shared" si="67"/>
        <v>0</v>
      </c>
      <c r="T270" s="4" t="e">
        <f t="shared" si="68"/>
        <v>#DIV/0!</v>
      </c>
      <c r="U270" s="4" t="e">
        <f t="shared" si="74"/>
        <v>#DIV/0!</v>
      </c>
      <c r="W270" s="3">
        <f>IFERROR(VLOOKUP(I270,FuelTypes!$A$2:$G$40,5,FALSE)*M270,0)</f>
        <v>0</v>
      </c>
      <c r="Y270" s="3">
        <f t="shared" si="72"/>
        <v>0</v>
      </c>
      <c r="Z270" s="3" t="e">
        <f t="shared" si="69"/>
        <v>#DIV/0!</v>
      </c>
      <c r="AB270" s="3">
        <f t="shared" si="73"/>
        <v>0</v>
      </c>
      <c r="AC270" s="3">
        <f t="shared" si="70"/>
        <v>0</v>
      </c>
    </row>
    <row r="271" spans="1:29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4">
        <f t="shared" si="62"/>
        <v>0</v>
      </c>
      <c r="K271" s="4">
        <f t="shared" si="71"/>
        <v>0</v>
      </c>
      <c r="L271" s="4">
        <f t="shared" si="63"/>
        <v>0</v>
      </c>
      <c r="M271" s="4">
        <f>IFERROR(VLOOKUP(I271,FuelTypes!$A$1:$B$32,2,FALSE)*J271,0)</f>
        <v>0</v>
      </c>
      <c r="N271" s="4">
        <f t="shared" si="64"/>
        <v>0</v>
      </c>
      <c r="O271" s="4">
        <f t="shared" si="65"/>
        <v>0</v>
      </c>
      <c r="P271" s="4" t="e">
        <f>VLOOKUP(I271, FuelTypes!$A$1:$R$12,17,FALSE)*J271</f>
        <v>#N/A</v>
      </c>
      <c r="Q271" s="4" t="e">
        <f>VLOOKUP(I271, FuelTypes!$A$1:$R$12,18,FALSE)*J271</f>
        <v>#N/A</v>
      </c>
      <c r="R271" s="4">
        <f t="shared" si="66"/>
        <v>0</v>
      </c>
      <c r="S271" s="4">
        <f t="shared" si="67"/>
        <v>0</v>
      </c>
      <c r="T271" s="4" t="e">
        <f t="shared" si="68"/>
        <v>#DIV/0!</v>
      </c>
      <c r="U271" s="4" t="e">
        <f t="shared" si="74"/>
        <v>#DIV/0!</v>
      </c>
      <c r="W271" s="3">
        <f>IFERROR(VLOOKUP(I271,FuelTypes!$A$2:$G$40,5,FALSE)*M271,0)</f>
        <v>0</v>
      </c>
      <c r="Y271" s="3">
        <f t="shared" si="72"/>
        <v>0</v>
      </c>
      <c r="Z271" s="3" t="e">
        <f t="shared" si="69"/>
        <v>#DIV/0!</v>
      </c>
      <c r="AB271" s="3">
        <f t="shared" si="73"/>
        <v>0</v>
      </c>
      <c r="AC271" s="3">
        <f t="shared" si="70"/>
        <v>0</v>
      </c>
    </row>
    <row r="272" spans="1:29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4">
        <f t="shared" si="62"/>
        <v>0</v>
      </c>
      <c r="K272" s="4">
        <f t="shared" si="71"/>
        <v>0</v>
      </c>
      <c r="L272" s="4">
        <f t="shared" si="63"/>
        <v>0</v>
      </c>
      <c r="M272" s="4">
        <f>IFERROR(VLOOKUP(I272,FuelTypes!$A$1:$B$32,2,FALSE)*J272,0)</f>
        <v>0</v>
      </c>
      <c r="N272" s="4">
        <f t="shared" si="64"/>
        <v>0</v>
      </c>
      <c r="O272" s="4">
        <f t="shared" si="65"/>
        <v>0</v>
      </c>
      <c r="P272" s="4" t="e">
        <f>VLOOKUP(I272, FuelTypes!$A$1:$R$12,17,FALSE)*J272</f>
        <v>#N/A</v>
      </c>
      <c r="Q272" s="4" t="e">
        <f>VLOOKUP(I272, FuelTypes!$A$1:$R$12,18,FALSE)*J272</f>
        <v>#N/A</v>
      </c>
      <c r="R272" s="4">
        <f t="shared" si="66"/>
        <v>0</v>
      </c>
      <c r="S272" s="4">
        <f t="shared" si="67"/>
        <v>0</v>
      </c>
      <c r="T272" s="4" t="e">
        <f t="shared" si="68"/>
        <v>#DIV/0!</v>
      </c>
      <c r="U272" s="4" t="e">
        <f t="shared" si="74"/>
        <v>#DIV/0!</v>
      </c>
      <c r="W272" s="3">
        <f>IFERROR(VLOOKUP(I272,FuelTypes!$A$2:$G$40,5,FALSE)*M272,0)</f>
        <v>0</v>
      </c>
      <c r="Y272" s="3">
        <f t="shared" si="72"/>
        <v>0</v>
      </c>
      <c r="Z272" s="3" t="e">
        <f t="shared" si="69"/>
        <v>#DIV/0!</v>
      </c>
      <c r="AB272" s="3">
        <f t="shared" si="73"/>
        <v>0</v>
      </c>
      <c r="AC272" s="3">
        <f t="shared" si="70"/>
        <v>0</v>
      </c>
    </row>
    <row r="273" spans="1:29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4">
        <f t="shared" si="62"/>
        <v>0</v>
      </c>
      <c r="K273" s="4">
        <f t="shared" si="71"/>
        <v>0</v>
      </c>
      <c r="L273" s="4">
        <f t="shared" si="63"/>
        <v>0</v>
      </c>
      <c r="M273" s="4">
        <f>IFERROR(VLOOKUP(I273,FuelTypes!$A$1:$B$32,2,FALSE)*J273,0)</f>
        <v>0</v>
      </c>
      <c r="N273" s="4">
        <f t="shared" si="64"/>
        <v>0</v>
      </c>
      <c r="O273" s="4">
        <f t="shared" si="65"/>
        <v>0</v>
      </c>
      <c r="P273" s="4" t="e">
        <f>VLOOKUP(I273, FuelTypes!$A$1:$R$12,17,FALSE)*J273</f>
        <v>#N/A</v>
      </c>
      <c r="Q273" s="4" t="e">
        <f>VLOOKUP(I273, FuelTypes!$A$1:$R$12,18,FALSE)*J273</f>
        <v>#N/A</v>
      </c>
      <c r="R273" s="4">
        <f t="shared" si="66"/>
        <v>0</v>
      </c>
      <c r="S273" s="4">
        <f t="shared" si="67"/>
        <v>0</v>
      </c>
      <c r="T273" s="4" t="e">
        <f t="shared" si="68"/>
        <v>#DIV/0!</v>
      </c>
      <c r="U273" s="4" t="e">
        <f t="shared" si="74"/>
        <v>#DIV/0!</v>
      </c>
      <c r="W273" s="3">
        <f>IFERROR(VLOOKUP(I273,FuelTypes!$A$2:$G$40,5,FALSE)*M273,0)</f>
        <v>0</v>
      </c>
      <c r="Y273" s="3">
        <f t="shared" si="72"/>
        <v>0</v>
      </c>
      <c r="Z273" s="3" t="e">
        <f t="shared" si="69"/>
        <v>#DIV/0!</v>
      </c>
      <c r="AB273" s="3">
        <f t="shared" si="73"/>
        <v>0</v>
      </c>
      <c r="AC273" s="3">
        <f t="shared" si="70"/>
        <v>0</v>
      </c>
    </row>
    <row r="274" spans="1:29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4">
        <f t="shared" si="62"/>
        <v>0</v>
      </c>
      <c r="K274" s="4">
        <f t="shared" si="71"/>
        <v>0</v>
      </c>
      <c r="L274" s="4">
        <f t="shared" si="63"/>
        <v>0</v>
      </c>
      <c r="M274" s="4">
        <f>IFERROR(VLOOKUP(I274,FuelTypes!$A$1:$B$32,2,FALSE)*J274,0)</f>
        <v>0</v>
      </c>
      <c r="N274" s="4">
        <f t="shared" si="64"/>
        <v>0</v>
      </c>
      <c r="O274" s="4">
        <f t="shared" si="65"/>
        <v>0</v>
      </c>
      <c r="P274" s="4" t="e">
        <f>VLOOKUP(I274, FuelTypes!$A$1:$R$12,17,FALSE)*J274</f>
        <v>#N/A</v>
      </c>
      <c r="Q274" s="4" t="e">
        <f>VLOOKUP(I274, FuelTypes!$A$1:$R$12,18,FALSE)*J274</f>
        <v>#N/A</v>
      </c>
      <c r="R274" s="4">
        <f t="shared" si="66"/>
        <v>0</v>
      </c>
      <c r="S274" s="4">
        <f t="shared" si="67"/>
        <v>0</v>
      </c>
      <c r="T274" s="4" t="e">
        <f t="shared" si="68"/>
        <v>#DIV/0!</v>
      </c>
      <c r="U274" s="4" t="e">
        <f t="shared" si="74"/>
        <v>#DIV/0!</v>
      </c>
      <c r="W274" s="3">
        <f>IFERROR(VLOOKUP(I274,FuelTypes!$A$2:$G$40,5,FALSE)*M274,0)</f>
        <v>0</v>
      </c>
      <c r="Y274" s="3">
        <f t="shared" si="72"/>
        <v>0</v>
      </c>
      <c r="Z274" s="3" t="e">
        <f t="shared" si="69"/>
        <v>#DIV/0!</v>
      </c>
      <c r="AB274" s="3">
        <f t="shared" si="73"/>
        <v>0</v>
      </c>
      <c r="AC274" s="3">
        <f t="shared" si="70"/>
        <v>0</v>
      </c>
    </row>
    <row r="275" spans="1:29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4">
        <f t="shared" si="62"/>
        <v>0</v>
      </c>
      <c r="K275" s="4">
        <f t="shared" si="71"/>
        <v>0</v>
      </c>
      <c r="L275" s="4">
        <f t="shared" si="63"/>
        <v>0</v>
      </c>
      <c r="M275" s="4">
        <f>IFERROR(VLOOKUP(I275,FuelTypes!$A$1:$B$32,2,FALSE)*J275,0)</f>
        <v>0</v>
      </c>
      <c r="N275" s="4">
        <f t="shared" si="64"/>
        <v>0</v>
      </c>
      <c r="O275" s="4">
        <f t="shared" si="65"/>
        <v>0</v>
      </c>
      <c r="P275" s="4" t="e">
        <f>VLOOKUP(I275, FuelTypes!$A$1:$R$12,17,FALSE)*J275</f>
        <v>#N/A</v>
      </c>
      <c r="Q275" s="4" t="e">
        <f>VLOOKUP(I275, FuelTypes!$A$1:$R$12,18,FALSE)*J275</f>
        <v>#N/A</v>
      </c>
      <c r="R275" s="4">
        <f t="shared" si="66"/>
        <v>0</v>
      </c>
      <c r="S275" s="4">
        <f t="shared" si="67"/>
        <v>0</v>
      </c>
      <c r="T275" s="4" t="e">
        <f t="shared" si="68"/>
        <v>#DIV/0!</v>
      </c>
      <c r="U275" s="4" t="e">
        <f t="shared" si="74"/>
        <v>#DIV/0!</v>
      </c>
      <c r="W275" s="3">
        <f>IFERROR(VLOOKUP(I275,FuelTypes!$A$2:$G$40,5,FALSE)*M275,0)</f>
        <v>0</v>
      </c>
      <c r="Y275" s="3">
        <f t="shared" si="72"/>
        <v>0</v>
      </c>
      <c r="Z275" s="3" t="e">
        <f t="shared" si="69"/>
        <v>#DIV/0!</v>
      </c>
      <c r="AB275" s="3">
        <f t="shared" si="73"/>
        <v>0</v>
      </c>
      <c r="AC275" s="3">
        <f t="shared" si="70"/>
        <v>0</v>
      </c>
    </row>
    <row r="276" spans="1:29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4">
        <f t="shared" si="62"/>
        <v>0</v>
      </c>
      <c r="K276" s="4">
        <f t="shared" si="71"/>
        <v>0</v>
      </c>
      <c r="L276" s="4">
        <f t="shared" si="63"/>
        <v>0</v>
      </c>
      <c r="M276" s="4">
        <f>IFERROR(VLOOKUP(I276,FuelTypes!$A$1:$B$32,2,FALSE)*J276,0)</f>
        <v>0</v>
      </c>
      <c r="N276" s="4">
        <f t="shared" si="64"/>
        <v>0</v>
      </c>
      <c r="O276" s="4">
        <f t="shared" si="65"/>
        <v>0</v>
      </c>
      <c r="P276" s="4" t="e">
        <f>VLOOKUP(I276, FuelTypes!$A$1:$R$12,17,FALSE)*J276</f>
        <v>#N/A</v>
      </c>
      <c r="Q276" s="4" t="e">
        <f>VLOOKUP(I276, FuelTypes!$A$1:$R$12,18,FALSE)*J276</f>
        <v>#N/A</v>
      </c>
      <c r="R276" s="4">
        <f t="shared" si="66"/>
        <v>0</v>
      </c>
      <c r="S276" s="4">
        <f t="shared" si="67"/>
        <v>0</v>
      </c>
      <c r="T276" s="4" t="e">
        <f t="shared" si="68"/>
        <v>#DIV/0!</v>
      </c>
      <c r="U276" s="4" t="e">
        <f t="shared" si="74"/>
        <v>#DIV/0!</v>
      </c>
      <c r="W276" s="3">
        <f>IFERROR(VLOOKUP(I276,FuelTypes!$A$2:$G$40,5,FALSE)*M276,0)</f>
        <v>0</v>
      </c>
      <c r="Y276" s="3">
        <f t="shared" si="72"/>
        <v>0</v>
      </c>
      <c r="Z276" s="3" t="e">
        <f t="shared" si="69"/>
        <v>#DIV/0!</v>
      </c>
      <c r="AB276" s="3">
        <f t="shared" si="73"/>
        <v>0</v>
      </c>
      <c r="AC276" s="3">
        <f t="shared" si="70"/>
        <v>0</v>
      </c>
    </row>
    <row r="277" spans="1:29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4">
        <f t="shared" si="62"/>
        <v>0</v>
      </c>
      <c r="K277" s="4">
        <f t="shared" si="71"/>
        <v>0</v>
      </c>
      <c r="L277" s="4">
        <f t="shared" si="63"/>
        <v>0</v>
      </c>
      <c r="M277" s="4">
        <f>IFERROR(VLOOKUP(I277,FuelTypes!$A$1:$B$32,2,FALSE)*J277,0)</f>
        <v>0</v>
      </c>
      <c r="N277" s="4">
        <f t="shared" si="64"/>
        <v>0</v>
      </c>
      <c r="O277" s="4">
        <f t="shared" si="65"/>
        <v>0</v>
      </c>
      <c r="P277" s="4" t="e">
        <f>VLOOKUP(I277, FuelTypes!$A$1:$R$12,17,FALSE)*J277</f>
        <v>#N/A</v>
      </c>
      <c r="Q277" s="4" t="e">
        <f>VLOOKUP(I277, FuelTypes!$A$1:$R$12,18,FALSE)*J277</f>
        <v>#N/A</v>
      </c>
      <c r="R277" s="4">
        <f t="shared" si="66"/>
        <v>0</v>
      </c>
      <c r="S277" s="4">
        <f t="shared" si="67"/>
        <v>0</v>
      </c>
      <c r="T277" s="4" t="e">
        <f t="shared" si="68"/>
        <v>#DIV/0!</v>
      </c>
      <c r="U277" s="4" t="e">
        <f t="shared" si="74"/>
        <v>#DIV/0!</v>
      </c>
      <c r="W277" s="3">
        <f>IFERROR(VLOOKUP(I277,FuelTypes!$A$2:$G$40,5,FALSE)*M277,0)</f>
        <v>0</v>
      </c>
      <c r="Y277" s="3">
        <f t="shared" si="72"/>
        <v>0</v>
      </c>
      <c r="Z277" s="3" t="e">
        <f t="shared" si="69"/>
        <v>#DIV/0!</v>
      </c>
      <c r="AB277" s="3">
        <f t="shared" si="73"/>
        <v>0</v>
      </c>
      <c r="AC277" s="3">
        <f t="shared" si="70"/>
        <v>0</v>
      </c>
    </row>
    <row r="278" spans="1:29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4">
        <f t="shared" si="62"/>
        <v>0</v>
      </c>
      <c r="K278" s="4">
        <f t="shared" si="71"/>
        <v>0</v>
      </c>
      <c r="L278" s="4">
        <f t="shared" si="63"/>
        <v>0</v>
      </c>
      <c r="M278" s="4">
        <f>IFERROR(VLOOKUP(I278,FuelTypes!$A$1:$B$32,2,FALSE)*J278,0)</f>
        <v>0</v>
      </c>
      <c r="N278" s="4">
        <f t="shared" si="64"/>
        <v>0</v>
      </c>
      <c r="O278" s="4">
        <f t="shared" si="65"/>
        <v>0</v>
      </c>
      <c r="P278" s="4" t="e">
        <f>VLOOKUP(I278, FuelTypes!$A$1:$R$12,17,FALSE)*J278</f>
        <v>#N/A</v>
      </c>
      <c r="Q278" s="4" t="e">
        <f>VLOOKUP(I278, FuelTypes!$A$1:$R$12,18,FALSE)*J278</f>
        <v>#N/A</v>
      </c>
      <c r="R278" s="4">
        <f t="shared" si="66"/>
        <v>0</v>
      </c>
      <c r="S278" s="4">
        <f t="shared" si="67"/>
        <v>0</v>
      </c>
      <c r="T278" s="4" t="e">
        <f t="shared" si="68"/>
        <v>#DIV/0!</v>
      </c>
      <c r="U278" s="4" t="e">
        <f t="shared" si="74"/>
        <v>#DIV/0!</v>
      </c>
      <c r="W278" s="3">
        <f>IFERROR(VLOOKUP(I278,FuelTypes!$A$2:$G$40,5,FALSE)*M278,0)</f>
        <v>0</v>
      </c>
      <c r="Y278" s="3">
        <f t="shared" si="72"/>
        <v>0</v>
      </c>
      <c r="Z278" s="3" t="e">
        <f t="shared" si="69"/>
        <v>#DIV/0!</v>
      </c>
      <c r="AB278" s="3">
        <f t="shared" si="73"/>
        <v>0</v>
      </c>
      <c r="AC278" s="3">
        <f t="shared" si="70"/>
        <v>0</v>
      </c>
    </row>
    <row r="279" spans="1:29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4">
        <f t="shared" ref="J279:J301" si="75">C279 - (D279*C279)</f>
        <v>0</v>
      </c>
      <c r="K279" s="4">
        <f t="shared" si="71"/>
        <v>0</v>
      </c>
      <c r="L279" s="4">
        <f t="shared" ref="L279:L301" si="76">K279+B279</f>
        <v>0</v>
      </c>
      <c r="M279" s="4">
        <f>IFERROR(VLOOKUP(I279,FuelTypes!$A$1:$B$32,2,FALSE)*J279,0)</f>
        <v>0</v>
      </c>
      <c r="N279" s="4">
        <f t="shared" ref="N279:N301" si="77">L279+M279</f>
        <v>0</v>
      </c>
      <c r="O279" s="4">
        <f t="shared" ref="O279:O301" si="78">IF(M279&gt;0, M279/N279,0)</f>
        <v>0</v>
      </c>
      <c r="P279" s="4" t="e">
        <f>VLOOKUP(I279, FuelTypes!$A$1:$R$12,17,FALSE)*J279</f>
        <v>#N/A</v>
      </c>
      <c r="Q279" s="4" t="e">
        <f>VLOOKUP(I279, FuelTypes!$A$1:$R$12,18,FALSE)*J279</f>
        <v>#N/A</v>
      </c>
      <c r="R279" s="4">
        <f t="shared" si="66"/>
        <v>0</v>
      </c>
      <c r="S279" s="4">
        <f t="shared" si="67"/>
        <v>0</v>
      </c>
      <c r="T279" s="4" t="e">
        <f t="shared" si="68"/>
        <v>#DIV/0!</v>
      </c>
      <c r="U279" s="4" t="e">
        <f t="shared" si="74"/>
        <v>#DIV/0!</v>
      </c>
      <c r="W279" s="3">
        <f>IFERROR(VLOOKUP(I279,FuelTypes!$A$2:$G$40,5,FALSE)*M279,0)</f>
        <v>0</v>
      </c>
      <c r="Y279" s="3">
        <f t="shared" si="72"/>
        <v>0</v>
      </c>
      <c r="Z279" s="3" t="e">
        <f t="shared" si="69"/>
        <v>#DIV/0!</v>
      </c>
      <c r="AB279" s="3">
        <f t="shared" si="73"/>
        <v>0</v>
      </c>
      <c r="AC279" s="3">
        <f t="shared" si="70"/>
        <v>0</v>
      </c>
    </row>
    <row r="280" spans="1:29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4">
        <f t="shared" si="75"/>
        <v>0</v>
      </c>
      <c r="K280" s="4">
        <f t="shared" si="71"/>
        <v>0</v>
      </c>
      <c r="L280" s="4">
        <f t="shared" si="76"/>
        <v>0</v>
      </c>
      <c r="M280" s="4">
        <f>IFERROR(VLOOKUP(I280,FuelTypes!$A$1:$B$32,2,FALSE)*J280,0)</f>
        <v>0</v>
      </c>
      <c r="N280" s="4">
        <f t="shared" si="77"/>
        <v>0</v>
      </c>
      <c r="O280" s="4">
        <f t="shared" si="78"/>
        <v>0</v>
      </c>
      <c r="P280" s="4" t="e">
        <f>VLOOKUP(I280, FuelTypes!$A$1:$R$12,17,FALSE)*J280</f>
        <v>#N/A</v>
      </c>
      <c r="Q280" s="4" t="e">
        <f>VLOOKUP(I280, FuelTypes!$A$1:$R$12,18,FALSE)*J280</f>
        <v>#N/A</v>
      </c>
      <c r="R280" s="4">
        <f t="shared" si="66"/>
        <v>0</v>
      </c>
      <c r="S280" s="4">
        <f t="shared" si="67"/>
        <v>0</v>
      </c>
      <c r="T280" s="4" t="e">
        <f t="shared" si="68"/>
        <v>#DIV/0!</v>
      </c>
      <c r="U280" s="4" t="e">
        <f t="shared" si="74"/>
        <v>#DIV/0!</v>
      </c>
      <c r="W280" s="3">
        <f>IFERROR(VLOOKUP(I280,FuelTypes!$A$2:$G$40,5,FALSE)*M280,0)</f>
        <v>0</v>
      </c>
      <c r="Y280" s="3">
        <f t="shared" si="72"/>
        <v>0</v>
      </c>
      <c r="Z280" s="3" t="e">
        <f t="shared" si="69"/>
        <v>#DIV/0!</v>
      </c>
      <c r="AB280" s="3">
        <f t="shared" si="73"/>
        <v>0</v>
      </c>
      <c r="AC280" s="3">
        <f t="shared" si="70"/>
        <v>0</v>
      </c>
    </row>
    <row r="281" spans="1:29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4">
        <f t="shared" si="75"/>
        <v>0</v>
      </c>
      <c r="K281" s="4">
        <f t="shared" si="71"/>
        <v>0</v>
      </c>
      <c r="L281" s="4">
        <f t="shared" si="76"/>
        <v>0</v>
      </c>
      <c r="M281" s="4">
        <f>IFERROR(VLOOKUP(I281,FuelTypes!$A$1:$B$32,2,FALSE)*J281,0)</f>
        <v>0</v>
      </c>
      <c r="N281" s="4">
        <f t="shared" si="77"/>
        <v>0</v>
      </c>
      <c r="O281" s="4">
        <f t="shared" si="78"/>
        <v>0</v>
      </c>
      <c r="P281" s="4" t="e">
        <f>VLOOKUP(I281, FuelTypes!$A$1:$R$12,17,FALSE)*J281</f>
        <v>#N/A</v>
      </c>
      <c r="Q281" s="4" t="e">
        <f>VLOOKUP(I281, FuelTypes!$A$1:$R$12,18,FALSE)*J281</f>
        <v>#N/A</v>
      </c>
      <c r="R281" s="4">
        <f t="shared" si="66"/>
        <v>0</v>
      </c>
      <c r="S281" s="4">
        <f t="shared" si="67"/>
        <v>0</v>
      </c>
      <c r="T281" s="4" t="e">
        <f t="shared" si="68"/>
        <v>#DIV/0!</v>
      </c>
      <c r="U281" s="4" t="e">
        <f t="shared" si="74"/>
        <v>#DIV/0!</v>
      </c>
      <c r="W281" s="3">
        <f>IFERROR(VLOOKUP(I281,FuelTypes!$A$2:$G$40,5,FALSE)*M281,0)</f>
        <v>0</v>
      </c>
      <c r="Y281" s="3">
        <f t="shared" si="72"/>
        <v>0</v>
      </c>
      <c r="Z281" s="3" t="e">
        <f t="shared" si="69"/>
        <v>#DIV/0!</v>
      </c>
      <c r="AB281" s="3">
        <f t="shared" si="73"/>
        <v>0</v>
      </c>
      <c r="AC281" s="3">
        <f t="shared" si="70"/>
        <v>0</v>
      </c>
    </row>
    <row r="282" spans="1:29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4">
        <f t="shared" si="75"/>
        <v>0</v>
      </c>
      <c r="K282" s="4">
        <f t="shared" si="71"/>
        <v>0</v>
      </c>
      <c r="L282" s="4">
        <f t="shared" si="76"/>
        <v>0</v>
      </c>
      <c r="M282" s="4">
        <f>IFERROR(VLOOKUP(I282,FuelTypes!$A$1:$B$32,2,FALSE)*J282,0)</f>
        <v>0</v>
      </c>
      <c r="N282" s="4">
        <f t="shared" si="77"/>
        <v>0</v>
      </c>
      <c r="O282" s="4">
        <f t="shared" si="78"/>
        <v>0</v>
      </c>
      <c r="P282" s="4" t="e">
        <f>VLOOKUP(I282, FuelTypes!$A$1:$R$12,17,FALSE)*J282</f>
        <v>#N/A</v>
      </c>
      <c r="Q282" s="4" t="e">
        <f>VLOOKUP(I282, FuelTypes!$A$1:$R$12,18,FALSE)*J282</f>
        <v>#N/A</v>
      </c>
      <c r="R282" s="4">
        <f t="shared" si="66"/>
        <v>0</v>
      </c>
      <c r="S282" s="4">
        <f t="shared" si="67"/>
        <v>0</v>
      </c>
      <c r="T282" s="4" t="e">
        <f t="shared" si="68"/>
        <v>#DIV/0!</v>
      </c>
      <c r="U282" s="4" t="e">
        <f t="shared" si="74"/>
        <v>#DIV/0!</v>
      </c>
      <c r="W282" s="3">
        <f>IFERROR(VLOOKUP(I282,FuelTypes!$A$2:$G$40,5,FALSE)*M282,0)</f>
        <v>0</v>
      </c>
      <c r="Y282" s="3">
        <f t="shared" si="72"/>
        <v>0</v>
      </c>
      <c r="Z282" s="3" t="e">
        <f t="shared" si="69"/>
        <v>#DIV/0!</v>
      </c>
      <c r="AB282" s="3">
        <f t="shared" si="73"/>
        <v>0</v>
      </c>
      <c r="AC282" s="3">
        <f t="shared" si="70"/>
        <v>0</v>
      </c>
    </row>
    <row r="283" spans="1:29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4">
        <f t="shared" si="75"/>
        <v>0</v>
      </c>
      <c r="K283" s="4">
        <f t="shared" si="71"/>
        <v>0</v>
      </c>
      <c r="L283" s="4">
        <f t="shared" si="76"/>
        <v>0</v>
      </c>
      <c r="M283" s="4">
        <f>IFERROR(VLOOKUP(I283,FuelTypes!$A$1:$B$32,2,FALSE)*J283,0)</f>
        <v>0</v>
      </c>
      <c r="N283" s="4">
        <f t="shared" si="77"/>
        <v>0</v>
      </c>
      <c r="O283" s="4">
        <f t="shared" si="78"/>
        <v>0</v>
      </c>
      <c r="P283" s="4" t="e">
        <f>VLOOKUP(I283, FuelTypes!$A$1:$R$12,17,FALSE)*J283</f>
        <v>#N/A</v>
      </c>
      <c r="Q283" s="4" t="e">
        <f>VLOOKUP(I283, FuelTypes!$A$1:$R$12,18,FALSE)*J283</f>
        <v>#N/A</v>
      </c>
      <c r="R283" s="4">
        <f t="shared" si="66"/>
        <v>0</v>
      </c>
      <c r="S283" s="4">
        <f t="shared" si="67"/>
        <v>0</v>
      </c>
      <c r="T283" s="4" t="e">
        <f t="shared" si="68"/>
        <v>#DIV/0!</v>
      </c>
      <c r="U283" s="4" t="e">
        <f t="shared" si="74"/>
        <v>#DIV/0!</v>
      </c>
      <c r="W283" s="3">
        <f>IFERROR(VLOOKUP(I283,FuelTypes!$A$2:$G$40,5,FALSE)*M283,0)</f>
        <v>0</v>
      </c>
      <c r="Y283" s="3">
        <f t="shared" si="72"/>
        <v>0</v>
      </c>
      <c r="Z283" s="3" t="e">
        <f t="shared" si="69"/>
        <v>#DIV/0!</v>
      </c>
      <c r="AB283" s="3">
        <f t="shared" si="73"/>
        <v>0</v>
      </c>
      <c r="AC283" s="3">
        <f t="shared" si="70"/>
        <v>0</v>
      </c>
    </row>
    <row r="284" spans="1:29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4">
        <f t="shared" si="75"/>
        <v>0</v>
      </c>
      <c r="K284" s="4">
        <f t="shared" si="71"/>
        <v>0</v>
      </c>
      <c r="L284" s="4">
        <f t="shared" si="76"/>
        <v>0</v>
      </c>
      <c r="M284" s="4">
        <f>IFERROR(VLOOKUP(I284,FuelTypes!$A$1:$B$32,2,FALSE)*J284,0)</f>
        <v>0</v>
      </c>
      <c r="N284" s="4">
        <f t="shared" si="77"/>
        <v>0</v>
      </c>
      <c r="O284" s="4">
        <f t="shared" si="78"/>
        <v>0</v>
      </c>
      <c r="P284" s="4" t="e">
        <f>VLOOKUP(I284, FuelTypes!$A$1:$R$12,17,FALSE)*J284</f>
        <v>#N/A</v>
      </c>
      <c r="Q284" s="4" t="e">
        <f>VLOOKUP(I284, FuelTypes!$A$1:$R$12,18,FALSE)*J284</f>
        <v>#N/A</v>
      </c>
      <c r="R284" s="4">
        <f t="shared" si="66"/>
        <v>0</v>
      </c>
      <c r="S284" s="4">
        <f t="shared" si="67"/>
        <v>0</v>
      </c>
      <c r="T284" s="4" t="e">
        <f t="shared" si="68"/>
        <v>#DIV/0!</v>
      </c>
      <c r="U284" s="4" t="e">
        <f t="shared" si="74"/>
        <v>#DIV/0!</v>
      </c>
      <c r="W284" s="3">
        <f>IFERROR(VLOOKUP(I284,FuelTypes!$A$2:$G$40,5,FALSE)*M284,0)</f>
        <v>0</v>
      </c>
      <c r="Y284" s="3">
        <f t="shared" si="72"/>
        <v>0</v>
      </c>
      <c r="Z284" s="3" t="e">
        <f t="shared" si="69"/>
        <v>#DIV/0!</v>
      </c>
      <c r="AB284" s="3">
        <f t="shared" si="73"/>
        <v>0</v>
      </c>
      <c r="AC284" s="3">
        <f t="shared" si="70"/>
        <v>0</v>
      </c>
    </row>
    <row r="285" spans="1:29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4">
        <f t="shared" si="75"/>
        <v>0</v>
      </c>
      <c r="K285" s="4">
        <f t="shared" si="71"/>
        <v>0</v>
      </c>
      <c r="L285" s="4">
        <f t="shared" si="76"/>
        <v>0</v>
      </c>
      <c r="M285" s="4">
        <f>IFERROR(VLOOKUP(I285,FuelTypes!$A$1:$B$32,2,FALSE)*J285,0)</f>
        <v>0</v>
      </c>
      <c r="N285" s="4">
        <f t="shared" si="77"/>
        <v>0</v>
      </c>
      <c r="O285" s="4">
        <f t="shared" si="78"/>
        <v>0</v>
      </c>
      <c r="P285" s="4" t="e">
        <f>VLOOKUP(I285, FuelTypes!$A$1:$R$12,17,FALSE)*J285</f>
        <v>#N/A</v>
      </c>
      <c r="Q285" s="4" t="e">
        <f>VLOOKUP(I285, FuelTypes!$A$1:$R$12,18,FALSE)*J285</f>
        <v>#N/A</v>
      </c>
      <c r="R285" s="4">
        <f t="shared" si="66"/>
        <v>0</v>
      </c>
      <c r="S285" s="4">
        <f t="shared" si="67"/>
        <v>0</v>
      </c>
      <c r="T285" s="4" t="e">
        <f t="shared" si="68"/>
        <v>#DIV/0!</v>
      </c>
      <c r="U285" s="4" t="e">
        <f t="shared" si="74"/>
        <v>#DIV/0!</v>
      </c>
      <c r="W285" s="3">
        <f>IFERROR(VLOOKUP(I285,FuelTypes!$A$2:$G$40,5,FALSE)*M285,0)</f>
        <v>0</v>
      </c>
      <c r="Y285" s="3">
        <f t="shared" si="72"/>
        <v>0</v>
      </c>
      <c r="Z285" s="3" t="e">
        <f t="shared" si="69"/>
        <v>#DIV/0!</v>
      </c>
      <c r="AB285" s="3">
        <f t="shared" si="73"/>
        <v>0</v>
      </c>
      <c r="AC285" s="3">
        <f t="shared" si="70"/>
        <v>0</v>
      </c>
    </row>
    <row r="286" spans="1:29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4">
        <f t="shared" si="75"/>
        <v>0</v>
      </c>
      <c r="K286" s="4">
        <f t="shared" si="71"/>
        <v>0</v>
      </c>
      <c r="L286" s="4">
        <f t="shared" si="76"/>
        <v>0</v>
      </c>
      <c r="M286" s="4">
        <f>IFERROR(VLOOKUP(I286,FuelTypes!$A$1:$B$32,2,FALSE)*J286,0)</f>
        <v>0</v>
      </c>
      <c r="N286" s="4">
        <f t="shared" si="77"/>
        <v>0</v>
      </c>
      <c r="O286" s="4">
        <f t="shared" si="78"/>
        <v>0</v>
      </c>
      <c r="P286" s="4" t="e">
        <f>VLOOKUP(I286, FuelTypes!$A$1:$R$12,17,FALSE)*J286</f>
        <v>#N/A</v>
      </c>
      <c r="Q286" s="4" t="e">
        <f>VLOOKUP(I286, FuelTypes!$A$1:$R$12,18,FALSE)*J286</f>
        <v>#N/A</v>
      </c>
      <c r="R286" s="4">
        <f t="shared" si="66"/>
        <v>0</v>
      </c>
      <c r="S286" s="4">
        <f t="shared" si="67"/>
        <v>0</v>
      </c>
      <c r="T286" s="4" t="e">
        <f t="shared" si="68"/>
        <v>#DIV/0!</v>
      </c>
      <c r="U286" s="4" t="e">
        <f t="shared" si="74"/>
        <v>#DIV/0!</v>
      </c>
      <c r="W286" s="3">
        <f>IFERROR(VLOOKUP(I286,FuelTypes!$A$2:$G$40,5,FALSE)*M286,0)</f>
        <v>0</v>
      </c>
      <c r="Y286" s="3">
        <f t="shared" si="72"/>
        <v>0</v>
      </c>
      <c r="Z286" s="3" t="e">
        <f t="shared" si="69"/>
        <v>#DIV/0!</v>
      </c>
      <c r="AB286" s="3">
        <f t="shared" si="73"/>
        <v>0</v>
      </c>
      <c r="AC286" s="3">
        <f t="shared" si="70"/>
        <v>0</v>
      </c>
    </row>
    <row r="287" spans="1:29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4">
        <f t="shared" si="75"/>
        <v>0</v>
      </c>
      <c r="K287" s="4">
        <f t="shared" si="71"/>
        <v>0</v>
      </c>
      <c r="L287" s="4">
        <f t="shared" si="76"/>
        <v>0</v>
      </c>
      <c r="M287" s="4">
        <f>IFERROR(VLOOKUP(I287,FuelTypes!$A$1:$B$32,2,FALSE)*J287,0)</f>
        <v>0</v>
      </c>
      <c r="N287" s="4">
        <f t="shared" si="77"/>
        <v>0</v>
      </c>
      <c r="O287" s="4">
        <f t="shared" si="78"/>
        <v>0</v>
      </c>
      <c r="P287" s="4" t="e">
        <f>VLOOKUP(I287, FuelTypes!$A$1:$R$12,17,FALSE)*J287</f>
        <v>#N/A</v>
      </c>
      <c r="Q287" s="4" t="e">
        <f>VLOOKUP(I287, FuelTypes!$A$1:$R$12,18,FALSE)*J287</f>
        <v>#N/A</v>
      </c>
      <c r="R287" s="4">
        <f t="shared" si="66"/>
        <v>0</v>
      </c>
      <c r="S287" s="4">
        <f t="shared" si="67"/>
        <v>0</v>
      </c>
      <c r="T287" s="4" t="e">
        <f t="shared" si="68"/>
        <v>#DIV/0!</v>
      </c>
      <c r="U287" s="4" t="e">
        <f t="shared" si="74"/>
        <v>#DIV/0!</v>
      </c>
      <c r="W287" s="3">
        <f>IFERROR(VLOOKUP(I287,FuelTypes!$A$2:$G$40,5,FALSE)*M287,0)</f>
        <v>0</v>
      </c>
      <c r="Y287" s="3">
        <f t="shared" si="72"/>
        <v>0</v>
      </c>
      <c r="Z287" s="3" t="e">
        <f t="shared" si="69"/>
        <v>#DIV/0!</v>
      </c>
      <c r="AB287" s="3">
        <f t="shared" si="73"/>
        <v>0</v>
      </c>
      <c r="AC287" s="3">
        <f t="shared" si="70"/>
        <v>0</v>
      </c>
    </row>
    <row r="288" spans="1:29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4">
        <f t="shared" si="75"/>
        <v>0</v>
      </c>
      <c r="K288" s="4">
        <f t="shared" si="71"/>
        <v>0</v>
      </c>
      <c r="L288" s="4">
        <f t="shared" si="76"/>
        <v>0</v>
      </c>
      <c r="M288" s="4">
        <f>IFERROR(VLOOKUP(I288,FuelTypes!$A$1:$B$32,2,FALSE)*J288,0)</f>
        <v>0</v>
      </c>
      <c r="N288" s="4">
        <f t="shared" si="77"/>
        <v>0</v>
      </c>
      <c r="O288" s="4">
        <f t="shared" si="78"/>
        <v>0</v>
      </c>
      <c r="P288" s="4" t="e">
        <f>VLOOKUP(I288, FuelTypes!$A$1:$R$12,17,FALSE)*J288</f>
        <v>#N/A</v>
      </c>
      <c r="Q288" s="4" t="e">
        <f>VLOOKUP(I288, FuelTypes!$A$1:$R$12,18,FALSE)*J288</f>
        <v>#N/A</v>
      </c>
      <c r="R288" s="4">
        <f t="shared" si="66"/>
        <v>0</v>
      </c>
      <c r="S288" s="4">
        <f t="shared" si="67"/>
        <v>0</v>
      </c>
      <c r="T288" s="4" t="e">
        <f t="shared" si="68"/>
        <v>#DIV/0!</v>
      </c>
      <c r="U288" s="4" t="e">
        <f t="shared" si="74"/>
        <v>#DIV/0!</v>
      </c>
      <c r="W288" s="3">
        <f>IFERROR(VLOOKUP(I288,FuelTypes!$A$2:$G$40,5,FALSE)*M288,0)</f>
        <v>0</v>
      </c>
      <c r="Y288" s="3">
        <f t="shared" si="72"/>
        <v>0</v>
      </c>
      <c r="Z288" s="3" t="e">
        <f t="shared" si="69"/>
        <v>#DIV/0!</v>
      </c>
      <c r="AB288" s="3">
        <f t="shared" si="73"/>
        <v>0</v>
      </c>
      <c r="AC288" s="3">
        <f t="shared" si="70"/>
        <v>0</v>
      </c>
    </row>
    <row r="289" spans="1:29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4">
        <f t="shared" si="75"/>
        <v>0</v>
      </c>
      <c r="K289" s="4">
        <f t="shared" si="71"/>
        <v>0</v>
      </c>
      <c r="L289" s="4">
        <f t="shared" si="76"/>
        <v>0</v>
      </c>
      <c r="M289" s="4">
        <f>IFERROR(VLOOKUP(I289,FuelTypes!$A$1:$B$32,2,FALSE)*J289,0)</f>
        <v>0</v>
      </c>
      <c r="N289" s="4">
        <f t="shared" si="77"/>
        <v>0</v>
      </c>
      <c r="O289" s="4">
        <f t="shared" si="78"/>
        <v>0</v>
      </c>
      <c r="P289" s="4" t="e">
        <f>VLOOKUP(I289, FuelTypes!$A$1:$R$12,17,FALSE)*J289</f>
        <v>#N/A</v>
      </c>
      <c r="Q289" s="4" t="e">
        <f>VLOOKUP(I289, FuelTypes!$A$1:$R$12,18,FALSE)*J289</f>
        <v>#N/A</v>
      </c>
      <c r="R289" s="4">
        <f t="shared" si="66"/>
        <v>0</v>
      </c>
      <c r="S289" s="4">
        <f t="shared" si="67"/>
        <v>0</v>
      </c>
      <c r="T289" s="4" t="e">
        <f t="shared" si="68"/>
        <v>#DIV/0!</v>
      </c>
      <c r="U289" s="4" t="e">
        <f t="shared" si="74"/>
        <v>#DIV/0!</v>
      </c>
      <c r="W289" s="3">
        <f>IFERROR(VLOOKUP(I289,FuelTypes!$A$2:$G$40,5,FALSE)*M289,0)</f>
        <v>0</v>
      </c>
      <c r="Y289" s="3">
        <f t="shared" si="72"/>
        <v>0</v>
      </c>
      <c r="Z289" s="3" t="e">
        <f t="shared" si="69"/>
        <v>#DIV/0!</v>
      </c>
      <c r="AB289" s="3">
        <f t="shared" si="73"/>
        <v>0</v>
      </c>
      <c r="AC289" s="3">
        <f t="shared" si="70"/>
        <v>0</v>
      </c>
    </row>
    <row r="290" spans="1:29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4">
        <f t="shared" si="75"/>
        <v>0</v>
      </c>
      <c r="K290" s="4">
        <f t="shared" si="71"/>
        <v>0</v>
      </c>
      <c r="L290" s="4">
        <f t="shared" si="76"/>
        <v>0</v>
      </c>
      <c r="M290" s="4">
        <f>IFERROR(VLOOKUP(I290,FuelTypes!$A$1:$B$32,2,FALSE)*J290,0)</f>
        <v>0</v>
      </c>
      <c r="N290" s="4">
        <f t="shared" si="77"/>
        <v>0</v>
      </c>
      <c r="O290" s="4">
        <f t="shared" si="78"/>
        <v>0</v>
      </c>
      <c r="P290" s="4" t="e">
        <f>VLOOKUP(I290, FuelTypes!$A$1:$R$12,17,FALSE)*J290</f>
        <v>#N/A</v>
      </c>
      <c r="Q290" s="4" t="e">
        <f>VLOOKUP(I290, FuelTypes!$A$1:$R$12,18,FALSE)*J290</f>
        <v>#N/A</v>
      </c>
      <c r="R290" s="4">
        <f t="shared" si="66"/>
        <v>0</v>
      </c>
      <c r="S290" s="4">
        <f t="shared" si="67"/>
        <v>0</v>
      </c>
      <c r="T290" s="4" t="e">
        <f t="shared" si="68"/>
        <v>#DIV/0!</v>
      </c>
      <c r="U290" s="4" t="e">
        <f t="shared" si="74"/>
        <v>#DIV/0!</v>
      </c>
      <c r="W290" s="3">
        <f>IFERROR(VLOOKUP(I290,FuelTypes!$A$2:$G$40,5,FALSE)*M290,0)</f>
        <v>0</v>
      </c>
      <c r="Y290" s="3">
        <f t="shared" si="72"/>
        <v>0</v>
      </c>
      <c r="Z290" s="3" t="e">
        <f t="shared" si="69"/>
        <v>#DIV/0!</v>
      </c>
      <c r="AB290" s="3">
        <f t="shared" si="73"/>
        <v>0</v>
      </c>
      <c r="AC290" s="3">
        <f t="shared" si="70"/>
        <v>0</v>
      </c>
    </row>
    <row r="291" spans="1:29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4">
        <f t="shared" si="75"/>
        <v>0</v>
      </c>
      <c r="K291" s="4">
        <f t="shared" si="71"/>
        <v>0</v>
      </c>
      <c r="L291" s="4">
        <f t="shared" si="76"/>
        <v>0</v>
      </c>
      <c r="M291" s="4">
        <f>IFERROR(VLOOKUP(I291,FuelTypes!$A$1:$B$32,2,FALSE)*J291,0)</f>
        <v>0</v>
      </c>
      <c r="N291" s="4">
        <f t="shared" si="77"/>
        <v>0</v>
      </c>
      <c r="O291" s="4">
        <f t="shared" si="78"/>
        <v>0</v>
      </c>
      <c r="P291" s="4" t="e">
        <f>VLOOKUP(I291, FuelTypes!$A$1:$R$12,17,FALSE)*J291</f>
        <v>#N/A</v>
      </c>
      <c r="Q291" s="4" t="e">
        <f>VLOOKUP(I291, FuelTypes!$A$1:$R$12,18,FALSE)*J291</f>
        <v>#N/A</v>
      </c>
      <c r="R291" s="4">
        <f t="shared" si="66"/>
        <v>0</v>
      </c>
      <c r="S291" s="4">
        <f t="shared" si="67"/>
        <v>0</v>
      </c>
      <c r="T291" s="4" t="e">
        <f t="shared" si="68"/>
        <v>#DIV/0!</v>
      </c>
      <c r="U291" s="4" t="e">
        <f t="shared" si="74"/>
        <v>#DIV/0!</v>
      </c>
      <c r="W291" s="3">
        <f>IFERROR(VLOOKUP(I291,FuelTypes!$A$2:$G$40,5,FALSE)*M291,0)</f>
        <v>0</v>
      </c>
      <c r="Y291" s="3">
        <f t="shared" si="72"/>
        <v>0</v>
      </c>
      <c r="Z291" s="3" t="e">
        <f t="shared" si="69"/>
        <v>#DIV/0!</v>
      </c>
      <c r="AB291" s="3">
        <f t="shared" si="73"/>
        <v>0</v>
      </c>
      <c r="AC291" s="3">
        <f t="shared" si="70"/>
        <v>0</v>
      </c>
    </row>
    <row r="292" spans="1:29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4">
        <f t="shared" si="75"/>
        <v>0</v>
      </c>
      <c r="K292" s="4">
        <f t="shared" si="71"/>
        <v>0</v>
      </c>
      <c r="L292" s="4">
        <f t="shared" si="76"/>
        <v>0</v>
      </c>
      <c r="M292" s="4">
        <f>IFERROR(VLOOKUP(I292,FuelTypes!$A$1:$B$32,2,FALSE)*J292,0)</f>
        <v>0</v>
      </c>
      <c r="N292" s="4">
        <f t="shared" si="77"/>
        <v>0</v>
      </c>
      <c r="O292" s="4">
        <f t="shared" si="78"/>
        <v>0</v>
      </c>
      <c r="P292" s="4" t="e">
        <f>VLOOKUP(I292, FuelTypes!$A$1:$R$12,17,FALSE)*J292</f>
        <v>#N/A</v>
      </c>
      <c r="Q292" s="4" t="e">
        <f>VLOOKUP(I292, FuelTypes!$A$1:$R$12,18,FALSE)*J292</f>
        <v>#N/A</v>
      </c>
      <c r="R292" s="4">
        <f t="shared" si="66"/>
        <v>0</v>
      </c>
      <c r="S292" s="4">
        <f t="shared" si="67"/>
        <v>0</v>
      </c>
      <c r="T292" s="4" t="e">
        <f t="shared" si="68"/>
        <v>#DIV/0!</v>
      </c>
      <c r="U292" s="4" t="e">
        <f t="shared" si="74"/>
        <v>#DIV/0!</v>
      </c>
      <c r="W292" s="3">
        <f>IFERROR(VLOOKUP(I292,FuelTypes!$A$2:$G$40,5,FALSE)*M292,0)</f>
        <v>0</v>
      </c>
      <c r="Y292" s="3">
        <f t="shared" si="72"/>
        <v>0</v>
      </c>
      <c r="Z292" s="3" t="e">
        <f t="shared" si="69"/>
        <v>#DIV/0!</v>
      </c>
      <c r="AB292" s="3">
        <f t="shared" si="73"/>
        <v>0</v>
      </c>
      <c r="AC292" s="3">
        <f t="shared" si="70"/>
        <v>0</v>
      </c>
    </row>
    <row r="293" spans="1:29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4">
        <f t="shared" si="75"/>
        <v>0</v>
      </c>
      <c r="K293" s="4">
        <f t="shared" si="71"/>
        <v>0</v>
      </c>
      <c r="L293" s="4">
        <f t="shared" si="76"/>
        <v>0</v>
      </c>
      <c r="M293" s="4">
        <f>IFERROR(VLOOKUP(I293,FuelTypes!$A$1:$B$32,2,FALSE)*J293,0)</f>
        <v>0</v>
      </c>
      <c r="N293" s="4">
        <f t="shared" si="77"/>
        <v>0</v>
      </c>
      <c r="O293" s="4">
        <f t="shared" si="78"/>
        <v>0</v>
      </c>
      <c r="P293" s="4" t="e">
        <f>VLOOKUP(I293, FuelTypes!$A$1:$R$12,17,FALSE)*J293</f>
        <v>#N/A</v>
      </c>
      <c r="Q293" s="4" t="e">
        <f>VLOOKUP(I293, FuelTypes!$A$1:$R$12,18,FALSE)*J293</f>
        <v>#N/A</v>
      </c>
      <c r="R293" s="4">
        <f t="shared" si="66"/>
        <v>0</v>
      </c>
      <c r="S293" s="4">
        <f t="shared" si="67"/>
        <v>0</v>
      </c>
      <c r="T293" s="4" t="e">
        <f t="shared" si="68"/>
        <v>#DIV/0!</v>
      </c>
      <c r="U293" s="4" t="e">
        <f t="shared" si="74"/>
        <v>#DIV/0!</v>
      </c>
      <c r="W293" s="3">
        <f>IFERROR(VLOOKUP(I293,FuelTypes!$A$2:$G$40,5,FALSE)*M293,0)</f>
        <v>0</v>
      </c>
      <c r="Y293" s="3">
        <f t="shared" si="72"/>
        <v>0</v>
      </c>
      <c r="Z293" s="3" t="e">
        <f t="shared" si="69"/>
        <v>#DIV/0!</v>
      </c>
      <c r="AB293" s="3">
        <f t="shared" si="73"/>
        <v>0</v>
      </c>
      <c r="AC293" s="3">
        <f t="shared" si="70"/>
        <v>0</v>
      </c>
    </row>
    <row r="294" spans="1:29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4">
        <f t="shared" si="75"/>
        <v>0</v>
      </c>
      <c r="K294" s="4">
        <f t="shared" si="71"/>
        <v>0</v>
      </c>
      <c r="L294" s="4">
        <f t="shared" si="76"/>
        <v>0</v>
      </c>
      <c r="M294" s="4">
        <f>IFERROR(VLOOKUP(I294,FuelTypes!$A$1:$B$32,2,FALSE)*J294,0)</f>
        <v>0</v>
      </c>
      <c r="N294" s="4">
        <f t="shared" si="77"/>
        <v>0</v>
      </c>
      <c r="O294" s="4">
        <f t="shared" si="78"/>
        <v>0</v>
      </c>
      <c r="P294" s="4" t="e">
        <f>VLOOKUP(I294, FuelTypes!$A$1:$R$12,17,FALSE)*J294</f>
        <v>#N/A</v>
      </c>
      <c r="Q294" s="4" t="e">
        <f>VLOOKUP(I294, FuelTypes!$A$1:$R$12,18,FALSE)*J294</f>
        <v>#N/A</v>
      </c>
      <c r="R294" s="4">
        <f t="shared" si="66"/>
        <v>0</v>
      </c>
      <c r="S294" s="4">
        <f t="shared" si="67"/>
        <v>0</v>
      </c>
      <c r="T294" s="4" t="e">
        <f t="shared" si="68"/>
        <v>#DIV/0!</v>
      </c>
      <c r="U294" s="4" t="e">
        <f t="shared" si="74"/>
        <v>#DIV/0!</v>
      </c>
      <c r="W294" s="3">
        <f>IFERROR(VLOOKUP(I294,FuelTypes!$A$2:$G$40,5,FALSE)*M294,0)</f>
        <v>0</v>
      </c>
      <c r="Y294" s="3">
        <f t="shared" si="72"/>
        <v>0</v>
      </c>
      <c r="Z294" s="3" t="e">
        <f t="shared" si="69"/>
        <v>#DIV/0!</v>
      </c>
      <c r="AB294" s="3">
        <f t="shared" si="73"/>
        <v>0</v>
      </c>
      <c r="AC294" s="3">
        <f t="shared" si="70"/>
        <v>0</v>
      </c>
    </row>
    <row r="295" spans="1:29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4">
        <f t="shared" si="75"/>
        <v>0</v>
      </c>
      <c r="K295" s="4">
        <f t="shared" si="71"/>
        <v>0</v>
      </c>
      <c r="L295" s="4">
        <f t="shared" si="76"/>
        <v>0</v>
      </c>
      <c r="M295" s="4">
        <f>IFERROR(VLOOKUP(I295,FuelTypes!$A$1:$B$32,2,FALSE)*J295,0)</f>
        <v>0</v>
      </c>
      <c r="N295" s="4">
        <f t="shared" si="77"/>
        <v>0</v>
      </c>
      <c r="O295" s="4">
        <f t="shared" si="78"/>
        <v>0</v>
      </c>
      <c r="P295" s="4" t="e">
        <f>VLOOKUP(I295, FuelTypes!$A$1:$R$12,17,FALSE)*J295</f>
        <v>#N/A</v>
      </c>
      <c r="Q295" s="4" t="e">
        <f>VLOOKUP(I295, FuelTypes!$A$1:$R$12,18,FALSE)*J295</f>
        <v>#N/A</v>
      </c>
      <c r="R295" s="4">
        <f t="shared" si="66"/>
        <v>0</v>
      </c>
      <c r="S295" s="4">
        <f t="shared" si="67"/>
        <v>0</v>
      </c>
      <c r="T295" s="4" t="e">
        <f t="shared" si="68"/>
        <v>#DIV/0!</v>
      </c>
      <c r="U295" s="4" t="e">
        <f t="shared" si="74"/>
        <v>#DIV/0!</v>
      </c>
      <c r="W295" s="3">
        <f>IFERROR(VLOOKUP(I295,FuelTypes!$A$2:$G$40,5,FALSE)*M295,0)</f>
        <v>0</v>
      </c>
      <c r="Y295" s="3">
        <f t="shared" si="72"/>
        <v>0</v>
      </c>
      <c r="Z295" s="3" t="e">
        <f t="shared" si="69"/>
        <v>#DIV/0!</v>
      </c>
      <c r="AB295" s="3">
        <f t="shared" si="73"/>
        <v>0</v>
      </c>
      <c r="AC295" s="3">
        <f t="shared" si="70"/>
        <v>0</v>
      </c>
    </row>
    <row r="296" spans="1:29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4">
        <f t="shared" si="75"/>
        <v>0</v>
      </c>
      <c r="K296" s="4">
        <f t="shared" si="71"/>
        <v>0</v>
      </c>
      <c r="L296" s="4">
        <f t="shared" si="76"/>
        <v>0</v>
      </c>
      <c r="M296" s="4">
        <f>IFERROR(VLOOKUP(I296,FuelTypes!$A$1:$B$32,2,FALSE)*J296,0)</f>
        <v>0</v>
      </c>
      <c r="N296" s="4">
        <f t="shared" si="77"/>
        <v>0</v>
      </c>
      <c r="O296" s="4">
        <f t="shared" si="78"/>
        <v>0</v>
      </c>
      <c r="P296" s="4" t="e">
        <f>VLOOKUP(I296, FuelTypes!$A$1:$R$12,17,FALSE)*J296</f>
        <v>#N/A</v>
      </c>
      <c r="Q296" s="4" t="e">
        <f>VLOOKUP(I296, FuelTypes!$A$1:$R$12,18,FALSE)*J296</f>
        <v>#N/A</v>
      </c>
      <c r="R296" s="4">
        <f t="shared" si="66"/>
        <v>0</v>
      </c>
      <c r="S296" s="4">
        <f t="shared" si="67"/>
        <v>0</v>
      </c>
      <c r="T296" s="4" t="e">
        <f t="shared" si="68"/>
        <v>#DIV/0!</v>
      </c>
      <c r="U296" s="4" t="e">
        <f t="shared" si="74"/>
        <v>#DIV/0!</v>
      </c>
      <c r="W296" s="3">
        <f>IFERROR(VLOOKUP(I296,FuelTypes!$A$2:$G$40,5,FALSE)*M296,0)</f>
        <v>0</v>
      </c>
      <c r="Y296" s="3">
        <f t="shared" si="72"/>
        <v>0</v>
      </c>
      <c r="Z296" s="3" t="e">
        <f t="shared" si="69"/>
        <v>#DIV/0!</v>
      </c>
      <c r="AB296" s="3">
        <f t="shared" si="73"/>
        <v>0</v>
      </c>
      <c r="AC296" s="3">
        <f t="shared" si="70"/>
        <v>0</v>
      </c>
    </row>
    <row r="297" spans="1:29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4">
        <f t="shared" si="75"/>
        <v>0</v>
      </c>
      <c r="K297" s="4">
        <f t="shared" si="71"/>
        <v>0</v>
      </c>
      <c r="L297" s="4">
        <f t="shared" si="76"/>
        <v>0</v>
      </c>
      <c r="M297" s="4">
        <f>IFERROR(VLOOKUP(I297,FuelTypes!$A$1:$B$32,2,FALSE)*J297,0)</f>
        <v>0</v>
      </c>
      <c r="N297" s="4">
        <f t="shared" si="77"/>
        <v>0</v>
      </c>
      <c r="O297" s="4">
        <f t="shared" si="78"/>
        <v>0</v>
      </c>
      <c r="P297" s="4" t="e">
        <f>VLOOKUP(I297, FuelTypes!$A$1:$R$12,17,FALSE)*J297</f>
        <v>#N/A</v>
      </c>
      <c r="Q297" s="4" t="e">
        <f>VLOOKUP(I297, FuelTypes!$A$1:$R$12,18,FALSE)*J297</f>
        <v>#N/A</v>
      </c>
      <c r="R297" s="4">
        <f t="shared" si="66"/>
        <v>0</v>
      </c>
      <c r="S297" s="4">
        <f t="shared" si="67"/>
        <v>0</v>
      </c>
      <c r="T297" s="4" t="e">
        <f t="shared" si="68"/>
        <v>#DIV/0!</v>
      </c>
      <c r="U297" s="4" t="e">
        <f t="shared" si="74"/>
        <v>#DIV/0!</v>
      </c>
      <c r="W297" s="3">
        <f>IFERROR(VLOOKUP(I297,FuelTypes!$A$2:$G$40,5,FALSE)*M297,0)</f>
        <v>0</v>
      </c>
      <c r="Y297" s="3">
        <f t="shared" si="72"/>
        <v>0</v>
      </c>
      <c r="Z297" s="3" t="e">
        <f t="shared" si="69"/>
        <v>#DIV/0!</v>
      </c>
      <c r="AB297" s="3">
        <f t="shared" si="73"/>
        <v>0</v>
      </c>
      <c r="AC297" s="3">
        <f t="shared" si="70"/>
        <v>0</v>
      </c>
    </row>
    <row r="298" spans="1:29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4">
        <f t="shared" si="75"/>
        <v>0</v>
      </c>
      <c r="K298" s="4">
        <f t="shared" si="71"/>
        <v>0</v>
      </c>
      <c r="L298" s="4">
        <f t="shared" si="76"/>
        <v>0</v>
      </c>
      <c r="M298" s="4">
        <f>IFERROR(VLOOKUP(I298,FuelTypes!$A$1:$B$32,2,FALSE)*J298,0)</f>
        <v>0</v>
      </c>
      <c r="N298" s="4">
        <f t="shared" si="77"/>
        <v>0</v>
      </c>
      <c r="O298" s="4">
        <f t="shared" si="78"/>
        <v>0</v>
      </c>
      <c r="P298" s="4" t="e">
        <f>VLOOKUP(I298, FuelTypes!$A$1:$R$12,17,FALSE)*J298</f>
        <v>#N/A</v>
      </c>
      <c r="Q298" s="4" t="e">
        <f>VLOOKUP(I298, FuelTypes!$A$1:$R$12,18,FALSE)*J298</f>
        <v>#N/A</v>
      </c>
      <c r="R298" s="4">
        <f t="shared" si="66"/>
        <v>0</v>
      </c>
      <c r="S298" s="4">
        <f t="shared" si="67"/>
        <v>0</v>
      </c>
      <c r="T298" s="4" t="e">
        <f t="shared" si="68"/>
        <v>#DIV/0!</v>
      </c>
      <c r="U298" s="4" t="e">
        <f t="shared" si="74"/>
        <v>#DIV/0!</v>
      </c>
      <c r="W298" s="3">
        <f>IFERROR(VLOOKUP(I298,FuelTypes!$A$2:$G$40,5,FALSE)*M298,0)</f>
        <v>0</v>
      </c>
      <c r="Y298" s="3">
        <f t="shared" si="72"/>
        <v>0</v>
      </c>
      <c r="Z298" s="3" t="e">
        <f t="shared" si="69"/>
        <v>#DIV/0!</v>
      </c>
      <c r="AB298" s="3">
        <f t="shared" si="73"/>
        <v>0</v>
      </c>
      <c r="AC298" s="3">
        <f t="shared" si="70"/>
        <v>0</v>
      </c>
    </row>
    <row r="299" spans="1:29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4">
        <f t="shared" si="75"/>
        <v>0</v>
      </c>
      <c r="K299" s="4">
        <f t="shared" si="71"/>
        <v>0</v>
      </c>
      <c r="L299" s="4">
        <f t="shared" si="76"/>
        <v>0</v>
      </c>
      <c r="M299" s="4">
        <f>IFERROR(VLOOKUP(I299,FuelTypes!$A$1:$B$32,2,FALSE)*J299,0)</f>
        <v>0</v>
      </c>
      <c r="N299" s="4">
        <f t="shared" si="77"/>
        <v>0</v>
      </c>
      <c r="O299" s="4">
        <f t="shared" si="78"/>
        <v>0</v>
      </c>
      <c r="P299" s="4" t="e">
        <f>VLOOKUP(I299, FuelTypes!$A$1:$R$12,17,FALSE)*J299</f>
        <v>#N/A</v>
      </c>
      <c r="Q299" s="4" t="e">
        <f>VLOOKUP(I299, FuelTypes!$A$1:$R$12,18,FALSE)*J299</f>
        <v>#N/A</v>
      </c>
      <c r="R299" s="4">
        <f t="shared" si="66"/>
        <v>0</v>
      </c>
      <c r="S299" s="4">
        <f t="shared" si="67"/>
        <v>0</v>
      </c>
      <c r="T299" s="4" t="e">
        <f t="shared" si="68"/>
        <v>#DIV/0!</v>
      </c>
      <c r="U299" s="4" t="e">
        <f t="shared" si="74"/>
        <v>#DIV/0!</v>
      </c>
      <c r="W299" s="3">
        <f>IFERROR(VLOOKUP(I299,FuelTypes!$A$2:$G$40,5,FALSE)*M299,0)</f>
        <v>0</v>
      </c>
      <c r="Y299" s="3">
        <f t="shared" si="72"/>
        <v>0</v>
      </c>
      <c r="Z299" s="3" t="e">
        <f t="shared" si="69"/>
        <v>#DIV/0!</v>
      </c>
      <c r="AB299" s="3">
        <f t="shared" si="73"/>
        <v>0</v>
      </c>
      <c r="AC299" s="3">
        <f t="shared" si="70"/>
        <v>0</v>
      </c>
    </row>
    <row r="300" spans="1:29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4">
        <f t="shared" si="75"/>
        <v>0</v>
      </c>
      <c r="K300" s="4">
        <f t="shared" si="71"/>
        <v>0</v>
      </c>
      <c r="L300" s="4">
        <f t="shared" si="76"/>
        <v>0</v>
      </c>
      <c r="M300" s="4">
        <f>IFERROR(VLOOKUP(I300,FuelTypes!$A$1:$B$32,2,FALSE)*J300,0)</f>
        <v>0</v>
      </c>
      <c r="N300" s="4">
        <f t="shared" si="77"/>
        <v>0</v>
      </c>
      <c r="O300" s="4">
        <f t="shared" si="78"/>
        <v>0</v>
      </c>
      <c r="P300" s="4" t="e">
        <f>VLOOKUP(I300, FuelTypes!$A$1:$R$12,17,FALSE)*J300</f>
        <v>#N/A</v>
      </c>
      <c r="Q300" s="4" t="e">
        <f>VLOOKUP(I300, FuelTypes!$A$1:$R$12,18,FALSE)*J300</f>
        <v>#N/A</v>
      </c>
      <c r="R300" s="4">
        <f t="shared" si="66"/>
        <v>0</v>
      </c>
      <c r="S300" s="4">
        <f t="shared" si="67"/>
        <v>0</v>
      </c>
      <c r="T300" s="4" t="e">
        <f t="shared" si="68"/>
        <v>#DIV/0!</v>
      </c>
      <c r="U300" s="4" t="e">
        <f t="shared" si="74"/>
        <v>#DIV/0!</v>
      </c>
      <c r="W300" s="3">
        <f>IFERROR(VLOOKUP(I300,FuelTypes!$A$2:$G$40,5,FALSE)*M300,0)</f>
        <v>0</v>
      </c>
      <c r="Y300" s="3">
        <f t="shared" si="72"/>
        <v>0</v>
      </c>
      <c r="Z300" s="3" t="e">
        <f t="shared" si="69"/>
        <v>#DIV/0!</v>
      </c>
      <c r="AB300" s="3">
        <f t="shared" si="73"/>
        <v>0</v>
      </c>
      <c r="AC300" s="3">
        <f t="shared" si="70"/>
        <v>0</v>
      </c>
    </row>
    <row r="301" spans="1:29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4">
        <f t="shared" si="75"/>
        <v>0</v>
      </c>
      <c r="K301" s="4">
        <f t="shared" si="71"/>
        <v>0</v>
      </c>
      <c r="L301" s="4">
        <f t="shared" si="76"/>
        <v>0</v>
      </c>
      <c r="M301" s="4">
        <f>IFERROR(VLOOKUP(I301,FuelTypes!$A$1:$B$32,2,FALSE)*J301,0)</f>
        <v>0</v>
      </c>
      <c r="N301" s="4">
        <f t="shared" si="77"/>
        <v>0</v>
      </c>
      <c r="O301" s="4">
        <f t="shared" si="78"/>
        <v>0</v>
      </c>
      <c r="P301" s="4" t="e">
        <f>VLOOKUP(I301, FuelTypes!$A$1:$R$12,17,FALSE)*J301</f>
        <v>#N/A</v>
      </c>
      <c r="Q301" s="4" t="e">
        <f>VLOOKUP(I301, FuelTypes!$A$1:$R$12,18,FALSE)*J301</f>
        <v>#N/A</v>
      </c>
      <c r="R301" s="4">
        <f t="shared" si="66"/>
        <v>0</v>
      </c>
      <c r="S301" s="4">
        <f t="shared" si="67"/>
        <v>0</v>
      </c>
      <c r="T301" s="4" t="e">
        <f t="shared" si="68"/>
        <v>#DIV/0!</v>
      </c>
      <c r="U301" s="4" t="e">
        <f t="shared" si="74"/>
        <v>#DIV/0!</v>
      </c>
      <c r="W301" s="3">
        <f>IFERROR(VLOOKUP(I301,FuelTypes!$A$2:$G$40,5,FALSE)*M301,0)</f>
        <v>0</v>
      </c>
      <c r="Y301" s="3">
        <f t="shared" si="72"/>
        <v>0</v>
      </c>
      <c r="Z301" s="3" t="e">
        <f t="shared" si="69"/>
        <v>#DIV/0!</v>
      </c>
      <c r="AB301" s="3">
        <f t="shared" si="73"/>
        <v>0</v>
      </c>
      <c r="AC301" s="3">
        <f t="shared" si="70"/>
        <v>0</v>
      </c>
    </row>
  </sheetData>
  <sortState ref="A2:C30">
    <sortCondition ref="A2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zoomScale="80" zoomScaleNormal="80" workbookViewId="0">
      <selection activeCell="S13" sqref="S13"/>
    </sheetView>
  </sheetViews>
  <sheetFormatPr defaultRowHeight="15" x14ac:dyDescent="0.25"/>
  <cols>
    <col min="1" max="1" width="17.28515625" style="1" bestFit="1" customWidth="1"/>
    <col min="2" max="2" width="6" style="1" bestFit="1" customWidth="1"/>
    <col min="3" max="3" width="10.85546875" style="1" bestFit="1" customWidth="1"/>
    <col min="4" max="4" width="5.5703125" style="1" bestFit="1" customWidth="1"/>
    <col min="5" max="5" width="12" style="1" bestFit="1" customWidth="1"/>
    <col min="6" max="6" width="4.42578125" style="1" bestFit="1" customWidth="1"/>
    <col min="7" max="7" width="7.28515625" style="1" bestFit="1" customWidth="1"/>
    <col min="8" max="8" width="5.7109375" style="1" customWidth="1"/>
    <col min="9" max="9" width="17.28515625" style="1" bestFit="1" customWidth="1"/>
    <col min="10" max="10" width="6" style="1" bestFit="1" customWidth="1"/>
    <col min="11" max="11" width="10.85546875" style="1" bestFit="1" customWidth="1"/>
    <col min="12" max="12" width="5.5703125" style="1" bestFit="1" customWidth="1"/>
    <col min="13" max="13" width="12" style="1" bestFit="1" customWidth="1"/>
    <col min="14" max="14" width="4.42578125" style="1" bestFit="1" customWidth="1"/>
    <col min="15" max="15" width="7.28515625" style="1" bestFit="1" customWidth="1"/>
    <col min="16" max="16" width="5.7109375" style="1" customWidth="1"/>
    <col min="17" max="17" width="17.28515625" style="1" bestFit="1" customWidth="1"/>
    <col min="18" max="18" width="6" style="1" bestFit="1" customWidth="1"/>
    <col min="19" max="19" width="10.85546875" style="1" bestFit="1" customWidth="1"/>
    <col min="20" max="20" width="5.5703125" style="1" bestFit="1" customWidth="1"/>
    <col min="21" max="21" width="12" style="1" bestFit="1" customWidth="1"/>
    <col min="22" max="22" width="4.42578125" style="1" bestFit="1" customWidth="1"/>
    <col min="23" max="23" width="7.28515625" style="1" bestFit="1" customWidth="1"/>
    <col min="24" max="24" width="5.7109375" style="1" customWidth="1"/>
    <col min="25" max="25" width="17.28515625" style="1" bestFit="1" customWidth="1"/>
    <col min="26" max="26" width="6" style="1" bestFit="1" customWidth="1"/>
    <col min="27" max="27" width="10.85546875" style="1" bestFit="1" customWidth="1"/>
    <col min="28" max="28" width="5.5703125" style="1" bestFit="1" customWidth="1"/>
    <col min="29" max="29" width="12" style="1" bestFit="1" customWidth="1"/>
    <col min="30" max="30" width="4.42578125" style="1" bestFit="1" customWidth="1"/>
    <col min="31" max="31" width="7.28515625" style="1" bestFit="1" customWidth="1"/>
    <col min="32" max="32" width="5.7109375" style="1" customWidth="1"/>
    <col min="33" max="16384" width="9.140625" style="1"/>
  </cols>
  <sheetData>
    <row r="1" spans="1:32" ht="15.75" thickBot="1" x14ac:dyDescent="0.3">
      <c r="A1" s="46" t="s">
        <v>76</v>
      </c>
      <c r="B1" s="46"/>
      <c r="C1" s="46"/>
      <c r="D1" s="46"/>
      <c r="E1" s="46"/>
      <c r="F1" s="46"/>
      <c r="G1" s="46"/>
      <c r="H1" s="12"/>
      <c r="I1" s="46" t="s">
        <v>76</v>
      </c>
      <c r="J1" s="46"/>
      <c r="K1" s="46"/>
      <c r="L1" s="46"/>
      <c r="M1" s="46"/>
      <c r="N1" s="46"/>
      <c r="O1" s="46"/>
      <c r="P1" s="12"/>
      <c r="Q1" s="46" t="s">
        <v>76</v>
      </c>
      <c r="R1" s="46"/>
      <c r="S1" s="46"/>
      <c r="T1" s="46"/>
      <c r="U1" s="46"/>
      <c r="V1" s="46"/>
      <c r="W1" s="46"/>
      <c r="X1" s="12"/>
      <c r="Y1" s="46" t="s">
        <v>76</v>
      </c>
      <c r="Z1" s="46"/>
      <c r="AA1" s="46"/>
      <c r="AB1" s="46"/>
      <c r="AC1" s="46"/>
      <c r="AD1" s="46"/>
      <c r="AE1" s="46"/>
      <c r="AF1" s="12"/>
    </row>
    <row r="2" spans="1:32" x14ac:dyDescent="0.25">
      <c r="A2" s="7" t="s">
        <v>0</v>
      </c>
      <c r="B2" s="8" t="s">
        <v>60</v>
      </c>
      <c r="C2" s="8" t="s">
        <v>3</v>
      </c>
      <c r="D2" s="8" t="s">
        <v>66</v>
      </c>
      <c r="E2" s="8" t="s">
        <v>67</v>
      </c>
      <c r="F2" s="8" t="s">
        <v>6</v>
      </c>
      <c r="G2" s="9" t="s">
        <v>7</v>
      </c>
      <c r="H2" s="12"/>
      <c r="I2" s="7" t="s">
        <v>0</v>
      </c>
      <c r="J2" s="8" t="s">
        <v>60</v>
      </c>
      <c r="K2" s="8" t="s">
        <v>3</v>
      </c>
      <c r="L2" s="8" t="s">
        <v>66</v>
      </c>
      <c r="M2" s="8" t="s">
        <v>67</v>
      </c>
      <c r="N2" s="8" t="s">
        <v>6</v>
      </c>
      <c r="O2" s="9" t="s">
        <v>7</v>
      </c>
      <c r="P2" s="12"/>
      <c r="Q2" s="7" t="s">
        <v>0</v>
      </c>
      <c r="R2" s="8" t="s">
        <v>60</v>
      </c>
      <c r="S2" s="8" t="s">
        <v>3</v>
      </c>
      <c r="T2" s="8" t="s">
        <v>66</v>
      </c>
      <c r="U2" s="8" t="s">
        <v>67</v>
      </c>
      <c r="V2" s="8" t="s">
        <v>6</v>
      </c>
      <c r="W2" s="9" t="s">
        <v>7</v>
      </c>
      <c r="X2" s="12"/>
      <c r="Y2" s="7" t="s">
        <v>0</v>
      </c>
      <c r="Z2" s="8" t="s">
        <v>60</v>
      </c>
      <c r="AA2" s="8" t="s">
        <v>3</v>
      </c>
      <c r="AB2" s="8" t="s">
        <v>66</v>
      </c>
      <c r="AC2" s="8" t="s">
        <v>67</v>
      </c>
      <c r="AD2" s="8" t="s">
        <v>6</v>
      </c>
      <c r="AE2" s="9" t="s">
        <v>7</v>
      </c>
      <c r="AF2" s="12"/>
    </row>
    <row r="3" spans="1:32" x14ac:dyDescent="0.25">
      <c r="A3" s="11" t="s">
        <v>168</v>
      </c>
      <c r="B3" s="6">
        <v>1</v>
      </c>
      <c r="C3" s="4">
        <f>IFERROR(VLOOKUP(A3,parts!$A$2:$Z$300,12,FALSE)*B3,0)</f>
        <v>0</v>
      </c>
      <c r="D3" s="4">
        <f>IFERROR(VLOOKUP(A3,parts!$A$2:$Z$300,13,FALSE)*B3,0)</f>
        <v>0</v>
      </c>
      <c r="E3" s="4">
        <f>IFERROR(VLOOKUP(A3,parts!$A$2:$Z$300,14,FALSE)*B3,0)</f>
        <v>0</v>
      </c>
      <c r="F3" s="4">
        <f>IFERROR(VLOOKUP(A3,parts!$A$2:$Z$300,6,FALSE),0)</f>
        <v>0</v>
      </c>
      <c r="G3" s="4">
        <f>IFERROR(VLOOKUP(A3,parts!$A$2:$Z$300,7,FALSE)*B3,0)</f>
        <v>0</v>
      </c>
      <c r="H3" s="12"/>
      <c r="I3" s="11"/>
      <c r="J3" s="6"/>
      <c r="K3" s="4">
        <f>IFERROR(VLOOKUP(I3,parts!$A$2:$Z$300,12,FALSE)*J3,0)</f>
        <v>0</v>
      </c>
      <c r="L3" s="4">
        <f>IFERROR(VLOOKUP(I3,parts!$A$2:$Z$300,13,FALSE)*J3,0)</f>
        <v>0</v>
      </c>
      <c r="M3" s="4">
        <f>IFERROR(VLOOKUP(I3,parts!$A$2:$Z$300,14,FALSE)*J3,0)</f>
        <v>0</v>
      </c>
      <c r="N3" s="4">
        <f>IFERROR(VLOOKUP(I3,parts!$A$2:$Z$300,6,FALSE),0)</f>
        <v>0</v>
      </c>
      <c r="O3" s="4">
        <f>IFERROR(VLOOKUP(I3,parts!$A$2:$Z$300,7,FALSE)*J3,0)</f>
        <v>0</v>
      </c>
      <c r="P3" s="12"/>
      <c r="Q3" s="11"/>
      <c r="R3" s="6"/>
      <c r="S3" s="4">
        <f>IFERROR(VLOOKUP(Q3,parts!$A$2:$Z$300,12,FALSE)*R3,0)</f>
        <v>0</v>
      </c>
      <c r="T3" s="4">
        <f>IFERROR(VLOOKUP(Q3,parts!$A$2:$Z$300,13,FALSE)*R3,0)</f>
        <v>0</v>
      </c>
      <c r="U3" s="4">
        <f>IFERROR(VLOOKUP(Q3,parts!$A$2:$Z$300,14,FALSE)*R3,0)</f>
        <v>0</v>
      </c>
      <c r="V3" s="4">
        <f>IFERROR(VLOOKUP(Q3,parts!$A$2:$Z$300,6,FALSE),0)</f>
        <v>0</v>
      </c>
      <c r="W3" s="4">
        <f>IFERROR(VLOOKUP(Q3,parts!$A$2:$Z$300,7,FALSE)*R3,0)</f>
        <v>0</v>
      </c>
      <c r="X3" s="12"/>
      <c r="Y3" s="11"/>
      <c r="Z3" s="6"/>
      <c r="AA3" s="4">
        <f>IFERROR(VLOOKUP(Y3,parts!$A$2:$Z$300,12,FALSE)*Z3,0)</f>
        <v>0</v>
      </c>
      <c r="AB3" s="4">
        <f>IFERROR(VLOOKUP(Y3,parts!$A$2:$Z$300,13,FALSE)*Z3,0)</f>
        <v>0</v>
      </c>
      <c r="AC3" s="4">
        <f>IFERROR(VLOOKUP(Y3,parts!$A$2:$Z$300,14,FALSE)*Z3,0)</f>
        <v>0</v>
      </c>
      <c r="AD3" s="4">
        <f>IFERROR(VLOOKUP(Y3,parts!$A$2:$Z$300,6,FALSE),0)</f>
        <v>0</v>
      </c>
      <c r="AE3" s="4">
        <f>IFERROR(VLOOKUP(Y3,parts!$A$2:$Z$300,7,FALSE)*Z3,0)</f>
        <v>0</v>
      </c>
      <c r="AF3" s="12"/>
    </row>
    <row r="4" spans="1:32" x14ac:dyDescent="0.25">
      <c r="A4" s="11" t="s">
        <v>169</v>
      </c>
      <c r="B4" s="6">
        <v>1</v>
      </c>
      <c r="C4" s="4">
        <f>IFERROR(VLOOKUP(A4,parts!$A$2:$Z$300,12,FALSE)*B4,0)</f>
        <v>0</v>
      </c>
      <c r="D4" s="4">
        <f>IFERROR(VLOOKUP(A4,parts!$A$2:$Z$300,13,FALSE)*B4,0)</f>
        <v>0</v>
      </c>
      <c r="E4" s="4">
        <f>IFERROR(VLOOKUP(A4,parts!$A$2:$Z$300,14,FALSE)*B4,0)</f>
        <v>0</v>
      </c>
      <c r="F4" s="4">
        <f>IFERROR(VLOOKUP(A4,parts!$A$2:$Z$300,6,FALSE),0)</f>
        <v>0</v>
      </c>
      <c r="G4" s="4">
        <f>IFERROR(VLOOKUP(A4,parts!$A$2:$Z$300,7,FALSE)*B4,0)</f>
        <v>0</v>
      </c>
      <c r="H4" s="12"/>
      <c r="I4" s="11"/>
      <c r="J4" s="6"/>
      <c r="K4" s="4">
        <f>IFERROR(VLOOKUP(I4,parts!$A$2:$Z$300,12,FALSE)*J4,0)</f>
        <v>0</v>
      </c>
      <c r="L4" s="4">
        <f>IFERROR(VLOOKUP(I4,parts!$A$2:$Z$300,13,FALSE)*J4,0)</f>
        <v>0</v>
      </c>
      <c r="M4" s="4">
        <f>IFERROR(VLOOKUP(I4,parts!$A$2:$Z$300,14,FALSE)*J4,0)</f>
        <v>0</v>
      </c>
      <c r="N4" s="4">
        <f>IFERROR(VLOOKUP(I4,parts!$A$2:$Z$300,6,FALSE),0)</f>
        <v>0</v>
      </c>
      <c r="O4" s="4">
        <f>IFERROR(VLOOKUP(I4,parts!$A$2:$Z$300,7,FALSE)*J4,0)</f>
        <v>0</v>
      </c>
      <c r="P4" s="12"/>
      <c r="Q4" s="11"/>
      <c r="R4" s="6"/>
      <c r="S4" s="4">
        <f>IFERROR(VLOOKUP(Q4,parts!$A$2:$Z$300,12,FALSE)*R4,0)</f>
        <v>0</v>
      </c>
      <c r="T4" s="4">
        <f>IFERROR(VLOOKUP(Q4,parts!$A$2:$Z$300,13,FALSE)*R4,0)</f>
        <v>0</v>
      </c>
      <c r="U4" s="4">
        <f>IFERROR(VLOOKUP(Q4,parts!$A$2:$Z$300,14,FALSE)*R4,0)</f>
        <v>0</v>
      </c>
      <c r="V4" s="4">
        <f>IFERROR(VLOOKUP(Q4,parts!$A$2:$Z$300,6,FALSE),0)</f>
        <v>0</v>
      </c>
      <c r="W4" s="4">
        <f>IFERROR(VLOOKUP(Q4,parts!$A$2:$Z$300,7,FALSE)*R4,0)</f>
        <v>0</v>
      </c>
      <c r="X4" s="12"/>
      <c r="Y4" s="11"/>
      <c r="Z4" s="6"/>
      <c r="AA4" s="4">
        <f>IFERROR(VLOOKUP(Y4,parts!$A$2:$Z$300,12,FALSE)*Z4,0)</f>
        <v>0</v>
      </c>
      <c r="AB4" s="4">
        <f>IFERROR(VLOOKUP(Y4,parts!$A$2:$Z$300,13,FALSE)*Z4,0)</f>
        <v>0</v>
      </c>
      <c r="AC4" s="4">
        <f>IFERROR(VLOOKUP(Y4,parts!$A$2:$Z$300,14,FALSE)*Z4,0)</f>
        <v>0</v>
      </c>
      <c r="AD4" s="4">
        <f>IFERROR(VLOOKUP(Y4,parts!$A$2:$Z$300,6,FALSE),0)</f>
        <v>0</v>
      </c>
      <c r="AE4" s="4">
        <f>IFERROR(VLOOKUP(Y4,parts!$A$2:$Z$300,7,FALSE)*Z4,0)</f>
        <v>0</v>
      </c>
      <c r="AF4" s="12"/>
    </row>
    <row r="5" spans="1:32" x14ac:dyDescent="0.25">
      <c r="A5" s="11"/>
      <c r="B5" s="6"/>
      <c r="C5" s="4">
        <f>IFERROR(VLOOKUP(A5,parts!$A$2:$Z$300,12,FALSE)*B5,0)</f>
        <v>0</v>
      </c>
      <c r="D5" s="4">
        <f>IFERROR(VLOOKUP(A5,parts!$A$2:$Z$300,13,FALSE)*B5,0)</f>
        <v>0</v>
      </c>
      <c r="E5" s="4">
        <f>IFERROR(VLOOKUP(A5,parts!$A$2:$Z$300,14,FALSE)*B5,0)</f>
        <v>0</v>
      </c>
      <c r="F5" s="4">
        <f>IFERROR(VLOOKUP(A5,parts!$A$2:$Z$300,6,FALSE),0)</f>
        <v>0</v>
      </c>
      <c r="G5" s="4">
        <f>IFERROR(VLOOKUP(A5,parts!$A$2:$Z$300,7,FALSE)*B5,0)</f>
        <v>0</v>
      </c>
      <c r="H5" s="12"/>
      <c r="I5" s="11"/>
      <c r="J5" s="6"/>
      <c r="K5" s="4">
        <f>IFERROR(VLOOKUP(I5,parts!$A$2:$Z$300,12,FALSE)*J5,0)</f>
        <v>0</v>
      </c>
      <c r="L5" s="4">
        <f>IFERROR(VLOOKUP(I5,parts!$A$2:$Z$300,13,FALSE)*J5,0)</f>
        <v>0</v>
      </c>
      <c r="M5" s="4">
        <f>IFERROR(VLOOKUP(I5,parts!$A$2:$Z$300,14,FALSE)*J5,0)</f>
        <v>0</v>
      </c>
      <c r="N5" s="4">
        <f>IFERROR(VLOOKUP(I5,parts!$A$2:$Z$300,6,FALSE),0)</f>
        <v>0</v>
      </c>
      <c r="O5" s="4">
        <f>IFERROR(VLOOKUP(I5,parts!$A$2:$Z$300,7,FALSE)*J5,0)</f>
        <v>0</v>
      </c>
      <c r="P5" s="12"/>
      <c r="Q5" s="11"/>
      <c r="R5" s="6"/>
      <c r="S5" s="4">
        <f>IFERROR(VLOOKUP(Q5,parts!$A$2:$Z$300,12,FALSE)*R5,0)</f>
        <v>0</v>
      </c>
      <c r="T5" s="4">
        <f>IFERROR(VLOOKUP(Q5,parts!$A$2:$Z$300,13,FALSE)*R5,0)</f>
        <v>0</v>
      </c>
      <c r="U5" s="4">
        <f>IFERROR(VLOOKUP(Q5,parts!$A$2:$Z$300,14,FALSE)*R5,0)</f>
        <v>0</v>
      </c>
      <c r="V5" s="4">
        <f>IFERROR(VLOOKUP(Q5,parts!$A$2:$Z$300,6,FALSE),0)</f>
        <v>0</v>
      </c>
      <c r="W5" s="4">
        <f>IFERROR(VLOOKUP(Q5,parts!$A$2:$Z$300,7,FALSE)*R5,0)</f>
        <v>0</v>
      </c>
      <c r="X5" s="12"/>
      <c r="Y5" s="11"/>
      <c r="Z5" s="6"/>
      <c r="AA5" s="4">
        <f>IFERROR(VLOOKUP(Y5,parts!$A$2:$Z$300,12,FALSE)*Z5,0)</f>
        <v>0</v>
      </c>
      <c r="AB5" s="4">
        <f>IFERROR(VLOOKUP(Y5,parts!$A$2:$Z$300,13,FALSE)*Z5,0)</f>
        <v>0</v>
      </c>
      <c r="AC5" s="4">
        <f>IFERROR(VLOOKUP(Y5,parts!$A$2:$Z$300,14,FALSE)*Z5,0)</f>
        <v>0</v>
      </c>
      <c r="AD5" s="4">
        <f>IFERROR(VLOOKUP(Y5,parts!$A$2:$Z$300,6,FALSE),0)</f>
        <v>0</v>
      </c>
      <c r="AE5" s="4">
        <f>IFERROR(VLOOKUP(Y5,parts!$A$2:$Z$300,7,FALSE)*Z5,0)</f>
        <v>0</v>
      </c>
      <c r="AF5" s="12"/>
    </row>
    <row r="6" spans="1:32" x14ac:dyDescent="0.25">
      <c r="A6" s="11"/>
      <c r="B6" s="6"/>
      <c r="C6" s="4">
        <f>IFERROR(VLOOKUP(A6,parts!$A$2:$Z$300,12,FALSE)*B6,0)</f>
        <v>0</v>
      </c>
      <c r="D6" s="4">
        <f>IFERROR(VLOOKUP(A6,parts!$A$2:$Z$300,13,FALSE)*B6,0)</f>
        <v>0</v>
      </c>
      <c r="E6" s="4">
        <f>IFERROR(VLOOKUP(A6,parts!$A$2:$Z$300,14,FALSE)*B6,0)</f>
        <v>0</v>
      </c>
      <c r="F6" s="4">
        <f>IFERROR(VLOOKUP(A6,parts!$A$2:$Z$300,6,FALSE),0)</f>
        <v>0</v>
      </c>
      <c r="G6" s="4">
        <f>IFERROR(VLOOKUP(A6,parts!$A$2:$Z$300,7,FALSE)*B6,0)</f>
        <v>0</v>
      </c>
      <c r="H6" s="12"/>
      <c r="I6" s="11"/>
      <c r="J6" s="6"/>
      <c r="K6" s="4">
        <f>IFERROR(VLOOKUP(I6,parts!$A$2:$Z$300,12,FALSE)*J6,0)</f>
        <v>0</v>
      </c>
      <c r="L6" s="4">
        <f>IFERROR(VLOOKUP(I6,parts!$A$2:$Z$300,13,FALSE)*J6,0)</f>
        <v>0</v>
      </c>
      <c r="M6" s="4">
        <f>IFERROR(VLOOKUP(I6,parts!$A$2:$Z$300,14,FALSE)*J6,0)</f>
        <v>0</v>
      </c>
      <c r="N6" s="4">
        <f>IFERROR(VLOOKUP(I6,parts!$A$2:$Z$300,6,FALSE),0)</f>
        <v>0</v>
      </c>
      <c r="O6" s="4">
        <f>IFERROR(VLOOKUP(I6,parts!$A$2:$Z$300,7,FALSE)*J6,0)</f>
        <v>0</v>
      </c>
      <c r="P6" s="12"/>
      <c r="Q6" s="11"/>
      <c r="R6" s="6"/>
      <c r="S6" s="4">
        <f>IFERROR(VLOOKUP(Q6,parts!$A$2:$Z$300,12,FALSE)*R6,0)</f>
        <v>0</v>
      </c>
      <c r="T6" s="4">
        <f>IFERROR(VLOOKUP(Q6,parts!$A$2:$Z$300,13,FALSE)*R6,0)</f>
        <v>0</v>
      </c>
      <c r="U6" s="4">
        <f>IFERROR(VLOOKUP(Q6,parts!$A$2:$Z$300,14,FALSE)*R6,0)</f>
        <v>0</v>
      </c>
      <c r="V6" s="4">
        <f>IFERROR(VLOOKUP(Q6,parts!$A$2:$Z$300,6,FALSE),0)</f>
        <v>0</v>
      </c>
      <c r="W6" s="4">
        <f>IFERROR(VLOOKUP(Q6,parts!$A$2:$Z$300,7,FALSE)*R6,0)</f>
        <v>0</v>
      </c>
      <c r="X6" s="12"/>
      <c r="Y6" s="11"/>
      <c r="Z6" s="6"/>
      <c r="AA6" s="4">
        <f>IFERROR(VLOOKUP(Y6,parts!$A$2:$Z$300,12,FALSE)*Z6,0)</f>
        <v>0</v>
      </c>
      <c r="AB6" s="4">
        <f>IFERROR(VLOOKUP(Y6,parts!$A$2:$Z$300,13,FALSE)*Z6,0)</f>
        <v>0</v>
      </c>
      <c r="AC6" s="4">
        <f>IFERROR(VLOOKUP(Y6,parts!$A$2:$Z$300,14,FALSE)*Z6,0)</f>
        <v>0</v>
      </c>
      <c r="AD6" s="4">
        <f>IFERROR(VLOOKUP(Y6,parts!$A$2:$Z$300,6,FALSE),0)</f>
        <v>0</v>
      </c>
      <c r="AE6" s="4">
        <f>IFERROR(VLOOKUP(Y6,parts!$A$2:$Z$300,7,FALSE)*Z6,0)</f>
        <v>0</v>
      </c>
      <c r="AF6" s="12"/>
    </row>
    <row r="7" spans="1:32" x14ac:dyDescent="0.25">
      <c r="A7" s="11"/>
      <c r="B7" s="6"/>
      <c r="C7" s="4">
        <f>IFERROR(VLOOKUP(A7,parts!$A$2:$Z$300,12,FALSE)*B7,0)</f>
        <v>0</v>
      </c>
      <c r="D7" s="4">
        <f>IFERROR(VLOOKUP(A7,parts!$A$2:$Z$300,13,FALSE)*B7,0)</f>
        <v>0</v>
      </c>
      <c r="E7" s="4">
        <f>IFERROR(VLOOKUP(A7,parts!$A$2:$Z$300,14,FALSE)*B7,0)</f>
        <v>0</v>
      </c>
      <c r="F7" s="4">
        <f>IFERROR(VLOOKUP(A7,parts!$A$2:$Z$300,6,FALSE),0)</f>
        <v>0</v>
      </c>
      <c r="G7" s="4">
        <f>IFERROR(VLOOKUP(A7,parts!$A$2:$Z$300,7,FALSE)*B7,0)</f>
        <v>0</v>
      </c>
      <c r="H7" s="12"/>
      <c r="I7" s="11"/>
      <c r="J7" s="6"/>
      <c r="K7" s="4">
        <f>IFERROR(VLOOKUP(I7,parts!$A$2:$Z$300,12,FALSE)*J7,0)</f>
        <v>0</v>
      </c>
      <c r="L7" s="4">
        <f>IFERROR(VLOOKUP(I7,parts!$A$2:$Z$300,13,FALSE)*J7,0)</f>
        <v>0</v>
      </c>
      <c r="M7" s="4">
        <f>IFERROR(VLOOKUP(I7,parts!$A$2:$Z$300,14,FALSE)*J7,0)</f>
        <v>0</v>
      </c>
      <c r="N7" s="4">
        <f>IFERROR(VLOOKUP(I7,parts!$A$2:$Z$300,6,FALSE),0)</f>
        <v>0</v>
      </c>
      <c r="O7" s="4">
        <f>IFERROR(VLOOKUP(I7,parts!$A$2:$Z$300,7,FALSE)*J7,0)</f>
        <v>0</v>
      </c>
      <c r="P7" s="12"/>
      <c r="Q7" s="11"/>
      <c r="R7" s="6"/>
      <c r="S7" s="4">
        <f>IFERROR(VLOOKUP(Q7,parts!$A$2:$Z$300,12,FALSE)*R7,0)</f>
        <v>0</v>
      </c>
      <c r="T7" s="4">
        <f>IFERROR(VLOOKUP(Q7,parts!$A$2:$Z$300,13,FALSE)*R7,0)</f>
        <v>0</v>
      </c>
      <c r="U7" s="4">
        <f>IFERROR(VLOOKUP(Q7,parts!$A$2:$Z$300,14,FALSE)*R7,0)</f>
        <v>0</v>
      </c>
      <c r="V7" s="4">
        <f>IFERROR(VLOOKUP(Q7,parts!$A$2:$Z$300,6,FALSE),0)</f>
        <v>0</v>
      </c>
      <c r="W7" s="4">
        <f>IFERROR(VLOOKUP(Q7,parts!$A$2:$Z$300,7,FALSE)*R7,0)</f>
        <v>0</v>
      </c>
      <c r="X7" s="12"/>
      <c r="Y7" s="11"/>
      <c r="Z7" s="6"/>
      <c r="AA7" s="4">
        <f>IFERROR(VLOOKUP(Y7,parts!$A$2:$Z$300,12,FALSE)*Z7,0)</f>
        <v>0</v>
      </c>
      <c r="AB7" s="4">
        <f>IFERROR(VLOOKUP(Y7,parts!$A$2:$Z$300,13,FALSE)*Z7,0)</f>
        <v>0</v>
      </c>
      <c r="AC7" s="4">
        <f>IFERROR(VLOOKUP(Y7,parts!$A$2:$Z$300,14,FALSE)*Z7,0)</f>
        <v>0</v>
      </c>
      <c r="AD7" s="4">
        <f>IFERROR(VLOOKUP(Y7,parts!$A$2:$Z$300,6,FALSE),0)</f>
        <v>0</v>
      </c>
      <c r="AE7" s="4">
        <f>IFERROR(VLOOKUP(Y7,parts!$A$2:$Z$300,7,FALSE)*Z7,0)</f>
        <v>0</v>
      </c>
      <c r="AF7" s="12"/>
    </row>
    <row r="8" spans="1:32" x14ac:dyDescent="0.25">
      <c r="A8" s="11"/>
      <c r="B8" s="6"/>
      <c r="C8" s="4">
        <f>IFERROR(VLOOKUP(A8,parts!$A$2:$Z$300,12,FALSE)*B8,0)</f>
        <v>0</v>
      </c>
      <c r="D8" s="4">
        <f>IFERROR(VLOOKUP(A8,parts!$A$2:$Z$300,13,FALSE)*B8,0)</f>
        <v>0</v>
      </c>
      <c r="E8" s="4">
        <f>IFERROR(VLOOKUP(A8,parts!$A$2:$Z$300,14,FALSE)*B8,0)</f>
        <v>0</v>
      </c>
      <c r="F8" s="4">
        <f>IFERROR(VLOOKUP(A8,parts!$A$2:$Z$300,6,FALSE),0)</f>
        <v>0</v>
      </c>
      <c r="G8" s="4">
        <f>IFERROR(VLOOKUP(A8,parts!$A$2:$Z$300,7,FALSE)*B8,0)</f>
        <v>0</v>
      </c>
      <c r="H8" s="12"/>
      <c r="I8" s="11"/>
      <c r="J8" s="6"/>
      <c r="K8" s="4">
        <f>IFERROR(VLOOKUP(I8,parts!$A$2:$Z$300,12,FALSE)*J8,0)</f>
        <v>0</v>
      </c>
      <c r="L8" s="4">
        <f>IFERROR(VLOOKUP(I8,parts!$A$2:$Z$300,13,FALSE)*J8,0)</f>
        <v>0</v>
      </c>
      <c r="M8" s="4">
        <f>IFERROR(VLOOKUP(I8,parts!$A$2:$Z$300,14,FALSE)*J8,0)</f>
        <v>0</v>
      </c>
      <c r="N8" s="4">
        <f>IFERROR(VLOOKUP(I8,parts!$A$2:$Z$300,6,FALSE),0)</f>
        <v>0</v>
      </c>
      <c r="O8" s="4">
        <f>IFERROR(VLOOKUP(I8,parts!$A$2:$Z$300,7,FALSE)*J8,0)</f>
        <v>0</v>
      </c>
      <c r="P8" s="12"/>
      <c r="Q8" s="11"/>
      <c r="R8" s="6"/>
      <c r="S8" s="4">
        <f>IFERROR(VLOOKUP(Q8,parts!$A$2:$Z$300,12,FALSE)*R8,0)</f>
        <v>0</v>
      </c>
      <c r="T8" s="4">
        <f>IFERROR(VLOOKUP(Q8,parts!$A$2:$Z$300,13,FALSE)*R8,0)</f>
        <v>0</v>
      </c>
      <c r="U8" s="4">
        <f>IFERROR(VLOOKUP(Q8,parts!$A$2:$Z$300,14,FALSE)*R8,0)</f>
        <v>0</v>
      </c>
      <c r="V8" s="4">
        <f>IFERROR(VLOOKUP(Q8,parts!$A$2:$Z$300,6,FALSE),0)</f>
        <v>0</v>
      </c>
      <c r="W8" s="4">
        <f>IFERROR(VLOOKUP(Q8,parts!$A$2:$Z$300,7,FALSE)*R8,0)</f>
        <v>0</v>
      </c>
      <c r="X8" s="12"/>
      <c r="Y8" s="11"/>
      <c r="Z8" s="6"/>
      <c r="AA8" s="4">
        <f>IFERROR(VLOOKUP(Y8,parts!$A$2:$Z$300,12,FALSE)*Z8,0)</f>
        <v>0</v>
      </c>
      <c r="AB8" s="4">
        <f>IFERROR(VLOOKUP(Y8,parts!$A$2:$Z$300,13,FALSE)*Z8,0)</f>
        <v>0</v>
      </c>
      <c r="AC8" s="4">
        <f>IFERROR(VLOOKUP(Y8,parts!$A$2:$Z$300,14,FALSE)*Z8,0)</f>
        <v>0</v>
      </c>
      <c r="AD8" s="4">
        <f>IFERROR(VLOOKUP(Y8,parts!$A$2:$Z$300,6,FALSE),0)</f>
        <v>0</v>
      </c>
      <c r="AE8" s="4">
        <f>IFERROR(VLOOKUP(Y8,parts!$A$2:$Z$300,7,FALSE)*Z8,0)</f>
        <v>0</v>
      </c>
      <c r="AF8" s="12"/>
    </row>
    <row r="9" spans="1:32" x14ac:dyDescent="0.25">
      <c r="A9" s="11"/>
      <c r="B9" s="6"/>
      <c r="C9" s="4">
        <f>IFERROR(VLOOKUP(A9,parts!$A$2:$Z$300,12,FALSE)*B9,0)</f>
        <v>0</v>
      </c>
      <c r="D9" s="4">
        <f>IFERROR(VLOOKUP(A9,parts!$A$2:$Z$300,13,FALSE)*B9,0)</f>
        <v>0</v>
      </c>
      <c r="E9" s="4">
        <f>IFERROR(VLOOKUP(A9,parts!$A$2:$Z$300,14,FALSE)*B9,0)</f>
        <v>0</v>
      </c>
      <c r="F9" s="4">
        <f>IFERROR(VLOOKUP(A9,parts!$A$2:$Z$300,6,FALSE),0)</f>
        <v>0</v>
      </c>
      <c r="G9" s="4">
        <f>IFERROR(VLOOKUP(A9,parts!$A$2:$Z$300,7,FALSE)*B9,0)</f>
        <v>0</v>
      </c>
      <c r="H9" s="12"/>
      <c r="I9" s="11"/>
      <c r="J9" s="6"/>
      <c r="K9" s="4">
        <f>IFERROR(VLOOKUP(I9,parts!$A$2:$Z$300,12,FALSE)*J9,0)</f>
        <v>0</v>
      </c>
      <c r="L9" s="4">
        <f>IFERROR(VLOOKUP(I9,parts!$A$2:$Z$300,13,FALSE)*J9,0)</f>
        <v>0</v>
      </c>
      <c r="M9" s="4">
        <f>IFERROR(VLOOKUP(I9,parts!$A$2:$Z$300,14,FALSE)*J9,0)</f>
        <v>0</v>
      </c>
      <c r="N9" s="4">
        <f>IFERROR(VLOOKUP(I9,parts!$A$2:$Z$300,6,FALSE),0)</f>
        <v>0</v>
      </c>
      <c r="O9" s="4">
        <f>IFERROR(VLOOKUP(I9,parts!$A$2:$Z$300,7,FALSE)*J9,0)</f>
        <v>0</v>
      </c>
      <c r="P9" s="12"/>
      <c r="Q9" s="11"/>
      <c r="R9" s="6"/>
      <c r="S9" s="4">
        <f>IFERROR(VLOOKUP(Q9,parts!$A$2:$Z$300,12,FALSE)*R9,0)</f>
        <v>0</v>
      </c>
      <c r="T9" s="4">
        <f>IFERROR(VLOOKUP(Q9,parts!$A$2:$Z$300,13,FALSE)*R9,0)</f>
        <v>0</v>
      </c>
      <c r="U9" s="4">
        <f>IFERROR(VLOOKUP(Q9,parts!$A$2:$Z$300,14,FALSE)*R9,0)</f>
        <v>0</v>
      </c>
      <c r="V9" s="4">
        <f>IFERROR(VLOOKUP(Q9,parts!$A$2:$Z$300,6,FALSE),0)</f>
        <v>0</v>
      </c>
      <c r="W9" s="4">
        <f>IFERROR(VLOOKUP(Q9,parts!$A$2:$Z$300,7,FALSE)*R9,0)</f>
        <v>0</v>
      </c>
      <c r="X9" s="12"/>
      <c r="Y9" s="11"/>
      <c r="Z9" s="6"/>
      <c r="AA9" s="4">
        <f>IFERROR(VLOOKUP(Y9,parts!$A$2:$Z$300,12,FALSE)*Z9,0)</f>
        <v>0</v>
      </c>
      <c r="AB9" s="4">
        <f>IFERROR(VLOOKUP(Y9,parts!$A$2:$Z$300,13,FALSE)*Z9,0)</f>
        <v>0</v>
      </c>
      <c r="AC9" s="4">
        <f>IFERROR(VLOOKUP(Y9,parts!$A$2:$Z$300,14,FALSE)*Z9,0)</f>
        <v>0</v>
      </c>
      <c r="AD9" s="4">
        <f>IFERROR(VLOOKUP(Y9,parts!$A$2:$Z$300,6,FALSE),0)</f>
        <v>0</v>
      </c>
      <c r="AE9" s="4">
        <f>IFERROR(VLOOKUP(Y9,parts!$A$2:$Z$300,7,FALSE)*Z9,0)</f>
        <v>0</v>
      </c>
      <c r="AF9" s="12"/>
    </row>
    <row r="10" spans="1:32" x14ac:dyDescent="0.25">
      <c r="A10" s="11"/>
      <c r="B10" s="6"/>
      <c r="C10" s="4">
        <f>IFERROR(VLOOKUP(A10,parts!$A$2:$Z$300,12,FALSE)*B10,0)</f>
        <v>0</v>
      </c>
      <c r="D10" s="4">
        <f>IFERROR(VLOOKUP(A10,parts!$A$2:$Z$300,13,FALSE)*B10,0)</f>
        <v>0</v>
      </c>
      <c r="E10" s="4">
        <f>IFERROR(VLOOKUP(A10,parts!$A$2:$Z$300,14,FALSE)*B10,0)</f>
        <v>0</v>
      </c>
      <c r="F10" s="4">
        <f>IFERROR(VLOOKUP(A10,parts!$A$2:$Z$300,6,FALSE),0)</f>
        <v>0</v>
      </c>
      <c r="G10" s="4">
        <f>IFERROR(VLOOKUP(A10,parts!$A$2:$Z$300,7,FALSE)*B10,0)</f>
        <v>0</v>
      </c>
      <c r="H10" s="12"/>
      <c r="I10" s="11"/>
      <c r="J10" s="6"/>
      <c r="K10" s="4">
        <f>IFERROR(VLOOKUP(I10,parts!$A$2:$Z$300,12,FALSE)*J10,0)</f>
        <v>0</v>
      </c>
      <c r="L10" s="4">
        <f>IFERROR(VLOOKUP(I10,parts!$A$2:$Z$300,13,FALSE)*J10,0)</f>
        <v>0</v>
      </c>
      <c r="M10" s="4">
        <f>IFERROR(VLOOKUP(I10,parts!$A$2:$Z$300,14,FALSE)*J10,0)</f>
        <v>0</v>
      </c>
      <c r="N10" s="4">
        <f>IFERROR(VLOOKUP(I10,parts!$A$2:$Z$300,6,FALSE),0)</f>
        <v>0</v>
      </c>
      <c r="O10" s="4">
        <f>IFERROR(VLOOKUP(I10,parts!$A$2:$Z$300,7,FALSE)*J10,0)</f>
        <v>0</v>
      </c>
      <c r="P10" s="12"/>
      <c r="Q10" s="11"/>
      <c r="R10" s="6"/>
      <c r="S10" s="4">
        <f>IFERROR(VLOOKUP(Q10,parts!$A$2:$Z$300,12,FALSE)*R10,0)</f>
        <v>0</v>
      </c>
      <c r="T10" s="4">
        <f>IFERROR(VLOOKUP(Q10,parts!$A$2:$Z$300,13,FALSE)*R10,0)</f>
        <v>0</v>
      </c>
      <c r="U10" s="4">
        <f>IFERROR(VLOOKUP(Q10,parts!$A$2:$Z$300,14,FALSE)*R10,0)</f>
        <v>0</v>
      </c>
      <c r="V10" s="4">
        <f>IFERROR(VLOOKUP(Q10,parts!$A$2:$Z$300,6,FALSE),0)</f>
        <v>0</v>
      </c>
      <c r="W10" s="4">
        <f>IFERROR(VLOOKUP(Q10,parts!$A$2:$Z$300,7,FALSE)*R10,0)</f>
        <v>0</v>
      </c>
      <c r="X10" s="12"/>
      <c r="Y10" s="11"/>
      <c r="Z10" s="6"/>
      <c r="AA10" s="4">
        <f>IFERROR(VLOOKUP(Y10,parts!$A$2:$Z$300,12,FALSE)*Z10,0)</f>
        <v>0</v>
      </c>
      <c r="AB10" s="4">
        <f>IFERROR(VLOOKUP(Y10,parts!$A$2:$Z$300,13,FALSE)*Z10,0)</f>
        <v>0</v>
      </c>
      <c r="AC10" s="4">
        <f>IFERROR(VLOOKUP(Y10,parts!$A$2:$Z$300,14,FALSE)*Z10,0)</f>
        <v>0</v>
      </c>
      <c r="AD10" s="4">
        <f>IFERROR(VLOOKUP(Y10,parts!$A$2:$Z$300,6,FALSE),0)</f>
        <v>0</v>
      </c>
      <c r="AE10" s="4">
        <f>IFERROR(VLOOKUP(Y10,parts!$A$2:$Z$300,7,FALSE)*Z10,0)</f>
        <v>0</v>
      </c>
      <c r="AF10" s="12"/>
    </row>
    <row r="11" spans="1:32" x14ac:dyDescent="0.25">
      <c r="A11" s="11"/>
      <c r="B11" s="6"/>
      <c r="C11" s="4">
        <f>IFERROR(VLOOKUP(A11,parts!$A$2:$Z$300,12,FALSE)*B11,0)</f>
        <v>0</v>
      </c>
      <c r="D11" s="4">
        <f>IFERROR(VLOOKUP(A11,parts!$A$2:$Z$300,13,FALSE)*B11,0)</f>
        <v>0</v>
      </c>
      <c r="E11" s="4">
        <f>IFERROR(VLOOKUP(A11,parts!$A$2:$Z$300,14,FALSE)*B11,0)</f>
        <v>0</v>
      </c>
      <c r="F11" s="4">
        <f>IFERROR(VLOOKUP(A11,parts!$A$2:$Z$300,6,FALSE),0)</f>
        <v>0</v>
      </c>
      <c r="G11" s="4">
        <f>IFERROR(VLOOKUP(A11,parts!$A$2:$Z$300,7,FALSE)*B11,0)</f>
        <v>0</v>
      </c>
      <c r="H11" s="12"/>
      <c r="I11" s="11"/>
      <c r="J11" s="6"/>
      <c r="K11" s="4">
        <f>IFERROR(VLOOKUP(I11,parts!$A$2:$Z$300,12,FALSE)*J11,0)</f>
        <v>0</v>
      </c>
      <c r="L11" s="4">
        <f>IFERROR(VLOOKUP(I11,parts!$A$2:$Z$300,13,FALSE)*J11,0)</f>
        <v>0</v>
      </c>
      <c r="M11" s="4">
        <f>IFERROR(VLOOKUP(I11,parts!$A$2:$Z$300,14,FALSE)*J11,0)</f>
        <v>0</v>
      </c>
      <c r="N11" s="4">
        <f>IFERROR(VLOOKUP(I11,parts!$A$2:$Z$300,6,FALSE),0)</f>
        <v>0</v>
      </c>
      <c r="O11" s="4">
        <f>IFERROR(VLOOKUP(I11,parts!$A$2:$Z$300,7,FALSE)*J11,0)</f>
        <v>0</v>
      </c>
      <c r="P11" s="12"/>
      <c r="Q11" s="11"/>
      <c r="R11" s="6"/>
      <c r="S11" s="4">
        <f>IFERROR(VLOOKUP(Q11,parts!$A$2:$Z$300,12,FALSE)*R11,0)</f>
        <v>0</v>
      </c>
      <c r="T11" s="4">
        <f>IFERROR(VLOOKUP(Q11,parts!$A$2:$Z$300,13,FALSE)*R11,0)</f>
        <v>0</v>
      </c>
      <c r="U11" s="4">
        <f>IFERROR(VLOOKUP(Q11,parts!$A$2:$Z$300,14,FALSE)*R11,0)</f>
        <v>0</v>
      </c>
      <c r="V11" s="4">
        <f>IFERROR(VLOOKUP(Q11,parts!$A$2:$Z$300,6,FALSE),0)</f>
        <v>0</v>
      </c>
      <c r="W11" s="4">
        <f>IFERROR(VLOOKUP(Q11,parts!$A$2:$Z$300,7,FALSE)*R11,0)</f>
        <v>0</v>
      </c>
      <c r="X11" s="12"/>
      <c r="Y11" s="11"/>
      <c r="Z11" s="6"/>
      <c r="AA11" s="4">
        <f>IFERROR(VLOOKUP(Y11,parts!$A$2:$Z$300,12,FALSE)*Z11,0)</f>
        <v>0</v>
      </c>
      <c r="AB11" s="4">
        <f>IFERROR(VLOOKUP(Y11,parts!$A$2:$Z$300,13,FALSE)*Z11,0)</f>
        <v>0</v>
      </c>
      <c r="AC11" s="4">
        <f>IFERROR(VLOOKUP(Y11,parts!$A$2:$Z$300,14,FALSE)*Z11,0)</f>
        <v>0</v>
      </c>
      <c r="AD11" s="4">
        <f>IFERROR(VLOOKUP(Y11,parts!$A$2:$Z$300,6,FALSE),0)</f>
        <v>0</v>
      </c>
      <c r="AE11" s="4">
        <f>IFERROR(VLOOKUP(Y11,parts!$A$2:$Z$300,7,FALSE)*Z11,0)</f>
        <v>0</v>
      </c>
      <c r="AF11" s="12"/>
    </row>
    <row r="12" spans="1:32" x14ac:dyDescent="0.25">
      <c r="A12" s="11"/>
      <c r="B12" s="6"/>
      <c r="C12" s="4">
        <f>IFERROR(VLOOKUP(A12,parts!$A$2:$Z$300,12,FALSE)*B12,0)</f>
        <v>0</v>
      </c>
      <c r="D12" s="4">
        <f>IFERROR(VLOOKUP(A12,parts!$A$2:$Z$300,13,FALSE)*B12,0)</f>
        <v>0</v>
      </c>
      <c r="E12" s="4">
        <f>IFERROR(VLOOKUP(A12,parts!$A$2:$Z$300,14,FALSE)*B12,0)</f>
        <v>0</v>
      </c>
      <c r="F12" s="4">
        <f>IFERROR(VLOOKUP(A12,parts!$A$2:$Z$300,6,FALSE),0)</f>
        <v>0</v>
      </c>
      <c r="G12" s="4">
        <f>IFERROR(VLOOKUP(A12,parts!$A$2:$Z$300,7,FALSE)*B12,0)</f>
        <v>0</v>
      </c>
      <c r="H12" s="12"/>
      <c r="I12" s="11"/>
      <c r="J12" s="6"/>
      <c r="K12" s="4">
        <f>IFERROR(VLOOKUP(I12,parts!$A$2:$Z$300,12,FALSE)*J12,0)</f>
        <v>0</v>
      </c>
      <c r="L12" s="4">
        <f>IFERROR(VLOOKUP(I12,parts!$A$2:$Z$300,13,FALSE)*J12,0)</f>
        <v>0</v>
      </c>
      <c r="M12" s="4">
        <f>IFERROR(VLOOKUP(I12,parts!$A$2:$Z$300,14,FALSE)*J12,0)</f>
        <v>0</v>
      </c>
      <c r="N12" s="4">
        <f>IFERROR(VLOOKUP(I12,parts!$A$2:$Z$300,6,FALSE),0)</f>
        <v>0</v>
      </c>
      <c r="O12" s="4">
        <f>IFERROR(VLOOKUP(I12,parts!$A$2:$Z$300,7,FALSE)*J12,0)</f>
        <v>0</v>
      </c>
      <c r="P12" s="12"/>
      <c r="Q12" s="11"/>
      <c r="R12" s="6"/>
      <c r="S12" s="4">
        <f>IFERROR(VLOOKUP(Q12,parts!$A$2:$Z$300,12,FALSE)*R12,0)</f>
        <v>0</v>
      </c>
      <c r="T12" s="4">
        <f>IFERROR(VLOOKUP(Q12,parts!$A$2:$Z$300,13,FALSE)*R12,0)</f>
        <v>0</v>
      </c>
      <c r="U12" s="4">
        <f>IFERROR(VLOOKUP(Q12,parts!$A$2:$Z$300,14,FALSE)*R12,0)</f>
        <v>0</v>
      </c>
      <c r="V12" s="4">
        <f>IFERROR(VLOOKUP(Q12,parts!$A$2:$Z$300,6,FALSE),0)</f>
        <v>0</v>
      </c>
      <c r="W12" s="4">
        <f>IFERROR(VLOOKUP(Q12,parts!$A$2:$Z$300,7,FALSE)*R12,0)</f>
        <v>0</v>
      </c>
      <c r="X12" s="12"/>
      <c r="Y12" s="11"/>
      <c r="Z12" s="6"/>
      <c r="AA12" s="4">
        <f>IFERROR(VLOOKUP(Y12,parts!$A$2:$Z$300,12,FALSE)*Z12,0)</f>
        <v>0</v>
      </c>
      <c r="AB12" s="4">
        <f>IFERROR(VLOOKUP(Y12,parts!$A$2:$Z$300,13,FALSE)*Z12,0)</f>
        <v>0</v>
      </c>
      <c r="AC12" s="4">
        <f>IFERROR(VLOOKUP(Y12,parts!$A$2:$Z$300,14,FALSE)*Z12,0)</f>
        <v>0</v>
      </c>
      <c r="AD12" s="4">
        <f>IFERROR(VLOOKUP(Y12,parts!$A$2:$Z$300,6,FALSE),0)</f>
        <v>0</v>
      </c>
      <c r="AE12" s="4">
        <f>IFERROR(VLOOKUP(Y12,parts!$A$2:$Z$300,7,FALSE)*Z12,0)</f>
        <v>0</v>
      </c>
      <c r="AF12" s="12"/>
    </row>
    <row r="13" spans="1:32" x14ac:dyDescent="0.25">
      <c r="A13" s="11"/>
      <c r="B13" s="6"/>
      <c r="C13" s="4">
        <f>IFERROR(VLOOKUP(A13,parts!$A$2:$Z$300,12,FALSE)*B13,0)</f>
        <v>0</v>
      </c>
      <c r="D13" s="4">
        <f>IFERROR(VLOOKUP(A13,parts!$A$2:$Z$300,13,FALSE)*B13,0)</f>
        <v>0</v>
      </c>
      <c r="E13" s="4">
        <f>IFERROR(VLOOKUP(A13,parts!$A$2:$Z$300,14,FALSE)*B13,0)</f>
        <v>0</v>
      </c>
      <c r="F13" s="4">
        <f>IFERROR(VLOOKUP(A13,parts!$A$2:$Z$300,6,FALSE),0)</f>
        <v>0</v>
      </c>
      <c r="G13" s="4">
        <f>IFERROR(VLOOKUP(A13,parts!$A$2:$Z$300,7,FALSE)*B13,0)</f>
        <v>0</v>
      </c>
      <c r="H13" s="12"/>
      <c r="I13" s="11"/>
      <c r="J13" s="6"/>
      <c r="K13" s="4">
        <f>IFERROR(VLOOKUP(I13,parts!$A$2:$Z$300,12,FALSE)*J13,0)</f>
        <v>0</v>
      </c>
      <c r="L13" s="4">
        <f>IFERROR(VLOOKUP(I13,parts!$A$2:$Z$300,13,FALSE)*J13,0)</f>
        <v>0</v>
      </c>
      <c r="M13" s="4">
        <f>IFERROR(VLOOKUP(I13,parts!$A$2:$Z$300,14,FALSE)*J13,0)</f>
        <v>0</v>
      </c>
      <c r="N13" s="4">
        <f>IFERROR(VLOOKUP(I13,parts!$A$2:$Z$300,6,FALSE),0)</f>
        <v>0</v>
      </c>
      <c r="O13" s="4">
        <f>IFERROR(VLOOKUP(I13,parts!$A$2:$Z$300,7,FALSE)*J13,0)</f>
        <v>0</v>
      </c>
      <c r="P13" s="12"/>
      <c r="Q13" s="11"/>
      <c r="R13" s="6"/>
      <c r="S13" s="4">
        <f>IFERROR(VLOOKUP(Q13,parts!$A$2:$Z$300,12,FALSE)*R13,0)</f>
        <v>0</v>
      </c>
      <c r="T13" s="4">
        <f>IFERROR(VLOOKUP(Q13,parts!$A$2:$Z$300,13,FALSE)*R13,0)</f>
        <v>0</v>
      </c>
      <c r="U13" s="4">
        <f>IFERROR(VLOOKUP(Q13,parts!$A$2:$Z$300,14,FALSE)*R13,0)</f>
        <v>0</v>
      </c>
      <c r="V13" s="4">
        <f>IFERROR(VLOOKUP(Q13,parts!$A$2:$Z$300,6,FALSE),0)</f>
        <v>0</v>
      </c>
      <c r="W13" s="4">
        <f>IFERROR(VLOOKUP(Q13,parts!$A$2:$Z$300,7,FALSE)*R13,0)</f>
        <v>0</v>
      </c>
      <c r="X13" s="12"/>
      <c r="Y13" s="11"/>
      <c r="Z13" s="6"/>
      <c r="AA13" s="4">
        <f>IFERROR(VLOOKUP(Y13,parts!$A$2:$Z$300,12,FALSE)*Z13,0)</f>
        <v>0</v>
      </c>
      <c r="AB13" s="4">
        <f>IFERROR(VLOOKUP(Y13,parts!$A$2:$Z$300,13,FALSE)*Z13,0)</f>
        <v>0</v>
      </c>
      <c r="AC13" s="4">
        <f>IFERROR(VLOOKUP(Y13,parts!$A$2:$Z$300,14,FALSE)*Z13,0)</f>
        <v>0</v>
      </c>
      <c r="AD13" s="4">
        <f>IFERROR(VLOOKUP(Y13,parts!$A$2:$Z$300,6,FALSE),0)</f>
        <v>0</v>
      </c>
      <c r="AE13" s="4">
        <f>IFERROR(VLOOKUP(Y13,parts!$A$2:$Z$300,7,FALSE)*Z13,0)</f>
        <v>0</v>
      </c>
      <c r="AF13" s="12"/>
    </row>
    <row r="14" spans="1:32" x14ac:dyDescent="0.25">
      <c r="A14" s="11"/>
      <c r="B14" s="6"/>
      <c r="C14" s="4">
        <f>IFERROR(VLOOKUP(A14,parts!$A$2:$Z$300,12,FALSE)*B14,0)</f>
        <v>0</v>
      </c>
      <c r="D14" s="4">
        <f>IFERROR(VLOOKUP(A14,parts!$A$2:$Z$300,13,FALSE)*B14,0)</f>
        <v>0</v>
      </c>
      <c r="E14" s="4">
        <f>IFERROR(VLOOKUP(A14,parts!$A$2:$Z$300,14,FALSE)*B14,0)</f>
        <v>0</v>
      </c>
      <c r="F14" s="4">
        <f>IFERROR(VLOOKUP(A14,parts!$A$2:$Z$300,6,FALSE),0)</f>
        <v>0</v>
      </c>
      <c r="G14" s="4">
        <f>IFERROR(VLOOKUP(A14,parts!$A$2:$Z$300,7,FALSE)*B14,0)</f>
        <v>0</v>
      </c>
      <c r="H14" s="12"/>
      <c r="I14" s="11"/>
      <c r="J14" s="6"/>
      <c r="K14" s="4">
        <f>IFERROR(VLOOKUP(I14,parts!$A$2:$Z$300,12,FALSE)*J14,0)</f>
        <v>0</v>
      </c>
      <c r="L14" s="4">
        <f>IFERROR(VLOOKUP(I14,parts!$A$2:$Z$300,13,FALSE)*J14,0)</f>
        <v>0</v>
      </c>
      <c r="M14" s="4">
        <f>IFERROR(VLOOKUP(I14,parts!$A$2:$Z$300,14,FALSE)*J14,0)</f>
        <v>0</v>
      </c>
      <c r="N14" s="4">
        <f>IFERROR(VLOOKUP(I14,parts!$A$2:$Z$300,6,FALSE),0)</f>
        <v>0</v>
      </c>
      <c r="O14" s="4">
        <f>IFERROR(VLOOKUP(I14,parts!$A$2:$Z$300,7,FALSE)*J14,0)</f>
        <v>0</v>
      </c>
      <c r="P14" s="12"/>
      <c r="Q14" s="11"/>
      <c r="R14" s="6"/>
      <c r="S14" s="4">
        <f>IFERROR(VLOOKUP(Q14,parts!$A$2:$Z$300,12,FALSE)*R14,0)</f>
        <v>0</v>
      </c>
      <c r="T14" s="4">
        <f>IFERROR(VLOOKUP(Q14,parts!$A$2:$Z$300,13,FALSE)*R14,0)</f>
        <v>0</v>
      </c>
      <c r="U14" s="4">
        <f>IFERROR(VLOOKUP(Q14,parts!$A$2:$Z$300,14,FALSE)*R14,0)</f>
        <v>0</v>
      </c>
      <c r="V14" s="4">
        <f>IFERROR(VLOOKUP(Q14,parts!$A$2:$Z$300,6,FALSE),0)</f>
        <v>0</v>
      </c>
      <c r="W14" s="4">
        <f>IFERROR(VLOOKUP(Q14,parts!$A$2:$Z$300,7,FALSE)*R14,0)</f>
        <v>0</v>
      </c>
      <c r="X14" s="12"/>
      <c r="Y14" s="11"/>
      <c r="Z14" s="6"/>
      <c r="AA14" s="4">
        <f>IFERROR(VLOOKUP(Y14,parts!$A$2:$Z$300,12,FALSE)*Z14,0)</f>
        <v>0</v>
      </c>
      <c r="AB14" s="4">
        <f>IFERROR(VLOOKUP(Y14,parts!$A$2:$Z$300,13,FALSE)*Z14,0)</f>
        <v>0</v>
      </c>
      <c r="AC14" s="4">
        <f>IFERROR(VLOOKUP(Y14,parts!$A$2:$Z$300,14,FALSE)*Z14,0)</f>
        <v>0</v>
      </c>
      <c r="AD14" s="4">
        <f>IFERROR(VLOOKUP(Y14,parts!$A$2:$Z$300,6,FALSE),0)</f>
        <v>0</v>
      </c>
      <c r="AE14" s="4">
        <f>IFERROR(VLOOKUP(Y14,parts!$A$2:$Z$300,7,FALSE)*Z14,0)</f>
        <v>0</v>
      </c>
      <c r="AF14" s="12"/>
    </row>
    <row r="15" spans="1:32" x14ac:dyDescent="0.25">
      <c r="A15" s="11"/>
      <c r="B15" s="6"/>
      <c r="C15" s="4">
        <f>IFERROR(VLOOKUP(A15,parts!$A$2:$Z$300,12,FALSE)*B15,0)</f>
        <v>0</v>
      </c>
      <c r="D15" s="4">
        <f>IFERROR(VLOOKUP(A15,parts!$A$2:$Z$300,13,FALSE)*B15,0)</f>
        <v>0</v>
      </c>
      <c r="E15" s="4">
        <f>IFERROR(VLOOKUP(A15,parts!$A$2:$Z$300,14,FALSE)*B15,0)</f>
        <v>0</v>
      </c>
      <c r="F15" s="4">
        <f>IFERROR(VLOOKUP(A15,parts!$A$2:$Z$300,6,FALSE),0)</f>
        <v>0</v>
      </c>
      <c r="G15" s="4">
        <f>IFERROR(VLOOKUP(A15,parts!$A$2:$Z$300,7,FALSE)*B15,0)</f>
        <v>0</v>
      </c>
      <c r="H15" s="12"/>
      <c r="I15" s="11"/>
      <c r="J15" s="6"/>
      <c r="K15" s="4">
        <f>IFERROR(VLOOKUP(I15,parts!$A$2:$Z$300,12,FALSE)*J15,0)</f>
        <v>0</v>
      </c>
      <c r="L15" s="4">
        <f>IFERROR(VLOOKUP(I15,parts!$A$2:$Z$300,13,FALSE)*J15,0)</f>
        <v>0</v>
      </c>
      <c r="M15" s="4">
        <f>IFERROR(VLOOKUP(I15,parts!$A$2:$Z$300,14,FALSE)*J15,0)</f>
        <v>0</v>
      </c>
      <c r="N15" s="4">
        <f>IFERROR(VLOOKUP(I15,parts!$A$2:$Z$300,6,FALSE),0)</f>
        <v>0</v>
      </c>
      <c r="O15" s="4">
        <f>IFERROR(VLOOKUP(I15,parts!$A$2:$Z$300,7,FALSE)*J15,0)</f>
        <v>0</v>
      </c>
      <c r="P15" s="12"/>
      <c r="Q15" s="11"/>
      <c r="R15" s="6"/>
      <c r="S15" s="4">
        <f>IFERROR(VLOOKUP(Q15,parts!$A$2:$Z$300,12,FALSE)*R15,0)</f>
        <v>0</v>
      </c>
      <c r="T15" s="4">
        <f>IFERROR(VLOOKUP(Q15,parts!$A$2:$Z$300,13,FALSE)*R15,0)</f>
        <v>0</v>
      </c>
      <c r="U15" s="4">
        <f>IFERROR(VLOOKUP(Q15,parts!$A$2:$Z$300,14,FALSE)*R15,0)</f>
        <v>0</v>
      </c>
      <c r="V15" s="4">
        <f>IFERROR(VLOOKUP(Q15,parts!$A$2:$Z$300,6,FALSE),0)</f>
        <v>0</v>
      </c>
      <c r="W15" s="4">
        <f>IFERROR(VLOOKUP(Q15,parts!$A$2:$Z$300,7,FALSE)*R15,0)</f>
        <v>0</v>
      </c>
      <c r="X15" s="12"/>
      <c r="Y15" s="11"/>
      <c r="Z15" s="6"/>
      <c r="AA15" s="4">
        <f>IFERROR(VLOOKUP(Y15,parts!$A$2:$Z$300,12,FALSE)*Z15,0)</f>
        <v>0</v>
      </c>
      <c r="AB15" s="4">
        <f>IFERROR(VLOOKUP(Y15,parts!$A$2:$Z$300,13,FALSE)*Z15,0)</f>
        <v>0</v>
      </c>
      <c r="AC15" s="4">
        <f>IFERROR(VLOOKUP(Y15,parts!$A$2:$Z$300,14,FALSE)*Z15,0)</f>
        <v>0</v>
      </c>
      <c r="AD15" s="4">
        <f>IFERROR(VLOOKUP(Y15,parts!$A$2:$Z$300,6,FALSE),0)</f>
        <v>0</v>
      </c>
      <c r="AE15" s="4">
        <f>IFERROR(VLOOKUP(Y15,parts!$A$2:$Z$300,7,FALSE)*Z15,0)</f>
        <v>0</v>
      </c>
      <c r="AF15" s="12"/>
    </row>
    <row r="16" spans="1:32" x14ac:dyDescent="0.25">
      <c r="A16" s="11"/>
      <c r="B16" s="6"/>
      <c r="C16" s="4">
        <f>IFERROR(VLOOKUP(A16,parts!$A$2:$Z$300,12,FALSE)*B16,0)</f>
        <v>0</v>
      </c>
      <c r="D16" s="4">
        <f>IFERROR(VLOOKUP(A16,parts!$A$2:$Z$300,13,FALSE)*B16,0)</f>
        <v>0</v>
      </c>
      <c r="E16" s="4">
        <f>IFERROR(VLOOKUP(A16,parts!$A$2:$Z$300,14,FALSE)*B16,0)</f>
        <v>0</v>
      </c>
      <c r="F16" s="4">
        <f>IFERROR(VLOOKUP(A16,parts!$A$2:$Z$300,6,FALSE),0)</f>
        <v>0</v>
      </c>
      <c r="G16" s="4">
        <f>IFERROR(VLOOKUP(A16,parts!$A$2:$Z$300,7,FALSE)*B16,0)</f>
        <v>0</v>
      </c>
      <c r="H16" s="12"/>
      <c r="I16" s="11"/>
      <c r="J16" s="6"/>
      <c r="K16" s="4">
        <f>IFERROR(VLOOKUP(I16,parts!$A$2:$Z$300,12,FALSE)*J16,0)</f>
        <v>0</v>
      </c>
      <c r="L16" s="4">
        <f>IFERROR(VLOOKUP(I16,parts!$A$2:$Z$300,13,FALSE)*J16,0)</f>
        <v>0</v>
      </c>
      <c r="M16" s="4">
        <f>IFERROR(VLOOKUP(I16,parts!$A$2:$Z$300,14,FALSE)*J16,0)</f>
        <v>0</v>
      </c>
      <c r="N16" s="4">
        <f>IFERROR(VLOOKUP(I16,parts!$A$2:$Z$300,6,FALSE),0)</f>
        <v>0</v>
      </c>
      <c r="O16" s="4">
        <f>IFERROR(VLOOKUP(I16,parts!$A$2:$Z$300,7,FALSE)*J16,0)</f>
        <v>0</v>
      </c>
      <c r="P16" s="12"/>
      <c r="Q16" s="11"/>
      <c r="R16" s="6"/>
      <c r="S16" s="4">
        <f>IFERROR(VLOOKUP(Q16,parts!$A$2:$Z$300,12,FALSE)*R16,0)</f>
        <v>0</v>
      </c>
      <c r="T16" s="4">
        <f>IFERROR(VLOOKUP(Q16,parts!$A$2:$Z$300,13,FALSE)*R16,0)</f>
        <v>0</v>
      </c>
      <c r="U16" s="4">
        <f>IFERROR(VLOOKUP(Q16,parts!$A$2:$Z$300,14,FALSE)*R16,0)</f>
        <v>0</v>
      </c>
      <c r="V16" s="4">
        <f>IFERROR(VLOOKUP(Q16,parts!$A$2:$Z$300,6,FALSE),0)</f>
        <v>0</v>
      </c>
      <c r="W16" s="4">
        <f>IFERROR(VLOOKUP(Q16,parts!$A$2:$Z$300,7,FALSE)*R16,0)</f>
        <v>0</v>
      </c>
      <c r="X16" s="12"/>
      <c r="Y16" s="11"/>
      <c r="Z16" s="6"/>
      <c r="AA16" s="4">
        <f>IFERROR(VLOOKUP(Y16,parts!$A$2:$Z$300,12,FALSE)*Z16,0)</f>
        <v>0</v>
      </c>
      <c r="AB16" s="4">
        <f>IFERROR(VLOOKUP(Y16,parts!$A$2:$Z$300,13,FALSE)*Z16,0)</f>
        <v>0</v>
      </c>
      <c r="AC16" s="4">
        <f>IFERROR(VLOOKUP(Y16,parts!$A$2:$Z$300,14,FALSE)*Z16,0)</f>
        <v>0</v>
      </c>
      <c r="AD16" s="4">
        <f>IFERROR(VLOOKUP(Y16,parts!$A$2:$Z$300,6,FALSE),0)</f>
        <v>0</v>
      </c>
      <c r="AE16" s="4">
        <f>IFERROR(VLOOKUP(Y16,parts!$A$2:$Z$300,7,FALSE)*Z16,0)</f>
        <v>0</v>
      </c>
      <c r="AF16" s="12"/>
    </row>
    <row r="17" spans="1:32" ht="15.75" thickBot="1" x14ac:dyDescent="0.3">
      <c r="A17" s="11"/>
      <c r="B17" s="6"/>
      <c r="C17" s="4">
        <f>IFERROR(VLOOKUP(A17,parts!$A$2:$Z$300,12,FALSE)*B17,0)</f>
        <v>0</v>
      </c>
      <c r="D17" s="4">
        <f>IFERROR(VLOOKUP(A17,parts!$A$2:$Z$300,13,FALSE)*B17,0)</f>
        <v>0</v>
      </c>
      <c r="E17" s="4">
        <f>IFERROR(VLOOKUP(A17,parts!$A$2:$Z$300,14,FALSE)*B17,0)</f>
        <v>0</v>
      </c>
      <c r="F17" s="4">
        <f>IFERROR(VLOOKUP(A17,parts!$A$2:$Z$300,6,FALSE),0)</f>
        <v>0</v>
      </c>
      <c r="G17" s="4">
        <f>IFERROR(VLOOKUP(A17,parts!$A$2:$Z$300,7,FALSE)*B17,0)</f>
        <v>0</v>
      </c>
      <c r="H17" s="12"/>
      <c r="I17" s="11"/>
      <c r="J17" s="6"/>
      <c r="K17" s="4">
        <f>IFERROR(VLOOKUP(I17,parts!$A$2:$Z$300,12,FALSE)*J17,0)</f>
        <v>0</v>
      </c>
      <c r="L17" s="4">
        <f>IFERROR(VLOOKUP(I17,parts!$A$2:$Z$300,13,FALSE)*J17,0)</f>
        <v>0</v>
      </c>
      <c r="M17" s="4">
        <f>IFERROR(VLOOKUP(I17,parts!$A$2:$Z$300,14,FALSE)*J17,0)</f>
        <v>0</v>
      </c>
      <c r="N17" s="4">
        <f>IFERROR(VLOOKUP(I17,parts!$A$2:$Z$300,6,FALSE),0)</f>
        <v>0</v>
      </c>
      <c r="O17" s="4">
        <f>IFERROR(VLOOKUP(I17,parts!$A$2:$Z$300,7,FALSE)*J17,0)</f>
        <v>0</v>
      </c>
      <c r="P17" s="12"/>
      <c r="Q17" s="11"/>
      <c r="R17" s="6"/>
      <c r="S17" s="4">
        <f>IFERROR(VLOOKUP(Q17,parts!$A$2:$Z$300,12,FALSE)*R17,0)</f>
        <v>0</v>
      </c>
      <c r="T17" s="4">
        <f>IFERROR(VLOOKUP(Q17,parts!$A$2:$Z$300,13,FALSE)*R17,0)</f>
        <v>0</v>
      </c>
      <c r="U17" s="4">
        <f>IFERROR(VLOOKUP(Q17,parts!$A$2:$Z$300,14,FALSE)*R17,0)</f>
        <v>0</v>
      </c>
      <c r="V17" s="4">
        <f>IFERROR(VLOOKUP(Q17,parts!$A$2:$Z$300,6,FALSE),0)</f>
        <v>0</v>
      </c>
      <c r="W17" s="4">
        <f>IFERROR(VLOOKUP(Q17,parts!$A$2:$Z$300,7,FALSE)*R17,0)</f>
        <v>0</v>
      </c>
      <c r="X17" s="12"/>
      <c r="Y17" s="11"/>
      <c r="Z17" s="6"/>
      <c r="AA17" s="4">
        <f>IFERROR(VLOOKUP(Y17,parts!$A$2:$Z$300,12,FALSE)*Z17,0)</f>
        <v>0</v>
      </c>
      <c r="AB17" s="4">
        <f>IFERROR(VLOOKUP(Y17,parts!$A$2:$Z$300,13,FALSE)*Z17,0)</f>
        <v>0</v>
      </c>
      <c r="AC17" s="4">
        <f>IFERROR(VLOOKUP(Y17,parts!$A$2:$Z$300,14,FALSE)*Z17,0)</f>
        <v>0</v>
      </c>
      <c r="AD17" s="4">
        <f>IFERROR(VLOOKUP(Y17,parts!$A$2:$Z$300,6,FALSE),0)</f>
        <v>0</v>
      </c>
      <c r="AE17" s="4">
        <f>IFERROR(VLOOKUP(Y17,parts!$A$2:$Z$300,7,FALSE)*Z17,0)</f>
        <v>0</v>
      </c>
      <c r="AF17" s="12"/>
    </row>
    <row r="18" spans="1:32" x14ac:dyDescent="0.25">
      <c r="A18" s="13"/>
      <c r="B18" s="14" t="s">
        <v>73</v>
      </c>
      <c r="C18" s="14" t="s">
        <v>3</v>
      </c>
      <c r="D18" s="14" t="s">
        <v>66</v>
      </c>
      <c r="E18" s="14" t="s">
        <v>69</v>
      </c>
      <c r="F18" s="14" t="s">
        <v>6</v>
      </c>
      <c r="G18" s="15" t="s">
        <v>7</v>
      </c>
      <c r="H18" s="12"/>
      <c r="I18" s="13"/>
      <c r="J18" s="14" t="s">
        <v>73</v>
      </c>
      <c r="K18" s="14" t="s">
        <v>3</v>
      </c>
      <c r="L18" s="14" t="s">
        <v>66</v>
      </c>
      <c r="M18" s="14" t="s">
        <v>69</v>
      </c>
      <c r="N18" s="14" t="s">
        <v>6</v>
      </c>
      <c r="O18" s="15" t="s">
        <v>7</v>
      </c>
      <c r="P18" s="12"/>
      <c r="Q18" s="13"/>
      <c r="R18" s="14" t="s">
        <v>73</v>
      </c>
      <c r="S18" s="14" t="s">
        <v>3</v>
      </c>
      <c r="T18" s="14" t="s">
        <v>66</v>
      </c>
      <c r="U18" s="14" t="s">
        <v>69</v>
      </c>
      <c r="V18" s="14" t="s">
        <v>6</v>
      </c>
      <c r="W18" s="15" t="s">
        <v>7</v>
      </c>
      <c r="X18" s="12"/>
      <c r="Y18" s="13"/>
      <c r="Z18" s="14" t="s">
        <v>73</v>
      </c>
      <c r="AA18" s="14" t="s">
        <v>3</v>
      </c>
      <c r="AB18" s="14" t="s">
        <v>66</v>
      </c>
      <c r="AC18" s="14" t="s">
        <v>69</v>
      </c>
      <c r="AD18" s="14" t="s">
        <v>6</v>
      </c>
      <c r="AE18" s="15" t="s">
        <v>7</v>
      </c>
      <c r="AF18" s="12"/>
    </row>
    <row r="19" spans="1:32" x14ac:dyDescent="0.25">
      <c r="A19" s="16" t="s">
        <v>68</v>
      </c>
      <c r="B19" s="4">
        <f>SUM(B3:B17)</f>
        <v>2</v>
      </c>
      <c r="C19" s="4">
        <f>SUM(C3:C17)</f>
        <v>0</v>
      </c>
      <c r="D19" s="4">
        <f>SUM(D3:D17)</f>
        <v>0</v>
      </c>
      <c r="E19" s="4">
        <f>SUM(E3:E17)</f>
        <v>0</v>
      </c>
      <c r="F19" s="4">
        <f>LARGE(F3:F17,1)</f>
        <v>0</v>
      </c>
      <c r="G19" s="10">
        <f>SUM(G3:G17)</f>
        <v>0</v>
      </c>
      <c r="H19" s="12"/>
      <c r="I19" s="16" t="s">
        <v>68</v>
      </c>
      <c r="J19" s="4">
        <f>SUM(J3:J17)</f>
        <v>0</v>
      </c>
      <c r="K19" s="4">
        <f>SUM(K3:K17)</f>
        <v>0</v>
      </c>
      <c r="L19" s="4">
        <f>SUM(L3:L17)</f>
        <v>0</v>
      </c>
      <c r="M19" s="4">
        <f>SUM(M3:M17)</f>
        <v>0</v>
      </c>
      <c r="N19" s="4">
        <f>LARGE(N3:N17,1)</f>
        <v>0</v>
      </c>
      <c r="O19" s="10">
        <f>SUM(O3:O17)</f>
        <v>0</v>
      </c>
      <c r="P19" s="12"/>
      <c r="Q19" s="16" t="s">
        <v>68</v>
      </c>
      <c r="R19" s="4">
        <f>SUM(R3:R17)</f>
        <v>0</v>
      </c>
      <c r="S19" s="4">
        <f>SUM(S3:S17)</f>
        <v>0</v>
      </c>
      <c r="T19" s="4">
        <f>SUM(T3:T17)</f>
        <v>0</v>
      </c>
      <c r="U19" s="4">
        <f>SUM(U3:U17)</f>
        <v>0</v>
      </c>
      <c r="V19" s="4">
        <f>LARGE(V3:V17,1)</f>
        <v>0</v>
      </c>
      <c r="W19" s="10">
        <f>SUM(W3:W17)</f>
        <v>0</v>
      </c>
      <c r="X19" s="12"/>
      <c r="Y19" s="16" t="s">
        <v>68</v>
      </c>
      <c r="Z19" s="4">
        <f>SUM(Z3:Z17)</f>
        <v>0</v>
      </c>
      <c r="AA19" s="4">
        <f>SUM(AA3:AA17)</f>
        <v>0</v>
      </c>
      <c r="AB19" s="4">
        <f>SUM(AB3:AB17)</f>
        <v>0</v>
      </c>
      <c r="AC19" s="4">
        <f>SUM(AC3:AC17)</f>
        <v>0</v>
      </c>
      <c r="AD19" s="4">
        <f>LARGE(AD3:AD17,1)</f>
        <v>0</v>
      </c>
      <c r="AE19" s="10">
        <f>SUM(AE3:AE17)</f>
        <v>0</v>
      </c>
      <c r="AF19" s="12"/>
    </row>
    <row r="20" spans="1:32" x14ac:dyDescent="0.25">
      <c r="A20" s="16" t="s">
        <v>71</v>
      </c>
      <c r="B20" s="43">
        <f>E19</f>
        <v>0</v>
      </c>
      <c r="C20" s="44"/>
      <c r="D20" s="44"/>
      <c r="E20" s="44"/>
      <c r="F20" s="44"/>
      <c r="G20" s="45"/>
      <c r="H20" s="12"/>
      <c r="I20" s="16" t="s">
        <v>71</v>
      </c>
      <c r="J20" s="43">
        <f>M19</f>
        <v>0</v>
      </c>
      <c r="K20" s="44"/>
      <c r="L20" s="44"/>
      <c r="M20" s="44"/>
      <c r="N20" s="44"/>
      <c r="O20" s="45"/>
      <c r="P20" s="12"/>
      <c r="Q20" s="16" t="s">
        <v>71</v>
      </c>
      <c r="R20" s="43">
        <f>U19</f>
        <v>0</v>
      </c>
      <c r="S20" s="44"/>
      <c r="T20" s="44"/>
      <c r="U20" s="44"/>
      <c r="V20" s="44"/>
      <c r="W20" s="45"/>
      <c r="X20" s="12"/>
      <c r="Y20" s="16" t="s">
        <v>71</v>
      </c>
      <c r="Z20" s="43">
        <f>AC19</f>
        <v>0</v>
      </c>
      <c r="AA20" s="44"/>
      <c r="AB20" s="44"/>
      <c r="AC20" s="44"/>
      <c r="AD20" s="44"/>
      <c r="AE20" s="45"/>
      <c r="AF20" s="12"/>
    </row>
    <row r="21" spans="1:32" x14ac:dyDescent="0.25">
      <c r="A21" s="16" t="s">
        <v>75</v>
      </c>
      <c r="B21" s="43">
        <f>C19</f>
        <v>0</v>
      </c>
      <c r="C21" s="44"/>
      <c r="D21" s="44"/>
      <c r="E21" s="44"/>
      <c r="F21" s="44"/>
      <c r="G21" s="45"/>
      <c r="H21" s="12"/>
      <c r="I21" s="16" t="s">
        <v>75</v>
      </c>
      <c r="J21" s="43">
        <f>K19</f>
        <v>0</v>
      </c>
      <c r="K21" s="44"/>
      <c r="L21" s="44"/>
      <c r="M21" s="44"/>
      <c r="N21" s="44"/>
      <c r="O21" s="45"/>
      <c r="P21" s="12"/>
      <c r="Q21" s="16" t="s">
        <v>75</v>
      </c>
      <c r="R21" s="43">
        <f>S19</f>
        <v>0</v>
      </c>
      <c r="S21" s="44"/>
      <c r="T21" s="44"/>
      <c r="U21" s="44"/>
      <c r="V21" s="44"/>
      <c r="W21" s="45"/>
      <c r="X21" s="12"/>
      <c r="Y21" s="16" t="s">
        <v>75</v>
      </c>
      <c r="Z21" s="43">
        <f>AA19</f>
        <v>0</v>
      </c>
      <c r="AA21" s="44"/>
      <c r="AB21" s="44"/>
      <c r="AC21" s="44"/>
      <c r="AD21" s="44"/>
      <c r="AE21" s="45"/>
      <c r="AF21" s="12"/>
    </row>
    <row r="22" spans="1:32" x14ac:dyDescent="0.25">
      <c r="A22" s="16" t="s">
        <v>74</v>
      </c>
      <c r="B22" s="43">
        <f>IFERROR((G19/10/B20),0)</f>
        <v>0</v>
      </c>
      <c r="C22" s="44"/>
      <c r="D22" s="44"/>
      <c r="E22" s="44"/>
      <c r="F22" s="44"/>
      <c r="G22" s="45"/>
      <c r="H22" s="12"/>
      <c r="I22" s="16" t="s">
        <v>74</v>
      </c>
      <c r="J22" s="43">
        <f>IFERROR((O19/10/J20),0)</f>
        <v>0</v>
      </c>
      <c r="K22" s="44"/>
      <c r="L22" s="44"/>
      <c r="M22" s="44"/>
      <c r="N22" s="44"/>
      <c r="O22" s="45"/>
      <c r="P22" s="12"/>
      <c r="Q22" s="16" t="s">
        <v>74</v>
      </c>
      <c r="R22" s="43">
        <f>IFERROR((W19/10/R20),0)</f>
        <v>0</v>
      </c>
      <c r="S22" s="44"/>
      <c r="T22" s="44"/>
      <c r="U22" s="44"/>
      <c r="V22" s="44"/>
      <c r="W22" s="45"/>
      <c r="X22" s="12"/>
      <c r="Y22" s="16" t="s">
        <v>74</v>
      </c>
      <c r="Z22" s="43">
        <f>IFERROR((AE19/10/Z20),0)</f>
        <v>0</v>
      </c>
      <c r="AA22" s="44"/>
      <c r="AB22" s="44"/>
      <c r="AC22" s="44"/>
      <c r="AD22" s="44"/>
      <c r="AE22" s="45"/>
      <c r="AF22" s="12"/>
    </row>
    <row r="23" spans="1:32" x14ac:dyDescent="0.25">
      <c r="A23" s="16" t="s">
        <v>70</v>
      </c>
      <c r="B23" s="43">
        <f>IFERROR((9.82 * F19) * LN(B20/C19),0)</f>
        <v>0</v>
      </c>
      <c r="C23" s="44"/>
      <c r="D23" s="44"/>
      <c r="E23" s="44"/>
      <c r="F23" s="44"/>
      <c r="G23" s="45"/>
      <c r="H23" s="12"/>
      <c r="I23" s="16" t="s">
        <v>70</v>
      </c>
      <c r="J23" s="43">
        <f>IFERROR((9.82 * N19) * LN(J20/K19),0)</f>
        <v>0</v>
      </c>
      <c r="K23" s="44"/>
      <c r="L23" s="44"/>
      <c r="M23" s="44"/>
      <c r="N23" s="44"/>
      <c r="O23" s="45"/>
      <c r="P23" s="12"/>
      <c r="Q23" s="16" t="s">
        <v>70</v>
      </c>
      <c r="R23" s="43">
        <f>IFERROR((9.82 * V19) * LN(R20/S19),0)</f>
        <v>0</v>
      </c>
      <c r="S23" s="44"/>
      <c r="T23" s="44"/>
      <c r="U23" s="44"/>
      <c r="V23" s="44"/>
      <c r="W23" s="45"/>
      <c r="X23" s="12"/>
      <c r="Y23" s="16" t="s">
        <v>70</v>
      </c>
      <c r="Z23" s="43">
        <f>IFERROR((9.82 * AD19) * LN(Z20/AA19),0)</f>
        <v>0</v>
      </c>
      <c r="AA23" s="44"/>
      <c r="AB23" s="44"/>
      <c r="AC23" s="44"/>
      <c r="AD23" s="44"/>
      <c r="AE23" s="45"/>
      <c r="AF23" s="12"/>
    </row>
    <row r="24" spans="1:32" ht="15.75" thickBot="1" x14ac:dyDescent="0.3">
      <c r="A24" s="17" t="s">
        <v>72</v>
      </c>
      <c r="B24" s="40">
        <f>B23</f>
        <v>0</v>
      </c>
      <c r="C24" s="41"/>
      <c r="D24" s="41"/>
      <c r="E24" s="41"/>
      <c r="F24" s="41"/>
      <c r="G24" s="42"/>
      <c r="H24" s="12"/>
      <c r="I24" s="17" t="s">
        <v>72</v>
      </c>
      <c r="J24" s="40">
        <f>J23</f>
        <v>0</v>
      </c>
      <c r="K24" s="41"/>
      <c r="L24" s="41"/>
      <c r="M24" s="41"/>
      <c r="N24" s="41"/>
      <c r="O24" s="42"/>
      <c r="P24" s="12"/>
      <c r="Q24" s="17" t="s">
        <v>72</v>
      </c>
      <c r="R24" s="40">
        <f>R23</f>
        <v>0</v>
      </c>
      <c r="S24" s="41"/>
      <c r="T24" s="41"/>
      <c r="U24" s="41"/>
      <c r="V24" s="41"/>
      <c r="W24" s="42"/>
      <c r="X24" s="12"/>
      <c r="Y24" s="17" t="s">
        <v>72</v>
      </c>
      <c r="Z24" s="40">
        <f>Z23</f>
        <v>0</v>
      </c>
      <c r="AA24" s="41"/>
      <c r="AB24" s="41"/>
      <c r="AC24" s="41"/>
      <c r="AD24" s="41"/>
      <c r="AE24" s="42"/>
      <c r="AF24" s="12"/>
    </row>
    <row r="25" spans="1:32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x14ac:dyDescent="0.25">
      <c r="A26" s="7" t="s">
        <v>0</v>
      </c>
      <c r="B26" s="8" t="s">
        <v>60</v>
      </c>
      <c r="C26" s="8" t="s">
        <v>3</v>
      </c>
      <c r="D26" s="8" t="s">
        <v>66</v>
      </c>
      <c r="E26" s="8" t="s">
        <v>67</v>
      </c>
      <c r="F26" s="8" t="s">
        <v>6</v>
      </c>
      <c r="G26" s="9" t="s">
        <v>7</v>
      </c>
      <c r="H26" s="12"/>
      <c r="I26" s="7" t="s">
        <v>0</v>
      </c>
      <c r="J26" s="8" t="s">
        <v>60</v>
      </c>
      <c r="K26" s="8" t="s">
        <v>3</v>
      </c>
      <c r="L26" s="8" t="s">
        <v>66</v>
      </c>
      <c r="M26" s="8" t="s">
        <v>67</v>
      </c>
      <c r="N26" s="8" t="s">
        <v>6</v>
      </c>
      <c r="O26" s="9" t="s">
        <v>7</v>
      </c>
      <c r="P26" s="12"/>
      <c r="Q26" s="7" t="s">
        <v>0</v>
      </c>
      <c r="R26" s="8" t="s">
        <v>60</v>
      </c>
      <c r="S26" s="8" t="s">
        <v>3</v>
      </c>
      <c r="T26" s="8" t="s">
        <v>66</v>
      </c>
      <c r="U26" s="8" t="s">
        <v>67</v>
      </c>
      <c r="V26" s="8" t="s">
        <v>6</v>
      </c>
      <c r="W26" s="9" t="s">
        <v>7</v>
      </c>
      <c r="X26" s="12"/>
      <c r="Y26" s="7" t="s">
        <v>0</v>
      </c>
      <c r="Z26" s="8" t="s">
        <v>60</v>
      </c>
      <c r="AA26" s="8" t="s">
        <v>3</v>
      </c>
      <c r="AB26" s="8" t="s">
        <v>66</v>
      </c>
      <c r="AC26" s="8" t="s">
        <v>67</v>
      </c>
      <c r="AD26" s="8" t="s">
        <v>6</v>
      </c>
      <c r="AE26" s="9" t="s">
        <v>7</v>
      </c>
      <c r="AF26" s="12"/>
    </row>
    <row r="27" spans="1:32" x14ac:dyDescent="0.25">
      <c r="A27" s="11" t="s">
        <v>167</v>
      </c>
      <c r="B27" s="6">
        <v>1</v>
      </c>
      <c r="C27" s="4">
        <f>IFERROR(VLOOKUP(A27,parts!$A$2:$Z$300,12,FALSE)*B27,0)</f>
        <v>1.7964924375</v>
      </c>
      <c r="D27" s="4">
        <f>IFERROR(VLOOKUP(A27,parts!$A$2:$Z$300,13,FALSE)*B27,0)</f>
        <v>8.9766162500000011</v>
      </c>
      <c r="E27" s="4">
        <f>IFERROR(VLOOKUP(A27,parts!$A$2:$Z$300,14,FALSE)*B27,0)</f>
        <v>10.773108687500001</v>
      </c>
      <c r="F27" s="4">
        <f>IFERROR(VLOOKUP(A27,parts!$A$2:$Z$300,6,FALSE),0)</f>
        <v>455</v>
      </c>
      <c r="G27" s="4">
        <f>IFERROR(VLOOKUP(A27,parts!$A$2:$Z$300,7,FALSE)*B27,0)</f>
        <v>45</v>
      </c>
      <c r="H27" s="12"/>
      <c r="I27" s="11"/>
      <c r="J27" s="6"/>
      <c r="K27" s="4">
        <f>IFERROR(VLOOKUP(I27,parts!$A$2:$Z$300,12,FALSE)*J27,0)</f>
        <v>0</v>
      </c>
      <c r="L27" s="4">
        <f>IFERROR(VLOOKUP(I27,parts!$A$2:$Z$300,13,FALSE)*J27,0)</f>
        <v>0</v>
      </c>
      <c r="M27" s="4">
        <f>IFERROR(VLOOKUP(I27,parts!$A$2:$Z$300,14,FALSE)*J27,0)</f>
        <v>0</v>
      </c>
      <c r="N27" s="4">
        <f>IFERROR(VLOOKUP(I27,parts!$A$2:$Z$300,6,FALSE),0)</f>
        <v>0</v>
      </c>
      <c r="O27" s="4">
        <f>IFERROR(VLOOKUP(I27,parts!$A$2:$Z$300,7,FALSE)*J27,0)</f>
        <v>0</v>
      </c>
      <c r="P27" s="12"/>
      <c r="Q27" s="11"/>
      <c r="R27" s="6"/>
      <c r="S27" s="4">
        <f>IFERROR(VLOOKUP(Q27,parts!$A$2:$Z$300,12,FALSE)*R27,0)</f>
        <v>0</v>
      </c>
      <c r="T27" s="4">
        <f>IFERROR(VLOOKUP(Q27,parts!$A$2:$Z$300,13,FALSE)*R27,0)</f>
        <v>0</v>
      </c>
      <c r="U27" s="4">
        <f>IFERROR(VLOOKUP(Q27,parts!$A$2:$Z$300,14,FALSE)*R27,0)</f>
        <v>0</v>
      </c>
      <c r="V27" s="4">
        <f>IFERROR(VLOOKUP(Q27,parts!$A$2:$Z$300,6,FALSE),0)</f>
        <v>0</v>
      </c>
      <c r="W27" s="4">
        <f>IFERROR(VLOOKUP(Q27,parts!$A$2:$Z$300,7,FALSE)*R27,0)</f>
        <v>0</v>
      </c>
      <c r="X27" s="12"/>
      <c r="Y27" s="11"/>
      <c r="Z27" s="6"/>
      <c r="AA27" s="4">
        <f>IFERROR(VLOOKUP(Y27,parts!$A$2:$Z$300,12,FALSE)*Z27,0)</f>
        <v>0</v>
      </c>
      <c r="AB27" s="4">
        <f>IFERROR(VLOOKUP(Y27,parts!$A$2:$Z$300,13,FALSE)*Z27,0)</f>
        <v>0</v>
      </c>
      <c r="AC27" s="4">
        <f>IFERROR(VLOOKUP(Y27,parts!$A$2:$Z$300,14,FALSE)*Z27,0)</f>
        <v>0</v>
      </c>
      <c r="AD27" s="4">
        <f>IFERROR(VLOOKUP(Y27,parts!$A$2:$Z$300,6,FALSE),0)</f>
        <v>0</v>
      </c>
      <c r="AE27" s="4">
        <f>IFERROR(VLOOKUP(Y27,parts!$A$2:$Z$300,7,FALSE)*Z27,0)</f>
        <v>0</v>
      </c>
      <c r="AF27" s="12"/>
    </row>
    <row r="28" spans="1:32" x14ac:dyDescent="0.25">
      <c r="A28" s="11"/>
      <c r="B28" s="6"/>
      <c r="C28" s="4">
        <f>IFERROR(VLOOKUP(A28,parts!$A$2:$Z$300,12,FALSE)*B28,0)</f>
        <v>0</v>
      </c>
      <c r="D28" s="4">
        <f>IFERROR(VLOOKUP(A28,parts!$A$2:$Z$300,13,FALSE)*B28,0)</f>
        <v>0</v>
      </c>
      <c r="E28" s="4">
        <f>IFERROR(VLOOKUP(A28,parts!$A$2:$Z$300,14,FALSE)*B28,0)</f>
        <v>0</v>
      </c>
      <c r="F28" s="4">
        <f>IFERROR(VLOOKUP(A28,parts!$A$2:$Z$300,6,FALSE),0)</f>
        <v>0</v>
      </c>
      <c r="G28" s="4">
        <f>IFERROR(VLOOKUP(A28,parts!$A$2:$Z$300,7,FALSE)*B28,0)</f>
        <v>0</v>
      </c>
      <c r="H28" s="12"/>
      <c r="I28" s="11"/>
      <c r="J28" s="6"/>
      <c r="K28" s="4">
        <f>IFERROR(VLOOKUP(I28,parts!$A$2:$Z$300,12,FALSE)*J28,0)</f>
        <v>0</v>
      </c>
      <c r="L28" s="4">
        <f>IFERROR(VLOOKUP(I28,parts!$A$2:$Z$300,13,FALSE)*J28,0)</f>
        <v>0</v>
      </c>
      <c r="M28" s="4">
        <f>IFERROR(VLOOKUP(I28,parts!$A$2:$Z$300,14,FALSE)*J28,0)</f>
        <v>0</v>
      </c>
      <c r="N28" s="4">
        <f>IFERROR(VLOOKUP(I28,parts!$A$2:$Z$300,6,FALSE),0)</f>
        <v>0</v>
      </c>
      <c r="O28" s="4">
        <f>IFERROR(VLOOKUP(I28,parts!$A$2:$Z$300,7,FALSE)*J28,0)</f>
        <v>0</v>
      </c>
      <c r="P28" s="12"/>
      <c r="Q28" s="11"/>
      <c r="R28" s="6"/>
      <c r="S28" s="4">
        <f>IFERROR(VLOOKUP(Q28,parts!$A$2:$Z$300,12,FALSE)*R28,0)</f>
        <v>0</v>
      </c>
      <c r="T28" s="4">
        <f>IFERROR(VLOOKUP(Q28,parts!$A$2:$Z$300,13,FALSE)*R28,0)</f>
        <v>0</v>
      </c>
      <c r="U28" s="4">
        <f>IFERROR(VLOOKUP(Q28,parts!$A$2:$Z$300,14,FALSE)*R28,0)</f>
        <v>0</v>
      </c>
      <c r="V28" s="4">
        <f>IFERROR(VLOOKUP(Q28,parts!$A$2:$Z$300,6,FALSE),0)</f>
        <v>0</v>
      </c>
      <c r="W28" s="4">
        <f>IFERROR(VLOOKUP(Q28,parts!$A$2:$Z$300,7,FALSE)*R28,0)</f>
        <v>0</v>
      </c>
      <c r="X28" s="12"/>
      <c r="Y28" s="11"/>
      <c r="Z28" s="6"/>
      <c r="AA28" s="4">
        <f>IFERROR(VLOOKUP(Y28,parts!$A$2:$Z$300,12,FALSE)*Z28,0)</f>
        <v>0</v>
      </c>
      <c r="AB28" s="4">
        <f>IFERROR(VLOOKUP(Y28,parts!$A$2:$Z$300,13,FALSE)*Z28,0)</f>
        <v>0</v>
      </c>
      <c r="AC28" s="4">
        <f>IFERROR(VLOOKUP(Y28,parts!$A$2:$Z$300,14,FALSE)*Z28,0)</f>
        <v>0</v>
      </c>
      <c r="AD28" s="4">
        <f>IFERROR(VLOOKUP(Y28,parts!$A$2:$Z$300,6,FALSE),0)</f>
        <v>0</v>
      </c>
      <c r="AE28" s="4">
        <f>IFERROR(VLOOKUP(Y28,parts!$A$2:$Z$300,7,FALSE)*Z28,0)</f>
        <v>0</v>
      </c>
      <c r="AF28" s="12"/>
    </row>
    <row r="29" spans="1:32" x14ac:dyDescent="0.25">
      <c r="A29" s="11"/>
      <c r="B29" s="6"/>
      <c r="C29" s="4">
        <f>IFERROR(VLOOKUP(A29,parts!$A$2:$Z$300,12,FALSE)*B29,0)</f>
        <v>0</v>
      </c>
      <c r="D29" s="4">
        <f>IFERROR(VLOOKUP(A29,parts!$A$2:$Z$300,13,FALSE)*B29,0)</f>
        <v>0</v>
      </c>
      <c r="E29" s="4">
        <f>IFERROR(VLOOKUP(A29,parts!$A$2:$Z$300,14,FALSE)*B29,0)</f>
        <v>0</v>
      </c>
      <c r="F29" s="4">
        <f>IFERROR(VLOOKUP(A29,parts!$A$2:$Z$300,6,FALSE),0)</f>
        <v>0</v>
      </c>
      <c r="G29" s="4">
        <f>IFERROR(VLOOKUP(A29,parts!$A$2:$Z$300,7,FALSE)*B29,0)</f>
        <v>0</v>
      </c>
      <c r="H29" s="12"/>
      <c r="I29" s="11"/>
      <c r="J29" s="6"/>
      <c r="K29" s="4">
        <f>IFERROR(VLOOKUP(I29,parts!$A$2:$Z$300,12,FALSE)*J29,0)</f>
        <v>0</v>
      </c>
      <c r="L29" s="4">
        <f>IFERROR(VLOOKUP(I29,parts!$A$2:$Z$300,13,FALSE)*J29,0)</f>
        <v>0</v>
      </c>
      <c r="M29" s="4">
        <f>IFERROR(VLOOKUP(I29,parts!$A$2:$Z$300,14,FALSE)*J29,0)</f>
        <v>0</v>
      </c>
      <c r="N29" s="4">
        <f>IFERROR(VLOOKUP(I29,parts!$A$2:$Z$300,6,FALSE),0)</f>
        <v>0</v>
      </c>
      <c r="O29" s="4">
        <f>IFERROR(VLOOKUP(I29,parts!$A$2:$Z$300,7,FALSE)*J29,0)</f>
        <v>0</v>
      </c>
      <c r="P29" s="12"/>
      <c r="Q29" s="11"/>
      <c r="R29" s="6"/>
      <c r="S29" s="4">
        <f>IFERROR(VLOOKUP(Q29,parts!$A$2:$Z$300,12,FALSE)*R29,0)</f>
        <v>0</v>
      </c>
      <c r="T29" s="4">
        <f>IFERROR(VLOOKUP(Q29,parts!$A$2:$Z$300,13,FALSE)*R29,0)</f>
        <v>0</v>
      </c>
      <c r="U29" s="4">
        <f>IFERROR(VLOOKUP(Q29,parts!$A$2:$Z$300,14,FALSE)*R29,0)</f>
        <v>0</v>
      </c>
      <c r="V29" s="4">
        <f>IFERROR(VLOOKUP(Q29,parts!$A$2:$Z$300,6,FALSE),0)</f>
        <v>0</v>
      </c>
      <c r="W29" s="4">
        <f>IFERROR(VLOOKUP(Q29,parts!$A$2:$Z$300,7,FALSE)*R29,0)</f>
        <v>0</v>
      </c>
      <c r="X29" s="12"/>
      <c r="Y29" s="11"/>
      <c r="Z29" s="6"/>
      <c r="AA29" s="4">
        <f>IFERROR(VLOOKUP(Y29,parts!$A$2:$Z$300,12,FALSE)*Z29,0)</f>
        <v>0</v>
      </c>
      <c r="AB29" s="4">
        <f>IFERROR(VLOOKUP(Y29,parts!$A$2:$Z$300,13,FALSE)*Z29,0)</f>
        <v>0</v>
      </c>
      <c r="AC29" s="4">
        <f>IFERROR(VLOOKUP(Y29,parts!$A$2:$Z$300,14,FALSE)*Z29,0)</f>
        <v>0</v>
      </c>
      <c r="AD29" s="4">
        <f>IFERROR(VLOOKUP(Y29,parts!$A$2:$Z$300,6,FALSE),0)</f>
        <v>0</v>
      </c>
      <c r="AE29" s="4">
        <f>IFERROR(VLOOKUP(Y29,parts!$A$2:$Z$300,7,FALSE)*Z29,0)</f>
        <v>0</v>
      </c>
      <c r="AF29" s="12"/>
    </row>
    <row r="30" spans="1:32" x14ac:dyDescent="0.25">
      <c r="A30" s="11"/>
      <c r="B30" s="6"/>
      <c r="C30" s="4">
        <f>IFERROR(VLOOKUP(A30,parts!$A$2:$Z$300,12,FALSE)*B30,0)</f>
        <v>0</v>
      </c>
      <c r="D30" s="4">
        <f>IFERROR(VLOOKUP(A30,parts!$A$2:$Z$300,13,FALSE)*B30,0)</f>
        <v>0</v>
      </c>
      <c r="E30" s="4">
        <f>IFERROR(VLOOKUP(A30,parts!$A$2:$Z$300,14,FALSE)*B30,0)</f>
        <v>0</v>
      </c>
      <c r="F30" s="4">
        <f>IFERROR(VLOOKUP(A30,parts!$A$2:$Z$300,6,FALSE),0)</f>
        <v>0</v>
      </c>
      <c r="G30" s="4">
        <f>IFERROR(VLOOKUP(A30,parts!$A$2:$Z$300,7,FALSE)*B30,0)</f>
        <v>0</v>
      </c>
      <c r="H30" s="12"/>
      <c r="I30" s="11"/>
      <c r="J30" s="6"/>
      <c r="K30" s="4">
        <f>IFERROR(VLOOKUP(I30,parts!$A$2:$Z$300,12,FALSE)*J30,0)</f>
        <v>0</v>
      </c>
      <c r="L30" s="4">
        <f>IFERROR(VLOOKUP(I30,parts!$A$2:$Z$300,13,FALSE)*J30,0)</f>
        <v>0</v>
      </c>
      <c r="M30" s="4">
        <f>IFERROR(VLOOKUP(I30,parts!$A$2:$Z$300,14,FALSE)*J30,0)</f>
        <v>0</v>
      </c>
      <c r="N30" s="4">
        <f>IFERROR(VLOOKUP(I30,parts!$A$2:$Z$300,6,FALSE),0)</f>
        <v>0</v>
      </c>
      <c r="O30" s="4">
        <f>IFERROR(VLOOKUP(I30,parts!$A$2:$Z$300,7,FALSE)*J30,0)</f>
        <v>0</v>
      </c>
      <c r="P30" s="12"/>
      <c r="Q30" s="11"/>
      <c r="R30" s="6"/>
      <c r="S30" s="4">
        <f>IFERROR(VLOOKUP(Q30,parts!$A$2:$Z$300,12,FALSE)*R30,0)</f>
        <v>0</v>
      </c>
      <c r="T30" s="4">
        <f>IFERROR(VLOOKUP(Q30,parts!$A$2:$Z$300,13,FALSE)*R30,0)</f>
        <v>0</v>
      </c>
      <c r="U30" s="4">
        <f>IFERROR(VLOOKUP(Q30,parts!$A$2:$Z$300,14,FALSE)*R30,0)</f>
        <v>0</v>
      </c>
      <c r="V30" s="4">
        <f>IFERROR(VLOOKUP(Q30,parts!$A$2:$Z$300,6,FALSE),0)</f>
        <v>0</v>
      </c>
      <c r="W30" s="4">
        <f>IFERROR(VLOOKUP(Q30,parts!$A$2:$Z$300,7,FALSE)*R30,0)</f>
        <v>0</v>
      </c>
      <c r="X30" s="12"/>
      <c r="Y30" s="11"/>
      <c r="Z30" s="6"/>
      <c r="AA30" s="4">
        <f>IFERROR(VLOOKUP(Y30,parts!$A$2:$Z$300,12,FALSE)*Z30,0)</f>
        <v>0</v>
      </c>
      <c r="AB30" s="4">
        <f>IFERROR(VLOOKUP(Y30,parts!$A$2:$Z$300,13,FALSE)*Z30,0)</f>
        <v>0</v>
      </c>
      <c r="AC30" s="4">
        <f>IFERROR(VLOOKUP(Y30,parts!$A$2:$Z$300,14,FALSE)*Z30,0)</f>
        <v>0</v>
      </c>
      <c r="AD30" s="4">
        <f>IFERROR(VLOOKUP(Y30,parts!$A$2:$Z$300,6,FALSE),0)</f>
        <v>0</v>
      </c>
      <c r="AE30" s="4">
        <f>IFERROR(VLOOKUP(Y30,parts!$A$2:$Z$300,7,FALSE)*Z30,0)</f>
        <v>0</v>
      </c>
      <c r="AF30" s="12"/>
    </row>
    <row r="31" spans="1:32" x14ac:dyDescent="0.25">
      <c r="A31" s="11"/>
      <c r="B31" s="6"/>
      <c r="C31" s="4">
        <f>IFERROR(VLOOKUP(A31,parts!$A$2:$Z$300,12,FALSE)*B31,0)</f>
        <v>0</v>
      </c>
      <c r="D31" s="4">
        <f>IFERROR(VLOOKUP(A31,parts!$A$2:$Z$300,13,FALSE)*B31,0)</f>
        <v>0</v>
      </c>
      <c r="E31" s="4">
        <f>IFERROR(VLOOKUP(A31,parts!$A$2:$Z$300,14,FALSE)*B31,0)</f>
        <v>0</v>
      </c>
      <c r="F31" s="4">
        <f>IFERROR(VLOOKUP(A31,parts!$A$2:$Z$300,6,FALSE),0)</f>
        <v>0</v>
      </c>
      <c r="G31" s="4">
        <f>IFERROR(VLOOKUP(A31,parts!$A$2:$Z$300,7,FALSE)*B31,0)</f>
        <v>0</v>
      </c>
      <c r="H31" s="12"/>
      <c r="I31" s="11"/>
      <c r="J31" s="6"/>
      <c r="K31" s="4">
        <f>IFERROR(VLOOKUP(I31,parts!$A$2:$Z$300,12,FALSE)*J31,0)</f>
        <v>0</v>
      </c>
      <c r="L31" s="4">
        <f>IFERROR(VLOOKUP(I31,parts!$A$2:$Z$300,13,FALSE)*J31,0)</f>
        <v>0</v>
      </c>
      <c r="M31" s="4">
        <f>IFERROR(VLOOKUP(I31,parts!$A$2:$Z$300,14,FALSE)*J31,0)</f>
        <v>0</v>
      </c>
      <c r="N31" s="4">
        <f>IFERROR(VLOOKUP(I31,parts!$A$2:$Z$300,6,FALSE),0)</f>
        <v>0</v>
      </c>
      <c r="O31" s="4">
        <f>IFERROR(VLOOKUP(I31,parts!$A$2:$Z$300,7,FALSE)*J31,0)</f>
        <v>0</v>
      </c>
      <c r="P31" s="12"/>
      <c r="Q31" s="11"/>
      <c r="R31" s="6"/>
      <c r="S31" s="4">
        <f>IFERROR(VLOOKUP(Q31,parts!$A$2:$Z$300,12,FALSE)*R31,0)</f>
        <v>0</v>
      </c>
      <c r="T31" s="4">
        <f>IFERROR(VLOOKUP(Q31,parts!$A$2:$Z$300,13,FALSE)*R31,0)</f>
        <v>0</v>
      </c>
      <c r="U31" s="4">
        <f>IFERROR(VLOOKUP(Q31,parts!$A$2:$Z$300,14,FALSE)*R31,0)</f>
        <v>0</v>
      </c>
      <c r="V31" s="4">
        <f>IFERROR(VLOOKUP(Q31,parts!$A$2:$Z$300,6,FALSE),0)</f>
        <v>0</v>
      </c>
      <c r="W31" s="4">
        <f>IFERROR(VLOOKUP(Q31,parts!$A$2:$Z$300,7,FALSE)*R31,0)</f>
        <v>0</v>
      </c>
      <c r="X31" s="12"/>
      <c r="Y31" s="11"/>
      <c r="Z31" s="6"/>
      <c r="AA31" s="4">
        <f>IFERROR(VLOOKUP(Y31,parts!$A$2:$Z$300,12,FALSE)*Z31,0)</f>
        <v>0</v>
      </c>
      <c r="AB31" s="4">
        <f>IFERROR(VLOOKUP(Y31,parts!$A$2:$Z$300,13,FALSE)*Z31,0)</f>
        <v>0</v>
      </c>
      <c r="AC31" s="4">
        <f>IFERROR(VLOOKUP(Y31,parts!$A$2:$Z$300,14,FALSE)*Z31,0)</f>
        <v>0</v>
      </c>
      <c r="AD31" s="4">
        <f>IFERROR(VLOOKUP(Y31,parts!$A$2:$Z$300,6,FALSE),0)</f>
        <v>0</v>
      </c>
      <c r="AE31" s="4">
        <f>IFERROR(VLOOKUP(Y31,parts!$A$2:$Z$300,7,FALSE)*Z31,0)</f>
        <v>0</v>
      </c>
      <c r="AF31" s="12"/>
    </row>
    <row r="32" spans="1:32" x14ac:dyDescent="0.25">
      <c r="A32" s="11"/>
      <c r="B32" s="6"/>
      <c r="C32" s="4">
        <f>IFERROR(VLOOKUP(A32,parts!$A$2:$Z$300,12,FALSE)*B32,0)</f>
        <v>0</v>
      </c>
      <c r="D32" s="4">
        <f>IFERROR(VLOOKUP(A32,parts!$A$2:$Z$300,13,FALSE)*B32,0)</f>
        <v>0</v>
      </c>
      <c r="E32" s="4">
        <f>IFERROR(VLOOKUP(A32,parts!$A$2:$Z$300,14,FALSE)*B32,0)</f>
        <v>0</v>
      </c>
      <c r="F32" s="4">
        <f>IFERROR(VLOOKUP(A32,parts!$A$2:$Z$300,6,FALSE),0)</f>
        <v>0</v>
      </c>
      <c r="G32" s="4">
        <f>IFERROR(VLOOKUP(A32,parts!$A$2:$Z$300,7,FALSE)*B32,0)</f>
        <v>0</v>
      </c>
      <c r="H32" s="12"/>
      <c r="I32" s="11"/>
      <c r="J32" s="6"/>
      <c r="K32" s="4">
        <f>IFERROR(VLOOKUP(I32,parts!$A$2:$Z$300,12,FALSE)*J32,0)</f>
        <v>0</v>
      </c>
      <c r="L32" s="4">
        <f>IFERROR(VLOOKUP(I32,parts!$A$2:$Z$300,13,FALSE)*J32,0)</f>
        <v>0</v>
      </c>
      <c r="M32" s="4">
        <f>IFERROR(VLOOKUP(I32,parts!$A$2:$Z$300,14,FALSE)*J32,0)</f>
        <v>0</v>
      </c>
      <c r="N32" s="4">
        <f>IFERROR(VLOOKUP(I32,parts!$A$2:$Z$300,6,FALSE),0)</f>
        <v>0</v>
      </c>
      <c r="O32" s="4">
        <f>IFERROR(VLOOKUP(I32,parts!$A$2:$Z$300,7,FALSE)*J32,0)</f>
        <v>0</v>
      </c>
      <c r="P32" s="12"/>
      <c r="Q32" s="11"/>
      <c r="R32" s="6"/>
      <c r="S32" s="4">
        <f>IFERROR(VLOOKUP(Q32,parts!$A$2:$Z$300,12,FALSE)*R32,0)</f>
        <v>0</v>
      </c>
      <c r="T32" s="4">
        <f>IFERROR(VLOOKUP(Q32,parts!$A$2:$Z$300,13,FALSE)*R32,0)</f>
        <v>0</v>
      </c>
      <c r="U32" s="4">
        <f>IFERROR(VLOOKUP(Q32,parts!$A$2:$Z$300,14,FALSE)*R32,0)</f>
        <v>0</v>
      </c>
      <c r="V32" s="4">
        <f>IFERROR(VLOOKUP(Q32,parts!$A$2:$Z$300,6,FALSE),0)</f>
        <v>0</v>
      </c>
      <c r="W32" s="4">
        <f>IFERROR(VLOOKUP(Q32,parts!$A$2:$Z$300,7,FALSE)*R32,0)</f>
        <v>0</v>
      </c>
      <c r="X32" s="12"/>
      <c r="Y32" s="11"/>
      <c r="Z32" s="6"/>
      <c r="AA32" s="4">
        <f>IFERROR(VLOOKUP(Y32,parts!$A$2:$Z$300,12,FALSE)*Z32,0)</f>
        <v>0</v>
      </c>
      <c r="AB32" s="4">
        <f>IFERROR(VLOOKUP(Y32,parts!$A$2:$Z$300,13,FALSE)*Z32,0)</f>
        <v>0</v>
      </c>
      <c r="AC32" s="4">
        <f>IFERROR(VLOOKUP(Y32,parts!$A$2:$Z$300,14,FALSE)*Z32,0)</f>
        <v>0</v>
      </c>
      <c r="AD32" s="4">
        <f>IFERROR(VLOOKUP(Y32,parts!$A$2:$Z$300,6,FALSE),0)</f>
        <v>0</v>
      </c>
      <c r="AE32" s="4">
        <f>IFERROR(VLOOKUP(Y32,parts!$A$2:$Z$300,7,FALSE)*Z32,0)</f>
        <v>0</v>
      </c>
      <c r="AF32" s="12"/>
    </row>
    <row r="33" spans="1:32" x14ac:dyDescent="0.25">
      <c r="A33" s="11"/>
      <c r="B33" s="6"/>
      <c r="C33" s="4">
        <f>IFERROR(VLOOKUP(A33,parts!$A$2:$Z$300,12,FALSE)*B33,0)</f>
        <v>0</v>
      </c>
      <c r="D33" s="4">
        <f>IFERROR(VLOOKUP(A33,parts!$A$2:$Z$300,13,FALSE)*B33,0)</f>
        <v>0</v>
      </c>
      <c r="E33" s="4">
        <f>IFERROR(VLOOKUP(A33,parts!$A$2:$Z$300,14,FALSE)*B33,0)</f>
        <v>0</v>
      </c>
      <c r="F33" s="4">
        <f>IFERROR(VLOOKUP(A33,parts!$A$2:$Z$300,6,FALSE),0)</f>
        <v>0</v>
      </c>
      <c r="G33" s="4">
        <f>IFERROR(VLOOKUP(A33,parts!$A$2:$Z$300,7,FALSE)*B33,0)</f>
        <v>0</v>
      </c>
      <c r="H33" s="12"/>
      <c r="I33" s="11"/>
      <c r="J33" s="6"/>
      <c r="K33" s="4">
        <f>IFERROR(VLOOKUP(I33,parts!$A$2:$Z$300,12,FALSE)*J33,0)</f>
        <v>0</v>
      </c>
      <c r="L33" s="4">
        <f>IFERROR(VLOOKUP(I33,parts!$A$2:$Z$300,13,FALSE)*J33,0)</f>
        <v>0</v>
      </c>
      <c r="M33" s="4">
        <f>IFERROR(VLOOKUP(I33,parts!$A$2:$Z$300,14,FALSE)*J33,0)</f>
        <v>0</v>
      </c>
      <c r="N33" s="4">
        <f>IFERROR(VLOOKUP(I33,parts!$A$2:$Z$300,6,FALSE),0)</f>
        <v>0</v>
      </c>
      <c r="O33" s="4">
        <f>IFERROR(VLOOKUP(I33,parts!$A$2:$Z$300,7,FALSE)*J33,0)</f>
        <v>0</v>
      </c>
      <c r="P33" s="12"/>
      <c r="Q33" s="11"/>
      <c r="R33" s="6"/>
      <c r="S33" s="4">
        <f>IFERROR(VLOOKUP(Q33,parts!$A$2:$Z$300,12,FALSE)*R33,0)</f>
        <v>0</v>
      </c>
      <c r="T33" s="4">
        <f>IFERROR(VLOOKUP(Q33,parts!$A$2:$Z$300,13,FALSE)*R33,0)</f>
        <v>0</v>
      </c>
      <c r="U33" s="4">
        <f>IFERROR(VLOOKUP(Q33,parts!$A$2:$Z$300,14,FALSE)*R33,0)</f>
        <v>0</v>
      </c>
      <c r="V33" s="4">
        <f>IFERROR(VLOOKUP(Q33,parts!$A$2:$Z$300,6,FALSE),0)</f>
        <v>0</v>
      </c>
      <c r="W33" s="4">
        <f>IFERROR(VLOOKUP(Q33,parts!$A$2:$Z$300,7,FALSE)*R33,0)</f>
        <v>0</v>
      </c>
      <c r="X33" s="12"/>
      <c r="Y33" s="11"/>
      <c r="Z33" s="6"/>
      <c r="AA33" s="4">
        <f>IFERROR(VLOOKUP(Y33,parts!$A$2:$Z$300,12,FALSE)*Z33,0)</f>
        <v>0</v>
      </c>
      <c r="AB33" s="4">
        <f>IFERROR(VLOOKUP(Y33,parts!$A$2:$Z$300,13,FALSE)*Z33,0)</f>
        <v>0</v>
      </c>
      <c r="AC33" s="4">
        <f>IFERROR(VLOOKUP(Y33,parts!$A$2:$Z$300,14,FALSE)*Z33,0)</f>
        <v>0</v>
      </c>
      <c r="AD33" s="4">
        <f>IFERROR(VLOOKUP(Y33,parts!$A$2:$Z$300,6,FALSE),0)</f>
        <v>0</v>
      </c>
      <c r="AE33" s="4">
        <f>IFERROR(VLOOKUP(Y33,parts!$A$2:$Z$300,7,FALSE)*Z33,0)</f>
        <v>0</v>
      </c>
      <c r="AF33" s="12"/>
    </row>
    <row r="34" spans="1:32" x14ac:dyDescent="0.25">
      <c r="A34" s="11"/>
      <c r="B34" s="6"/>
      <c r="C34" s="4">
        <f>IFERROR(VLOOKUP(A34,parts!$A$2:$Z$300,12,FALSE)*B34,0)</f>
        <v>0</v>
      </c>
      <c r="D34" s="4">
        <f>IFERROR(VLOOKUP(A34,parts!$A$2:$Z$300,13,FALSE)*B34,0)</f>
        <v>0</v>
      </c>
      <c r="E34" s="4">
        <f>IFERROR(VLOOKUP(A34,parts!$A$2:$Z$300,14,FALSE)*B34,0)</f>
        <v>0</v>
      </c>
      <c r="F34" s="4">
        <f>IFERROR(VLOOKUP(A34,parts!$A$2:$Z$300,6,FALSE),0)</f>
        <v>0</v>
      </c>
      <c r="G34" s="4">
        <f>IFERROR(VLOOKUP(A34,parts!$A$2:$Z$300,7,FALSE)*B34,0)</f>
        <v>0</v>
      </c>
      <c r="H34" s="12"/>
      <c r="I34" s="11"/>
      <c r="J34" s="6"/>
      <c r="K34" s="4">
        <f>IFERROR(VLOOKUP(I34,parts!$A$2:$Z$300,12,FALSE)*J34,0)</f>
        <v>0</v>
      </c>
      <c r="L34" s="4">
        <f>IFERROR(VLOOKUP(I34,parts!$A$2:$Z$300,13,FALSE)*J34,0)</f>
        <v>0</v>
      </c>
      <c r="M34" s="4">
        <f>IFERROR(VLOOKUP(I34,parts!$A$2:$Z$300,14,FALSE)*J34,0)</f>
        <v>0</v>
      </c>
      <c r="N34" s="4">
        <f>IFERROR(VLOOKUP(I34,parts!$A$2:$Z$300,6,FALSE),0)</f>
        <v>0</v>
      </c>
      <c r="O34" s="4">
        <f>IFERROR(VLOOKUP(I34,parts!$A$2:$Z$300,7,FALSE)*J34,0)</f>
        <v>0</v>
      </c>
      <c r="P34" s="12"/>
      <c r="Q34" s="11"/>
      <c r="R34" s="6"/>
      <c r="S34" s="4">
        <f>IFERROR(VLOOKUP(Q34,parts!$A$2:$Z$300,12,FALSE)*R34,0)</f>
        <v>0</v>
      </c>
      <c r="T34" s="4">
        <f>IFERROR(VLOOKUP(Q34,parts!$A$2:$Z$300,13,FALSE)*R34,0)</f>
        <v>0</v>
      </c>
      <c r="U34" s="4">
        <f>IFERROR(VLOOKUP(Q34,parts!$A$2:$Z$300,14,FALSE)*R34,0)</f>
        <v>0</v>
      </c>
      <c r="V34" s="4">
        <f>IFERROR(VLOOKUP(Q34,parts!$A$2:$Z$300,6,FALSE),0)</f>
        <v>0</v>
      </c>
      <c r="W34" s="4">
        <f>IFERROR(VLOOKUP(Q34,parts!$A$2:$Z$300,7,FALSE)*R34,0)</f>
        <v>0</v>
      </c>
      <c r="X34" s="12"/>
      <c r="Y34" s="11"/>
      <c r="Z34" s="6"/>
      <c r="AA34" s="4">
        <f>IFERROR(VLOOKUP(Y34,parts!$A$2:$Z$300,12,FALSE)*Z34,0)</f>
        <v>0</v>
      </c>
      <c r="AB34" s="4">
        <f>IFERROR(VLOOKUP(Y34,parts!$A$2:$Z$300,13,FALSE)*Z34,0)</f>
        <v>0</v>
      </c>
      <c r="AC34" s="4">
        <f>IFERROR(VLOOKUP(Y34,parts!$A$2:$Z$300,14,FALSE)*Z34,0)</f>
        <v>0</v>
      </c>
      <c r="AD34" s="4">
        <f>IFERROR(VLOOKUP(Y34,parts!$A$2:$Z$300,6,FALSE),0)</f>
        <v>0</v>
      </c>
      <c r="AE34" s="4">
        <f>IFERROR(VLOOKUP(Y34,parts!$A$2:$Z$300,7,FALSE)*Z34,0)</f>
        <v>0</v>
      </c>
      <c r="AF34" s="12"/>
    </row>
    <row r="35" spans="1:32" x14ac:dyDescent="0.25">
      <c r="A35" s="11"/>
      <c r="B35" s="6"/>
      <c r="C35" s="4">
        <f>IFERROR(VLOOKUP(A35,parts!$A$2:$Z$300,12,FALSE)*B35,0)</f>
        <v>0</v>
      </c>
      <c r="D35" s="4">
        <f>IFERROR(VLOOKUP(A35,parts!$A$2:$Z$300,13,FALSE)*B35,0)</f>
        <v>0</v>
      </c>
      <c r="E35" s="4">
        <f>IFERROR(VLOOKUP(A35,parts!$A$2:$Z$300,14,FALSE)*B35,0)</f>
        <v>0</v>
      </c>
      <c r="F35" s="4">
        <f>IFERROR(VLOOKUP(A35,parts!$A$2:$Z$300,6,FALSE),0)</f>
        <v>0</v>
      </c>
      <c r="G35" s="4">
        <f>IFERROR(VLOOKUP(A35,parts!$A$2:$Z$300,7,FALSE)*B35,0)</f>
        <v>0</v>
      </c>
      <c r="H35" s="12"/>
      <c r="I35" s="11"/>
      <c r="J35" s="6"/>
      <c r="K35" s="4">
        <f>IFERROR(VLOOKUP(I35,parts!$A$2:$Z$300,12,FALSE)*J35,0)</f>
        <v>0</v>
      </c>
      <c r="L35" s="4">
        <f>IFERROR(VLOOKUP(I35,parts!$A$2:$Z$300,13,FALSE)*J35,0)</f>
        <v>0</v>
      </c>
      <c r="M35" s="4">
        <f>IFERROR(VLOOKUP(I35,parts!$A$2:$Z$300,14,FALSE)*J35,0)</f>
        <v>0</v>
      </c>
      <c r="N35" s="4">
        <f>IFERROR(VLOOKUP(I35,parts!$A$2:$Z$300,6,FALSE),0)</f>
        <v>0</v>
      </c>
      <c r="O35" s="4">
        <f>IFERROR(VLOOKUP(I35,parts!$A$2:$Z$300,7,FALSE)*J35,0)</f>
        <v>0</v>
      </c>
      <c r="P35" s="12"/>
      <c r="Q35" s="11"/>
      <c r="R35" s="6"/>
      <c r="S35" s="4">
        <f>IFERROR(VLOOKUP(Q35,parts!$A$2:$Z$300,12,FALSE)*R35,0)</f>
        <v>0</v>
      </c>
      <c r="T35" s="4">
        <f>IFERROR(VLOOKUP(Q35,parts!$A$2:$Z$300,13,FALSE)*R35,0)</f>
        <v>0</v>
      </c>
      <c r="U35" s="4">
        <f>IFERROR(VLOOKUP(Q35,parts!$A$2:$Z$300,14,FALSE)*R35,0)</f>
        <v>0</v>
      </c>
      <c r="V35" s="4">
        <f>IFERROR(VLOOKUP(Q35,parts!$A$2:$Z$300,6,FALSE),0)</f>
        <v>0</v>
      </c>
      <c r="W35" s="4">
        <f>IFERROR(VLOOKUP(Q35,parts!$A$2:$Z$300,7,FALSE)*R35,0)</f>
        <v>0</v>
      </c>
      <c r="X35" s="12"/>
      <c r="Y35" s="11"/>
      <c r="Z35" s="6"/>
      <c r="AA35" s="4">
        <f>IFERROR(VLOOKUP(Y35,parts!$A$2:$Z$300,12,FALSE)*Z35,0)</f>
        <v>0</v>
      </c>
      <c r="AB35" s="4">
        <f>IFERROR(VLOOKUP(Y35,parts!$A$2:$Z$300,13,FALSE)*Z35,0)</f>
        <v>0</v>
      </c>
      <c r="AC35" s="4">
        <f>IFERROR(VLOOKUP(Y35,parts!$A$2:$Z$300,14,FALSE)*Z35,0)</f>
        <v>0</v>
      </c>
      <c r="AD35" s="4">
        <f>IFERROR(VLOOKUP(Y35,parts!$A$2:$Z$300,6,FALSE),0)</f>
        <v>0</v>
      </c>
      <c r="AE35" s="4">
        <f>IFERROR(VLOOKUP(Y35,parts!$A$2:$Z$300,7,FALSE)*Z35,0)</f>
        <v>0</v>
      </c>
      <c r="AF35" s="12"/>
    </row>
    <row r="36" spans="1:32" x14ac:dyDescent="0.25">
      <c r="A36" s="11"/>
      <c r="B36" s="6"/>
      <c r="C36" s="4">
        <f>IFERROR(VLOOKUP(A36,parts!$A$2:$Z$300,12,FALSE)*B36,0)</f>
        <v>0</v>
      </c>
      <c r="D36" s="4">
        <f>IFERROR(VLOOKUP(A36,parts!$A$2:$Z$300,13,FALSE)*B36,0)</f>
        <v>0</v>
      </c>
      <c r="E36" s="4">
        <f>IFERROR(VLOOKUP(A36,parts!$A$2:$Z$300,14,FALSE)*B36,0)</f>
        <v>0</v>
      </c>
      <c r="F36" s="4">
        <f>IFERROR(VLOOKUP(A36,parts!$A$2:$Z$300,6,FALSE),0)</f>
        <v>0</v>
      </c>
      <c r="G36" s="4">
        <f>IFERROR(VLOOKUP(A36,parts!$A$2:$Z$300,7,FALSE)*B36,0)</f>
        <v>0</v>
      </c>
      <c r="H36" s="12"/>
      <c r="I36" s="11"/>
      <c r="J36" s="6"/>
      <c r="K36" s="4">
        <f>IFERROR(VLOOKUP(I36,parts!$A$2:$Z$300,12,FALSE)*J36,0)</f>
        <v>0</v>
      </c>
      <c r="L36" s="4">
        <f>IFERROR(VLOOKUP(I36,parts!$A$2:$Z$300,13,FALSE)*J36,0)</f>
        <v>0</v>
      </c>
      <c r="M36" s="4">
        <f>IFERROR(VLOOKUP(I36,parts!$A$2:$Z$300,14,FALSE)*J36,0)</f>
        <v>0</v>
      </c>
      <c r="N36" s="4">
        <f>IFERROR(VLOOKUP(I36,parts!$A$2:$Z$300,6,FALSE),0)</f>
        <v>0</v>
      </c>
      <c r="O36" s="4">
        <f>IFERROR(VLOOKUP(I36,parts!$A$2:$Z$300,7,FALSE)*J36,0)</f>
        <v>0</v>
      </c>
      <c r="P36" s="12"/>
      <c r="Q36" s="11"/>
      <c r="R36" s="6"/>
      <c r="S36" s="4">
        <f>IFERROR(VLOOKUP(Q36,parts!$A$2:$Z$300,12,FALSE)*R36,0)</f>
        <v>0</v>
      </c>
      <c r="T36" s="4">
        <f>IFERROR(VLOOKUP(Q36,parts!$A$2:$Z$300,13,FALSE)*R36,0)</f>
        <v>0</v>
      </c>
      <c r="U36" s="4">
        <f>IFERROR(VLOOKUP(Q36,parts!$A$2:$Z$300,14,FALSE)*R36,0)</f>
        <v>0</v>
      </c>
      <c r="V36" s="4">
        <f>IFERROR(VLOOKUP(Q36,parts!$A$2:$Z$300,6,FALSE),0)</f>
        <v>0</v>
      </c>
      <c r="W36" s="4">
        <f>IFERROR(VLOOKUP(Q36,parts!$A$2:$Z$300,7,FALSE)*R36,0)</f>
        <v>0</v>
      </c>
      <c r="X36" s="12"/>
      <c r="Y36" s="11"/>
      <c r="Z36" s="6"/>
      <c r="AA36" s="4">
        <f>IFERROR(VLOOKUP(Y36,parts!$A$2:$Z$300,12,FALSE)*Z36,0)</f>
        <v>0</v>
      </c>
      <c r="AB36" s="4">
        <f>IFERROR(VLOOKUP(Y36,parts!$A$2:$Z$300,13,FALSE)*Z36,0)</f>
        <v>0</v>
      </c>
      <c r="AC36" s="4">
        <f>IFERROR(VLOOKUP(Y36,parts!$A$2:$Z$300,14,FALSE)*Z36,0)</f>
        <v>0</v>
      </c>
      <c r="AD36" s="4">
        <f>IFERROR(VLOOKUP(Y36,parts!$A$2:$Z$300,6,FALSE),0)</f>
        <v>0</v>
      </c>
      <c r="AE36" s="4">
        <f>IFERROR(VLOOKUP(Y36,parts!$A$2:$Z$300,7,FALSE)*Z36,0)</f>
        <v>0</v>
      </c>
      <c r="AF36" s="12"/>
    </row>
    <row r="37" spans="1:32" x14ac:dyDescent="0.25">
      <c r="A37" s="11"/>
      <c r="B37" s="6"/>
      <c r="C37" s="4">
        <f>IFERROR(VLOOKUP(A37,parts!$A$2:$Z$300,12,FALSE)*B37,0)</f>
        <v>0</v>
      </c>
      <c r="D37" s="4">
        <f>IFERROR(VLOOKUP(A37,parts!$A$2:$Z$300,13,FALSE)*B37,0)</f>
        <v>0</v>
      </c>
      <c r="E37" s="4">
        <f>IFERROR(VLOOKUP(A37,parts!$A$2:$Z$300,14,FALSE)*B37,0)</f>
        <v>0</v>
      </c>
      <c r="F37" s="4">
        <f>IFERROR(VLOOKUP(A37,parts!$A$2:$Z$300,6,FALSE),0)</f>
        <v>0</v>
      </c>
      <c r="G37" s="4">
        <f>IFERROR(VLOOKUP(A37,parts!$A$2:$Z$300,7,FALSE)*B37,0)</f>
        <v>0</v>
      </c>
      <c r="H37" s="12"/>
      <c r="I37" s="11"/>
      <c r="J37" s="6"/>
      <c r="K37" s="4">
        <f>IFERROR(VLOOKUP(I37,parts!$A$2:$Z$300,12,FALSE)*J37,0)</f>
        <v>0</v>
      </c>
      <c r="L37" s="4">
        <f>IFERROR(VLOOKUP(I37,parts!$A$2:$Z$300,13,FALSE)*J37,0)</f>
        <v>0</v>
      </c>
      <c r="M37" s="4">
        <f>IFERROR(VLOOKUP(I37,parts!$A$2:$Z$300,14,FALSE)*J37,0)</f>
        <v>0</v>
      </c>
      <c r="N37" s="4">
        <f>IFERROR(VLOOKUP(I37,parts!$A$2:$Z$300,6,FALSE),0)</f>
        <v>0</v>
      </c>
      <c r="O37" s="4">
        <f>IFERROR(VLOOKUP(I37,parts!$A$2:$Z$300,7,FALSE)*J37,0)</f>
        <v>0</v>
      </c>
      <c r="P37" s="12"/>
      <c r="Q37" s="11"/>
      <c r="R37" s="6"/>
      <c r="S37" s="4">
        <f>IFERROR(VLOOKUP(Q37,parts!$A$2:$Z$300,12,FALSE)*R37,0)</f>
        <v>0</v>
      </c>
      <c r="T37" s="4">
        <f>IFERROR(VLOOKUP(Q37,parts!$A$2:$Z$300,13,FALSE)*R37,0)</f>
        <v>0</v>
      </c>
      <c r="U37" s="4">
        <f>IFERROR(VLOOKUP(Q37,parts!$A$2:$Z$300,14,FALSE)*R37,0)</f>
        <v>0</v>
      </c>
      <c r="V37" s="4">
        <f>IFERROR(VLOOKUP(Q37,parts!$A$2:$Z$300,6,FALSE),0)</f>
        <v>0</v>
      </c>
      <c r="W37" s="4">
        <f>IFERROR(VLOOKUP(Q37,parts!$A$2:$Z$300,7,FALSE)*R37,0)</f>
        <v>0</v>
      </c>
      <c r="X37" s="12"/>
      <c r="Y37" s="11"/>
      <c r="Z37" s="6"/>
      <c r="AA37" s="4">
        <f>IFERROR(VLOOKUP(Y37,parts!$A$2:$Z$300,12,FALSE)*Z37,0)</f>
        <v>0</v>
      </c>
      <c r="AB37" s="4">
        <f>IFERROR(VLOOKUP(Y37,parts!$A$2:$Z$300,13,FALSE)*Z37,0)</f>
        <v>0</v>
      </c>
      <c r="AC37" s="4">
        <f>IFERROR(VLOOKUP(Y37,parts!$A$2:$Z$300,14,FALSE)*Z37,0)</f>
        <v>0</v>
      </c>
      <c r="AD37" s="4">
        <f>IFERROR(VLOOKUP(Y37,parts!$A$2:$Z$300,6,FALSE),0)</f>
        <v>0</v>
      </c>
      <c r="AE37" s="4">
        <f>IFERROR(VLOOKUP(Y37,parts!$A$2:$Z$300,7,FALSE)*Z37,0)</f>
        <v>0</v>
      </c>
      <c r="AF37" s="12"/>
    </row>
    <row r="38" spans="1:32" x14ac:dyDescent="0.25">
      <c r="A38" s="11"/>
      <c r="B38" s="6"/>
      <c r="C38" s="4">
        <f>IFERROR(VLOOKUP(A38,parts!$A$2:$Z$300,12,FALSE)*B38,0)</f>
        <v>0</v>
      </c>
      <c r="D38" s="4">
        <f>IFERROR(VLOOKUP(A38,parts!$A$2:$Z$300,13,FALSE)*B38,0)</f>
        <v>0</v>
      </c>
      <c r="E38" s="4">
        <f>IFERROR(VLOOKUP(A38,parts!$A$2:$Z$300,14,FALSE)*B38,0)</f>
        <v>0</v>
      </c>
      <c r="F38" s="4">
        <f>IFERROR(VLOOKUP(A38,parts!$A$2:$Z$300,6,FALSE),0)</f>
        <v>0</v>
      </c>
      <c r="G38" s="4">
        <f>IFERROR(VLOOKUP(A38,parts!$A$2:$Z$300,7,FALSE)*B38,0)</f>
        <v>0</v>
      </c>
      <c r="H38" s="12"/>
      <c r="I38" s="11"/>
      <c r="J38" s="6"/>
      <c r="K38" s="4">
        <f>IFERROR(VLOOKUP(I38,parts!$A$2:$Z$300,12,FALSE)*J38,0)</f>
        <v>0</v>
      </c>
      <c r="L38" s="4">
        <f>IFERROR(VLOOKUP(I38,parts!$A$2:$Z$300,13,FALSE)*J38,0)</f>
        <v>0</v>
      </c>
      <c r="M38" s="4">
        <f>IFERROR(VLOOKUP(I38,parts!$A$2:$Z$300,14,FALSE)*J38,0)</f>
        <v>0</v>
      </c>
      <c r="N38" s="4">
        <f>IFERROR(VLOOKUP(I38,parts!$A$2:$Z$300,6,FALSE),0)</f>
        <v>0</v>
      </c>
      <c r="O38" s="4">
        <f>IFERROR(VLOOKUP(I38,parts!$A$2:$Z$300,7,FALSE)*J38,0)</f>
        <v>0</v>
      </c>
      <c r="P38" s="12"/>
      <c r="Q38" s="11"/>
      <c r="R38" s="6"/>
      <c r="S38" s="4">
        <f>IFERROR(VLOOKUP(Q38,parts!$A$2:$Z$300,12,FALSE)*R38,0)</f>
        <v>0</v>
      </c>
      <c r="T38" s="4">
        <f>IFERROR(VLOOKUP(Q38,parts!$A$2:$Z$300,13,FALSE)*R38,0)</f>
        <v>0</v>
      </c>
      <c r="U38" s="4">
        <f>IFERROR(VLOOKUP(Q38,parts!$A$2:$Z$300,14,FALSE)*R38,0)</f>
        <v>0</v>
      </c>
      <c r="V38" s="4">
        <f>IFERROR(VLOOKUP(Q38,parts!$A$2:$Z$300,6,FALSE),0)</f>
        <v>0</v>
      </c>
      <c r="W38" s="4">
        <f>IFERROR(VLOOKUP(Q38,parts!$A$2:$Z$300,7,FALSE)*R38,0)</f>
        <v>0</v>
      </c>
      <c r="X38" s="12"/>
      <c r="Y38" s="11"/>
      <c r="Z38" s="6"/>
      <c r="AA38" s="4">
        <f>IFERROR(VLOOKUP(Y38,parts!$A$2:$Z$300,12,FALSE)*Z38,0)</f>
        <v>0</v>
      </c>
      <c r="AB38" s="4">
        <f>IFERROR(VLOOKUP(Y38,parts!$A$2:$Z$300,13,FALSE)*Z38,0)</f>
        <v>0</v>
      </c>
      <c r="AC38" s="4">
        <f>IFERROR(VLOOKUP(Y38,parts!$A$2:$Z$300,14,FALSE)*Z38,0)</f>
        <v>0</v>
      </c>
      <c r="AD38" s="4">
        <f>IFERROR(VLOOKUP(Y38,parts!$A$2:$Z$300,6,FALSE),0)</f>
        <v>0</v>
      </c>
      <c r="AE38" s="4">
        <f>IFERROR(VLOOKUP(Y38,parts!$A$2:$Z$300,7,FALSE)*Z38,0)</f>
        <v>0</v>
      </c>
      <c r="AF38" s="12"/>
    </row>
    <row r="39" spans="1:32" x14ac:dyDescent="0.25">
      <c r="A39" s="11"/>
      <c r="B39" s="6"/>
      <c r="C39" s="4">
        <f>IFERROR(VLOOKUP(A39,parts!$A$2:$Z$300,12,FALSE)*B39,0)</f>
        <v>0</v>
      </c>
      <c r="D39" s="4">
        <f>IFERROR(VLOOKUP(A39,parts!$A$2:$Z$300,13,FALSE)*B39,0)</f>
        <v>0</v>
      </c>
      <c r="E39" s="4">
        <f>IFERROR(VLOOKUP(A39,parts!$A$2:$Z$300,14,FALSE)*B39,0)</f>
        <v>0</v>
      </c>
      <c r="F39" s="4">
        <f>IFERROR(VLOOKUP(A39,parts!$A$2:$Z$300,6,FALSE),0)</f>
        <v>0</v>
      </c>
      <c r="G39" s="4">
        <f>IFERROR(VLOOKUP(A39,parts!$A$2:$Z$300,7,FALSE)*B39,0)</f>
        <v>0</v>
      </c>
      <c r="H39" s="12"/>
      <c r="I39" s="11"/>
      <c r="J39" s="6"/>
      <c r="K39" s="4">
        <f>IFERROR(VLOOKUP(I39,parts!$A$2:$Z$300,12,FALSE)*J39,0)</f>
        <v>0</v>
      </c>
      <c r="L39" s="4">
        <f>IFERROR(VLOOKUP(I39,parts!$A$2:$Z$300,13,FALSE)*J39,0)</f>
        <v>0</v>
      </c>
      <c r="M39" s="4">
        <f>IFERROR(VLOOKUP(I39,parts!$A$2:$Z$300,14,FALSE)*J39,0)</f>
        <v>0</v>
      </c>
      <c r="N39" s="4">
        <f>IFERROR(VLOOKUP(I39,parts!$A$2:$Z$300,6,FALSE),0)</f>
        <v>0</v>
      </c>
      <c r="O39" s="4">
        <f>IFERROR(VLOOKUP(I39,parts!$A$2:$Z$300,7,FALSE)*J39,0)</f>
        <v>0</v>
      </c>
      <c r="P39" s="12"/>
      <c r="Q39" s="11"/>
      <c r="R39" s="6"/>
      <c r="S39" s="4">
        <f>IFERROR(VLOOKUP(Q39,parts!$A$2:$Z$300,12,FALSE)*R39,0)</f>
        <v>0</v>
      </c>
      <c r="T39" s="4">
        <f>IFERROR(VLOOKUP(Q39,parts!$A$2:$Z$300,13,FALSE)*R39,0)</f>
        <v>0</v>
      </c>
      <c r="U39" s="4">
        <f>IFERROR(VLOOKUP(Q39,parts!$A$2:$Z$300,14,FALSE)*R39,0)</f>
        <v>0</v>
      </c>
      <c r="V39" s="4">
        <f>IFERROR(VLOOKUP(Q39,parts!$A$2:$Z$300,6,FALSE),0)</f>
        <v>0</v>
      </c>
      <c r="W39" s="4">
        <f>IFERROR(VLOOKUP(Q39,parts!$A$2:$Z$300,7,FALSE)*R39,0)</f>
        <v>0</v>
      </c>
      <c r="X39" s="12"/>
      <c r="Y39" s="11"/>
      <c r="Z39" s="6"/>
      <c r="AA39" s="4">
        <f>IFERROR(VLOOKUP(Y39,parts!$A$2:$Z$300,12,FALSE)*Z39,0)</f>
        <v>0</v>
      </c>
      <c r="AB39" s="4">
        <f>IFERROR(VLOOKUP(Y39,parts!$A$2:$Z$300,13,FALSE)*Z39,0)</f>
        <v>0</v>
      </c>
      <c r="AC39" s="4">
        <f>IFERROR(VLOOKUP(Y39,parts!$A$2:$Z$300,14,FALSE)*Z39,0)</f>
        <v>0</v>
      </c>
      <c r="AD39" s="4">
        <f>IFERROR(VLOOKUP(Y39,parts!$A$2:$Z$300,6,FALSE),0)</f>
        <v>0</v>
      </c>
      <c r="AE39" s="4">
        <f>IFERROR(VLOOKUP(Y39,parts!$A$2:$Z$300,7,FALSE)*Z39,0)</f>
        <v>0</v>
      </c>
      <c r="AF39" s="12"/>
    </row>
    <row r="40" spans="1:32" x14ac:dyDescent="0.25">
      <c r="A40" s="11"/>
      <c r="B40" s="6"/>
      <c r="C40" s="4">
        <f>IFERROR(VLOOKUP(A40,parts!$A$2:$Z$300,12,FALSE)*B40,0)</f>
        <v>0</v>
      </c>
      <c r="D40" s="4">
        <f>IFERROR(VLOOKUP(A40,parts!$A$2:$Z$300,13,FALSE)*B40,0)</f>
        <v>0</v>
      </c>
      <c r="E40" s="4">
        <f>IFERROR(VLOOKUP(A40,parts!$A$2:$Z$300,14,FALSE)*B40,0)</f>
        <v>0</v>
      </c>
      <c r="F40" s="4">
        <f>IFERROR(VLOOKUP(A40,parts!$A$2:$Z$300,6,FALSE),0)</f>
        <v>0</v>
      </c>
      <c r="G40" s="4">
        <f>IFERROR(VLOOKUP(A40,parts!$A$2:$Z$300,7,FALSE)*B40,0)</f>
        <v>0</v>
      </c>
      <c r="H40" s="12"/>
      <c r="I40" s="11"/>
      <c r="J40" s="6"/>
      <c r="K40" s="4">
        <f>IFERROR(VLOOKUP(I40,parts!$A$2:$Z$300,12,FALSE)*J40,0)</f>
        <v>0</v>
      </c>
      <c r="L40" s="4">
        <f>IFERROR(VLOOKUP(I40,parts!$A$2:$Z$300,13,FALSE)*J40,0)</f>
        <v>0</v>
      </c>
      <c r="M40" s="4">
        <f>IFERROR(VLOOKUP(I40,parts!$A$2:$Z$300,14,FALSE)*J40,0)</f>
        <v>0</v>
      </c>
      <c r="N40" s="4">
        <f>IFERROR(VLOOKUP(I40,parts!$A$2:$Z$300,6,FALSE),0)</f>
        <v>0</v>
      </c>
      <c r="O40" s="4">
        <f>IFERROR(VLOOKUP(I40,parts!$A$2:$Z$300,7,FALSE)*J40,0)</f>
        <v>0</v>
      </c>
      <c r="P40" s="12"/>
      <c r="Q40" s="11"/>
      <c r="R40" s="6"/>
      <c r="S40" s="4">
        <f>IFERROR(VLOOKUP(Q40,parts!$A$2:$Z$300,12,FALSE)*R40,0)</f>
        <v>0</v>
      </c>
      <c r="T40" s="4">
        <f>IFERROR(VLOOKUP(Q40,parts!$A$2:$Z$300,13,FALSE)*R40,0)</f>
        <v>0</v>
      </c>
      <c r="U40" s="4">
        <f>IFERROR(VLOOKUP(Q40,parts!$A$2:$Z$300,14,FALSE)*R40,0)</f>
        <v>0</v>
      </c>
      <c r="V40" s="4">
        <f>IFERROR(VLOOKUP(Q40,parts!$A$2:$Z$300,6,FALSE),0)</f>
        <v>0</v>
      </c>
      <c r="W40" s="4">
        <f>IFERROR(VLOOKUP(Q40,parts!$A$2:$Z$300,7,FALSE)*R40,0)</f>
        <v>0</v>
      </c>
      <c r="X40" s="12"/>
      <c r="Y40" s="11"/>
      <c r="Z40" s="6"/>
      <c r="AA40" s="4">
        <f>IFERROR(VLOOKUP(Y40,parts!$A$2:$Z$300,12,FALSE)*Z40,0)</f>
        <v>0</v>
      </c>
      <c r="AB40" s="4">
        <f>IFERROR(VLOOKUP(Y40,parts!$A$2:$Z$300,13,FALSE)*Z40,0)</f>
        <v>0</v>
      </c>
      <c r="AC40" s="4">
        <f>IFERROR(VLOOKUP(Y40,parts!$A$2:$Z$300,14,FALSE)*Z40,0)</f>
        <v>0</v>
      </c>
      <c r="AD40" s="4">
        <f>IFERROR(VLOOKUP(Y40,parts!$A$2:$Z$300,6,FALSE),0)</f>
        <v>0</v>
      </c>
      <c r="AE40" s="4">
        <f>IFERROR(VLOOKUP(Y40,parts!$A$2:$Z$300,7,FALSE)*Z40,0)</f>
        <v>0</v>
      </c>
      <c r="AF40" s="12"/>
    </row>
    <row r="41" spans="1:32" ht="15.75" thickBot="1" x14ac:dyDescent="0.3">
      <c r="A41" s="11"/>
      <c r="B41" s="6"/>
      <c r="C41" s="4">
        <f>IFERROR(VLOOKUP(A41,parts!$A$2:$Z$300,12,FALSE)*B41,0)</f>
        <v>0</v>
      </c>
      <c r="D41" s="4">
        <f>IFERROR(VLOOKUP(A41,parts!$A$2:$Z$300,13,FALSE)*B41,0)</f>
        <v>0</v>
      </c>
      <c r="E41" s="4">
        <f>IFERROR(VLOOKUP(A41,parts!$A$2:$Z$300,14,FALSE)*B41,0)</f>
        <v>0</v>
      </c>
      <c r="F41" s="4">
        <f>IFERROR(VLOOKUP(A41,parts!$A$2:$Z$300,6,FALSE),0)</f>
        <v>0</v>
      </c>
      <c r="G41" s="4">
        <f>IFERROR(VLOOKUP(A41,parts!$A$2:$Z$300,7,FALSE)*B41,0)</f>
        <v>0</v>
      </c>
      <c r="H41" s="12"/>
      <c r="I41" s="11"/>
      <c r="J41" s="6"/>
      <c r="K41" s="4">
        <f>IFERROR(VLOOKUP(I41,parts!$A$2:$Z$300,12,FALSE)*J41,0)</f>
        <v>0</v>
      </c>
      <c r="L41" s="4">
        <f>IFERROR(VLOOKUP(I41,parts!$A$2:$Z$300,13,FALSE)*J41,0)</f>
        <v>0</v>
      </c>
      <c r="M41" s="4">
        <f>IFERROR(VLOOKUP(I41,parts!$A$2:$Z$300,14,FALSE)*J41,0)</f>
        <v>0</v>
      </c>
      <c r="N41" s="4">
        <f>IFERROR(VLOOKUP(I41,parts!$A$2:$Z$300,6,FALSE),0)</f>
        <v>0</v>
      </c>
      <c r="O41" s="4">
        <f>IFERROR(VLOOKUP(I41,parts!$A$2:$Z$300,7,FALSE)*J41,0)</f>
        <v>0</v>
      </c>
      <c r="P41" s="12"/>
      <c r="Q41" s="11"/>
      <c r="R41" s="6"/>
      <c r="S41" s="4">
        <f>IFERROR(VLOOKUP(Q41,parts!$A$2:$Z$300,12,FALSE)*R41,0)</f>
        <v>0</v>
      </c>
      <c r="T41" s="4">
        <f>IFERROR(VLOOKUP(Q41,parts!$A$2:$Z$300,13,FALSE)*R41,0)</f>
        <v>0</v>
      </c>
      <c r="U41" s="4">
        <f>IFERROR(VLOOKUP(Q41,parts!$A$2:$Z$300,14,FALSE)*R41,0)</f>
        <v>0</v>
      </c>
      <c r="V41" s="4">
        <f>IFERROR(VLOOKUP(Q41,parts!$A$2:$Z$300,6,FALSE),0)</f>
        <v>0</v>
      </c>
      <c r="W41" s="4">
        <f>IFERROR(VLOOKUP(Q41,parts!$A$2:$Z$300,7,FALSE)*R41,0)</f>
        <v>0</v>
      </c>
      <c r="X41" s="12"/>
      <c r="Y41" s="11"/>
      <c r="Z41" s="6"/>
      <c r="AA41" s="4">
        <f>IFERROR(VLOOKUP(Y41,parts!$A$2:$Z$300,12,FALSE)*Z41,0)</f>
        <v>0</v>
      </c>
      <c r="AB41" s="4">
        <f>IFERROR(VLOOKUP(Y41,parts!$A$2:$Z$300,13,FALSE)*Z41,0)</f>
        <v>0</v>
      </c>
      <c r="AC41" s="4">
        <f>IFERROR(VLOOKUP(Y41,parts!$A$2:$Z$300,14,FALSE)*Z41,0)</f>
        <v>0</v>
      </c>
      <c r="AD41" s="4">
        <f>IFERROR(VLOOKUP(Y41,parts!$A$2:$Z$300,6,FALSE),0)</f>
        <v>0</v>
      </c>
      <c r="AE41" s="4">
        <f>IFERROR(VLOOKUP(Y41,parts!$A$2:$Z$300,7,FALSE)*Z41,0)</f>
        <v>0</v>
      </c>
      <c r="AF41" s="12"/>
    </row>
    <row r="42" spans="1:32" x14ac:dyDescent="0.25">
      <c r="A42" s="13"/>
      <c r="B42" s="14" t="s">
        <v>73</v>
      </c>
      <c r="C42" s="14" t="s">
        <v>3</v>
      </c>
      <c r="D42" s="14" t="s">
        <v>66</v>
      </c>
      <c r="E42" s="14" t="s">
        <v>69</v>
      </c>
      <c r="F42" s="14" t="s">
        <v>6</v>
      </c>
      <c r="G42" s="15" t="s">
        <v>7</v>
      </c>
      <c r="H42" s="12"/>
      <c r="I42" s="13"/>
      <c r="J42" s="14" t="s">
        <v>73</v>
      </c>
      <c r="K42" s="14" t="s">
        <v>3</v>
      </c>
      <c r="L42" s="14" t="s">
        <v>66</v>
      </c>
      <c r="M42" s="14" t="s">
        <v>69</v>
      </c>
      <c r="N42" s="14" t="s">
        <v>6</v>
      </c>
      <c r="O42" s="15" t="s">
        <v>7</v>
      </c>
      <c r="P42" s="12"/>
      <c r="Q42" s="13"/>
      <c r="R42" s="14" t="s">
        <v>73</v>
      </c>
      <c r="S42" s="14" t="s">
        <v>3</v>
      </c>
      <c r="T42" s="14" t="s">
        <v>66</v>
      </c>
      <c r="U42" s="14" t="s">
        <v>69</v>
      </c>
      <c r="V42" s="14" t="s">
        <v>6</v>
      </c>
      <c r="W42" s="15" t="s">
        <v>7</v>
      </c>
      <c r="X42" s="12"/>
      <c r="Y42" s="13"/>
      <c r="Z42" s="14" t="s">
        <v>73</v>
      </c>
      <c r="AA42" s="14" t="s">
        <v>3</v>
      </c>
      <c r="AB42" s="14" t="s">
        <v>66</v>
      </c>
      <c r="AC42" s="14" t="s">
        <v>69</v>
      </c>
      <c r="AD42" s="14" t="s">
        <v>6</v>
      </c>
      <c r="AE42" s="15" t="s">
        <v>7</v>
      </c>
      <c r="AF42" s="12"/>
    </row>
    <row r="43" spans="1:32" x14ac:dyDescent="0.25">
      <c r="A43" s="16" t="s">
        <v>68</v>
      </c>
      <c r="B43" s="4">
        <f>SUM(B27:B41)+B19</f>
        <v>3</v>
      </c>
      <c r="C43" s="4">
        <f>SUM(C27:C41)</f>
        <v>1.7964924375</v>
      </c>
      <c r="D43" s="4">
        <f>SUM(D27:D41)</f>
        <v>8.9766162500000011</v>
      </c>
      <c r="E43" s="4">
        <f>SUM(E27:E41)</f>
        <v>10.773108687500001</v>
      </c>
      <c r="F43" s="4">
        <f>LARGE(F27:F41,1)</f>
        <v>455</v>
      </c>
      <c r="G43" s="10">
        <f>SUM(G27:G41)</f>
        <v>45</v>
      </c>
      <c r="H43" s="12"/>
      <c r="I43" s="16" t="s">
        <v>68</v>
      </c>
      <c r="J43" s="4">
        <f>SUM(J27:J41)+J19</f>
        <v>0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68</v>
      </c>
      <c r="R43" s="4">
        <f>SUM(R27:R41)+R19</f>
        <v>0</v>
      </c>
      <c r="S43" s="4">
        <f>SUM(S27:S41)</f>
        <v>0</v>
      </c>
      <c r="T43" s="4">
        <f>SUM(T27:T41)</f>
        <v>0</v>
      </c>
      <c r="U43" s="4">
        <f>SUM(U27:U41)</f>
        <v>0</v>
      </c>
      <c r="V43" s="4">
        <f>LARGE(V27:V41,1)</f>
        <v>0</v>
      </c>
      <c r="W43" s="10">
        <f>SUM(W27:W41)</f>
        <v>0</v>
      </c>
      <c r="X43" s="12"/>
      <c r="Y43" s="16" t="s">
        <v>68</v>
      </c>
      <c r="Z43" s="4">
        <f>SUM(Z27:Z41)+Z19</f>
        <v>0</v>
      </c>
      <c r="AA43" s="4">
        <f>SUM(AA27:AA41)</f>
        <v>0</v>
      </c>
      <c r="AB43" s="4">
        <f>SUM(AB27:AB41)</f>
        <v>0</v>
      </c>
      <c r="AC43" s="4">
        <f>SUM(AC27:AC41)</f>
        <v>0</v>
      </c>
      <c r="AD43" s="4">
        <f>LARGE(AD27:AD41,1)</f>
        <v>0</v>
      </c>
      <c r="AE43" s="10">
        <f>SUM(AE27:AE41)</f>
        <v>0</v>
      </c>
      <c r="AF43" s="12"/>
    </row>
    <row r="44" spans="1:32" x14ac:dyDescent="0.25">
      <c r="A44" s="16" t="s">
        <v>71</v>
      </c>
      <c r="B44" s="43">
        <f>E43+B20</f>
        <v>10.773108687500001</v>
      </c>
      <c r="C44" s="44"/>
      <c r="D44" s="44"/>
      <c r="E44" s="44"/>
      <c r="F44" s="44"/>
      <c r="G44" s="45"/>
      <c r="H44" s="12"/>
      <c r="I44" s="16" t="s">
        <v>71</v>
      </c>
      <c r="J44" s="43">
        <f>M43+J20</f>
        <v>0</v>
      </c>
      <c r="K44" s="44"/>
      <c r="L44" s="44"/>
      <c r="M44" s="44"/>
      <c r="N44" s="44"/>
      <c r="O44" s="45"/>
      <c r="P44" s="12"/>
      <c r="Q44" s="16" t="s">
        <v>71</v>
      </c>
      <c r="R44" s="43">
        <f>U43+R20</f>
        <v>0</v>
      </c>
      <c r="S44" s="44"/>
      <c r="T44" s="44"/>
      <c r="U44" s="44"/>
      <c r="V44" s="44"/>
      <c r="W44" s="45"/>
      <c r="X44" s="12"/>
      <c r="Y44" s="16" t="s">
        <v>71</v>
      </c>
      <c r="Z44" s="43">
        <f>AC43+Z20</f>
        <v>0</v>
      </c>
      <c r="AA44" s="44"/>
      <c r="AB44" s="44"/>
      <c r="AC44" s="44"/>
      <c r="AD44" s="44"/>
      <c r="AE44" s="45"/>
      <c r="AF44" s="12"/>
    </row>
    <row r="45" spans="1:32" x14ac:dyDescent="0.25">
      <c r="A45" s="16" t="s">
        <v>75</v>
      </c>
      <c r="B45" s="43">
        <f>C43+B20</f>
        <v>1.7964924375</v>
      </c>
      <c r="C45" s="44"/>
      <c r="D45" s="44"/>
      <c r="E45" s="44"/>
      <c r="F45" s="44"/>
      <c r="G45" s="45"/>
      <c r="H45" s="12"/>
      <c r="I45" s="16" t="s">
        <v>75</v>
      </c>
      <c r="J45" s="43">
        <f>K43+J20</f>
        <v>0</v>
      </c>
      <c r="K45" s="44"/>
      <c r="L45" s="44"/>
      <c r="M45" s="44"/>
      <c r="N45" s="44"/>
      <c r="O45" s="45"/>
      <c r="P45" s="12"/>
      <c r="Q45" s="16" t="s">
        <v>75</v>
      </c>
      <c r="R45" s="43">
        <f>S43+R20</f>
        <v>0</v>
      </c>
      <c r="S45" s="44"/>
      <c r="T45" s="44"/>
      <c r="U45" s="44"/>
      <c r="V45" s="44"/>
      <c r="W45" s="45"/>
      <c r="X45" s="12"/>
      <c r="Y45" s="16" t="s">
        <v>75</v>
      </c>
      <c r="Z45" s="43">
        <f>AA43+Z20</f>
        <v>0</v>
      </c>
      <c r="AA45" s="44"/>
      <c r="AB45" s="44"/>
      <c r="AC45" s="44"/>
      <c r="AD45" s="44"/>
      <c r="AE45" s="45"/>
      <c r="AF45" s="12"/>
    </row>
    <row r="46" spans="1:32" x14ac:dyDescent="0.25">
      <c r="A46" s="16" t="s">
        <v>74</v>
      </c>
      <c r="B46" s="43">
        <f>IFERROR((G43/10/B44),0)</f>
        <v>0.4177067298338254</v>
      </c>
      <c r="C46" s="44"/>
      <c r="D46" s="44"/>
      <c r="E46" s="44"/>
      <c r="F46" s="44"/>
      <c r="G46" s="45"/>
      <c r="H46" s="12"/>
      <c r="I46" s="16" t="s">
        <v>74</v>
      </c>
      <c r="J46" s="43">
        <f>IFERROR((O43/10/J44),0)</f>
        <v>0</v>
      </c>
      <c r="K46" s="44"/>
      <c r="L46" s="44"/>
      <c r="M46" s="44"/>
      <c r="N46" s="44"/>
      <c r="O46" s="45"/>
      <c r="P46" s="12"/>
      <c r="Q46" s="16" t="s">
        <v>74</v>
      </c>
      <c r="R46" s="43">
        <f>IFERROR((W43/10/R44),0)</f>
        <v>0</v>
      </c>
      <c r="S46" s="44"/>
      <c r="T46" s="44"/>
      <c r="U46" s="44"/>
      <c r="V46" s="44"/>
      <c r="W46" s="45"/>
      <c r="X46" s="12"/>
      <c r="Y46" s="16" t="s">
        <v>74</v>
      </c>
      <c r="Z46" s="43">
        <f>IFERROR((AE43/10/Z44),0)</f>
        <v>0</v>
      </c>
      <c r="AA46" s="44"/>
      <c r="AB46" s="44"/>
      <c r="AC46" s="44"/>
      <c r="AD46" s="44"/>
      <c r="AE46" s="45"/>
      <c r="AF46" s="12"/>
    </row>
    <row r="47" spans="1:32" x14ac:dyDescent="0.25">
      <c r="A47" s="16" t="s">
        <v>70</v>
      </c>
      <c r="B47" s="43">
        <f>IFERROR((9.82 * F43) * LN(B44/B45),0)</f>
        <v>8003.3365648910458</v>
      </c>
      <c r="C47" s="44"/>
      <c r="D47" s="44"/>
      <c r="E47" s="44"/>
      <c r="F47" s="44"/>
      <c r="G47" s="45"/>
      <c r="H47" s="12"/>
      <c r="I47" s="16" t="s">
        <v>70</v>
      </c>
      <c r="J47" s="43">
        <f>IFERROR((9.82 * N43) * LN(J44/J45),0)</f>
        <v>0</v>
      </c>
      <c r="K47" s="44"/>
      <c r="L47" s="44"/>
      <c r="M47" s="44"/>
      <c r="N47" s="44"/>
      <c r="O47" s="45"/>
      <c r="P47" s="12"/>
      <c r="Q47" s="16" t="s">
        <v>70</v>
      </c>
      <c r="R47" s="43">
        <f>IFERROR((9.82 * V43) * LN(R44/R45),0)</f>
        <v>0</v>
      </c>
      <c r="S47" s="44"/>
      <c r="T47" s="44"/>
      <c r="U47" s="44"/>
      <c r="V47" s="44"/>
      <c r="W47" s="45"/>
      <c r="X47" s="12"/>
      <c r="Y47" s="16" t="s">
        <v>70</v>
      </c>
      <c r="Z47" s="43">
        <f>IFERROR((9.82 * AD43) * LN(Z44/Z45),0)</f>
        <v>0</v>
      </c>
      <c r="AA47" s="44"/>
      <c r="AB47" s="44"/>
      <c r="AC47" s="44"/>
      <c r="AD47" s="44"/>
      <c r="AE47" s="45"/>
      <c r="AF47" s="12"/>
    </row>
    <row r="48" spans="1:32" ht="15.75" thickBot="1" x14ac:dyDescent="0.3">
      <c r="A48" s="17" t="s">
        <v>72</v>
      </c>
      <c r="B48" s="40">
        <f>B47+B24</f>
        <v>8003.3365648910458</v>
      </c>
      <c r="C48" s="41"/>
      <c r="D48" s="41"/>
      <c r="E48" s="41"/>
      <c r="F48" s="41"/>
      <c r="G48" s="42"/>
      <c r="H48" s="12"/>
      <c r="I48" s="17" t="s">
        <v>72</v>
      </c>
      <c r="J48" s="40">
        <f>J47+J24</f>
        <v>0</v>
      </c>
      <c r="K48" s="41"/>
      <c r="L48" s="41"/>
      <c r="M48" s="41"/>
      <c r="N48" s="41"/>
      <c r="O48" s="42"/>
      <c r="P48" s="12"/>
      <c r="Q48" s="17" t="s">
        <v>72</v>
      </c>
      <c r="R48" s="40">
        <f>R47+R24</f>
        <v>0</v>
      </c>
      <c r="S48" s="41"/>
      <c r="T48" s="41"/>
      <c r="U48" s="41"/>
      <c r="V48" s="41"/>
      <c r="W48" s="42"/>
      <c r="X48" s="12"/>
      <c r="Y48" s="17" t="s">
        <v>72</v>
      </c>
      <c r="Z48" s="40">
        <f>Z47+Z24</f>
        <v>0</v>
      </c>
      <c r="AA48" s="41"/>
      <c r="AB48" s="41"/>
      <c r="AC48" s="41"/>
      <c r="AD48" s="41"/>
      <c r="AE48" s="42"/>
      <c r="AF48" s="12"/>
    </row>
    <row r="49" spans="1:32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5">
      <c r="A50" s="7" t="s">
        <v>0</v>
      </c>
      <c r="B50" s="8" t="s">
        <v>60</v>
      </c>
      <c r="C50" s="8" t="s">
        <v>3</v>
      </c>
      <c r="D50" s="8" t="s">
        <v>66</v>
      </c>
      <c r="E50" s="8" t="s">
        <v>67</v>
      </c>
      <c r="F50" s="8" t="s">
        <v>6</v>
      </c>
      <c r="G50" s="9" t="s">
        <v>7</v>
      </c>
      <c r="H50" s="12"/>
      <c r="I50" s="7" t="s">
        <v>0</v>
      </c>
      <c r="J50" s="8" t="s">
        <v>60</v>
      </c>
      <c r="K50" s="8" t="s">
        <v>3</v>
      </c>
      <c r="L50" s="8" t="s">
        <v>66</v>
      </c>
      <c r="M50" s="8" t="s">
        <v>67</v>
      </c>
      <c r="N50" s="8" t="s">
        <v>6</v>
      </c>
      <c r="O50" s="9" t="s">
        <v>7</v>
      </c>
      <c r="P50" s="12"/>
      <c r="Q50" s="7" t="s">
        <v>0</v>
      </c>
      <c r="R50" s="8" t="s">
        <v>60</v>
      </c>
      <c r="S50" s="8" t="s">
        <v>3</v>
      </c>
      <c r="T50" s="8" t="s">
        <v>66</v>
      </c>
      <c r="U50" s="8" t="s">
        <v>67</v>
      </c>
      <c r="V50" s="8" t="s">
        <v>6</v>
      </c>
      <c r="W50" s="9" t="s">
        <v>7</v>
      </c>
      <c r="X50" s="12"/>
      <c r="Y50" s="7" t="s">
        <v>0</v>
      </c>
      <c r="Z50" s="8" t="s">
        <v>60</v>
      </c>
      <c r="AA50" s="8" t="s">
        <v>3</v>
      </c>
      <c r="AB50" s="8" t="s">
        <v>66</v>
      </c>
      <c r="AC50" s="8" t="s">
        <v>67</v>
      </c>
      <c r="AD50" s="8" t="s">
        <v>6</v>
      </c>
      <c r="AE50" s="9" t="s">
        <v>7</v>
      </c>
      <c r="AF50" s="12"/>
    </row>
    <row r="51" spans="1:32" x14ac:dyDescent="0.25">
      <c r="A51" s="11"/>
      <c r="B51" s="6"/>
      <c r="C51" s="4">
        <f>IFERROR(VLOOKUP(A51,parts!$A$2:$Z$300,12,FALSE)*B51,0)</f>
        <v>0</v>
      </c>
      <c r="D51" s="4">
        <f>IFERROR(VLOOKUP(A51,parts!$A$2:$Z$300,13,FALSE)*B51,0)</f>
        <v>0</v>
      </c>
      <c r="E51" s="4">
        <f>IFERROR(VLOOKUP(A51,parts!$A$2:$Z$300,14,FALSE)*B51,0)</f>
        <v>0</v>
      </c>
      <c r="F51" s="4">
        <f>IFERROR(VLOOKUP(A51,parts!$A$2:$Z$300,6,FALSE),0)</f>
        <v>0</v>
      </c>
      <c r="G51" s="4">
        <f>IFERROR(VLOOKUP(A51,parts!$A$2:$Z$300,7,FALSE)*B51,0)</f>
        <v>0</v>
      </c>
      <c r="H51" s="12"/>
      <c r="I51" s="11"/>
      <c r="J51" s="6"/>
      <c r="K51" s="4">
        <f>IFERROR(VLOOKUP(I51,parts!$A$2:$Z$300,12,FALSE)*J51,0)</f>
        <v>0</v>
      </c>
      <c r="L51" s="4">
        <f>IFERROR(VLOOKUP(I51,parts!$A$2:$Z$300,13,FALSE)*J51,0)</f>
        <v>0</v>
      </c>
      <c r="M51" s="4">
        <f>IFERROR(VLOOKUP(I51,parts!$A$2:$Z$300,14,FALSE)*J51,0)</f>
        <v>0</v>
      </c>
      <c r="N51" s="4">
        <f>IFERROR(VLOOKUP(I51,parts!$A$2:$Z$300,6,FALSE),0)</f>
        <v>0</v>
      </c>
      <c r="O51" s="4">
        <f>IFERROR(VLOOKUP(I51,parts!$A$2:$Z$300,7,FALSE)*J51,0)</f>
        <v>0</v>
      </c>
      <c r="P51" s="12"/>
      <c r="Q51" s="11"/>
      <c r="R51" s="6"/>
      <c r="S51" s="4">
        <f>IFERROR(VLOOKUP(Q51,parts!$A$2:$Z$300,12,FALSE)*R51,0)</f>
        <v>0</v>
      </c>
      <c r="T51" s="4">
        <f>IFERROR(VLOOKUP(Q51,parts!$A$2:$Z$300,13,FALSE)*R51,0)</f>
        <v>0</v>
      </c>
      <c r="U51" s="4">
        <f>IFERROR(VLOOKUP(Q51,parts!$A$2:$Z$300,14,FALSE)*R51,0)</f>
        <v>0</v>
      </c>
      <c r="V51" s="4">
        <f>IFERROR(VLOOKUP(Q51,parts!$A$2:$Z$300,6,FALSE),0)</f>
        <v>0</v>
      </c>
      <c r="W51" s="4">
        <f>IFERROR(VLOOKUP(Q51,parts!$A$2:$Z$300,7,FALSE)*R51,0)</f>
        <v>0</v>
      </c>
      <c r="X51" s="12"/>
      <c r="Y51" s="11"/>
      <c r="Z51" s="6"/>
      <c r="AA51" s="4">
        <f>IFERROR(VLOOKUP(Y51,parts!$A$2:$Z$300,12,FALSE)*Z51,0)</f>
        <v>0</v>
      </c>
      <c r="AB51" s="4">
        <f>IFERROR(VLOOKUP(Y51,parts!$A$2:$Z$300,13,FALSE)*Z51,0)</f>
        <v>0</v>
      </c>
      <c r="AC51" s="4">
        <f>IFERROR(VLOOKUP(Y51,parts!$A$2:$Z$300,14,FALSE)*Z51,0)</f>
        <v>0</v>
      </c>
      <c r="AD51" s="4">
        <f>IFERROR(VLOOKUP(Y51,parts!$A$2:$Z$300,6,FALSE),0)</f>
        <v>0</v>
      </c>
      <c r="AE51" s="4">
        <f>IFERROR(VLOOKUP(Y51,parts!$A$2:$Z$300,7,FALSE)*Z51,0)</f>
        <v>0</v>
      </c>
      <c r="AF51" s="12"/>
    </row>
    <row r="52" spans="1:32" x14ac:dyDescent="0.25">
      <c r="A52" s="11"/>
      <c r="B52" s="6"/>
      <c r="C52" s="4">
        <f>IFERROR(VLOOKUP(A52,parts!$A$2:$Z$300,12,FALSE)*B52,0)</f>
        <v>0</v>
      </c>
      <c r="D52" s="4">
        <f>IFERROR(VLOOKUP(A52,parts!$A$2:$Z$300,13,FALSE)*B52,0)</f>
        <v>0</v>
      </c>
      <c r="E52" s="4">
        <f>IFERROR(VLOOKUP(A52,parts!$A$2:$Z$300,14,FALSE)*B52,0)</f>
        <v>0</v>
      </c>
      <c r="F52" s="4">
        <f>IFERROR(VLOOKUP(A52,parts!$A$2:$Z$300,6,FALSE),0)</f>
        <v>0</v>
      </c>
      <c r="G52" s="4">
        <f>IFERROR(VLOOKUP(A52,parts!$A$2:$Z$300,7,FALSE)*B52,0)</f>
        <v>0</v>
      </c>
      <c r="H52" s="12"/>
      <c r="I52" s="11"/>
      <c r="J52" s="6"/>
      <c r="K52" s="4">
        <f>IFERROR(VLOOKUP(I52,parts!$A$2:$Z$300,12,FALSE)*J52,0)</f>
        <v>0</v>
      </c>
      <c r="L52" s="4">
        <f>IFERROR(VLOOKUP(I52,parts!$A$2:$Z$300,13,FALSE)*J52,0)</f>
        <v>0</v>
      </c>
      <c r="M52" s="4">
        <f>IFERROR(VLOOKUP(I52,parts!$A$2:$Z$300,14,FALSE)*J52,0)</f>
        <v>0</v>
      </c>
      <c r="N52" s="4">
        <f>IFERROR(VLOOKUP(I52,parts!$A$2:$Z$300,6,FALSE),0)</f>
        <v>0</v>
      </c>
      <c r="O52" s="4">
        <f>IFERROR(VLOOKUP(I52,parts!$A$2:$Z$300,7,FALSE)*J52,0)</f>
        <v>0</v>
      </c>
      <c r="P52" s="12"/>
      <c r="Q52" s="11"/>
      <c r="R52" s="6"/>
      <c r="S52" s="4">
        <f>IFERROR(VLOOKUP(Q52,parts!$A$2:$Z$300,12,FALSE)*R52,0)</f>
        <v>0</v>
      </c>
      <c r="T52" s="4">
        <f>IFERROR(VLOOKUP(Q52,parts!$A$2:$Z$300,13,FALSE)*R52,0)</f>
        <v>0</v>
      </c>
      <c r="U52" s="4">
        <f>IFERROR(VLOOKUP(Q52,parts!$A$2:$Z$300,14,FALSE)*R52,0)</f>
        <v>0</v>
      </c>
      <c r="V52" s="4">
        <f>IFERROR(VLOOKUP(Q52,parts!$A$2:$Z$300,6,FALSE),0)</f>
        <v>0</v>
      </c>
      <c r="W52" s="4">
        <f>IFERROR(VLOOKUP(Q52,parts!$A$2:$Z$300,7,FALSE)*R52,0)</f>
        <v>0</v>
      </c>
      <c r="X52" s="12"/>
      <c r="Y52" s="11"/>
      <c r="Z52" s="6"/>
      <c r="AA52" s="4">
        <f>IFERROR(VLOOKUP(Y52,parts!$A$2:$Z$300,12,FALSE)*Z52,0)</f>
        <v>0</v>
      </c>
      <c r="AB52" s="4">
        <f>IFERROR(VLOOKUP(Y52,parts!$A$2:$Z$300,13,FALSE)*Z52,0)</f>
        <v>0</v>
      </c>
      <c r="AC52" s="4">
        <f>IFERROR(VLOOKUP(Y52,parts!$A$2:$Z$300,14,FALSE)*Z52,0)</f>
        <v>0</v>
      </c>
      <c r="AD52" s="4">
        <f>IFERROR(VLOOKUP(Y52,parts!$A$2:$Z$300,6,FALSE),0)</f>
        <v>0</v>
      </c>
      <c r="AE52" s="4">
        <f>IFERROR(VLOOKUP(Y52,parts!$A$2:$Z$300,7,FALSE)*Z52,0)</f>
        <v>0</v>
      </c>
      <c r="AF52" s="12"/>
    </row>
    <row r="53" spans="1:32" x14ac:dyDescent="0.25">
      <c r="A53" s="11"/>
      <c r="B53" s="6"/>
      <c r="C53" s="4">
        <f>IFERROR(VLOOKUP(A53,parts!$A$2:$Z$300,12,FALSE)*B53,0)</f>
        <v>0</v>
      </c>
      <c r="D53" s="4">
        <f>IFERROR(VLOOKUP(A53,parts!$A$2:$Z$300,13,FALSE)*B53,0)</f>
        <v>0</v>
      </c>
      <c r="E53" s="4">
        <f>IFERROR(VLOOKUP(A53,parts!$A$2:$Z$300,14,FALSE)*B53,0)</f>
        <v>0</v>
      </c>
      <c r="F53" s="4">
        <f>IFERROR(VLOOKUP(A53,parts!$A$2:$Z$300,6,FALSE),0)</f>
        <v>0</v>
      </c>
      <c r="G53" s="4">
        <f>IFERROR(VLOOKUP(A53,parts!$A$2:$Z$300,7,FALSE)*B53,0)</f>
        <v>0</v>
      </c>
      <c r="H53" s="12"/>
      <c r="I53" s="11"/>
      <c r="J53" s="6"/>
      <c r="K53" s="4">
        <f>IFERROR(VLOOKUP(I53,parts!$A$2:$Z$300,12,FALSE)*J53,0)</f>
        <v>0</v>
      </c>
      <c r="L53" s="4">
        <f>IFERROR(VLOOKUP(I53,parts!$A$2:$Z$300,13,FALSE)*J53,0)</f>
        <v>0</v>
      </c>
      <c r="M53" s="4">
        <f>IFERROR(VLOOKUP(I53,parts!$A$2:$Z$300,14,FALSE)*J53,0)</f>
        <v>0</v>
      </c>
      <c r="N53" s="4">
        <f>IFERROR(VLOOKUP(I53,parts!$A$2:$Z$300,6,FALSE),0)</f>
        <v>0</v>
      </c>
      <c r="O53" s="4">
        <f>IFERROR(VLOOKUP(I53,parts!$A$2:$Z$300,7,FALSE)*J53,0)</f>
        <v>0</v>
      </c>
      <c r="P53" s="12"/>
      <c r="Q53" s="11"/>
      <c r="R53" s="6"/>
      <c r="S53" s="4">
        <f>IFERROR(VLOOKUP(Q53,parts!$A$2:$Z$300,12,FALSE)*R53,0)</f>
        <v>0</v>
      </c>
      <c r="T53" s="4">
        <f>IFERROR(VLOOKUP(Q53,parts!$A$2:$Z$300,13,FALSE)*R53,0)</f>
        <v>0</v>
      </c>
      <c r="U53" s="4">
        <f>IFERROR(VLOOKUP(Q53,parts!$A$2:$Z$300,14,FALSE)*R53,0)</f>
        <v>0</v>
      </c>
      <c r="V53" s="4">
        <f>IFERROR(VLOOKUP(Q53,parts!$A$2:$Z$300,6,FALSE),0)</f>
        <v>0</v>
      </c>
      <c r="W53" s="4">
        <f>IFERROR(VLOOKUP(Q53,parts!$A$2:$Z$300,7,FALSE)*R53,0)</f>
        <v>0</v>
      </c>
      <c r="X53" s="12"/>
      <c r="Y53" s="11"/>
      <c r="Z53" s="6"/>
      <c r="AA53" s="4">
        <f>IFERROR(VLOOKUP(Y53,parts!$A$2:$Z$300,12,FALSE)*Z53,0)</f>
        <v>0</v>
      </c>
      <c r="AB53" s="4">
        <f>IFERROR(VLOOKUP(Y53,parts!$A$2:$Z$300,13,FALSE)*Z53,0)</f>
        <v>0</v>
      </c>
      <c r="AC53" s="4">
        <f>IFERROR(VLOOKUP(Y53,parts!$A$2:$Z$300,14,FALSE)*Z53,0)</f>
        <v>0</v>
      </c>
      <c r="AD53" s="4">
        <f>IFERROR(VLOOKUP(Y53,parts!$A$2:$Z$300,6,FALSE),0)</f>
        <v>0</v>
      </c>
      <c r="AE53" s="4">
        <f>IFERROR(VLOOKUP(Y53,parts!$A$2:$Z$300,7,FALSE)*Z53,0)</f>
        <v>0</v>
      </c>
      <c r="AF53" s="12"/>
    </row>
    <row r="54" spans="1:32" x14ac:dyDescent="0.25">
      <c r="A54" s="11"/>
      <c r="B54" s="6"/>
      <c r="C54" s="4">
        <f>IFERROR(VLOOKUP(A54,parts!$A$2:$Z$300,12,FALSE)*B54,0)</f>
        <v>0</v>
      </c>
      <c r="D54" s="4">
        <f>IFERROR(VLOOKUP(A54,parts!$A$2:$Z$300,13,FALSE)*B54,0)</f>
        <v>0</v>
      </c>
      <c r="E54" s="4">
        <f>IFERROR(VLOOKUP(A54,parts!$A$2:$Z$300,14,FALSE)*B54,0)</f>
        <v>0</v>
      </c>
      <c r="F54" s="4">
        <f>IFERROR(VLOOKUP(A54,parts!$A$2:$Z$300,6,FALSE),0)</f>
        <v>0</v>
      </c>
      <c r="G54" s="4">
        <f>IFERROR(VLOOKUP(A54,parts!$A$2:$Z$300,7,FALSE)*B54,0)</f>
        <v>0</v>
      </c>
      <c r="H54" s="12"/>
      <c r="I54" s="11"/>
      <c r="J54" s="6"/>
      <c r="K54" s="4">
        <f>IFERROR(VLOOKUP(I54,parts!$A$2:$Z$300,12,FALSE)*J54,0)</f>
        <v>0</v>
      </c>
      <c r="L54" s="4">
        <f>IFERROR(VLOOKUP(I54,parts!$A$2:$Z$300,13,FALSE)*J54,0)</f>
        <v>0</v>
      </c>
      <c r="M54" s="4">
        <f>IFERROR(VLOOKUP(I54,parts!$A$2:$Z$300,14,FALSE)*J54,0)</f>
        <v>0</v>
      </c>
      <c r="N54" s="4">
        <f>IFERROR(VLOOKUP(I54,parts!$A$2:$Z$300,6,FALSE),0)</f>
        <v>0</v>
      </c>
      <c r="O54" s="4">
        <f>IFERROR(VLOOKUP(I54,parts!$A$2:$Z$300,7,FALSE)*J54,0)</f>
        <v>0</v>
      </c>
      <c r="P54" s="12"/>
      <c r="Q54" s="11"/>
      <c r="R54" s="6"/>
      <c r="S54" s="4">
        <f>IFERROR(VLOOKUP(Q54,parts!$A$2:$Z$300,12,FALSE)*R54,0)</f>
        <v>0</v>
      </c>
      <c r="T54" s="4">
        <f>IFERROR(VLOOKUP(Q54,parts!$A$2:$Z$300,13,FALSE)*R54,0)</f>
        <v>0</v>
      </c>
      <c r="U54" s="4">
        <f>IFERROR(VLOOKUP(Q54,parts!$A$2:$Z$300,14,FALSE)*R54,0)</f>
        <v>0</v>
      </c>
      <c r="V54" s="4">
        <f>IFERROR(VLOOKUP(Q54,parts!$A$2:$Z$300,6,FALSE),0)</f>
        <v>0</v>
      </c>
      <c r="W54" s="4">
        <f>IFERROR(VLOOKUP(Q54,parts!$A$2:$Z$300,7,FALSE)*R54,0)</f>
        <v>0</v>
      </c>
      <c r="X54" s="12"/>
      <c r="Y54" s="11"/>
      <c r="Z54" s="6"/>
      <c r="AA54" s="4">
        <f>IFERROR(VLOOKUP(Y54,parts!$A$2:$Z$300,12,FALSE)*Z54,0)</f>
        <v>0</v>
      </c>
      <c r="AB54" s="4">
        <f>IFERROR(VLOOKUP(Y54,parts!$A$2:$Z$300,13,FALSE)*Z54,0)</f>
        <v>0</v>
      </c>
      <c r="AC54" s="4">
        <f>IFERROR(VLOOKUP(Y54,parts!$A$2:$Z$300,14,FALSE)*Z54,0)</f>
        <v>0</v>
      </c>
      <c r="AD54" s="4">
        <f>IFERROR(VLOOKUP(Y54,parts!$A$2:$Z$300,6,FALSE),0)</f>
        <v>0</v>
      </c>
      <c r="AE54" s="4">
        <f>IFERROR(VLOOKUP(Y54,parts!$A$2:$Z$300,7,FALSE)*Z54,0)</f>
        <v>0</v>
      </c>
      <c r="AF54" s="12"/>
    </row>
    <row r="55" spans="1:32" x14ac:dyDescent="0.25">
      <c r="A55" s="11"/>
      <c r="B55" s="6"/>
      <c r="C55" s="4">
        <f>IFERROR(VLOOKUP(A55,parts!$A$2:$Z$300,12,FALSE)*B55,0)</f>
        <v>0</v>
      </c>
      <c r="D55" s="4">
        <f>IFERROR(VLOOKUP(A55,parts!$A$2:$Z$300,13,FALSE)*B55,0)</f>
        <v>0</v>
      </c>
      <c r="E55" s="4">
        <f>IFERROR(VLOOKUP(A55,parts!$A$2:$Z$300,14,FALSE)*B55,0)</f>
        <v>0</v>
      </c>
      <c r="F55" s="4">
        <f>IFERROR(VLOOKUP(A55,parts!$A$2:$Z$300,6,FALSE),0)</f>
        <v>0</v>
      </c>
      <c r="G55" s="4">
        <f>IFERROR(VLOOKUP(A55,parts!$A$2:$Z$300,7,FALSE)*B55,0)</f>
        <v>0</v>
      </c>
      <c r="H55" s="12"/>
      <c r="I55" s="11"/>
      <c r="J55" s="6"/>
      <c r="K55" s="4">
        <f>IFERROR(VLOOKUP(I55,parts!$A$2:$Z$300,12,FALSE)*J55,0)</f>
        <v>0</v>
      </c>
      <c r="L55" s="4">
        <f>IFERROR(VLOOKUP(I55,parts!$A$2:$Z$300,13,FALSE)*J55,0)</f>
        <v>0</v>
      </c>
      <c r="M55" s="4">
        <f>IFERROR(VLOOKUP(I55,parts!$A$2:$Z$300,14,FALSE)*J55,0)</f>
        <v>0</v>
      </c>
      <c r="N55" s="4">
        <f>IFERROR(VLOOKUP(I55,parts!$A$2:$Z$300,6,FALSE),0)</f>
        <v>0</v>
      </c>
      <c r="O55" s="4">
        <f>IFERROR(VLOOKUP(I55,parts!$A$2:$Z$300,7,FALSE)*J55,0)</f>
        <v>0</v>
      </c>
      <c r="P55" s="12"/>
      <c r="Q55" s="11"/>
      <c r="R55" s="6"/>
      <c r="S55" s="4">
        <f>IFERROR(VLOOKUP(Q55,parts!$A$2:$Z$300,12,FALSE)*R55,0)</f>
        <v>0</v>
      </c>
      <c r="T55" s="4">
        <f>IFERROR(VLOOKUP(Q55,parts!$A$2:$Z$300,13,FALSE)*R55,0)</f>
        <v>0</v>
      </c>
      <c r="U55" s="4">
        <f>IFERROR(VLOOKUP(Q55,parts!$A$2:$Z$300,14,FALSE)*R55,0)</f>
        <v>0</v>
      </c>
      <c r="V55" s="4">
        <f>IFERROR(VLOOKUP(Q55,parts!$A$2:$Z$300,6,FALSE),0)</f>
        <v>0</v>
      </c>
      <c r="W55" s="4">
        <f>IFERROR(VLOOKUP(Q55,parts!$A$2:$Z$300,7,FALSE)*R55,0)</f>
        <v>0</v>
      </c>
      <c r="X55" s="12"/>
      <c r="Y55" s="11"/>
      <c r="Z55" s="6"/>
      <c r="AA55" s="4">
        <f>IFERROR(VLOOKUP(Y55,parts!$A$2:$Z$300,12,FALSE)*Z55,0)</f>
        <v>0</v>
      </c>
      <c r="AB55" s="4">
        <f>IFERROR(VLOOKUP(Y55,parts!$A$2:$Z$300,13,FALSE)*Z55,0)</f>
        <v>0</v>
      </c>
      <c r="AC55" s="4">
        <f>IFERROR(VLOOKUP(Y55,parts!$A$2:$Z$300,14,FALSE)*Z55,0)</f>
        <v>0</v>
      </c>
      <c r="AD55" s="4">
        <f>IFERROR(VLOOKUP(Y55,parts!$A$2:$Z$300,6,FALSE),0)</f>
        <v>0</v>
      </c>
      <c r="AE55" s="4">
        <f>IFERROR(VLOOKUP(Y55,parts!$A$2:$Z$300,7,FALSE)*Z55,0)</f>
        <v>0</v>
      </c>
      <c r="AF55" s="12"/>
    </row>
    <row r="56" spans="1:32" x14ac:dyDescent="0.25">
      <c r="A56" s="11"/>
      <c r="B56" s="6"/>
      <c r="C56" s="4">
        <f>IFERROR(VLOOKUP(A56,parts!$A$2:$Z$300,12,FALSE)*B56,0)</f>
        <v>0</v>
      </c>
      <c r="D56" s="4">
        <f>IFERROR(VLOOKUP(A56,parts!$A$2:$Z$300,13,FALSE)*B56,0)</f>
        <v>0</v>
      </c>
      <c r="E56" s="4">
        <f>IFERROR(VLOOKUP(A56,parts!$A$2:$Z$300,14,FALSE)*B56,0)</f>
        <v>0</v>
      </c>
      <c r="F56" s="4">
        <f>IFERROR(VLOOKUP(A56,parts!$A$2:$Z$300,6,FALSE),0)</f>
        <v>0</v>
      </c>
      <c r="G56" s="4">
        <f>IFERROR(VLOOKUP(A56,parts!$A$2:$Z$300,7,FALSE)*B56,0)</f>
        <v>0</v>
      </c>
      <c r="H56" s="12"/>
      <c r="I56" s="11"/>
      <c r="J56" s="6"/>
      <c r="K56" s="4">
        <f>IFERROR(VLOOKUP(I56,parts!$A$2:$Z$300,12,FALSE)*J56,0)</f>
        <v>0</v>
      </c>
      <c r="L56" s="4">
        <f>IFERROR(VLOOKUP(I56,parts!$A$2:$Z$300,13,FALSE)*J56,0)</f>
        <v>0</v>
      </c>
      <c r="M56" s="4">
        <f>IFERROR(VLOOKUP(I56,parts!$A$2:$Z$300,14,FALSE)*J56,0)</f>
        <v>0</v>
      </c>
      <c r="N56" s="4">
        <f>IFERROR(VLOOKUP(I56,parts!$A$2:$Z$300,6,FALSE),0)</f>
        <v>0</v>
      </c>
      <c r="O56" s="4">
        <f>IFERROR(VLOOKUP(I56,parts!$A$2:$Z$300,7,FALSE)*J56,0)</f>
        <v>0</v>
      </c>
      <c r="P56" s="12"/>
      <c r="Q56" s="11"/>
      <c r="R56" s="6"/>
      <c r="S56" s="4">
        <f>IFERROR(VLOOKUP(Q56,parts!$A$2:$Z$300,12,FALSE)*R56,0)</f>
        <v>0</v>
      </c>
      <c r="T56" s="4">
        <f>IFERROR(VLOOKUP(Q56,parts!$A$2:$Z$300,13,FALSE)*R56,0)</f>
        <v>0</v>
      </c>
      <c r="U56" s="4">
        <f>IFERROR(VLOOKUP(Q56,parts!$A$2:$Z$300,14,FALSE)*R56,0)</f>
        <v>0</v>
      </c>
      <c r="V56" s="4">
        <f>IFERROR(VLOOKUP(Q56,parts!$A$2:$Z$300,6,FALSE),0)</f>
        <v>0</v>
      </c>
      <c r="W56" s="4">
        <f>IFERROR(VLOOKUP(Q56,parts!$A$2:$Z$300,7,FALSE)*R56,0)</f>
        <v>0</v>
      </c>
      <c r="X56" s="12"/>
      <c r="Y56" s="11"/>
      <c r="Z56" s="6"/>
      <c r="AA56" s="4">
        <f>IFERROR(VLOOKUP(Y56,parts!$A$2:$Z$300,12,FALSE)*Z56,0)</f>
        <v>0</v>
      </c>
      <c r="AB56" s="4">
        <f>IFERROR(VLOOKUP(Y56,parts!$A$2:$Z$300,13,FALSE)*Z56,0)</f>
        <v>0</v>
      </c>
      <c r="AC56" s="4">
        <f>IFERROR(VLOOKUP(Y56,parts!$A$2:$Z$300,14,FALSE)*Z56,0)</f>
        <v>0</v>
      </c>
      <c r="AD56" s="4">
        <f>IFERROR(VLOOKUP(Y56,parts!$A$2:$Z$300,6,FALSE),0)</f>
        <v>0</v>
      </c>
      <c r="AE56" s="4">
        <f>IFERROR(VLOOKUP(Y56,parts!$A$2:$Z$300,7,FALSE)*Z56,0)</f>
        <v>0</v>
      </c>
      <c r="AF56" s="12"/>
    </row>
    <row r="57" spans="1:32" x14ac:dyDescent="0.25">
      <c r="A57" s="11"/>
      <c r="B57" s="6"/>
      <c r="C57" s="4">
        <f>IFERROR(VLOOKUP(A57,parts!$A$2:$Z$300,12,FALSE)*B57,0)</f>
        <v>0</v>
      </c>
      <c r="D57" s="4">
        <f>IFERROR(VLOOKUP(A57,parts!$A$2:$Z$300,13,FALSE)*B57,0)</f>
        <v>0</v>
      </c>
      <c r="E57" s="4">
        <f>IFERROR(VLOOKUP(A57,parts!$A$2:$Z$300,14,FALSE)*B57,0)</f>
        <v>0</v>
      </c>
      <c r="F57" s="4">
        <f>IFERROR(VLOOKUP(A57,parts!$A$2:$Z$300,6,FALSE),0)</f>
        <v>0</v>
      </c>
      <c r="G57" s="4">
        <f>IFERROR(VLOOKUP(A57,parts!$A$2:$Z$300,7,FALSE)*B57,0)</f>
        <v>0</v>
      </c>
      <c r="H57" s="12"/>
      <c r="I57" s="11"/>
      <c r="J57" s="6"/>
      <c r="K57" s="4">
        <f>IFERROR(VLOOKUP(I57,parts!$A$2:$Z$300,12,FALSE)*J57,0)</f>
        <v>0</v>
      </c>
      <c r="L57" s="4">
        <f>IFERROR(VLOOKUP(I57,parts!$A$2:$Z$300,13,FALSE)*J57,0)</f>
        <v>0</v>
      </c>
      <c r="M57" s="4">
        <f>IFERROR(VLOOKUP(I57,parts!$A$2:$Z$300,14,FALSE)*J57,0)</f>
        <v>0</v>
      </c>
      <c r="N57" s="4">
        <f>IFERROR(VLOOKUP(I57,parts!$A$2:$Z$300,6,FALSE),0)</f>
        <v>0</v>
      </c>
      <c r="O57" s="4">
        <f>IFERROR(VLOOKUP(I57,parts!$A$2:$Z$300,7,FALSE)*J57,0)</f>
        <v>0</v>
      </c>
      <c r="P57" s="12"/>
      <c r="Q57" s="11"/>
      <c r="R57" s="6"/>
      <c r="S57" s="4">
        <f>IFERROR(VLOOKUP(Q57,parts!$A$2:$Z$300,12,FALSE)*R57,0)</f>
        <v>0</v>
      </c>
      <c r="T57" s="4">
        <f>IFERROR(VLOOKUP(Q57,parts!$A$2:$Z$300,13,FALSE)*R57,0)</f>
        <v>0</v>
      </c>
      <c r="U57" s="4">
        <f>IFERROR(VLOOKUP(Q57,parts!$A$2:$Z$300,14,FALSE)*R57,0)</f>
        <v>0</v>
      </c>
      <c r="V57" s="4">
        <f>IFERROR(VLOOKUP(Q57,parts!$A$2:$Z$300,6,FALSE),0)</f>
        <v>0</v>
      </c>
      <c r="W57" s="4">
        <f>IFERROR(VLOOKUP(Q57,parts!$A$2:$Z$300,7,FALSE)*R57,0)</f>
        <v>0</v>
      </c>
      <c r="X57" s="12"/>
      <c r="Y57" s="11"/>
      <c r="Z57" s="6"/>
      <c r="AA57" s="4">
        <f>IFERROR(VLOOKUP(Y57,parts!$A$2:$Z$300,12,FALSE)*Z57,0)</f>
        <v>0</v>
      </c>
      <c r="AB57" s="4">
        <f>IFERROR(VLOOKUP(Y57,parts!$A$2:$Z$300,13,FALSE)*Z57,0)</f>
        <v>0</v>
      </c>
      <c r="AC57" s="4">
        <f>IFERROR(VLOOKUP(Y57,parts!$A$2:$Z$300,14,FALSE)*Z57,0)</f>
        <v>0</v>
      </c>
      <c r="AD57" s="4">
        <f>IFERROR(VLOOKUP(Y57,parts!$A$2:$Z$300,6,FALSE),0)</f>
        <v>0</v>
      </c>
      <c r="AE57" s="4">
        <f>IFERROR(VLOOKUP(Y57,parts!$A$2:$Z$300,7,FALSE)*Z57,0)</f>
        <v>0</v>
      </c>
      <c r="AF57" s="12"/>
    </row>
    <row r="58" spans="1:32" x14ac:dyDescent="0.25">
      <c r="A58" s="11"/>
      <c r="B58" s="6"/>
      <c r="C58" s="4">
        <f>IFERROR(VLOOKUP(A58,parts!$A$2:$Z$300,12,FALSE)*B58,0)</f>
        <v>0</v>
      </c>
      <c r="D58" s="4">
        <f>IFERROR(VLOOKUP(A58,parts!$A$2:$Z$300,13,FALSE)*B58,0)</f>
        <v>0</v>
      </c>
      <c r="E58" s="4">
        <f>IFERROR(VLOOKUP(A58,parts!$A$2:$Z$300,14,FALSE)*B58,0)</f>
        <v>0</v>
      </c>
      <c r="F58" s="4">
        <f>IFERROR(VLOOKUP(A58,parts!$A$2:$Z$300,6,FALSE),0)</f>
        <v>0</v>
      </c>
      <c r="G58" s="4">
        <f>IFERROR(VLOOKUP(A58,parts!$A$2:$Z$300,7,FALSE)*B58,0)</f>
        <v>0</v>
      </c>
      <c r="H58" s="12"/>
      <c r="I58" s="11"/>
      <c r="J58" s="6"/>
      <c r="K58" s="4">
        <f>IFERROR(VLOOKUP(I58,parts!$A$2:$Z$300,12,FALSE)*J58,0)</f>
        <v>0</v>
      </c>
      <c r="L58" s="4">
        <f>IFERROR(VLOOKUP(I58,parts!$A$2:$Z$300,13,FALSE)*J58,0)</f>
        <v>0</v>
      </c>
      <c r="M58" s="4">
        <f>IFERROR(VLOOKUP(I58,parts!$A$2:$Z$300,14,FALSE)*J58,0)</f>
        <v>0</v>
      </c>
      <c r="N58" s="4">
        <f>IFERROR(VLOOKUP(I58,parts!$A$2:$Z$300,6,FALSE),0)</f>
        <v>0</v>
      </c>
      <c r="O58" s="4">
        <f>IFERROR(VLOOKUP(I58,parts!$A$2:$Z$300,7,FALSE)*J58,0)</f>
        <v>0</v>
      </c>
      <c r="P58" s="12"/>
      <c r="Q58" s="11"/>
      <c r="R58" s="6"/>
      <c r="S58" s="4">
        <f>IFERROR(VLOOKUP(Q58,parts!$A$2:$Z$300,12,FALSE)*R58,0)</f>
        <v>0</v>
      </c>
      <c r="T58" s="4">
        <f>IFERROR(VLOOKUP(Q58,parts!$A$2:$Z$300,13,FALSE)*R58,0)</f>
        <v>0</v>
      </c>
      <c r="U58" s="4">
        <f>IFERROR(VLOOKUP(Q58,parts!$A$2:$Z$300,14,FALSE)*R58,0)</f>
        <v>0</v>
      </c>
      <c r="V58" s="4">
        <f>IFERROR(VLOOKUP(Q58,parts!$A$2:$Z$300,6,FALSE),0)</f>
        <v>0</v>
      </c>
      <c r="W58" s="4">
        <f>IFERROR(VLOOKUP(Q58,parts!$A$2:$Z$300,7,FALSE)*R58,0)</f>
        <v>0</v>
      </c>
      <c r="X58" s="12"/>
      <c r="Y58" s="11"/>
      <c r="Z58" s="6"/>
      <c r="AA58" s="4">
        <f>IFERROR(VLOOKUP(Y58,parts!$A$2:$Z$300,12,FALSE)*Z58,0)</f>
        <v>0</v>
      </c>
      <c r="AB58" s="4">
        <f>IFERROR(VLOOKUP(Y58,parts!$A$2:$Z$300,13,FALSE)*Z58,0)</f>
        <v>0</v>
      </c>
      <c r="AC58" s="4">
        <f>IFERROR(VLOOKUP(Y58,parts!$A$2:$Z$300,14,FALSE)*Z58,0)</f>
        <v>0</v>
      </c>
      <c r="AD58" s="4">
        <f>IFERROR(VLOOKUP(Y58,parts!$A$2:$Z$300,6,FALSE),0)</f>
        <v>0</v>
      </c>
      <c r="AE58" s="4">
        <f>IFERROR(VLOOKUP(Y58,parts!$A$2:$Z$300,7,FALSE)*Z58,0)</f>
        <v>0</v>
      </c>
      <c r="AF58" s="12"/>
    </row>
    <row r="59" spans="1:32" x14ac:dyDescent="0.25">
      <c r="A59" s="11"/>
      <c r="B59" s="6"/>
      <c r="C59" s="4">
        <f>IFERROR(VLOOKUP(A59,parts!$A$2:$Z$300,12,FALSE)*B59,0)</f>
        <v>0</v>
      </c>
      <c r="D59" s="4">
        <f>IFERROR(VLOOKUP(A59,parts!$A$2:$Z$300,13,FALSE)*B59,0)</f>
        <v>0</v>
      </c>
      <c r="E59" s="4">
        <f>IFERROR(VLOOKUP(A59,parts!$A$2:$Z$300,14,FALSE)*B59,0)</f>
        <v>0</v>
      </c>
      <c r="F59" s="4">
        <f>IFERROR(VLOOKUP(A59,parts!$A$2:$Z$300,6,FALSE),0)</f>
        <v>0</v>
      </c>
      <c r="G59" s="4">
        <f>IFERROR(VLOOKUP(A59,parts!$A$2:$Z$300,7,FALSE)*B59,0)</f>
        <v>0</v>
      </c>
      <c r="H59" s="12"/>
      <c r="I59" s="11"/>
      <c r="J59" s="6"/>
      <c r="K59" s="4">
        <f>IFERROR(VLOOKUP(I59,parts!$A$2:$Z$300,12,FALSE)*J59,0)</f>
        <v>0</v>
      </c>
      <c r="L59" s="4">
        <f>IFERROR(VLOOKUP(I59,parts!$A$2:$Z$300,13,FALSE)*J59,0)</f>
        <v>0</v>
      </c>
      <c r="M59" s="4">
        <f>IFERROR(VLOOKUP(I59,parts!$A$2:$Z$300,14,FALSE)*J59,0)</f>
        <v>0</v>
      </c>
      <c r="N59" s="4">
        <f>IFERROR(VLOOKUP(I59,parts!$A$2:$Z$300,6,FALSE),0)</f>
        <v>0</v>
      </c>
      <c r="O59" s="4">
        <f>IFERROR(VLOOKUP(I59,parts!$A$2:$Z$300,7,FALSE)*J59,0)</f>
        <v>0</v>
      </c>
      <c r="P59" s="12"/>
      <c r="Q59" s="11"/>
      <c r="R59" s="6"/>
      <c r="S59" s="4">
        <f>IFERROR(VLOOKUP(Q59,parts!$A$2:$Z$300,12,FALSE)*R59,0)</f>
        <v>0</v>
      </c>
      <c r="T59" s="4">
        <f>IFERROR(VLOOKUP(Q59,parts!$A$2:$Z$300,13,FALSE)*R59,0)</f>
        <v>0</v>
      </c>
      <c r="U59" s="4">
        <f>IFERROR(VLOOKUP(Q59,parts!$A$2:$Z$300,14,FALSE)*R59,0)</f>
        <v>0</v>
      </c>
      <c r="V59" s="4">
        <f>IFERROR(VLOOKUP(Q59,parts!$A$2:$Z$300,6,FALSE),0)</f>
        <v>0</v>
      </c>
      <c r="W59" s="4">
        <f>IFERROR(VLOOKUP(Q59,parts!$A$2:$Z$300,7,FALSE)*R59,0)</f>
        <v>0</v>
      </c>
      <c r="X59" s="12"/>
      <c r="Y59" s="11"/>
      <c r="Z59" s="6"/>
      <c r="AA59" s="4">
        <f>IFERROR(VLOOKUP(Y59,parts!$A$2:$Z$300,12,FALSE)*Z59,0)</f>
        <v>0</v>
      </c>
      <c r="AB59" s="4">
        <f>IFERROR(VLOOKUP(Y59,parts!$A$2:$Z$300,13,FALSE)*Z59,0)</f>
        <v>0</v>
      </c>
      <c r="AC59" s="4">
        <f>IFERROR(VLOOKUP(Y59,parts!$A$2:$Z$300,14,FALSE)*Z59,0)</f>
        <v>0</v>
      </c>
      <c r="AD59" s="4">
        <f>IFERROR(VLOOKUP(Y59,parts!$A$2:$Z$300,6,FALSE),0)</f>
        <v>0</v>
      </c>
      <c r="AE59" s="4">
        <f>IFERROR(VLOOKUP(Y59,parts!$A$2:$Z$300,7,FALSE)*Z59,0)</f>
        <v>0</v>
      </c>
      <c r="AF59" s="12"/>
    </row>
    <row r="60" spans="1:32" x14ac:dyDescent="0.25">
      <c r="A60" s="11"/>
      <c r="B60" s="6"/>
      <c r="C60" s="4">
        <f>IFERROR(VLOOKUP(A60,parts!$A$2:$Z$300,12,FALSE)*B60,0)</f>
        <v>0</v>
      </c>
      <c r="D60" s="4">
        <f>IFERROR(VLOOKUP(A60,parts!$A$2:$Z$300,13,FALSE)*B60,0)</f>
        <v>0</v>
      </c>
      <c r="E60" s="4">
        <f>IFERROR(VLOOKUP(A60,parts!$A$2:$Z$300,14,FALSE)*B60,0)</f>
        <v>0</v>
      </c>
      <c r="F60" s="4">
        <f>IFERROR(VLOOKUP(A60,parts!$A$2:$Z$300,6,FALSE),0)</f>
        <v>0</v>
      </c>
      <c r="G60" s="4">
        <f>IFERROR(VLOOKUP(A60,parts!$A$2:$Z$300,7,FALSE)*B60,0)</f>
        <v>0</v>
      </c>
      <c r="H60" s="12"/>
      <c r="I60" s="11"/>
      <c r="J60" s="6"/>
      <c r="K60" s="4">
        <f>IFERROR(VLOOKUP(I60,parts!$A$2:$Z$300,12,FALSE)*J60,0)</f>
        <v>0</v>
      </c>
      <c r="L60" s="4">
        <f>IFERROR(VLOOKUP(I60,parts!$A$2:$Z$300,13,FALSE)*J60,0)</f>
        <v>0</v>
      </c>
      <c r="M60" s="4">
        <f>IFERROR(VLOOKUP(I60,parts!$A$2:$Z$300,14,FALSE)*J60,0)</f>
        <v>0</v>
      </c>
      <c r="N60" s="4">
        <f>IFERROR(VLOOKUP(I60,parts!$A$2:$Z$300,6,FALSE),0)</f>
        <v>0</v>
      </c>
      <c r="O60" s="4">
        <f>IFERROR(VLOOKUP(I60,parts!$A$2:$Z$300,7,FALSE)*J60,0)</f>
        <v>0</v>
      </c>
      <c r="P60" s="12"/>
      <c r="Q60" s="11"/>
      <c r="R60" s="6"/>
      <c r="S60" s="4">
        <f>IFERROR(VLOOKUP(Q60,parts!$A$2:$Z$300,12,FALSE)*R60,0)</f>
        <v>0</v>
      </c>
      <c r="T60" s="4">
        <f>IFERROR(VLOOKUP(Q60,parts!$A$2:$Z$300,13,FALSE)*R60,0)</f>
        <v>0</v>
      </c>
      <c r="U60" s="4">
        <f>IFERROR(VLOOKUP(Q60,parts!$A$2:$Z$300,14,FALSE)*R60,0)</f>
        <v>0</v>
      </c>
      <c r="V60" s="4">
        <f>IFERROR(VLOOKUP(Q60,parts!$A$2:$Z$300,6,FALSE),0)</f>
        <v>0</v>
      </c>
      <c r="W60" s="4">
        <f>IFERROR(VLOOKUP(Q60,parts!$A$2:$Z$300,7,FALSE)*R60,0)</f>
        <v>0</v>
      </c>
      <c r="X60" s="12"/>
      <c r="Y60" s="11"/>
      <c r="Z60" s="6"/>
      <c r="AA60" s="4">
        <f>IFERROR(VLOOKUP(Y60,parts!$A$2:$Z$300,12,FALSE)*Z60,0)</f>
        <v>0</v>
      </c>
      <c r="AB60" s="4">
        <f>IFERROR(VLOOKUP(Y60,parts!$A$2:$Z$300,13,FALSE)*Z60,0)</f>
        <v>0</v>
      </c>
      <c r="AC60" s="4">
        <f>IFERROR(VLOOKUP(Y60,parts!$A$2:$Z$300,14,FALSE)*Z60,0)</f>
        <v>0</v>
      </c>
      <c r="AD60" s="4">
        <f>IFERROR(VLOOKUP(Y60,parts!$A$2:$Z$300,6,FALSE),0)</f>
        <v>0</v>
      </c>
      <c r="AE60" s="4">
        <f>IFERROR(VLOOKUP(Y60,parts!$A$2:$Z$300,7,FALSE)*Z60,0)</f>
        <v>0</v>
      </c>
      <c r="AF60" s="12"/>
    </row>
    <row r="61" spans="1:32" x14ac:dyDescent="0.25">
      <c r="A61" s="11"/>
      <c r="B61" s="6"/>
      <c r="C61" s="4">
        <f>IFERROR(VLOOKUP(A61,parts!$A$2:$Z$300,12,FALSE)*B61,0)</f>
        <v>0</v>
      </c>
      <c r="D61" s="4">
        <f>IFERROR(VLOOKUP(A61,parts!$A$2:$Z$300,13,FALSE)*B61,0)</f>
        <v>0</v>
      </c>
      <c r="E61" s="4">
        <f>IFERROR(VLOOKUP(A61,parts!$A$2:$Z$300,14,FALSE)*B61,0)</f>
        <v>0</v>
      </c>
      <c r="F61" s="4">
        <f>IFERROR(VLOOKUP(A61,parts!$A$2:$Z$300,6,FALSE),0)</f>
        <v>0</v>
      </c>
      <c r="G61" s="4">
        <f>IFERROR(VLOOKUP(A61,parts!$A$2:$Z$300,7,FALSE)*B61,0)</f>
        <v>0</v>
      </c>
      <c r="H61" s="12"/>
      <c r="I61" s="11"/>
      <c r="J61" s="6"/>
      <c r="K61" s="4">
        <f>IFERROR(VLOOKUP(I61,parts!$A$2:$Z$300,12,FALSE)*J61,0)</f>
        <v>0</v>
      </c>
      <c r="L61" s="4">
        <f>IFERROR(VLOOKUP(I61,parts!$A$2:$Z$300,13,FALSE)*J61,0)</f>
        <v>0</v>
      </c>
      <c r="M61" s="4">
        <f>IFERROR(VLOOKUP(I61,parts!$A$2:$Z$300,14,FALSE)*J61,0)</f>
        <v>0</v>
      </c>
      <c r="N61" s="4">
        <f>IFERROR(VLOOKUP(I61,parts!$A$2:$Z$300,6,FALSE),0)</f>
        <v>0</v>
      </c>
      <c r="O61" s="4">
        <f>IFERROR(VLOOKUP(I61,parts!$A$2:$Z$300,7,FALSE)*J61,0)</f>
        <v>0</v>
      </c>
      <c r="P61" s="12"/>
      <c r="Q61" s="11"/>
      <c r="R61" s="6"/>
      <c r="S61" s="4">
        <f>IFERROR(VLOOKUP(Q61,parts!$A$2:$Z$300,12,FALSE)*R61,0)</f>
        <v>0</v>
      </c>
      <c r="T61" s="4">
        <f>IFERROR(VLOOKUP(Q61,parts!$A$2:$Z$300,13,FALSE)*R61,0)</f>
        <v>0</v>
      </c>
      <c r="U61" s="4">
        <f>IFERROR(VLOOKUP(Q61,parts!$A$2:$Z$300,14,FALSE)*R61,0)</f>
        <v>0</v>
      </c>
      <c r="V61" s="4">
        <f>IFERROR(VLOOKUP(Q61,parts!$A$2:$Z$300,6,FALSE),0)</f>
        <v>0</v>
      </c>
      <c r="W61" s="4">
        <f>IFERROR(VLOOKUP(Q61,parts!$A$2:$Z$300,7,FALSE)*R61,0)</f>
        <v>0</v>
      </c>
      <c r="X61" s="12"/>
      <c r="Y61" s="11"/>
      <c r="Z61" s="6"/>
      <c r="AA61" s="4">
        <f>IFERROR(VLOOKUP(Y61,parts!$A$2:$Z$300,12,FALSE)*Z61,0)</f>
        <v>0</v>
      </c>
      <c r="AB61" s="4">
        <f>IFERROR(VLOOKUP(Y61,parts!$A$2:$Z$300,13,FALSE)*Z61,0)</f>
        <v>0</v>
      </c>
      <c r="AC61" s="4">
        <f>IFERROR(VLOOKUP(Y61,parts!$A$2:$Z$300,14,FALSE)*Z61,0)</f>
        <v>0</v>
      </c>
      <c r="AD61" s="4">
        <f>IFERROR(VLOOKUP(Y61,parts!$A$2:$Z$300,6,FALSE),0)</f>
        <v>0</v>
      </c>
      <c r="AE61" s="4">
        <f>IFERROR(VLOOKUP(Y61,parts!$A$2:$Z$300,7,FALSE)*Z61,0)</f>
        <v>0</v>
      </c>
      <c r="AF61" s="12"/>
    </row>
    <row r="62" spans="1:32" x14ac:dyDescent="0.25">
      <c r="A62" s="11"/>
      <c r="B62" s="6"/>
      <c r="C62" s="4">
        <f>IFERROR(VLOOKUP(A62,parts!$A$2:$Z$300,12,FALSE)*B62,0)</f>
        <v>0</v>
      </c>
      <c r="D62" s="4">
        <f>IFERROR(VLOOKUP(A62,parts!$A$2:$Z$300,13,FALSE)*B62,0)</f>
        <v>0</v>
      </c>
      <c r="E62" s="4">
        <f>IFERROR(VLOOKUP(A62,parts!$A$2:$Z$300,14,FALSE)*B62,0)</f>
        <v>0</v>
      </c>
      <c r="F62" s="4">
        <f>IFERROR(VLOOKUP(A62,parts!$A$2:$Z$300,6,FALSE),0)</f>
        <v>0</v>
      </c>
      <c r="G62" s="4">
        <f>IFERROR(VLOOKUP(A62,parts!$A$2:$Z$300,7,FALSE)*B62,0)</f>
        <v>0</v>
      </c>
      <c r="H62" s="12"/>
      <c r="I62" s="11"/>
      <c r="J62" s="6"/>
      <c r="K62" s="4">
        <f>IFERROR(VLOOKUP(I62,parts!$A$2:$Z$300,12,FALSE)*J62,0)</f>
        <v>0</v>
      </c>
      <c r="L62" s="4">
        <f>IFERROR(VLOOKUP(I62,parts!$A$2:$Z$300,13,FALSE)*J62,0)</f>
        <v>0</v>
      </c>
      <c r="M62" s="4">
        <f>IFERROR(VLOOKUP(I62,parts!$A$2:$Z$300,14,FALSE)*J62,0)</f>
        <v>0</v>
      </c>
      <c r="N62" s="4">
        <f>IFERROR(VLOOKUP(I62,parts!$A$2:$Z$300,6,FALSE),0)</f>
        <v>0</v>
      </c>
      <c r="O62" s="4">
        <f>IFERROR(VLOOKUP(I62,parts!$A$2:$Z$300,7,FALSE)*J62,0)</f>
        <v>0</v>
      </c>
      <c r="P62" s="12"/>
      <c r="Q62" s="11"/>
      <c r="R62" s="6"/>
      <c r="S62" s="4">
        <f>IFERROR(VLOOKUP(Q62,parts!$A$2:$Z$300,12,FALSE)*R62,0)</f>
        <v>0</v>
      </c>
      <c r="T62" s="4">
        <f>IFERROR(VLOOKUP(Q62,parts!$A$2:$Z$300,13,FALSE)*R62,0)</f>
        <v>0</v>
      </c>
      <c r="U62" s="4">
        <f>IFERROR(VLOOKUP(Q62,parts!$A$2:$Z$300,14,FALSE)*R62,0)</f>
        <v>0</v>
      </c>
      <c r="V62" s="4">
        <f>IFERROR(VLOOKUP(Q62,parts!$A$2:$Z$300,6,FALSE),0)</f>
        <v>0</v>
      </c>
      <c r="W62" s="4">
        <f>IFERROR(VLOOKUP(Q62,parts!$A$2:$Z$300,7,FALSE)*R62,0)</f>
        <v>0</v>
      </c>
      <c r="X62" s="12"/>
      <c r="Y62" s="11"/>
      <c r="Z62" s="6"/>
      <c r="AA62" s="4">
        <f>IFERROR(VLOOKUP(Y62,parts!$A$2:$Z$300,12,FALSE)*Z62,0)</f>
        <v>0</v>
      </c>
      <c r="AB62" s="4">
        <f>IFERROR(VLOOKUP(Y62,parts!$A$2:$Z$300,13,FALSE)*Z62,0)</f>
        <v>0</v>
      </c>
      <c r="AC62" s="4">
        <f>IFERROR(VLOOKUP(Y62,parts!$A$2:$Z$300,14,FALSE)*Z62,0)</f>
        <v>0</v>
      </c>
      <c r="AD62" s="4">
        <f>IFERROR(VLOOKUP(Y62,parts!$A$2:$Z$300,6,FALSE),0)</f>
        <v>0</v>
      </c>
      <c r="AE62" s="4">
        <f>IFERROR(VLOOKUP(Y62,parts!$A$2:$Z$300,7,FALSE)*Z62,0)</f>
        <v>0</v>
      </c>
      <c r="AF62" s="12"/>
    </row>
    <row r="63" spans="1:32" x14ac:dyDescent="0.25">
      <c r="A63" s="11"/>
      <c r="B63" s="6"/>
      <c r="C63" s="4">
        <f>IFERROR(VLOOKUP(A63,parts!$A$2:$Z$300,12,FALSE)*B63,0)</f>
        <v>0</v>
      </c>
      <c r="D63" s="4">
        <f>IFERROR(VLOOKUP(A63,parts!$A$2:$Z$300,13,FALSE)*B63,0)</f>
        <v>0</v>
      </c>
      <c r="E63" s="4">
        <f>IFERROR(VLOOKUP(A63,parts!$A$2:$Z$300,14,FALSE)*B63,0)</f>
        <v>0</v>
      </c>
      <c r="F63" s="4">
        <f>IFERROR(VLOOKUP(A63,parts!$A$2:$Z$300,6,FALSE),0)</f>
        <v>0</v>
      </c>
      <c r="G63" s="4">
        <f>IFERROR(VLOOKUP(A63,parts!$A$2:$Z$300,7,FALSE)*B63,0)</f>
        <v>0</v>
      </c>
      <c r="H63" s="12"/>
      <c r="I63" s="11"/>
      <c r="J63" s="6"/>
      <c r="K63" s="4">
        <f>IFERROR(VLOOKUP(I63,parts!$A$2:$Z$300,12,FALSE)*J63,0)</f>
        <v>0</v>
      </c>
      <c r="L63" s="4">
        <f>IFERROR(VLOOKUP(I63,parts!$A$2:$Z$300,13,FALSE)*J63,0)</f>
        <v>0</v>
      </c>
      <c r="M63" s="4">
        <f>IFERROR(VLOOKUP(I63,parts!$A$2:$Z$300,14,FALSE)*J63,0)</f>
        <v>0</v>
      </c>
      <c r="N63" s="4">
        <f>IFERROR(VLOOKUP(I63,parts!$A$2:$Z$300,6,FALSE),0)</f>
        <v>0</v>
      </c>
      <c r="O63" s="4">
        <f>IFERROR(VLOOKUP(I63,parts!$A$2:$Z$300,7,FALSE)*J63,0)</f>
        <v>0</v>
      </c>
      <c r="P63" s="12"/>
      <c r="Q63" s="11"/>
      <c r="R63" s="6"/>
      <c r="S63" s="4">
        <f>IFERROR(VLOOKUP(Q63,parts!$A$2:$Z$300,12,FALSE)*R63,0)</f>
        <v>0</v>
      </c>
      <c r="T63" s="4">
        <f>IFERROR(VLOOKUP(Q63,parts!$A$2:$Z$300,13,FALSE)*R63,0)</f>
        <v>0</v>
      </c>
      <c r="U63" s="4">
        <f>IFERROR(VLOOKUP(Q63,parts!$A$2:$Z$300,14,FALSE)*R63,0)</f>
        <v>0</v>
      </c>
      <c r="V63" s="4">
        <f>IFERROR(VLOOKUP(Q63,parts!$A$2:$Z$300,6,FALSE),0)</f>
        <v>0</v>
      </c>
      <c r="W63" s="4">
        <f>IFERROR(VLOOKUP(Q63,parts!$A$2:$Z$300,7,FALSE)*R63,0)</f>
        <v>0</v>
      </c>
      <c r="X63" s="12"/>
      <c r="Y63" s="11"/>
      <c r="Z63" s="6"/>
      <c r="AA63" s="4">
        <f>IFERROR(VLOOKUP(Y63,parts!$A$2:$Z$300,12,FALSE)*Z63,0)</f>
        <v>0</v>
      </c>
      <c r="AB63" s="4">
        <f>IFERROR(VLOOKUP(Y63,parts!$A$2:$Z$300,13,FALSE)*Z63,0)</f>
        <v>0</v>
      </c>
      <c r="AC63" s="4">
        <f>IFERROR(VLOOKUP(Y63,parts!$A$2:$Z$300,14,FALSE)*Z63,0)</f>
        <v>0</v>
      </c>
      <c r="AD63" s="4">
        <f>IFERROR(VLOOKUP(Y63,parts!$A$2:$Z$300,6,FALSE),0)</f>
        <v>0</v>
      </c>
      <c r="AE63" s="4">
        <f>IFERROR(VLOOKUP(Y63,parts!$A$2:$Z$300,7,FALSE)*Z63,0)</f>
        <v>0</v>
      </c>
      <c r="AF63" s="12"/>
    </row>
    <row r="64" spans="1:32" x14ac:dyDescent="0.25">
      <c r="A64" s="11"/>
      <c r="B64" s="6"/>
      <c r="C64" s="4">
        <f>IFERROR(VLOOKUP(A64,parts!$A$2:$Z$300,12,FALSE)*B64,0)</f>
        <v>0</v>
      </c>
      <c r="D64" s="4">
        <f>IFERROR(VLOOKUP(A64,parts!$A$2:$Z$300,13,FALSE)*B64,0)</f>
        <v>0</v>
      </c>
      <c r="E64" s="4">
        <f>IFERROR(VLOOKUP(A64,parts!$A$2:$Z$300,14,FALSE)*B64,0)</f>
        <v>0</v>
      </c>
      <c r="F64" s="4">
        <f>IFERROR(VLOOKUP(A64,parts!$A$2:$Z$300,6,FALSE),0)</f>
        <v>0</v>
      </c>
      <c r="G64" s="4">
        <f>IFERROR(VLOOKUP(A64,parts!$A$2:$Z$300,7,FALSE)*B64,0)</f>
        <v>0</v>
      </c>
      <c r="H64" s="12"/>
      <c r="I64" s="11"/>
      <c r="J64" s="6"/>
      <c r="K64" s="4">
        <f>IFERROR(VLOOKUP(I64,parts!$A$2:$Z$300,12,FALSE)*J64,0)</f>
        <v>0</v>
      </c>
      <c r="L64" s="4">
        <f>IFERROR(VLOOKUP(I64,parts!$A$2:$Z$300,13,FALSE)*J64,0)</f>
        <v>0</v>
      </c>
      <c r="M64" s="4">
        <f>IFERROR(VLOOKUP(I64,parts!$A$2:$Z$300,14,FALSE)*J64,0)</f>
        <v>0</v>
      </c>
      <c r="N64" s="4">
        <f>IFERROR(VLOOKUP(I64,parts!$A$2:$Z$300,6,FALSE),0)</f>
        <v>0</v>
      </c>
      <c r="O64" s="4">
        <f>IFERROR(VLOOKUP(I64,parts!$A$2:$Z$300,7,FALSE)*J64,0)</f>
        <v>0</v>
      </c>
      <c r="P64" s="12"/>
      <c r="Q64" s="11"/>
      <c r="R64" s="6"/>
      <c r="S64" s="4">
        <f>IFERROR(VLOOKUP(Q64,parts!$A$2:$Z$300,12,FALSE)*R64,0)</f>
        <v>0</v>
      </c>
      <c r="T64" s="4">
        <f>IFERROR(VLOOKUP(Q64,parts!$A$2:$Z$300,13,FALSE)*R64,0)</f>
        <v>0</v>
      </c>
      <c r="U64" s="4">
        <f>IFERROR(VLOOKUP(Q64,parts!$A$2:$Z$300,14,FALSE)*R64,0)</f>
        <v>0</v>
      </c>
      <c r="V64" s="4">
        <f>IFERROR(VLOOKUP(Q64,parts!$A$2:$Z$300,6,FALSE),0)</f>
        <v>0</v>
      </c>
      <c r="W64" s="4">
        <f>IFERROR(VLOOKUP(Q64,parts!$A$2:$Z$300,7,FALSE)*R64,0)</f>
        <v>0</v>
      </c>
      <c r="X64" s="12"/>
      <c r="Y64" s="11"/>
      <c r="Z64" s="6"/>
      <c r="AA64" s="4">
        <f>IFERROR(VLOOKUP(Y64,parts!$A$2:$Z$300,12,FALSE)*Z64,0)</f>
        <v>0</v>
      </c>
      <c r="AB64" s="4">
        <f>IFERROR(VLOOKUP(Y64,parts!$A$2:$Z$300,13,FALSE)*Z64,0)</f>
        <v>0</v>
      </c>
      <c r="AC64" s="4">
        <f>IFERROR(VLOOKUP(Y64,parts!$A$2:$Z$300,14,FALSE)*Z64,0)</f>
        <v>0</v>
      </c>
      <c r="AD64" s="4">
        <f>IFERROR(VLOOKUP(Y64,parts!$A$2:$Z$300,6,FALSE),0)</f>
        <v>0</v>
      </c>
      <c r="AE64" s="4">
        <f>IFERROR(VLOOKUP(Y64,parts!$A$2:$Z$300,7,FALSE)*Z64,0)</f>
        <v>0</v>
      </c>
      <c r="AF64" s="12"/>
    </row>
    <row r="65" spans="1:32" ht="15.75" thickBot="1" x14ac:dyDescent="0.3">
      <c r="A65" s="11"/>
      <c r="B65" s="6"/>
      <c r="C65" s="4">
        <f>IFERROR(VLOOKUP(A65,parts!$A$2:$Z$300,12,FALSE)*B65,0)</f>
        <v>0</v>
      </c>
      <c r="D65" s="4">
        <f>IFERROR(VLOOKUP(A65,parts!$A$2:$Z$300,13,FALSE)*B65,0)</f>
        <v>0</v>
      </c>
      <c r="E65" s="4">
        <f>IFERROR(VLOOKUP(A65,parts!$A$2:$Z$300,14,FALSE)*B65,0)</f>
        <v>0</v>
      </c>
      <c r="F65" s="4">
        <f>IFERROR(VLOOKUP(A65,parts!$A$2:$Z$300,6,FALSE),0)</f>
        <v>0</v>
      </c>
      <c r="G65" s="4">
        <f>IFERROR(VLOOKUP(A65,parts!$A$2:$Z$300,7,FALSE)*B65,0)</f>
        <v>0</v>
      </c>
      <c r="H65" s="12"/>
      <c r="I65" s="11"/>
      <c r="J65" s="6"/>
      <c r="K65" s="4">
        <f>IFERROR(VLOOKUP(I65,parts!$A$2:$Z$300,12,FALSE)*J65,0)</f>
        <v>0</v>
      </c>
      <c r="L65" s="4">
        <f>IFERROR(VLOOKUP(I65,parts!$A$2:$Z$300,13,FALSE)*J65,0)</f>
        <v>0</v>
      </c>
      <c r="M65" s="4">
        <f>IFERROR(VLOOKUP(I65,parts!$A$2:$Z$300,14,FALSE)*J65,0)</f>
        <v>0</v>
      </c>
      <c r="N65" s="4">
        <f>IFERROR(VLOOKUP(I65,parts!$A$2:$Z$300,6,FALSE),0)</f>
        <v>0</v>
      </c>
      <c r="O65" s="4">
        <f>IFERROR(VLOOKUP(I65,parts!$A$2:$Z$300,7,FALSE)*J65,0)</f>
        <v>0</v>
      </c>
      <c r="P65" s="12"/>
      <c r="Q65" s="11"/>
      <c r="R65" s="6"/>
      <c r="S65" s="4">
        <f>IFERROR(VLOOKUP(Q65,parts!$A$2:$Z$300,12,FALSE)*R65,0)</f>
        <v>0</v>
      </c>
      <c r="T65" s="4">
        <f>IFERROR(VLOOKUP(Q65,parts!$A$2:$Z$300,13,FALSE)*R65,0)</f>
        <v>0</v>
      </c>
      <c r="U65" s="4">
        <f>IFERROR(VLOOKUP(Q65,parts!$A$2:$Z$300,14,FALSE)*R65,0)</f>
        <v>0</v>
      </c>
      <c r="V65" s="4">
        <f>IFERROR(VLOOKUP(Q65,parts!$A$2:$Z$300,6,FALSE),0)</f>
        <v>0</v>
      </c>
      <c r="W65" s="4">
        <f>IFERROR(VLOOKUP(Q65,parts!$A$2:$Z$300,7,FALSE)*R65,0)</f>
        <v>0</v>
      </c>
      <c r="X65" s="12"/>
      <c r="Y65" s="11"/>
      <c r="Z65" s="6"/>
      <c r="AA65" s="4">
        <f>IFERROR(VLOOKUP(Y65,parts!$A$2:$Z$300,12,FALSE)*Z65,0)</f>
        <v>0</v>
      </c>
      <c r="AB65" s="4">
        <f>IFERROR(VLOOKUP(Y65,parts!$A$2:$Z$300,13,FALSE)*Z65,0)</f>
        <v>0</v>
      </c>
      <c r="AC65" s="4">
        <f>IFERROR(VLOOKUP(Y65,parts!$A$2:$Z$300,14,FALSE)*Z65,0)</f>
        <v>0</v>
      </c>
      <c r="AD65" s="4">
        <f>IFERROR(VLOOKUP(Y65,parts!$A$2:$Z$300,6,FALSE),0)</f>
        <v>0</v>
      </c>
      <c r="AE65" s="4">
        <f>IFERROR(VLOOKUP(Y65,parts!$A$2:$Z$300,7,FALSE)*Z65,0)</f>
        <v>0</v>
      </c>
      <c r="AF65" s="12"/>
    </row>
    <row r="66" spans="1:32" x14ac:dyDescent="0.25">
      <c r="A66" s="13"/>
      <c r="B66" s="14" t="s">
        <v>73</v>
      </c>
      <c r="C66" s="14" t="s">
        <v>3</v>
      </c>
      <c r="D66" s="14" t="s">
        <v>66</v>
      </c>
      <c r="E66" s="14" t="s">
        <v>69</v>
      </c>
      <c r="F66" s="14" t="s">
        <v>6</v>
      </c>
      <c r="G66" s="15" t="s">
        <v>7</v>
      </c>
      <c r="H66" s="12"/>
      <c r="I66" s="13"/>
      <c r="J66" s="14" t="s">
        <v>73</v>
      </c>
      <c r="K66" s="14" t="s">
        <v>3</v>
      </c>
      <c r="L66" s="14" t="s">
        <v>66</v>
      </c>
      <c r="M66" s="14" t="s">
        <v>69</v>
      </c>
      <c r="N66" s="14" t="s">
        <v>6</v>
      </c>
      <c r="O66" s="15" t="s">
        <v>7</v>
      </c>
      <c r="P66" s="12"/>
      <c r="Q66" s="13"/>
      <c r="R66" s="14" t="s">
        <v>73</v>
      </c>
      <c r="S66" s="14" t="s">
        <v>3</v>
      </c>
      <c r="T66" s="14" t="s">
        <v>66</v>
      </c>
      <c r="U66" s="14" t="s">
        <v>69</v>
      </c>
      <c r="V66" s="14" t="s">
        <v>6</v>
      </c>
      <c r="W66" s="15" t="s">
        <v>7</v>
      </c>
      <c r="X66" s="12"/>
      <c r="Y66" s="13"/>
      <c r="Z66" s="14" t="s">
        <v>73</v>
      </c>
      <c r="AA66" s="14" t="s">
        <v>3</v>
      </c>
      <c r="AB66" s="14" t="s">
        <v>66</v>
      </c>
      <c r="AC66" s="14" t="s">
        <v>69</v>
      </c>
      <c r="AD66" s="14" t="s">
        <v>6</v>
      </c>
      <c r="AE66" s="15" t="s">
        <v>7</v>
      </c>
      <c r="AF66" s="12"/>
    </row>
    <row r="67" spans="1:32" x14ac:dyDescent="0.25">
      <c r="A67" s="16" t="s">
        <v>68</v>
      </c>
      <c r="B67" s="4">
        <f>SUM(B51:B65)+B43</f>
        <v>3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68</v>
      </c>
      <c r="J67" s="4">
        <f>SUM(J51:J65)+J43</f>
        <v>0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68</v>
      </c>
      <c r="R67" s="4">
        <f>SUM(R51:R65)+R43</f>
        <v>0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68</v>
      </c>
      <c r="Z67" s="4">
        <f>SUM(Z51:Z65)+Z43</f>
        <v>0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</row>
    <row r="68" spans="1:32" x14ac:dyDescent="0.25">
      <c r="A68" s="16" t="s">
        <v>71</v>
      </c>
      <c r="B68" s="43">
        <f>E67+B44</f>
        <v>10.773108687500001</v>
      </c>
      <c r="C68" s="44"/>
      <c r="D68" s="44"/>
      <c r="E68" s="44"/>
      <c r="F68" s="44"/>
      <c r="G68" s="45"/>
      <c r="H68" s="12"/>
      <c r="I68" s="16" t="s">
        <v>71</v>
      </c>
      <c r="J68" s="43">
        <f>M67+J44</f>
        <v>0</v>
      </c>
      <c r="K68" s="44"/>
      <c r="L68" s="44"/>
      <c r="M68" s="44"/>
      <c r="N68" s="44"/>
      <c r="O68" s="45"/>
      <c r="P68" s="12"/>
      <c r="Q68" s="16" t="s">
        <v>71</v>
      </c>
      <c r="R68" s="43">
        <f>U67+R44</f>
        <v>0</v>
      </c>
      <c r="S68" s="44"/>
      <c r="T68" s="44"/>
      <c r="U68" s="44"/>
      <c r="V68" s="44"/>
      <c r="W68" s="45"/>
      <c r="X68" s="12"/>
      <c r="Y68" s="16" t="s">
        <v>71</v>
      </c>
      <c r="Z68" s="43">
        <f>AC67+Z44</f>
        <v>0</v>
      </c>
      <c r="AA68" s="44"/>
      <c r="AB68" s="44"/>
      <c r="AC68" s="44"/>
      <c r="AD68" s="44"/>
      <c r="AE68" s="45"/>
      <c r="AF68" s="12"/>
    </row>
    <row r="69" spans="1:32" x14ac:dyDescent="0.25">
      <c r="A69" s="16" t="s">
        <v>75</v>
      </c>
      <c r="B69" s="43">
        <f>C67+B44</f>
        <v>10.773108687500001</v>
      </c>
      <c r="C69" s="44"/>
      <c r="D69" s="44"/>
      <c r="E69" s="44"/>
      <c r="F69" s="44"/>
      <c r="G69" s="45"/>
      <c r="H69" s="12"/>
      <c r="I69" s="16" t="s">
        <v>75</v>
      </c>
      <c r="J69" s="43">
        <f>K67+J44</f>
        <v>0</v>
      </c>
      <c r="K69" s="44"/>
      <c r="L69" s="44"/>
      <c r="M69" s="44"/>
      <c r="N69" s="44"/>
      <c r="O69" s="45"/>
      <c r="P69" s="12"/>
      <c r="Q69" s="16" t="s">
        <v>75</v>
      </c>
      <c r="R69" s="43">
        <f>S67+R44</f>
        <v>0</v>
      </c>
      <c r="S69" s="44"/>
      <c r="T69" s="44"/>
      <c r="U69" s="44"/>
      <c r="V69" s="44"/>
      <c r="W69" s="45"/>
      <c r="X69" s="12"/>
      <c r="Y69" s="16" t="s">
        <v>75</v>
      </c>
      <c r="Z69" s="43">
        <f>AA67+Z44</f>
        <v>0</v>
      </c>
      <c r="AA69" s="44"/>
      <c r="AB69" s="44"/>
      <c r="AC69" s="44"/>
      <c r="AD69" s="44"/>
      <c r="AE69" s="45"/>
      <c r="AF69" s="12"/>
    </row>
    <row r="70" spans="1:32" x14ac:dyDescent="0.25">
      <c r="A70" s="16" t="s">
        <v>74</v>
      </c>
      <c r="B70" s="43">
        <f>IFERROR((G67/10/B68),0)</f>
        <v>0</v>
      </c>
      <c r="C70" s="44"/>
      <c r="D70" s="44"/>
      <c r="E70" s="44"/>
      <c r="F70" s="44"/>
      <c r="G70" s="45"/>
      <c r="H70" s="12"/>
      <c r="I70" s="16" t="s">
        <v>74</v>
      </c>
      <c r="J70" s="43">
        <f>IFERROR((O67/10/J68),0)</f>
        <v>0</v>
      </c>
      <c r="K70" s="44"/>
      <c r="L70" s="44"/>
      <c r="M70" s="44"/>
      <c r="N70" s="44"/>
      <c r="O70" s="45"/>
      <c r="P70" s="12"/>
      <c r="Q70" s="16" t="s">
        <v>74</v>
      </c>
      <c r="R70" s="43">
        <f>IFERROR((W67/10/R68),0)</f>
        <v>0</v>
      </c>
      <c r="S70" s="44"/>
      <c r="T70" s="44"/>
      <c r="U70" s="44"/>
      <c r="V70" s="44"/>
      <c r="W70" s="45"/>
      <c r="X70" s="12"/>
      <c r="Y70" s="16" t="s">
        <v>74</v>
      </c>
      <c r="Z70" s="43">
        <f>IFERROR((AE67/10/Z68),0)</f>
        <v>0</v>
      </c>
      <c r="AA70" s="44"/>
      <c r="AB70" s="44"/>
      <c r="AC70" s="44"/>
      <c r="AD70" s="44"/>
      <c r="AE70" s="45"/>
      <c r="AF70" s="12"/>
    </row>
    <row r="71" spans="1:32" x14ac:dyDescent="0.25">
      <c r="A71" s="16" t="s">
        <v>70</v>
      </c>
      <c r="B71" s="43">
        <f>IFERROR((9.82 * F67) * LN(B68/B69),0)</f>
        <v>0</v>
      </c>
      <c r="C71" s="44"/>
      <c r="D71" s="44"/>
      <c r="E71" s="44"/>
      <c r="F71" s="44"/>
      <c r="G71" s="45"/>
      <c r="H71" s="12"/>
      <c r="I71" s="16" t="s">
        <v>70</v>
      </c>
      <c r="J71" s="43">
        <f>IFERROR((9.82 * N67) * LN(J68/J69),0)</f>
        <v>0</v>
      </c>
      <c r="K71" s="44"/>
      <c r="L71" s="44"/>
      <c r="M71" s="44"/>
      <c r="N71" s="44"/>
      <c r="O71" s="45"/>
      <c r="P71" s="12"/>
      <c r="Q71" s="16" t="s">
        <v>70</v>
      </c>
      <c r="R71" s="43">
        <f>IFERROR((9.82 * V67) * LN(R68/R69),0)</f>
        <v>0</v>
      </c>
      <c r="S71" s="44"/>
      <c r="T71" s="44"/>
      <c r="U71" s="44"/>
      <c r="V71" s="44"/>
      <c r="W71" s="45"/>
      <c r="X71" s="12"/>
      <c r="Y71" s="16" t="s">
        <v>70</v>
      </c>
      <c r="Z71" s="43">
        <f>IFERROR((9.82 * AD67) * LN(Z68/Z69),0)</f>
        <v>0</v>
      </c>
      <c r="AA71" s="44"/>
      <c r="AB71" s="44"/>
      <c r="AC71" s="44"/>
      <c r="AD71" s="44"/>
      <c r="AE71" s="45"/>
      <c r="AF71" s="12"/>
    </row>
    <row r="72" spans="1:32" ht="15.75" thickBot="1" x14ac:dyDescent="0.3">
      <c r="A72" s="17" t="s">
        <v>72</v>
      </c>
      <c r="B72" s="40">
        <f>B71+B48</f>
        <v>8003.3365648910458</v>
      </c>
      <c r="C72" s="41"/>
      <c r="D72" s="41"/>
      <c r="E72" s="41"/>
      <c r="F72" s="41"/>
      <c r="G72" s="42"/>
      <c r="H72" s="12"/>
      <c r="I72" s="17" t="s">
        <v>72</v>
      </c>
      <c r="J72" s="40">
        <f>J71+J48</f>
        <v>0</v>
      </c>
      <c r="K72" s="41"/>
      <c r="L72" s="41"/>
      <c r="M72" s="41"/>
      <c r="N72" s="41"/>
      <c r="O72" s="42"/>
      <c r="P72" s="12"/>
      <c r="Q72" s="17" t="s">
        <v>72</v>
      </c>
      <c r="R72" s="40">
        <f>R71+R48</f>
        <v>0</v>
      </c>
      <c r="S72" s="41"/>
      <c r="T72" s="41"/>
      <c r="U72" s="41"/>
      <c r="V72" s="41"/>
      <c r="W72" s="42"/>
      <c r="X72" s="12"/>
      <c r="Y72" s="17" t="s">
        <v>72</v>
      </c>
      <c r="Z72" s="40">
        <f>Z71+Z48</f>
        <v>0</v>
      </c>
      <c r="AA72" s="41"/>
      <c r="AB72" s="41"/>
      <c r="AC72" s="41"/>
      <c r="AD72" s="41"/>
      <c r="AE72" s="42"/>
      <c r="AF72" s="12"/>
    </row>
    <row r="73" spans="1:32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x14ac:dyDescent="0.25">
      <c r="A74" s="7" t="s">
        <v>0</v>
      </c>
      <c r="B74" s="8" t="s">
        <v>60</v>
      </c>
      <c r="C74" s="8" t="s">
        <v>3</v>
      </c>
      <c r="D74" s="8" t="s">
        <v>66</v>
      </c>
      <c r="E74" s="8" t="s">
        <v>67</v>
      </c>
      <c r="F74" s="8" t="s">
        <v>6</v>
      </c>
      <c r="G74" s="9" t="s">
        <v>7</v>
      </c>
      <c r="H74" s="12"/>
      <c r="I74" s="7" t="s">
        <v>0</v>
      </c>
      <c r="J74" s="8" t="s">
        <v>60</v>
      </c>
      <c r="K74" s="8" t="s">
        <v>3</v>
      </c>
      <c r="L74" s="8" t="s">
        <v>66</v>
      </c>
      <c r="M74" s="8" t="s">
        <v>67</v>
      </c>
      <c r="N74" s="8" t="s">
        <v>6</v>
      </c>
      <c r="O74" s="9" t="s">
        <v>7</v>
      </c>
      <c r="P74" s="12"/>
      <c r="Q74" s="7" t="s">
        <v>0</v>
      </c>
      <c r="R74" s="8" t="s">
        <v>60</v>
      </c>
      <c r="S74" s="8" t="s">
        <v>3</v>
      </c>
      <c r="T74" s="8" t="s">
        <v>66</v>
      </c>
      <c r="U74" s="8" t="s">
        <v>67</v>
      </c>
      <c r="V74" s="8" t="s">
        <v>6</v>
      </c>
      <c r="W74" s="9" t="s">
        <v>7</v>
      </c>
      <c r="X74" s="12"/>
      <c r="Y74" s="7" t="s">
        <v>0</v>
      </c>
      <c r="Z74" s="8" t="s">
        <v>60</v>
      </c>
      <c r="AA74" s="8" t="s">
        <v>3</v>
      </c>
      <c r="AB74" s="8" t="s">
        <v>66</v>
      </c>
      <c r="AC74" s="8" t="s">
        <v>67</v>
      </c>
      <c r="AD74" s="8" t="s">
        <v>6</v>
      </c>
      <c r="AE74" s="9" t="s">
        <v>7</v>
      </c>
      <c r="AF74" s="12"/>
    </row>
    <row r="75" spans="1:32" x14ac:dyDescent="0.25">
      <c r="A75" s="11"/>
      <c r="B75" s="6"/>
      <c r="C75" s="4">
        <f>IFERROR(VLOOKUP(A75,parts!$A$2:$Z$300,12,FALSE)*B75,0)</f>
        <v>0</v>
      </c>
      <c r="D75" s="4">
        <f>IFERROR(VLOOKUP(A75,parts!$A$2:$Z$300,13,FALSE)*B75,0)</f>
        <v>0</v>
      </c>
      <c r="E75" s="4">
        <f>IFERROR(VLOOKUP(A75,parts!$A$2:$Z$300,14,FALSE)*B75,0)</f>
        <v>0</v>
      </c>
      <c r="F75" s="4">
        <f>IFERROR(VLOOKUP(A75,parts!$A$2:$Z$300,6,FALSE),0)</f>
        <v>0</v>
      </c>
      <c r="G75" s="4">
        <f>IFERROR(VLOOKUP(A75,parts!$A$2:$Z$300,7,FALSE)*B75,0)</f>
        <v>0</v>
      </c>
      <c r="H75" s="12"/>
      <c r="I75" s="11"/>
      <c r="J75" s="6"/>
      <c r="K75" s="4">
        <f>IFERROR(VLOOKUP(I75,parts!$A$2:$Z$300,12,FALSE)*J75,0)</f>
        <v>0</v>
      </c>
      <c r="L75" s="4">
        <f>IFERROR(VLOOKUP(I75,parts!$A$2:$Z$300,13,FALSE)*J75,0)</f>
        <v>0</v>
      </c>
      <c r="M75" s="4">
        <f>IFERROR(VLOOKUP(I75,parts!$A$2:$Z$300,14,FALSE)*J75,0)</f>
        <v>0</v>
      </c>
      <c r="N75" s="4">
        <f>IFERROR(VLOOKUP(I75,parts!$A$2:$Z$300,6,FALSE),0)</f>
        <v>0</v>
      </c>
      <c r="O75" s="4">
        <f>IFERROR(VLOOKUP(I75,parts!$A$2:$Z$300,7,FALSE)*J75,0)</f>
        <v>0</v>
      </c>
      <c r="P75" s="12"/>
      <c r="Q75" s="11"/>
      <c r="R75" s="6"/>
      <c r="S75" s="4">
        <f>IFERROR(VLOOKUP(Q75,parts!$A$2:$Z$300,12,FALSE)*R75,0)</f>
        <v>0</v>
      </c>
      <c r="T75" s="4">
        <f>IFERROR(VLOOKUP(Q75,parts!$A$2:$Z$300,13,FALSE)*R75,0)</f>
        <v>0</v>
      </c>
      <c r="U75" s="4">
        <f>IFERROR(VLOOKUP(Q75,parts!$A$2:$Z$300,14,FALSE)*R75,0)</f>
        <v>0</v>
      </c>
      <c r="V75" s="4">
        <f>IFERROR(VLOOKUP(Q75,parts!$A$2:$Z$300,6,FALSE),0)</f>
        <v>0</v>
      </c>
      <c r="W75" s="4">
        <f>IFERROR(VLOOKUP(Q75,parts!$A$2:$Z$300,7,FALSE)*R75,0)</f>
        <v>0</v>
      </c>
      <c r="X75" s="12"/>
      <c r="Y75" s="11"/>
      <c r="Z75" s="6"/>
      <c r="AA75" s="4">
        <f>IFERROR(VLOOKUP(Y75,parts!$A$2:$Z$300,12,FALSE)*Z75,0)</f>
        <v>0</v>
      </c>
      <c r="AB75" s="4">
        <f>IFERROR(VLOOKUP(Y75,parts!$A$2:$Z$300,13,FALSE)*Z75,0)</f>
        <v>0</v>
      </c>
      <c r="AC75" s="4">
        <f>IFERROR(VLOOKUP(Y75,parts!$A$2:$Z$300,14,FALSE)*Z75,0)</f>
        <v>0</v>
      </c>
      <c r="AD75" s="4">
        <f>IFERROR(VLOOKUP(Y75,parts!$A$2:$Z$300,6,FALSE),0)</f>
        <v>0</v>
      </c>
      <c r="AE75" s="4">
        <f>IFERROR(VLOOKUP(Y75,parts!$A$2:$Z$300,7,FALSE)*Z75,0)</f>
        <v>0</v>
      </c>
      <c r="AF75" s="12"/>
    </row>
    <row r="76" spans="1:32" x14ac:dyDescent="0.25">
      <c r="A76" s="11"/>
      <c r="B76" s="6"/>
      <c r="C76" s="4">
        <f>IFERROR(VLOOKUP(A76,parts!$A$2:$Z$300,12,FALSE)*B76,0)</f>
        <v>0</v>
      </c>
      <c r="D76" s="4">
        <f>IFERROR(VLOOKUP(A76,parts!$A$2:$Z$300,13,FALSE)*B76,0)</f>
        <v>0</v>
      </c>
      <c r="E76" s="4">
        <f>IFERROR(VLOOKUP(A76,parts!$A$2:$Z$300,14,FALSE)*B76,0)</f>
        <v>0</v>
      </c>
      <c r="F76" s="4">
        <f>IFERROR(VLOOKUP(A76,parts!$A$2:$Z$300,6,FALSE),0)</f>
        <v>0</v>
      </c>
      <c r="G76" s="4">
        <f>IFERROR(VLOOKUP(A76,parts!$A$2:$Z$300,7,FALSE)*B76,0)</f>
        <v>0</v>
      </c>
      <c r="H76" s="12"/>
      <c r="I76" s="11"/>
      <c r="J76" s="6"/>
      <c r="K76" s="4">
        <f>IFERROR(VLOOKUP(I76,parts!$A$2:$Z$300,12,FALSE)*J76,0)</f>
        <v>0</v>
      </c>
      <c r="L76" s="4">
        <f>IFERROR(VLOOKUP(I76,parts!$A$2:$Z$300,13,FALSE)*J76,0)</f>
        <v>0</v>
      </c>
      <c r="M76" s="4">
        <f>IFERROR(VLOOKUP(I76,parts!$A$2:$Z$300,14,FALSE)*J76,0)</f>
        <v>0</v>
      </c>
      <c r="N76" s="4">
        <f>IFERROR(VLOOKUP(I76,parts!$A$2:$Z$300,6,FALSE),0)</f>
        <v>0</v>
      </c>
      <c r="O76" s="4">
        <f>IFERROR(VLOOKUP(I76,parts!$A$2:$Z$300,7,FALSE)*J76,0)</f>
        <v>0</v>
      </c>
      <c r="P76" s="12"/>
      <c r="Q76" s="11"/>
      <c r="R76" s="6"/>
      <c r="S76" s="4">
        <f>IFERROR(VLOOKUP(Q76,parts!$A$2:$Z$300,12,FALSE)*R76,0)</f>
        <v>0</v>
      </c>
      <c r="T76" s="4">
        <f>IFERROR(VLOOKUP(Q76,parts!$A$2:$Z$300,13,FALSE)*R76,0)</f>
        <v>0</v>
      </c>
      <c r="U76" s="4">
        <f>IFERROR(VLOOKUP(Q76,parts!$A$2:$Z$300,14,FALSE)*R76,0)</f>
        <v>0</v>
      </c>
      <c r="V76" s="4">
        <f>IFERROR(VLOOKUP(Q76,parts!$A$2:$Z$300,6,FALSE),0)</f>
        <v>0</v>
      </c>
      <c r="W76" s="4">
        <f>IFERROR(VLOOKUP(Q76,parts!$A$2:$Z$300,7,FALSE)*R76,0)</f>
        <v>0</v>
      </c>
      <c r="X76" s="12"/>
      <c r="Y76" s="11"/>
      <c r="Z76" s="6"/>
      <c r="AA76" s="4">
        <f>IFERROR(VLOOKUP(Y76,parts!$A$2:$Z$300,12,FALSE)*Z76,0)</f>
        <v>0</v>
      </c>
      <c r="AB76" s="4">
        <f>IFERROR(VLOOKUP(Y76,parts!$A$2:$Z$300,13,FALSE)*Z76,0)</f>
        <v>0</v>
      </c>
      <c r="AC76" s="4">
        <f>IFERROR(VLOOKUP(Y76,parts!$A$2:$Z$300,14,FALSE)*Z76,0)</f>
        <v>0</v>
      </c>
      <c r="AD76" s="4">
        <f>IFERROR(VLOOKUP(Y76,parts!$A$2:$Z$300,6,FALSE),0)</f>
        <v>0</v>
      </c>
      <c r="AE76" s="4">
        <f>IFERROR(VLOOKUP(Y76,parts!$A$2:$Z$300,7,FALSE)*Z76,0)</f>
        <v>0</v>
      </c>
      <c r="AF76" s="12"/>
    </row>
    <row r="77" spans="1:32" x14ac:dyDescent="0.25">
      <c r="A77" s="11"/>
      <c r="B77" s="6"/>
      <c r="C77" s="4">
        <f>IFERROR(VLOOKUP(A77,parts!$A$2:$Z$300,12,FALSE)*B77,0)</f>
        <v>0</v>
      </c>
      <c r="D77" s="4">
        <f>IFERROR(VLOOKUP(A77,parts!$A$2:$Z$300,13,FALSE)*B77,0)</f>
        <v>0</v>
      </c>
      <c r="E77" s="4">
        <f>IFERROR(VLOOKUP(A77,parts!$A$2:$Z$300,14,FALSE)*B77,0)</f>
        <v>0</v>
      </c>
      <c r="F77" s="4">
        <f>IFERROR(VLOOKUP(A77,parts!$A$2:$Z$300,6,FALSE),0)</f>
        <v>0</v>
      </c>
      <c r="G77" s="4">
        <f>IFERROR(VLOOKUP(A77,parts!$A$2:$Z$300,7,FALSE)*B77,0)</f>
        <v>0</v>
      </c>
      <c r="H77" s="12"/>
      <c r="I77" s="11"/>
      <c r="J77" s="6"/>
      <c r="K77" s="4">
        <f>IFERROR(VLOOKUP(I77,parts!$A$2:$Z$300,12,FALSE)*J77,0)</f>
        <v>0</v>
      </c>
      <c r="L77" s="4">
        <f>IFERROR(VLOOKUP(I77,parts!$A$2:$Z$300,13,FALSE)*J77,0)</f>
        <v>0</v>
      </c>
      <c r="M77" s="4">
        <f>IFERROR(VLOOKUP(I77,parts!$A$2:$Z$300,14,FALSE)*J77,0)</f>
        <v>0</v>
      </c>
      <c r="N77" s="4">
        <f>IFERROR(VLOOKUP(I77,parts!$A$2:$Z$300,6,FALSE),0)</f>
        <v>0</v>
      </c>
      <c r="O77" s="4">
        <f>IFERROR(VLOOKUP(I77,parts!$A$2:$Z$300,7,FALSE)*J77,0)</f>
        <v>0</v>
      </c>
      <c r="P77" s="12"/>
      <c r="Q77" s="11"/>
      <c r="R77" s="6"/>
      <c r="S77" s="4">
        <f>IFERROR(VLOOKUP(Q77,parts!$A$2:$Z$300,12,FALSE)*R77,0)</f>
        <v>0</v>
      </c>
      <c r="T77" s="4">
        <f>IFERROR(VLOOKUP(Q77,parts!$A$2:$Z$300,13,FALSE)*R77,0)</f>
        <v>0</v>
      </c>
      <c r="U77" s="4">
        <f>IFERROR(VLOOKUP(Q77,parts!$A$2:$Z$300,14,FALSE)*R77,0)</f>
        <v>0</v>
      </c>
      <c r="V77" s="4">
        <f>IFERROR(VLOOKUP(Q77,parts!$A$2:$Z$300,6,FALSE),0)</f>
        <v>0</v>
      </c>
      <c r="W77" s="4">
        <f>IFERROR(VLOOKUP(Q77,parts!$A$2:$Z$300,7,FALSE)*R77,0)</f>
        <v>0</v>
      </c>
      <c r="X77" s="12"/>
      <c r="Y77" s="11"/>
      <c r="Z77" s="6"/>
      <c r="AA77" s="4">
        <f>IFERROR(VLOOKUP(Y77,parts!$A$2:$Z$300,12,FALSE)*Z77,0)</f>
        <v>0</v>
      </c>
      <c r="AB77" s="4">
        <f>IFERROR(VLOOKUP(Y77,parts!$A$2:$Z$300,13,FALSE)*Z77,0)</f>
        <v>0</v>
      </c>
      <c r="AC77" s="4">
        <f>IFERROR(VLOOKUP(Y77,parts!$A$2:$Z$300,14,FALSE)*Z77,0)</f>
        <v>0</v>
      </c>
      <c r="AD77" s="4">
        <f>IFERROR(VLOOKUP(Y77,parts!$A$2:$Z$300,6,FALSE),0)</f>
        <v>0</v>
      </c>
      <c r="AE77" s="4">
        <f>IFERROR(VLOOKUP(Y77,parts!$A$2:$Z$300,7,FALSE)*Z77,0)</f>
        <v>0</v>
      </c>
      <c r="AF77" s="12"/>
    </row>
    <row r="78" spans="1:32" x14ac:dyDescent="0.25">
      <c r="A78" s="11"/>
      <c r="B78" s="6"/>
      <c r="C78" s="4">
        <f>IFERROR(VLOOKUP(A78,parts!$A$2:$Z$300,12,FALSE)*B78,0)</f>
        <v>0</v>
      </c>
      <c r="D78" s="4">
        <f>IFERROR(VLOOKUP(A78,parts!$A$2:$Z$300,13,FALSE)*B78,0)</f>
        <v>0</v>
      </c>
      <c r="E78" s="4">
        <f>IFERROR(VLOOKUP(A78,parts!$A$2:$Z$300,14,FALSE)*B78,0)</f>
        <v>0</v>
      </c>
      <c r="F78" s="4">
        <f>IFERROR(VLOOKUP(A78,parts!$A$2:$Z$300,6,FALSE),0)</f>
        <v>0</v>
      </c>
      <c r="G78" s="4">
        <f>IFERROR(VLOOKUP(A78,parts!$A$2:$Z$300,7,FALSE)*B78,0)</f>
        <v>0</v>
      </c>
      <c r="H78" s="12"/>
      <c r="I78" s="11"/>
      <c r="J78" s="6"/>
      <c r="K78" s="4">
        <f>IFERROR(VLOOKUP(I78,parts!$A$2:$Z$300,12,FALSE)*J78,0)</f>
        <v>0</v>
      </c>
      <c r="L78" s="4">
        <f>IFERROR(VLOOKUP(I78,parts!$A$2:$Z$300,13,FALSE)*J78,0)</f>
        <v>0</v>
      </c>
      <c r="M78" s="4">
        <f>IFERROR(VLOOKUP(I78,parts!$A$2:$Z$300,14,FALSE)*J78,0)</f>
        <v>0</v>
      </c>
      <c r="N78" s="4">
        <f>IFERROR(VLOOKUP(I78,parts!$A$2:$Z$300,6,FALSE),0)</f>
        <v>0</v>
      </c>
      <c r="O78" s="4">
        <f>IFERROR(VLOOKUP(I78,parts!$A$2:$Z$300,7,FALSE)*J78,0)</f>
        <v>0</v>
      </c>
      <c r="P78" s="12"/>
      <c r="Q78" s="11"/>
      <c r="R78" s="6"/>
      <c r="S78" s="4">
        <f>IFERROR(VLOOKUP(Q78,parts!$A$2:$Z$300,12,FALSE)*R78,0)</f>
        <v>0</v>
      </c>
      <c r="T78" s="4">
        <f>IFERROR(VLOOKUP(Q78,parts!$A$2:$Z$300,13,FALSE)*R78,0)</f>
        <v>0</v>
      </c>
      <c r="U78" s="4">
        <f>IFERROR(VLOOKUP(Q78,parts!$A$2:$Z$300,14,FALSE)*R78,0)</f>
        <v>0</v>
      </c>
      <c r="V78" s="4">
        <f>IFERROR(VLOOKUP(Q78,parts!$A$2:$Z$300,6,FALSE),0)</f>
        <v>0</v>
      </c>
      <c r="W78" s="4">
        <f>IFERROR(VLOOKUP(Q78,parts!$A$2:$Z$300,7,FALSE)*R78,0)</f>
        <v>0</v>
      </c>
      <c r="X78" s="12"/>
      <c r="Y78" s="11"/>
      <c r="Z78" s="6"/>
      <c r="AA78" s="4">
        <f>IFERROR(VLOOKUP(Y78,parts!$A$2:$Z$300,12,FALSE)*Z78,0)</f>
        <v>0</v>
      </c>
      <c r="AB78" s="4">
        <f>IFERROR(VLOOKUP(Y78,parts!$A$2:$Z$300,13,FALSE)*Z78,0)</f>
        <v>0</v>
      </c>
      <c r="AC78" s="4">
        <f>IFERROR(VLOOKUP(Y78,parts!$A$2:$Z$300,14,FALSE)*Z78,0)</f>
        <v>0</v>
      </c>
      <c r="AD78" s="4">
        <f>IFERROR(VLOOKUP(Y78,parts!$A$2:$Z$300,6,FALSE),0)</f>
        <v>0</v>
      </c>
      <c r="AE78" s="4">
        <f>IFERROR(VLOOKUP(Y78,parts!$A$2:$Z$300,7,FALSE)*Z78,0)</f>
        <v>0</v>
      </c>
      <c r="AF78" s="12"/>
    </row>
    <row r="79" spans="1:32" x14ac:dyDescent="0.25">
      <c r="A79" s="11"/>
      <c r="B79" s="6"/>
      <c r="C79" s="4">
        <f>IFERROR(VLOOKUP(A79,parts!$A$2:$Z$300,12,FALSE)*B79,0)</f>
        <v>0</v>
      </c>
      <c r="D79" s="4">
        <f>IFERROR(VLOOKUP(A79,parts!$A$2:$Z$300,13,FALSE)*B79,0)</f>
        <v>0</v>
      </c>
      <c r="E79" s="4">
        <f>IFERROR(VLOOKUP(A79,parts!$A$2:$Z$300,14,FALSE)*B79,0)</f>
        <v>0</v>
      </c>
      <c r="F79" s="4">
        <f>IFERROR(VLOOKUP(A79,parts!$A$2:$Z$300,6,FALSE),0)</f>
        <v>0</v>
      </c>
      <c r="G79" s="4">
        <f>IFERROR(VLOOKUP(A79,parts!$A$2:$Z$300,7,FALSE)*B79,0)</f>
        <v>0</v>
      </c>
      <c r="H79" s="12"/>
      <c r="I79" s="11"/>
      <c r="J79" s="6"/>
      <c r="K79" s="4">
        <f>IFERROR(VLOOKUP(I79,parts!$A$2:$Z$300,12,FALSE)*J79,0)</f>
        <v>0</v>
      </c>
      <c r="L79" s="4">
        <f>IFERROR(VLOOKUP(I79,parts!$A$2:$Z$300,13,FALSE)*J79,0)</f>
        <v>0</v>
      </c>
      <c r="M79" s="4">
        <f>IFERROR(VLOOKUP(I79,parts!$A$2:$Z$300,14,FALSE)*J79,0)</f>
        <v>0</v>
      </c>
      <c r="N79" s="4">
        <f>IFERROR(VLOOKUP(I79,parts!$A$2:$Z$300,6,FALSE),0)</f>
        <v>0</v>
      </c>
      <c r="O79" s="4">
        <f>IFERROR(VLOOKUP(I79,parts!$A$2:$Z$300,7,FALSE)*J79,0)</f>
        <v>0</v>
      </c>
      <c r="P79" s="12"/>
      <c r="Q79" s="11"/>
      <c r="R79" s="6"/>
      <c r="S79" s="4">
        <f>IFERROR(VLOOKUP(Q79,parts!$A$2:$Z$300,12,FALSE)*R79,0)</f>
        <v>0</v>
      </c>
      <c r="T79" s="4">
        <f>IFERROR(VLOOKUP(Q79,parts!$A$2:$Z$300,13,FALSE)*R79,0)</f>
        <v>0</v>
      </c>
      <c r="U79" s="4">
        <f>IFERROR(VLOOKUP(Q79,parts!$A$2:$Z$300,14,FALSE)*R79,0)</f>
        <v>0</v>
      </c>
      <c r="V79" s="4">
        <f>IFERROR(VLOOKUP(Q79,parts!$A$2:$Z$300,6,FALSE),0)</f>
        <v>0</v>
      </c>
      <c r="W79" s="4">
        <f>IFERROR(VLOOKUP(Q79,parts!$A$2:$Z$300,7,FALSE)*R79,0)</f>
        <v>0</v>
      </c>
      <c r="X79" s="12"/>
      <c r="Y79" s="11"/>
      <c r="Z79" s="6"/>
      <c r="AA79" s="4">
        <f>IFERROR(VLOOKUP(Y79,parts!$A$2:$Z$300,12,FALSE)*Z79,0)</f>
        <v>0</v>
      </c>
      <c r="AB79" s="4">
        <f>IFERROR(VLOOKUP(Y79,parts!$A$2:$Z$300,13,FALSE)*Z79,0)</f>
        <v>0</v>
      </c>
      <c r="AC79" s="4">
        <f>IFERROR(VLOOKUP(Y79,parts!$A$2:$Z$300,14,FALSE)*Z79,0)</f>
        <v>0</v>
      </c>
      <c r="AD79" s="4">
        <f>IFERROR(VLOOKUP(Y79,parts!$A$2:$Z$300,6,FALSE),0)</f>
        <v>0</v>
      </c>
      <c r="AE79" s="4">
        <f>IFERROR(VLOOKUP(Y79,parts!$A$2:$Z$300,7,FALSE)*Z79,0)</f>
        <v>0</v>
      </c>
      <c r="AF79" s="12"/>
    </row>
    <row r="80" spans="1:32" x14ac:dyDescent="0.25">
      <c r="A80" s="11"/>
      <c r="B80" s="6"/>
      <c r="C80" s="4">
        <f>IFERROR(VLOOKUP(A80,parts!$A$2:$Z$300,12,FALSE)*B80,0)</f>
        <v>0</v>
      </c>
      <c r="D80" s="4">
        <f>IFERROR(VLOOKUP(A80,parts!$A$2:$Z$300,13,FALSE)*B80,0)</f>
        <v>0</v>
      </c>
      <c r="E80" s="4">
        <f>IFERROR(VLOOKUP(A80,parts!$A$2:$Z$300,14,FALSE)*B80,0)</f>
        <v>0</v>
      </c>
      <c r="F80" s="4">
        <f>IFERROR(VLOOKUP(A80,parts!$A$2:$Z$300,6,FALSE),0)</f>
        <v>0</v>
      </c>
      <c r="G80" s="4">
        <f>IFERROR(VLOOKUP(A80,parts!$A$2:$Z$300,7,FALSE)*B80,0)</f>
        <v>0</v>
      </c>
      <c r="H80" s="12"/>
      <c r="I80" s="11"/>
      <c r="J80" s="6"/>
      <c r="K80" s="4">
        <f>IFERROR(VLOOKUP(I80,parts!$A$2:$Z$300,12,FALSE)*J80,0)</f>
        <v>0</v>
      </c>
      <c r="L80" s="4">
        <f>IFERROR(VLOOKUP(I80,parts!$A$2:$Z$300,13,FALSE)*J80,0)</f>
        <v>0</v>
      </c>
      <c r="M80" s="4">
        <f>IFERROR(VLOOKUP(I80,parts!$A$2:$Z$300,14,FALSE)*J80,0)</f>
        <v>0</v>
      </c>
      <c r="N80" s="4">
        <f>IFERROR(VLOOKUP(I80,parts!$A$2:$Z$300,6,FALSE),0)</f>
        <v>0</v>
      </c>
      <c r="O80" s="4">
        <f>IFERROR(VLOOKUP(I80,parts!$A$2:$Z$300,7,FALSE)*J80,0)</f>
        <v>0</v>
      </c>
      <c r="P80" s="12"/>
      <c r="Q80" s="11"/>
      <c r="R80" s="6"/>
      <c r="S80" s="4">
        <f>IFERROR(VLOOKUP(Q80,parts!$A$2:$Z$300,12,FALSE)*R80,0)</f>
        <v>0</v>
      </c>
      <c r="T80" s="4">
        <f>IFERROR(VLOOKUP(Q80,parts!$A$2:$Z$300,13,FALSE)*R80,0)</f>
        <v>0</v>
      </c>
      <c r="U80" s="4">
        <f>IFERROR(VLOOKUP(Q80,parts!$A$2:$Z$300,14,FALSE)*R80,0)</f>
        <v>0</v>
      </c>
      <c r="V80" s="4">
        <f>IFERROR(VLOOKUP(Q80,parts!$A$2:$Z$300,6,FALSE),0)</f>
        <v>0</v>
      </c>
      <c r="W80" s="4">
        <f>IFERROR(VLOOKUP(Q80,parts!$A$2:$Z$300,7,FALSE)*R80,0)</f>
        <v>0</v>
      </c>
      <c r="X80" s="12"/>
      <c r="Y80" s="11"/>
      <c r="Z80" s="6"/>
      <c r="AA80" s="4">
        <f>IFERROR(VLOOKUP(Y80,parts!$A$2:$Z$300,12,FALSE)*Z80,0)</f>
        <v>0</v>
      </c>
      <c r="AB80" s="4">
        <f>IFERROR(VLOOKUP(Y80,parts!$A$2:$Z$300,13,FALSE)*Z80,0)</f>
        <v>0</v>
      </c>
      <c r="AC80" s="4">
        <f>IFERROR(VLOOKUP(Y80,parts!$A$2:$Z$300,14,FALSE)*Z80,0)</f>
        <v>0</v>
      </c>
      <c r="AD80" s="4">
        <f>IFERROR(VLOOKUP(Y80,parts!$A$2:$Z$300,6,FALSE),0)</f>
        <v>0</v>
      </c>
      <c r="AE80" s="4">
        <f>IFERROR(VLOOKUP(Y80,parts!$A$2:$Z$300,7,FALSE)*Z80,0)</f>
        <v>0</v>
      </c>
      <c r="AF80" s="12"/>
    </row>
    <row r="81" spans="1:32" x14ac:dyDescent="0.25">
      <c r="A81" s="11"/>
      <c r="B81" s="6"/>
      <c r="C81" s="4">
        <f>IFERROR(VLOOKUP(A81,parts!$A$2:$Z$300,12,FALSE)*B81,0)</f>
        <v>0</v>
      </c>
      <c r="D81" s="4">
        <f>IFERROR(VLOOKUP(A81,parts!$A$2:$Z$300,13,FALSE)*B81,0)</f>
        <v>0</v>
      </c>
      <c r="E81" s="4">
        <f>IFERROR(VLOOKUP(A81,parts!$A$2:$Z$300,14,FALSE)*B81,0)</f>
        <v>0</v>
      </c>
      <c r="F81" s="4">
        <f>IFERROR(VLOOKUP(A81,parts!$A$2:$Z$300,6,FALSE),0)</f>
        <v>0</v>
      </c>
      <c r="G81" s="4">
        <f>IFERROR(VLOOKUP(A81,parts!$A$2:$Z$300,7,FALSE)*B81,0)</f>
        <v>0</v>
      </c>
      <c r="H81" s="12"/>
      <c r="I81" s="11"/>
      <c r="J81" s="6"/>
      <c r="K81" s="4">
        <f>IFERROR(VLOOKUP(I81,parts!$A$2:$Z$300,12,FALSE)*J81,0)</f>
        <v>0</v>
      </c>
      <c r="L81" s="4">
        <f>IFERROR(VLOOKUP(I81,parts!$A$2:$Z$300,13,FALSE)*J81,0)</f>
        <v>0</v>
      </c>
      <c r="M81" s="4">
        <f>IFERROR(VLOOKUP(I81,parts!$A$2:$Z$300,14,FALSE)*J81,0)</f>
        <v>0</v>
      </c>
      <c r="N81" s="4">
        <f>IFERROR(VLOOKUP(I81,parts!$A$2:$Z$300,6,FALSE),0)</f>
        <v>0</v>
      </c>
      <c r="O81" s="4">
        <f>IFERROR(VLOOKUP(I81,parts!$A$2:$Z$300,7,FALSE)*J81,0)</f>
        <v>0</v>
      </c>
      <c r="P81" s="12"/>
      <c r="Q81" s="11"/>
      <c r="R81" s="6"/>
      <c r="S81" s="4">
        <f>IFERROR(VLOOKUP(Q81,parts!$A$2:$Z$300,12,FALSE)*R81,0)</f>
        <v>0</v>
      </c>
      <c r="T81" s="4">
        <f>IFERROR(VLOOKUP(Q81,parts!$A$2:$Z$300,13,FALSE)*R81,0)</f>
        <v>0</v>
      </c>
      <c r="U81" s="4">
        <f>IFERROR(VLOOKUP(Q81,parts!$A$2:$Z$300,14,FALSE)*R81,0)</f>
        <v>0</v>
      </c>
      <c r="V81" s="4">
        <f>IFERROR(VLOOKUP(Q81,parts!$A$2:$Z$300,6,FALSE),0)</f>
        <v>0</v>
      </c>
      <c r="W81" s="4">
        <f>IFERROR(VLOOKUP(Q81,parts!$A$2:$Z$300,7,FALSE)*R81,0)</f>
        <v>0</v>
      </c>
      <c r="X81" s="12"/>
      <c r="Y81" s="11"/>
      <c r="Z81" s="6"/>
      <c r="AA81" s="4">
        <f>IFERROR(VLOOKUP(Y81,parts!$A$2:$Z$300,12,FALSE)*Z81,0)</f>
        <v>0</v>
      </c>
      <c r="AB81" s="4">
        <f>IFERROR(VLOOKUP(Y81,parts!$A$2:$Z$300,13,FALSE)*Z81,0)</f>
        <v>0</v>
      </c>
      <c r="AC81" s="4">
        <f>IFERROR(VLOOKUP(Y81,parts!$A$2:$Z$300,14,FALSE)*Z81,0)</f>
        <v>0</v>
      </c>
      <c r="AD81" s="4">
        <f>IFERROR(VLOOKUP(Y81,parts!$A$2:$Z$300,6,FALSE),0)</f>
        <v>0</v>
      </c>
      <c r="AE81" s="4">
        <f>IFERROR(VLOOKUP(Y81,parts!$A$2:$Z$300,7,FALSE)*Z81,0)</f>
        <v>0</v>
      </c>
      <c r="AF81" s="12"/>
    </row>
    <row r="82" spans="1:32" x14ac:dyDescent="0.25">
      <c r="A82" s="11"/>
      <c r="B82" s="6"/>
      <c r="C82" s="4">
        <f>IFERROR(VLOOKUP(A82,parts!$A$2:$Z$300,12,FALSE)*B82,0)</f>
        <v>0</v>
      </c>
      <c r="D82" s="4">
        <f>IFERROR(VLOOKUP(A82,parts!$A$2:$Z$300,13,FALSE)*B82,0)</f>
        <v>0</v>
      </c>
      <c r="E82" s="4">
        <f>IFERROR(VLOOKUP(A82,parts!$A$2:$Z$300,14,FALSE)*B82,0)</f>
        <v>0</v>
      </c>
      <c r="F82" s="4">
        <f>IFERROR(VLOOKUP(A82,parts!$A$2:$Z$300,6,FALSE),0)</f>
        <v>0</v>
      </c>
      <c r="G82" s="4">
        <f>IFERROR(VLOOKUP(A82,parts!$A$2:$Z$300,7,FALSE)*B82,0)</f>
        <v>0</v>
      </c>
      <c r="H82" s="12"/>
      <c r="I82" s="11"/>
      <c r="J82" s="6"/>
      <c r="K82" s="4">
        <f>IFERROR(VLOOKUP(I82,parts!$A$2:$Z$300,12,FALSE)*J82,0)</f>
        <v>0</v>
      </c>
      <c r="L82" s="4">
        <f>IFERROR(VLOOKUP(I82,parts!$A$2:$Z$300,13,FALSE)*J82,0)</f>
        <v>0</v>
      </c>
      <c r="M82" s="4">
        <f>IFERROR(VLOOKUP(I82,parts!$A$2:$Z$300,14,FALSE)*J82,0)</f>
        <v>0</v>
      </c>
      <c r="N82" s="4">
        <f>IFERROR(VLOOKUP(I82,parts!$A$2:$Z$300,6,FALSE),0)</f>
        <v>0</v>
      </c>
      <c r="O82" s="4">
        <f>IFERROR(VLOOKUP(I82,parts!$A$2:$Z$300,7,FALSE)*J82,0)</f>
        <v>0</v>
      </c>
      <c r="P82" s="12"/>
      <c r="Q82" s="11"/>
      <c r="R82" s="6"/>
      <c r="S82" s="4">
        <f>IFERROR(VLOOKUP(Q82,parts!$A$2:$Z$300,12,FALSE)*R82,0)</f>
        <v>0</v>
      </c>
      <c r="T82" s="4">
        <f>IFERROR(VLOOKUP(Q82,parts!$A$2:$Z$300,13,FALSE)*R82,0)</f>
        <v>0</v>
      </c>
      <c r="U82" s="4">
        <f>IFERROR(VLOOKUP(Q82,parts!$A$2:$Z$300,14,FALSE)*R82,0)</f>
        <v>0</v>
      </c>
      <c r="V82" s="4">
        <f>IFERROR(VLOOKUP(Q82,parts!$A$2:$Z$300,6,FALSE),0)</f>
        <v>0</v>
      </c>
      <c r="W82" s="4">
        <f>IFERROR(VLOOKUP(Q82,parts!$A$2:$Z$300,7,FALSE)*R82,0)</f>
        <v>0</v>
      </c>
      <c r="X82" s="12"/>
      <c r="Y82" s="11"/>
      <c r="Z82" s="6"/>
      <c r="AA82" s="4">
        <f>IFERROR(VLOOKUP(Y82,parts!$A$2:$Z$300,12,FALSE)*Z82,0)</f>
        <v>0</v>
      </c>
      <c r="AB82" s="4">
        <f>IFERROR(VLOOKUP(Y82,parts!$A$2:$Z$300,13,FALSE)*Z82,0)</f>
        <v>0</v>
      </c>
      <c r="AC82" s="4">
        <f>IFERROR(VLOOKUP(Y82,parts!$A$2:$Z$300,14,FALSE)*Z82,0)</f>
        <v>0</v>
      </c>
      <c r="AD82" s="4">
        <f>IFERROR(VLOOKUP(Y82,parts!$A$2:$Z$300,6,FALSE),0)</f>
        <v>0</v>
      </c>
      <c r="AE82" s="4">
        <f>IFERROR(VLOOKUP(Y82,parts!$A$2:$Z$300,7,FALSE)*Z82,0)</f>
        <v>0</v>
      </c>
      <c r="AF82" s="12"/>
    </row>
    <row r="83" spans="1:32" x14ac:dyDescent="0.25">
      <c r="A83" s="11"/>
      <c r="B83" s="6"/>
      <c r="C83" s="4">
        <f>IFERROR(VLOOKUP(A83,parts!$A$2:$Z$300,12,FALSE)*B83,0)</f>
        <v>0</v>
      </c>
      <c r="D83" s="4">
        <f>IFERROR(VLOOKUP(A83,parts!$A$2:$Z$300,13,FALSE)*B83,0)</f>
        <v>0</v>
      </c>
      <c r="E83" s="4">
        <f>IFERROR(VLOOKUP(A83,parts!$A$2:$Z$300,14,FALSE)*B83,0)</f>
        <v>0</v>
      </c>
      <c r="F83" s="4">
        <f>IFERROR(VLOOKUP(A83,parts!$A$2:$Z$300,6,FALSE),0)</f>
        <v>0</v>
      </c>
      <c r="G83" s="4">
        <f>IFERROR(VLOOKUP(A83,parts!$A$2:$Z$300,7,FALSE)*B83,0)</f>
        <v>0</v>
      </c>
      <c r="H83" s="12"/>
      <c r="I83" s="11"/>
      <c r="J83" s="6"/>
      <c r="K83" s="4">
        <f>IFERROR(VLOOKUP(I83,parts!$A$2:$Z$300,12,FALSE)*J83,0)</f>
        <v>0</v>
      </c>
      <c r="L83" s="4">
        <f>IFERROR(VLOOKUP(I83,parts!$A$2:$Z$300,13,FALSE)*J83,0)</f>
        <v>0</v>
      </c>
      <c r="M83" s="4">
        <f>IFERROR(VLOOKUP(I83,parts!$A$2:$Z$300,14,FALSE)*J83,0)</f>
        <v>0</v>
      </c>
      <c r="N83" s="4">
        <f>IFERROR(VLOOKUP(I83,parts!$A$2:$Z$300,6,FALSE),0)</f>
        <v>0</v>
      </c>
      <c r="O83" s="4">
        <f>IFERROR(VLOOKUP(I83,parts!$A$2:$Z$300,7,FALSE)*J83,0)</f>
        <v>0</v>
      </c>
      <c r="P83" s="12"/>
      <c r="Q83" s="11"/>
      <c r="R83" s="6"/>
      <c r="S83" s="4">
        <f>IFERROR(VLOOKUP(Q83,parts!$A$2:$Z$300,12,FALSE)*R83,0)</f>
        <v>0</v>
      </c>
      <c r="T83" s="4">
        <f>IFERROR(VLOOKUP(Q83,parts!$A$2:$Z$300,13,FALSE)*R83,0)</f>
        <v>0</v>
      </c>
      <c r="U83" s="4">
        <f>IFERROR(VLOOKUP(Q83,parts!$A$2:$Z$300,14,FALSE)*R83,0)</f>
        <v>0</v>
      </c>
      <c r="V83" s="4">
        <f>IFERROR(VLOOKUP(Q83,parts!$A$2:$Z$300,6,FALSE),0)</f>
        <v>0</v>
      </c>
      <c r="W83" s="4">
        <f>IFERROR(VLOOKUP(Q83,parts!$A$2:$Z$300,7,FALSE)*R83,0)</f>
        <v>0</v>
      </c>
      <c r="X83" s="12"/>
      <c r="Y83" s="11"/>
      <c r="Z83" s="6"/>
      <c r="AA83" s="4">
        <f>IFERROR(VLOOKUP(Y83,parts!$A$2:$Z$300,12,FALSE)*Z83,0)</f>
        <v>0</v>
      </c>
      <c r="AB83" s="4">
        <f>IFERROR(VLOOKUP(Y83,parts!$A$2:$Z$300,13,FALSE)*Z83,0)</f>
        <v>0</v>
      </c>
      <c r="AC83" s="4">
        <f>IFERROR(VLOOKUP(Y83,parts!$A$2:$Z$300,14,FALSE)*Z83,0)</f>
        <v>0</v>
      </c>
      <c r="AD83" s="4">
        <f>IFERROR(VLOOKUP(Y83,parts!$A$2:$Z$300,6,FALSE),0)</f>
        <v>0</v>
      </c>
      <c r="AE83" s="4">
        <f>IFERROR(VLOOKUP(Y83,parts!$A$2:$Z$300,7,FALSE)*Z83,0)</f>
        <v>0</v>
      </c>
      <c r="AF83" s="12"/>
    </row>
    <row r="84" spans="1:32" x14ac:dyDescent="0.25">
      <c r="A84" s="11"/>
      <c r="B84" s="6"/>
      <c r="C84" s="4">
        <f>IFERROR(VLOOKUP(A84,parts!$A$2:$Z$300,12,FALSE)*B84,0)</f>
        <v>0</v>
      </c>
      <c r="D84" s="4">
        <f>IFERROR(VLOOKUP(A84,parts!$A$2:$Z$300,13,FALSE)*B84,0)</f>
        <v>0</v>
      </c>
      <c r="E84" s="4">
        <f>IFERROR(VLOOKUP(A84,parts!$A$2:$Z$300,14,FALSE)*B84,0)</f>
        <v>0</v>
      </c>
      <c r="F84" s="4">
        <f>IFERROR(VLOOKUP(A84,parts!$A$2:$Z$300,6,FALSE),0)</f>
        <v>0</v>
      </c>
      <c r="G84" s="4">
        <f>IFERROR(VLOOKUP(A84,parts!$A$2:$Z$300,7,FALSE)*B84,0)</f>
        <v>0</v>
      </c>
      <c r="H84" s="12"/>
      <c r="I84" s="11"/>
      <c r="J84" s="6"/>
      <c r="K84" s="4">
        <f>IFERROR(VLOOKUP(I84,parts!$A$2:$Z$300,12,FALSE)*J84,0)</f>
        <v>0</v>
      </c>
      <c r="L84" s="4">
        <f>IFERROR(VLOOKUP(I84,parts!$A$2:$Z$300,13,FALSE)*J84,0)</f>
        <v>0</v>
      </c>
      <c r="M84" s="4">
        <f>IFERROR(VLOOKUP(I84,parts!$A$2:$Z$300,14,FALSE)*J84,0)</f>
        <v>0</v>
      </c>
      <c r="N84" s="4">
        <f>IFERROR(VLOOKUP(I84,parts!$A$2:$Z$300,6,FALSE),0)</f>
        <v>0</v>
      </c>
      <c r="O84" s="4">
        <f>IFERROR(VLOOKUP(I84,parts!$A$2:$Z$300,7,FALSE)*J84,0)</f>
        <v>0</v>
      </c>
      <c r="P84" s="12"/>
      <c r="Q84" s="11"/>
      <c r="R84" s="6"/>
      <c r="S84" s="4">
        <f>IFERROR(VLOOKUP(Q84,parts!$A$2:$Z$300,12,FALSE)*R84,0)</f>
        <v>0</v>
      </c>
      <c r="T84" s="4">
        <f>IFERROR(VLOOKUP(Q84,parts!$A$2:$Z$300,13,FALSE)*R84,0)</f>
        <v>0</v>
      </c>
      <c r="U84" s="4">
        <f>IFERROR(VLOOKUP(Q84,parts!$A$2:$Z$300,14,FALSE)*R84,0)</f>
        <v>0</v>
      </c>
      <c r="V84" s="4">
        <f>IFERROR(VLOOKUP(Q84,parts!$A$2:$Z$300,6,FALSE),0)</f>
        <v>0</v>
      </c>
      <c r="W84" s="4">
        <f>IFERROR(VLOOKUP(Q84,parts!$A$2:$Z$300,7,FALSE)*R84,0)</f>
        <v>0</v>
      </c>
      <c r="X84" s="12"/>
      <c r="Y84" s="11"/>
      <c r="Z84" s="6"/>
      <c r="AA84" s="4">
        <f>IFERROR(VLOOKUP(Y84,parts!$A$2:$Z$300,12,FALSE)*Z84,0)</f>
        <v>0</v>
      </c>
      <c r="AB84" s="4">
        <f>IFERROR(VLOOKUP(Y84,parts!$A$2:$Z$300,13,FALSE)*Z84,0)</f>
        <v>0</v>
      </c>
      <c r="AC84" s="4">
        <f>IFERROR(VLOOKUP(Y84,parts!$A$2:$Z$300,14,FALSE)*Z84,0)</f>
        <v>0</v>
      </c>
      <c r="AD84" s="4">
        <f>IFERROR(VLOOKUP(Y84,parts!$A$2:$Z$300,6,FALSE),0)</f>
        <v>0</v>
      </c>
      <c r="AE84" s="4">
        <f>IFERROR(VLOOKUP(Y84,parts!$A$2:$Z$300,7,FALSE)*Z84,0)</f>
        <v>0</v>
      </c>
      <c r="AF84" s="12"/>
    </row>
    <row r="85" spans="1:32" x14ac:dyDescent="0.25">
      <c r="A85" s="11"/>
      <c r="B85" s="6"/>
      <c r="C85" s="4">
        <f>IFERROR(VLOOKUP(A85,parts!$A$2:$Z$300,12,FALSE)*B85,0)</f>
        <v>0</v>
      </c>
      <c r="D85" s="4">
        <f>IFERROR(VLOOKUP(A85,parts!$A$2:$Z$300,13,FALSE)*B85,0)</f>
        <v>0</v>
      </c>
      <c r="E85" s="4">
        <f>IFERROR(VLOOKUP(A85,parts!$A$2:$Z$300,14,FALSE)*B85,0)</f>
        <v>0</v>
      </c>
      <c r="F85" s="4">
        <f>IFERROR(VLOOKUP(A85,parts!$A$2:$Z$300,6,FALSE),0)</f>
        <v>0</v>
      </c>
      <c r="G85" s="4">
        <f>IFERROR(VLOOKUP(A85,parts!$A$2:$Z$300,7,FALSE)*B85,0)</f>
        <v>0</v>
      </c>
      <c r="H85" s="12"/>
      <c r="I85" s="11"/>
      <c r="J85" s="6"/>
      <c r="K85" s="4">
        <f>IFERROR(VLOOKUP(I85,parts!$A$2:$Z$300,12,FALSE)*J85,0)</f>
        <v>0</v>
      </c>
      <c r="L85" s="4">
        <f>IFERROR(VLOOKUP(I85,parts!$A$2:$Z$300,13,FALSE)*J85,0)</f>
        <v>0</v>
      </c>
      <c r="M85" s="4">
        <f>IFERROR(VLOOKUP(I85,parts!$A$2:$Z$300,14,FALSE)*J85,0)</f>
        <v>0</v>
      </c>
      <c r="N85" s="4">
        <f>IFERROR(VLOOKUP(I85,parts!$A$2:$Z$300,6,FALSE),0)</f>
        <v>0</v>
      </c>
      <c r="O85" s="4">
        <f>IFERROR(VLOOKUP(I85,parts!$A$2:$Z$300,7,FALSE)*J85,0)</f>
        <v>0</v>
      </c>
      <c r="P85" s="12"/>
      <c r="Q85" s="11"/>
      <c r="R85" s="6"/>
      <c r="S85" s="4">
        <f>IFERROR(VLOOKUP(Q85,parts!$A$2:$Z$300,12,FALSE)*R85,0)</f>
        <v>0</v>
      </c>
      <c r="T85" s="4">
        <f>IFERROR(VLOOKUP(Q85,parts!$A$2:$Z$300,13,FALSE)*R85,0)</f>
        <v>0</v>
      </c>
      <c r="U85" s="4">
        <f>IFERROR(VLOOKUP(Q85,parts!$A$2:$Z$300,14,FALSE)*R85,0)</f>
        <v>0</v>
      </c>
      <c r="V85" s="4">
        <f>IFERROR(VLOOKUP(Q85,parts!$A$2:$Z$300,6,FALSE),0)</f>
        <v>0</v>
      </c>
      <c r="W85" s="4">
        <f>IFERROR(VLOOKUP(Q85,parts!$A$2:$Z$300,7,FALSE)*R85,0)</f>
        <v>0</v>
      </c>
      <c r="X85" s="12"/>
      <c r="Y85" s="11"/>
      <c r="Z85" s="6"/>
      <c r="AA85" s="4">
        <f>IFERROR(VLOOKUP(Y85,parts!$A$2:$Z$300,12,FALSE)*Z85,0)</f>
        <v>0</v>
      </c>
      <c r="AB85" s="4">
        <f>IFERROR(VLOOKUP(Y85,parts!$A$2:$Z$300,13,FALSE)*Z85,0)</f>
        <v>0</v>
      </c>
      <c r="AC85" s="4">
        <f>IFERROR(VLOOKUP(Y85,parts!$A$2:$Z$300,14,FALSE)*Z85,0)</f>
        <v>0</v>
      </c>
      <c r="AD85" s="4">
        <f>IFERROR(VLOOKUP(Y85,parts!$A$2:$Z$300,6,FALSE),0)</f>
        <v>0</v>
      </c>
      <c r="AE85" s="4">
        <f>IFERROR(VLOOKUP(Y85,parts!$A$2:$Z$300,7,FALSE)*Z85,0)</f>
        <v>0</v>
      </c>
      <c r="AF85" s="12"/>
    </row>
    <row r="86" spans="1:32" x14ac:dyDescent="0.25">
      <c r="A86" s="11"/>
      <c r="B86" s="6"/>
      <c r="C86" s="4">
        <f>IFERROR(VLOOKUP(A86,parts!$A$2:$Z$300,12,FALSE)*B86,0)</f>
        <v>0</v>
      </c>
      <c r="D86" s="4">
        <f>IFERROR(VLOOKUP(A86,parts!$A$2:$Z$300,13,FALSE)*B86,0)</f>
        <v>0</v>
      </c>
      <c r="E86" s="4">
        <f>IFERROR(VLOOKUP(A86,parts!$A$2:$Z$300,14,FALSE)*B86,0)</f>
        <v>0</v>
      </c>
      <c r="F86" s="4">
        <f>IFERROR(VLOOKUP(A86,parts!$A$2:$Z$300,6,FALSE),0)</f>
        <v>0</v>
      </c>
      <c r="G86" s="4">
        <f>IFERROR(VLOOKUP(A86,parts!$A$2:$Z$300,7,FALSE)*B86,0)</f>
        <v>0</v>
      </c>
      <c r="H86" s="12"/>
      <c r="I86" s="11"/>
      <c r="J86" s="6"/>
      <c r="K86" s="4">
        <f>IFERROR(VLOOKUP(I86,parts!$A$2:$Z$300,12,FALSE)*J86,0)</f>
        <v>0</v>
      </c>
      <c r="L86" s="4">
        <f>IFERROR(VLOOKUP(I86,parts!$A$2:$Z$300,13,FALSE)*J86,0)</f>
        <v>0</v>
      </c>
      <c r="M86" s="4">
        <f>IFERROR(VLOOKUP(I86,parts!$A$2:$Z$300,14,FALSE)*J86,0)</f>
        <v>0</v>
      </c>
      <c r="N86" s="4">
        <f>IFERROR(VLOOKUP(I86,parts!$A$2:$Z$300,6,FALSE),0)</f>
        <v>0</v>
      </c>
      <c r="O86" s="4">
        <f>IFERROR(VLOOKUP(I86,parts!$A$2:$Z$300,7,FALSE)*J86,0)</f>
        <v>0</v>
      </c>
      <c r="P86" s="12"/>
      <c r="Q86" s="11"/>
      <c r="R86" s="6"/>
      <c r="S86" s="4">
        <f>IFERROR(VLOOKUP(Q86,parts!$A$2:$Z$300,12,FALSE)*R86,0)</f>
        <v>0</v>
      </c>
      <c r="T86" s="4">
        <f>IFERROR(VLOOKUP(Q86,parts!$A$2:$Z$300,13,FALSE)*R86,0)</f>
        <v>0</v>
      </c>
      <c r="U86" s="4">
        <f>IFERROR(VLOOKUP(Q86,parts!$A$2:$Z$300,14,FALSE)*R86,0)</f>
        <v>0</v>
      </c>
      <c r="V86" s="4">
        <f>IFERROR(VLOOKUP(Q86,parts!$A$2:$Z$300,6,FALSE),0)</f>
        <v>0</v>
      </c>
      <c r="W86" s="4">
        <f>IFERROR(VLOOKUP(Q86,parts!$A$2:$Z$300,7,FALSE)*R86,0)</f>
        <v>0</v>
      </c>
      <c r="X86" s="12"/>
      <c r="Y86" s="11"/>
      <c r="Z86" s="6"/>
      <c r="AA86" s="4">
        <f>IFERROR(VLOOKUP(Y86,parts!$A$2:$Z$300,12,FALSE)*Z86,0)</f>
        <v>0</v>
      </c>
      <c r="AB86" s="4">
        <f>IFERROR(VLOOKUP(Y86,parts!$A$2:$Z$300,13,FALSE)*Z86,0)</f>
        <v>0</v>
      </c>
      <c r="AC86" s="4">
        <f>IFERROR(VLOOKUP(Y86,parts!$A$2:$Z$300,14,FALSE)*Z86,0)</f>
        <v>0</v>
      </c>
      <c r="AD86" s="4">
        <f>IFERROR(VLOOKUP(Y86,parts!$A$2:$Z$300,6,FALSE),0)</f>
        <v>0</v>
      </c>
      <c r="AE86" s="4">
        <f>IFERROR(VLOOKUP(Y86,parts!$A$2:$Z$300,7,FALSE)*Z86,0)</f>
        <v>0</v>
      </c>
      <c r="AF86" s="12"/>
    </row>
    <row r="87" spans="1:32" x14ac:dyDescent="0.25">
      <c r="A87" s="11"/>
      <c r="B87" s="6"/>
      <c r="C87" s="4">
        <f>IFERROR(VLOOKUP(A87,parts!$A$2:$Z$300,12,FALSE)*B87,0)</f>
        <v>0</v>
      </c>
      <c r="D87" s="4">
        <f>IFERROR(VLOOKUP(A87,parts!$A$2:$Z$300,13,FALSE)*B87,0)</f>
        <v>0</v>
      </c>
      <c r="E87" s="4">
        <f>IFERROR(VLOOKUP(A87,parts!$A$2:$Z$300,14,FALSE)*B87,0)</f>
        <v>0</v>
      </c>
      <c r="F87" s="4">
        <f>IFERROR(VLOOKUP(A87,parts!$A$2:$Z$300,6,FALSE),0)</f>
        <v>0</v>
      </c>
      <c r="G87" s="4">
        <f>IFERROR(VLOOKUP(A87,parts!$A$2:$Z$300,7,FALSE)*B87,0)</f>
        <v>0</v>
      </c>
      <c r="H87" s="12"/>
      <c r="I87" s="11"/>
      <c r="J87" s="6"/>
      <c r="K87" s="4">
        <f>IFERROR(VLOOKUP(I87,parts!$A$2:$Z$300,12,FALSE)*J87,0)</f>
        <v>0</v>
      </c>
      <c r="L87" s="4">
        <f>IFERROR(VLOOKUP(I87,parts!$A$2:$Z$300,13,FALSE)*J87,0)</f>
        <v>0</v>
      </c>
      <c r="M87" s="4">
        <f>IFERROR(VLOOKUP(I87,parts!$A$2:$Z$300,14,FALSE)*J87,0)</f>
        <v>0</v>
      </c>
      <c r="N87" s="4">
        <f>IFERROR(VLOOKUP(I87,parts!$A$2:$Z$300,6,FALSE),0)</f>
        <v>0</v>
      </c>
      <c r="O87" s="4">
        <f>IFERROR(VLOOKUP(I87,parts!$A$2:$Z$300,7,FALSE)*J87,0)</f>
        <v>0</v>
      </c>
      <c r="P87" s="12"/>
      <c r="Q87" s="11"/>
      <c r="R87" s="6"/>
      <c r="S87" s="4">
        <f>IFERROR(VLOOKUP(Q87,parts!$A$2:$Z$300,12,FALSE)*R87,0)</f>
        <v>0</v>
      </c>
      <c r="T87" s="4">
        <f>IFERROR(VLOOKUP(Q87,parts!$A$2:$Z$300,13,FALSE)*R87,0)</f>
        <v>0</v>
      </c>
      <c r="U87" s="4">
        <f>IFERROR(VLOOKUP(Q87,parts!$A$2:$Z$300,14,FALSE)*R87,0)</f>
        <v>0</v>
      </c>
      <c r="V87" s="4">
        <f>IFERROR(VLOOKUP(Q87,parts!$A$2:$Z$300,6,FALSE),0)</f>
        <v>0</v>
      </c>
      <c r="W87" s="4">
        <f>IFERROR(VLOOKUP(Q87,parts!$A$2:$Z$300,7,FALSE)*R87,0)</f>
        <v>0</v>
      </c>
      <c r="X87" s="12"/>
      <c r="Y87" s="11"/>
      <c r="Z87" s="6"/>
      <c r="AA87" s="4">
        <f>IFERROR(VLOOKUP(Y87,parts!$A$2:$Z$300,12,FALSE)*Z87,0)</f>
        <v>0</v>
      </c>
      <c r="AB87" s="4">
        <f>IFERROR(VLOOKUP(Y87,parts!$A$2:$Z$300,13,FALSE)*Z87,0)</f>
        <v>0</v>
      </c>
      <c r="AC87" s="4">
        <f>IFERROR(VLOOKUP(Y87,parts!$A$2:$Z$300,14,FALSE)*Z87,0)</f>
        <v>0</v>
      </c>
      <c r="AD87" s="4">
        <f>IFERROR(VLOOKUP(Y87,parts!$A$2:$Z$300,6,FALSE),0)</f>
        <v>0</v>
      </c>
      <c r="AE87" s="4">
        <f>IFERROR(VLOOKUP(Y87,parts!$A$2:$Z$300,7,FALSE)*Z87,0)</f>
        <v>0</v>
      </c>
      <c r="AF87" s="12"/>
    </row>
    <row r="88" spans="1:32" x14ac:dyDescent="0.25">
      <c r="A88" s="11"/>
      <c r="B88" s="6"/>
      <c r="C88" s="4">
        <f>IFERROR(VLOOKUP(A88,parts!$A$2:$Z$300,12,FALSE)*B88,0)</f>
        <v>0</v>
      </c>
      <c r="D88" s="4">
        <f>IFERROR(VLOOKUP(A88,parts!$A$2:$Z$300,13,FALSE)*B88,0)</f>
        <v>0</v>
      </c>
      <c r="E88" s="4">
        <f>IFERROR(VLOOKUP(A88,parts!$A$2:$Z$300,14,FALSE)*B88,0)</f>
        <v>0</v>
      </c>
      <c r="F88" s="4">
        <f>IFERROR(VLOOKUP(A88,parts!$A$2:$Z$300,6,FALSE),0)</f>
        <v>0</v>
      </c>
      <c r="G88" s="4">
        <f>IFERROR(VLOOKUP(A88,parts!$A$2:$Z$300,7,FALSE)*B88,0)</f>
        <v>0</v>
      </c>
      <c r="H88" s="12"/>
      <c r="I88" s="11"/>
      <c r="J88" s="6"/>
      <c r="K88" s="4">
        <f>IFERROR(VLOOKUP(I88,parts!$A$2:$Z$300,12,FALSE)*J88,0)</f>
        <v>0</v>
      </c>
      <c r="L88" s="4">
        <f>IFERROR(VLOOKUP(I88,parts!$A$2:$Z$300,13,FALSE)*J88,0)</f>
        <v>0</v>
      </c>
      <c r="M88" s="4">
        <f>IFERROR(VLOOKUP(I88,parts!$A$2:$Z$300,14,FALSE)*J88,0)</f>
        <v>0</v>
      </c>
      <c r="N88" s="4">
        <f>IFERROR(VLOOKUP(I88,parts!$A$2:$Z$300,6,FALSE),0)</f>
        <v>0</v>
      </c>
      <c r="O88" s="4">
        <f>IFERROR(VLOOKUP(I88,parts!$A$2:$Z$300,7,FALSE)*J88,0)</f>
        <v>0</v>
      </c>
      <c r="P88" s="12"/>
      <c r="Q88" s="11"/>
      <c r="R88" s="6"/>
      <c r="S88" s="4">
        <f>IFERROR(VLOOKUP(Q88,parts!$A$2:$Z$300,12,FALSE)*R88,0)</f>
        <v>0</v>
      </c>
      <c r="T88" s="4">
        <f>IFERROR(VLOOKUP(Q88,parts!$A$2:$Z$300,13,FALSE)*R88,0)</f>
        <v>0</v>
      </c>
      <c r="U88" s="4">
        <f>IFERROR(VLOOKUP(Q88,parts!$A$2:$Z$300,14,FALSE)*R88,0)</f>
        <v>0</v>
      </c>
      <c r="V88" s="4">
        <f>IFERROR(VLOOKUP(Q88,parts!$A$2:$Z$300,6,FALSE),0)</f>
        <v>0</v>
      </c>
      <c r="W88" s="4">
        <f>IFERROR(VLOOKUP(Q88,parts!$A$2:$Z$300,7,FALSE)*R88,0)</f>
        <v>0</v>
      </c>
      <c r="X88" s="12"/>
      <c r="Y88" s="11"/>
      <c r="Z88" s="6"/>
      <c r="AA88" s="4">
        <f>IFERROR(VLOOKUP(Y88,parts!$A$2:$Z$300,12,FALSE)*Z88,0)</f>
        <v>0</v>
      </c>
      <c r="AB88" s="4">
        <f>IFERROR(VLOOKUP(Y88,parts!$A$2:$Z$300,13,FALSE)*Z88,0)</f>
        <v>0</v>
      </c>
      <c r="AC88" s="4">
        <f>IFERROR(VLOOKUP(Y88,parts!$A$2:$Z$300,14,FALSE)*Z88,0)</f>
        <v>0</v>
      </c>
      <c r="AD88" s="4">
        <f>IFERROR(VLOOKUP(Y88,parts!$A$2:$Z$300,6,FALSE),0)</f>
        <v>0</v>
      </c>
      <c r="AE88" s="4">
        <f>IFERROR(VLOOKUP(Y88,parts!$A$2:$Z$300,7,FALSE)*Z88,0)</f>
        <v>0</v>
      </c>
      <c r="AF88" s="12"/>
    </row>
    <row r="89" spans="1:32" ht="15.75" thickBot="1" x14ac:dyDescent="0.3">
      <c r="A89" s="11"/>
      <c r="B89" s="6"/>
      <c r="C89" s="4">
        <f>IFERROR(VLOOKUP(A89,parts!$A$2:$Z$300,12,FALSE)*B89,0)</f>
        <v>0</v>
      </c>
      <c r="D89" s="4">
        <f>IFERROR(VLOOKUP(A89,parts!$A$2:$Z$300,13,FALSE)*B89,0)</f>
        <v>0</v>
      </c>
      <c r="E89" s="4">
        <f>IFERROR(VLOOKUP(A89,parts!$A$2:$Z$300,14,FALSE)*B89,0)</f>
        <v>0</v>
      </c>
      <c r="F89" s="4">
        <f>IFERROR(VLOOKUP(A89,parts!$A$2:$Z$300,6,FALSE),0)</f>
        <v>0</v>
      </c>
      <c r="G89" s="4">
        <f>IFERROR(VLOOKUP(A89,parts!$A$2:$Z$300,7,FALSE)*B89,0)</f>
        <v>0</v>
      </c>
      <c r="H89" s="12"/>
      <c r="I89" s="11"/>
      <c r="J89" s="6"/>
      <c r="K89" s="4">
        <f>IFERROR(VLOOKUP(I89,parts!$A$2:$Z$300,12,FALSE)*J89,0)</f>
        <v>0</v>
      </c>
      <c r="L89" s="4">
        <f>IFERROR(VLOOKUP(I89,parts!$A$2:$Z$300,13,FALSE)*J89,0)</f>
        <v>0</v>
      </c>
      <c r="M89" s="4">
        <f>IFERROR(VLOOKUP(I89,parts!$A$2:$Z$300,14,FALSE)*J89,0)</f>
        <v>0</v>
      </c>
      <c r="N89" s="4">
        <f>IFERROR(VLOOKUP(I89,parts!$A$2:$Z$300,6,FALSE),0)</f>
        <v>0</v>
      </c>
      <c r="O89" s="4">
        <f>IFERROR(VLOOKUP(I89,parts!$A$2:$Z$300,7,FALSE)*J89,0)</f>
        <v>0</v>
      </c>
      <c r="P89" s="12"/>
      <c r="Q89" s="11"/>
      <c r="R89" s="6"/>
      <c r="S89" s="4">
        <f>IFERROR(VLOOKUP(Q89,parts!$A$2:$Z$300,12,FALSE)*R89,0)</f>
        <v>0</v>
      </c>
      <c r="T89" s="4">
        <f>IFERROR(VLOOKUP(Q89,parts!$A$2:$Z$300,13,FALSE)*R89,0)</f>
        <v>0</v>
      </c>
      <c r="U89" s="4">
        <f>IFERROR(VLOOKUP(Q89,parts!$A$2:$Z$300,14,FALSE)*R89,0)</f>
        <v>0</v>
      </c>
      <c r="V89" s="4">
        <f>IFERROR(VLOOKUP(Q89,parts!$A$2:$Z$300,6,FALSE),0)</f>
        <v>0</v>
      </c>
      <c r="W89" s="4">
        <f>IFERROR(VLOOKUP(Q89,parts!$A$2:$Z$300,7,FALSE)*R89,0)</f>
        <v>0</v>
      </c>
      <c r="X89" s="12"/>
      <c r="Y89" s="11"/>
      <c r="Z89" s="6"/>
      <c r="AA89" s="4">
        <f>IFERROR(VLOOKUP(Y89,parts!$A$2:$Z$300,12,FALSE)*Z89,0)</f>
        <v>0</v>
      </c>
      <c r="AB89" s="4">
        <f>IFERROR(VLOOKUP(Y89,parts!$A$2:$Z$300,13,FALSE)*Z89,0)</f>
        <v>0</v>
      </c>
      <c r="AC89" s="4">
        <f>IFERROR(VLOOKUP(Y89,parts!$A$2:$Z$300,14,FALSE)*Z89,0)</f>
        <v>0</v>
      </c>
      <c r="AD89" s="4">
        <f>IFERROR(VLOOKUP(Y89,parts!$A$2:$Z$300,6,FALSE),0)</f>
        <v>0</v>
      </c>
      <c r="AE89" s="4">
        <f>IFERROR(VLOOKUP(Y89,parts!$A$2:$Z$300,7,FALSE)*Z89,0)</f>
        <v>0</v>
      </c>
      <c r="AF89" s="12"/>
    </row>
    <row r="90" spans="1:32" x14ac:dyDescent="0.25">
      <c r="A90" s="13"/>
      <c r="B90" s="14" t="s">
        <v>73</v>
      </c>
      <c r="C90" s="14" t="s">
        <v>3</v>
      </c>
      <c r="D90" s="14" t="s">
        <v>66</v>
      </c>
      <c r="E90" s="14" t="s">
        <v>69</v>
      </c>
      <c r="F90" s="14" t="s">
        <v>6</v>
      </c>
      <c r="G90" s="15" t="s">
        <v>7</v>
      </c>
      <c r="H90" s="12"/>
      <c r="I90" s="13"/>
      <c r="J90" s="14" t="s">
        <v>73</v>
      </c>
      <c r="K90" s="14" t="s">
        <v>3</v>
      </c>
      <c r="L90" s="14" t="s">
        <v>66</v>
      </c>
      <c r="M90" s="14" t="s">
        <v>69</v>
      </c>
      <c r="N90" s="14" t="s">
        <v>6</v>
      </c>
      <c r="O90" s="15" t="s">
        <v>7</v>
      </c>
      <c r="P90" s="12"/>
      <c r="Q90" s="13"/>
      <c r="R90" s="14" t="s">
        <v>73</v>
      </c>
      <c r="S90" s="14" t="s">
        <v>3</v>
      </c>
      <c r="T90" s="14" t="s">
        <v>66</v>
      </c>
      <c r="U90" s="14" t="s">
        <v>69</v>
      </c>
      <c r="V90" s="14" t="s">
        <v>6</v>
      </c>
      <c r="W90" s="15" t="s">
        <v>7</v>
      </c>
      <c r="X90" s="12"/>
      <c r="Y90" s="13"/>
      <c r="Z90" s="14" t="s">
        <v>73</v>
      </c>
      <c r="AA90" s="14" t="s">
        <v>3</v>
      </c>
      <c r="AB90" s="14" t="s">
        <v>66</v>
      </c>
      <c r="AC90" s="14" t="s">
        <v>69</v>
      </c>
      <c r="AD90" s="14" t="s">
        <v>6</v>
      </c>
      <c r="AE90" s="15" t="s">
        <v>7</v>
      </c>
      <c r="AF90" s="12"/>
    </row>
    <row r="91" spans="1:32" x14ac:dyDescent="0.25">
      <c r="A91" s="16" t="s">
        <v>68</v>
      </c>
      <c r="B91" s="4">
        <f>SUM(B75:B89)+B67</f>
        <v>3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68</v>
      </c>
      <c r="J91" s="4">
        <f>SUM(J75:J89)+J67</f>
        <v>0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68</v>
      </c>
      <c r="R91" s="4">
        <f>SUM(R75:R89)+R67</f>
        <v>0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68</v>
      </c>
      <c r="Z91" s="4">
        <f>SUM(Z75:Z89)+Z67</f>
        <v>0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</row>
    <row r="92" spans="1:32" x14ac:dyDescent="0.25">
      <c r="A92" s="16" t="s">
        <v>71</v>
      </c>
      <c r="B92" s="43">
        <f>E91+B68</f>
        <v>10.773108687500001</v>
      </c>
      <c r="C92" s="44"/>
      <c r="D92" s="44"/>
      <c r="E92" s="44"/>
      <c r="F92" s="44"/>
      <c r="G92" s="45"/>
      <c r="H92" s="12"/>
      <c r="I92" s="16" t="s">
        <v>71</v>
      </c>
      <c r="J92" s="43">
        <f>M91+J68</f>
        <v>0</v>
      </c>
      <c r="K92" s="44"/>
      <c r="L92" s="44"/>
      <c r="M92" s="44"/>
      <c r="N92" s="44"/>
      <c r="O92" s="45"/>
      <c r="P92" s="12"/>
      <c r="Q92" s="16" t="s">
        <v>71</v>
      </c>
      <c r="R92" s="43">
        <f>U91+R68</f>
        <v>0</v>
      </c>
      <c r="S92" s="44"/>
      <c r="T92" s="44"/>
      <c r="U92" s="44"/>
      <c r="V92" s="44"/>
      <c r="W92" s="45"/>
      <c r="X92" s="12"/>
      <c r="Y92" s="16" t="s">
        <v>71</v>
      </c>
      <c r="Z92" s="43">
        <f>AC91+Z68</f>
        <v>0</v>
      </c>
      <c r="AA92" s="44"/>
      <c r="AB92" s="44"/>
      <c r="AC92" s="44"/>
      <c r="AD92" s="44"/>
      <c r="AE92" s="45"/>
      <c r="AF92" s="12"/>
    </row>
    <row r="93" spans="1:32" x14ac:dyDescent="0.25">
      <c r="A93" s="16" t="s">
        <v>75</v>
      </c>
      <c r="B93" s="43">
        <f>C91+B68</f>
        <v>10.773108687500001</v>
      </c>
      <c r="C93" s="44"/>
      <c r="D93" s="44"/>
      <c r="E93" s="44"/>
      <c r="F93" s="44"/>
      <c r="G93" s="45"/>
      <c r="H93" s="12"/>
      <c r="I93" s="16" t="s">
        <v>75</v>
      </c>
      <c r="J93" s="43">
        <f>K91+J68</f>
        <v>0</v>
      </c>
      <c r="K93" s="44"/>
      <c r="L93" s="44"/>
      <c r="M93" s="44"/>
      <c r="N93" s="44"/>
      <c r="O93" s="45"/>
      <c r="P93" s="12"/>
      <c r="Q93" s="16" t="s">
        <v>75</v>
      </c>
      <c r="R93" s="43">
        <f>S91+R68</f>
        <v>0</v>
      </c>
      <c r="S93" s="44"/>
      <c r="T93" s="44"/>
      <c r="U93" s="44"/>
      <c r="V93" s="44"/>
      <c r="W93" s="45"/>
      <c r="X93" s="12"/>
      <c r="Y93" s="16" t="s">
        <v>75</v>
      </c>
      <c r="Z93" s="43">
        <f>AA91+Z68</f>
        <v>0</v>
      </c>
      <c r="AA93" s="44"/>
      <c r="AB93" s="44"/>
      <c r="AC93" s="44"/>
      <c r="AD93" s="44"/>
      <c r="AE93" s="45"/>
      <c r="AF93" s="12"/>
    </row>
    <row r="94" spans="1:32" x14ac:dyDescent="0.25">
      <c r="A94" s="16" t="s">
        <v>74</v>
      </c>
      <c r="B94" s="43">
        <f>IFERROR((G91/10/B92),0)</f>
        <v>0</v>
      </c>
      <c r="C94" s="44"/>
      <c r="D94" s="44"/>
      <c r="E94" s="44"/>
      <c r="F94" s="44"/>
      <c r="G94" s="45"/>
      <c r="H94" s="12"/>
      <c r="I94" s="16" t="s">
        <v>74</v>
      </c>
      <c r="J94" s="43">
        <f>IFERROR((O91/10/J92),0)</f>
        <v>0</v>
      </c>
      <c r="K94" s="44"/>
      <c r="L94" s="44"/>
      <c r="M94" s="44"/>
      <c r="N94" s="44"/>
      <c r="O94" s="45"/>
      <c r="P94" s="12"/>
      <c r="Q94" s="16" t="s">
        <v>74</v>
      </c>
      <c r="R94" s="43">
        <f>IFERROR((W91/10/R92),0)</f>
        <v>0</v>
      </c>
      <c r="S94" s="44"/>
      <c r="T94" s="44"/>
      <c r="U94" s="44"/>
      <c r="V94" s="44"/>
      <c r="W94" s="45"/>
      <c r="X94" s="12"/>
      <c r="Y94" s="16" t="s">
        <v>74</v>
      </c>
      <c r="Z94" s="43">
        <f>IFERROR((AE91/10/Z92),0)</f>
        <v>0</v>
      </c>
      <c r="AA94" s="44"/>
      <c r="AB94" s="44"/>
      <c r="AC94" s="44"/>
      <c r="AD94" s="44"/>
      <c r="AE94" s="45"/>
      <c r="AF94" s="12"/>
    </row>
    <row r="95" spans="1:32" x14ac:dyDescent="0.25">
      <c r="A95" s="16" t="s">
        <v>70</v>
      </c>
      <c r="B95" s="43">
        <f>IFERROR((9.82 * F91) * LN(B92/B93),0)</f>
        <v>0</v>
      </c>
      <c r="C95" s="44"/>
      <c r="D95" s="44"/>
      <c r="E95" s="44"/>
      <c r="F95" s="44"/>
      <c r="G95" s="45"/>
      <c r="H95" s="12"/>
      <c r="I95" s="16" t="s">
        <v>70</v>
      </c>
      <c r="J95" s="43">
        <f>IFERROR((9.82 * N91) * LN(J92/J93),0)</f>
        <v>0</v>
      </c>
      <c r="K95" s="44"/>
      <c r="L95" s="44"/>
      <c r="M95" s="44"/>
      <c r="N95" s="44"/>
      <c r="O95" s="45"/>
      <c r="P95" s="12"/>
      <c r="Q95" s="16" t="s">
        <v>70</v>
      </c>
      <c r="R95" s="43">
        <f>IFERROR((9.82 * V91) * LN(R92/R93),0)</f>
        <v>0</v>
      </c>
      <c r="S95" s="44"/>
      <c r="T95" s="44"/>
      <c r="U95" s="44"/>
      <c r="V95" s="44"/>
      <c r="W95" s="45"/>
      <c r="X95" s="12"/>
      <c r="Y95" s="16" t="s">
        <v>70</v>
      </c>
      <c r="Z95" s="43">
        <f>IFERROR((9.82 * AD91) * LN(Z92/Z93),0)</f>
        <v>0</v>
      </c>
      <c r="AA95" s="44"/>
      <c r="AB95" s="44"/>
      <c r="AC95" s="44"/>
      <c r="AD95" s="44"/>
      <c r="AE95" s="45"/>
      <c r="AF95" s="12"/>
    </row>
    <row r="96" spans="1:32" ht="15.75" thickBot="1" x14ac:dyDescent="0.3">
      <c r="A96" s="17" t="s">
        <v>72</v>
      </c>
      <c r="B96" s="40">
        <f>B95+B72</f>
        <v>8003.3365648910458</v>
      </c>
      <c r="C96" s="41"/>
      <c r="D96" s="41"/>
      <c r="E96" s="41"/>
      <c r="F96" s="41"/>
      <c r="G96" s="42"/>
      <c r="H96" s="12"/>
      <c r="I96" s="17" t="s">
        <v>72</v>
      </c>
      <c r="J96" s="40">
        <f>J95+J72</f>
        <v>0</v>
      </c>
      <c r="K96" s="41"/>
      <c r="L96" s="41"/>
      <c r="M96" s="41"/>
      <c r="N96" s="41"/>
      <c r="O96" s="42"/>
      <c r="P96" s="12"/>
      <c r="Q96" s="17" t="s">
        <v>72</v>
      </c>
      <c r="R96" s="40">
        <f>R95+R72</f>
        <v>0</v>
      </c>
      <c r="S96" s="41"/>
      <c r="T96" s="41"/>
      <c r="U96" s="41"/>
      <c r="V96" s="41"/>
      <c r="W96" s="42"/>
      <c r="X96" s="12"/>
      <c r="Y96" s="17" t="s">
        <v>72</v>
      </c>
      <c r="Z96" s="40">
        <f>Z95+Z72</f>
        <v>0</v>
      </c>
      <c r="AA96" s="41"/>
      <c r="AB96" s="41"/>
      <c r="AC96" s="41"/>
      <c r="AD96" s="41"/>
      <c r="AE96" s="42"/>
      <c r="AF96" s="12"/>
    </row>
    <row r="97" spans="1:32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x14ac:dyDescent="0.25">
      <c r="A98" s="7" t="s">
        <v>0</v>
      </c>
      <c r="B98" s="8" t="s">
        <v>60</v>
      </c>
      <c r="C98" s="8" t="s">
        <v>3</v>
      </c>
      <c r="D98" s="8" t="s">
        <v>66</v>
      </c>
      <c r="E98" s="8" t="s">
        <v>67</v>
      </c>
      <c r="F98" s="8" t="s">
        <v>6</v>
      </c>
      <c r="G98" s="9" t="s">
        <v>7</v>
      </c>
      <c r="H98" s="12"/>
      <c r="I98" s="7" t="s">
        <v>0</v>
      </c>
      <c r="J98" s="8" t="s">
        <v>60</v>
      </c>
      <c r="K98" s="8" t="s">
        <v>3</v>
      </c>
      <c r="L98" s="8" t="s">
        <v>66</v>
      </c>
      <c r="M98" s="8" t="s">
        <v>67</v>
      </c>
      <c r="N98" s="8" t="s">
        <v>6</v>
      </c>
      <c r="O98" s="9" t="s">
        <v>7</v>
      </c>
      <c r="P98" s="12"/>
      <c r="Q98" s="7" t="s">
        <v>0</v>
      </c>
      <c r="R98" s="8" t="s">
        <v>60</v>
      </c>
      <c r="S98" s="8" t="s">
        <v>3</v>
      </c>
      <c r="T98" s="8" t="s">
        <v>66</v>
      </c>
      <c r="U98" s="8" t="s">
        <v>67</v>
      </c>
      <c r="V98" s="8" t="s">
        <v>6</v>
      </c>
      <c r="W98" s="9" t="s">
        <v>7</v>
      </c>
      <c r="X98" s="12"/>
      <c r="Y98" s="7" t="s">
        <v>0</v>
      </c>
      <c r="Z98" s="8" t="s">
        <v>60</v>
      </c>
      <c r="AA98" s="8" t="s">
        <v>3</v>
      </c>
      <c r="AB98" s="8" t="s">
        <v>66</v>
      </c>
      <c r="AC98" s="8" t="s">
        <v>67</v>
      </c>
      <c r="AD98" s="8" t="s">
        <v>6</v>
      </c>
      <c r="AE98" s="9" t="s">
        <v>7</v>
      </c>
      <c r="AF98" s="12"/>
    </row>
    <row r="99" spans="1:32" x14ac:dyDescent="0.25">
      <c r="A99" s="11"/>
      <c r="B99" s="6"/>
      <c r="C99" s="4">
        <f>IFERROR(VLOOKUP(A99,parts!$A$2:$Z$300,12,FALSE)*B99,0)</f>
        <v>0</v>
      </c>
      <c r="D99" s="4">
        <f>IFERROR(VLOOKUP(A99,parts!$A$2:$Z$300,13,FALSE)*B99,0)</f>
        <v>0</v>
      </c>
      <c r="E99" s="4">
        <f>IFERROR(VLOOKUP(A99,parts!$A$2:$Z$300,14,FALSE)*B99,0)</f>
        <v>0</v>
      </c>
      <c r="F99" s="4">
        <f>IFERROR(VLOOKUP(A99,parts!$A$2:$Z$300,6,FALSE),0)</f>
        <v>0</v>
      </c>
      <c r="G99" s="4">
        <f>IFERROR(VLOOKUP(A99,parts!$A$2:$Z$300,7,FALSE)*B99,0)</f>
        <v>0</v>
      </c>
      <c r="H99" s="12"/>
      <c r="I99" s="11"/>
      <c r="J99" s="6"/>
      <c r="K99" s="4">
        <f>IFERROR(VLOOKUP(I99,parts!$A$2:$Z$300,12,FALSE)*J99,0)</f>
        <v>0</v>
      </c>
      <c r="L99" s="4">
        <f>IFERROR(VLOOKUP(I99,parts!$A$2:$Z$300,13,FALSE)*J99,0)</f>
        <v>0</v>
      </c>
      <c r="M99" s="4">
        <f>IFERROR(VLOOKUP(I99,parts!$A$2:$Z$300,14,FALSE)*J99,0)</f>
        <v>0</v>
      </c>
      <c r="N99" s="4">
        <f>IFERROR(VLOOKUP(I99,parts!$A$2:$Z$300,6,FALSE),0)</f>
        <v>0</v>
      </c>
      <c r="O99" s="4">
        <f>IFERROR(VLOOKUP(I99,parts!$A$2:$Z$300,7,FALSE)*J99,0)</f>
        <v>0</v>
      </c>
      <c r="P99" s="12"/>
      <c r="Q99" s="11"/>
      <c r="R99" s="6"/>
      <c r="S99" s="4">
        <f>IFERROR(VLOOKUP(Q99,parts!$A$2:$Z$300,12,FALSE)*R99,0)</f>
        <v>0</v>
      </c>
      <c r="T99" s="4">
        <f>IFERROR(VLOOKUP(Q99,parts!$A$2:$Z$300,13,FALSE)*R99,0)</f>
        <v>0</v>
      </c>
      <c r="U99" s="4">
        <f>IFERROR(VLOOKUP(Q99,parts!$A$2:$Z$300,14,FALSE)*R99,0)</f>
        <v>0</v>
      </c>
      <c r="V99" s="4">
        <f>IFERROR(VLOOKUP(Q99,parts!$A$2:$Z$300,6,FALSE),0)</f>
        <v>0</v>
      </c>
      <c r="W99" s="4">
        <f>IFERROR(VLOOKUP(Q99,parts!$A$2:$Z$300,7,FALSE)*R99,0)</f>
        <v>0</v>
      </c>
      <c r="X99" s="12"/>
      <c r="Y99" s="11"/>
      <c r="Z99" s="6"/>
      <c r="AA99" s="4">
        <f>IFERROR(VLOOKUP(Y99,parts!$A$2:$Z$300,12,FALSE)*Z99,0)</f>
        <v>0</v>
      </c>
      <c r="AB99" s="4">
        <f>IFERROR(VLOOKUP(Y99,parts!$A$2:$Z$300,13,FALSE)*Z99,0)</f>
        <v>0</v>
      </c>
      <c r="AC99" s="4">
        <f>IFERROR(VLOOKUP(Y99,parts!$A$2:$Z$300,14,FALSE)*Z99,0)</f>
        <v>0</v>
      </c>
      <c r="AD99" s="4">
        <f>IFERROR(VLOOKUP(Y99,parts!$A$2:$Z$300,6,FALSE),0)</f>
        <v>0</v>
      </c>
      <c r="AE99" s="4">
        <f>IFERROR(VLOOKUP(Y99,parts!$A$2:$Z$300,7,FALSE)*Z99,0)</f>
        <v>0</v>
      </c>
      <c r="AF99" s="12"/>
    </row>
    <row r="100" spans="1:32" x14ac:dyDescent="0.25">
      <c r="A100" s="11"/>
      <c r="B100" s="6"/>
      <c r="C100" s="4">
        <f>IFERROR(VLOOKUP(A100,parts!$A$2:$Z$300,12,FALSE)*B100,0)</f>
        <v>0</v>
      </c>
      <c r="D100" s="4">
        <f>IFERROR(VLOOKUP(A100,parts!$A$2:$Z$300,13,FALSE)*B100,0)</f>
        <v>0</v>
      </c>
      <c r="E100" s="4">
        <f>IFERROR(VLOOKUP(A100,parts!$A$2:$Z$300,14,FALSE)*B100,0)</f>
        <v>0</v>
      </c>
      <c r="F100" s="4">
        <f>IFERROR(VLOOKUP(A100,parts!$A$2:$Z$300,6,FALSE),0)</f>
        <v>0</v>
      </c>
      <c r="G100" s="4">
        <f>IFERROR(VLOOKUP(A100,parts!$A$2:$Z$300,7,FALSE)*B100,0)</f>
        <v>0</v>
      </c>
      <c r="H100" s="12"/>
      <c r="I100" s="11"/>
      <c r="J100" s="6"/>
      <c r="K100" s="4">
        <f>IFERROR(VLOOKUP(I100,parts!$A$2:$Z$300,12,FALSE)*J100,0)</f>
        <v>0</v>
      </c>
      <c r="L100" s="4">
        <f>IFERROR(VLOOKUP(I100,parts!$A$2:$Z$300,13,FALSE)*J100,0)</f>
        <v>0</v>
      </c>
      <c r="M100" s="4">
        <f>IFERROR(VLOOKUP(I100,parts!$A$2:$Z$300,14,FALSE)*J100,0)</f>
        <v>0</v>
      </c>
      <c r="N100" s="4">
        <f>IFERROR(VLOOKUP(I100,parts!$A$2:$Z$300,6,FALSE),0)</f>
        <v>0</v>
      </c>
      <c r="O100" s="4">
        <f>IFERROR(VLOOKUP(I100,parts!$A$2:$Z$300,7,FALSE)*J100,0)</f>
        <v>0</v>
      </c>
      <c r="P100" s="12"/>
      <c r="Q100" s="11"/>
      <c r="R100" s="6"/>
      <c r="S100" s="4">
        <f>IFERROR(VLOOKUP(Q100,parts!$A$2:$Z$300,12,FALSE)*R100,0)</f>
        <v>0</v>
      </c>
      <c r="T100" s="4">
        <f>IFERROR(VLOOKUP(Q100,parts!$A$2:$Z$300,13,FALSE)*R100,0)</f>
        <v>0</v>
      </c>
      <c r="U100" s="4">
        <f>IFERROR(VLOOKUP(Q100,parts!$A$2:$Z$300,14,FALSE)*R100,0)</f>
        <v>0</v>
      </c>
      <c r="V100" s="4">
        <f>IFERROR(VLOOKUP(Q100,parts!$A$2:$Z$300,6,FALSE),0)</f>
        <v>0</v>
      </c>
      <c r="W100" s="4">
        <f>IFERROR(VLOOKUP(Q100,parts!$A$2:$Z$300,7,FALSE)*R100,0)</f>
        <v>0</v>
      </c>
      <c r="X100" s="12"/>
      <c r="Y100" s="11"/>
      <c r="Z100" s="6"/>
      <c r="AA100" s="4">
        <f>IFERROR(VLOOKUP(Y100,parts!$A$2:$Z$300,12,FALSE)*Z100,0)</f>
        <v>0</v>
      </c>
      <c r="AB100" s="4">
        <f>IFERROR(VLOOKUP(Y100,parts!$A$2:$Z$300,13,FALSE)*Z100,0)</f>
        <v>0</v>
      </c>
      <c r="AC100" s="4">
        <f>IFERROR(VLOOKUP(Y100,parts!$A$2:$Z$300,14,FALSE)*Z100,0)</f>
        <v>0</v>
      </c>
      <c r="AD100" s="4">
        <f>IFERROR(VLOOKUP(Y100,parts!$A$2:$Z$300,6,FALSE),0)</f>
        <v>0</v>
      </c>
      <c r="AE100" s="4">
        <f>IFERROR(VLOOKUP(Y100,parts!$A$2:$Z$300,7,FALSE)*Z100,0)</f>
        <v>0</v>
      </c>
      <c r="AF100" s="12"/>
    </row>
    <row r="101" spans="1:32" x14ac:dyDescent="0.25">
      <c r="A101" s="11"/>
      <c r="B101" s="6"/>
      <c r="C101" s="4">
        <f>IFERROR(VLOOKUP(A101,parts!$A$2:$Z$300,12,FALSE)*B101,0)</f>
        <v>0</v>
      </c>
      <c r="D101" s="4">
        <f>IFERROR(VLOOKUP(A101,parts!$A$2:$Z$300,13,FALSE)*B101,0)</f>
        <v>0</v>
      </c>
      <c r="E101" s="4">
        <f>IFERROR(VLOOKUP(A101,parts!$A$2:$Z$300,14,FALSE)*B101,0)</f>
        <v>0</v>
      </c>
      <c r="F101" s="4">
        <f>IFERROR(VLOOKUP(A101,parts!$A$2:$Z$300,6,FALSE),0)</f>
        <v>0</v>
      </c>
      <c r="G101" s="4">
        <f>IFERROR(VLOOKUP(A101,parts!$A$2:$Z$300,7,FALSE)*B101,0)</f>
        <v>0</v>
      </c>
      <c r="H101" s="12"/>
      <c r="I101" s="11"/>
      <c r="J101" s="6"/>
      <c r="K101" s="4">
        <f>IFERROR(VLOOKUP(I101,parts!$A$2:$Z$300,12,FALSE)*J101,0)</f>
        <v>0</v>
      </c>
      <c r="L101" s="4">
        <f>IFERROR(VLOOKUP(I101,parts!$A$2:$Z$300,13,FALSE)*J101,0)</f>
        <v>0</v>
      </c>
      <c r="M101" s="4">
        <f>IFERROR(VLOOKUP(I101,parts!$A$2:$Z$300,14,FALSE)*J101,0)</f>
        <v>0</v>
      </c>
      <c r="N101" s="4">
        <f>IFERROR(VLOOKUP(I101,parts!$A$2:$Z$300,6,FALSE),0)</f>
        <v>0</v>
      </c>
      <c r="O101" s="4">
        <f>IFERROR(VLOOKUP(I101,parts!$A$2:$Z$300,7,FALSE)*J101,0)</f>
        <v>0</v>
      </c>
      <c r="P101" s="12"/>
      <c r="Q101" s="11"/>
      <c r="R101" s="6"/>
      <c r="S101" s="4">
        <f>IFERROR(VLOOKUP(Q101,parts!$A$2:$Z$300,12,FALSE)*R101,0)</f>
        <v>0</v>
      </c>
      <c r="T101" s="4">
        <f>IFERROR(VLOOKUP(Q101,parts!$A$2:$Z$300,13,FALSE)*R101,0)</f>
        <v>0</v>
      </c>
      <c r="U101" s="4">
        <f>IFERROR(VLOOKUP(Q101,parts!$A$2:$Z$300,14,FALSE)*R101,0)</f>
        <v>0</v>
      </c>
      <c r="V101" s="4">
        <f>IFERROR(VLOOKUP(Q101,parts!$A$2:$Z$300,6,FALSE),0)</f>
        <v>0</v>
      </c>
      <c r="W101" s="4">
        <f>IFERROR(VLOOKUP(Q101,parts!$A$2:$Z$300,7,FALSE)*R101,0)</f>
        <v>0</v>
      </c>
      <c r="X101" s="12"/>
      <c r="Y101" s="11"/>
      <c r="Z101" s="6"/>
      <c r="AA101" s="4">
        <f>IFERROR(VLOOKUP(Y101,parts!$A$2:$Z$300,12,FALSE)*Z101,0)</f>
        <v>0</v>
      </c>
      <c r="AB101" s="4">
        <f>IFERROR(VLOOKUP(Y101,parts!$A$2:$Z$300,13,FALSE)*Z101,0)</f>
        <v>0</v>
      </c>
      <c r="AC101" s="4">
        <f>IFERROR(VLOOKUP(Y101,parts!$A$2:$Z$300,14,FALSE)*Z101,0)</f>
        <v>0</v>
      </c>
      <c r="AD101" s="4">
        <f>IFERROR(VLOOKUP(Y101,parts!$A$2:$Z$300,6,FALSE),0)</f>
        <v>0</v>
      </c>
      <c r="AE101" s="4">
        <f>IFERROR(VLOOKUP(Y101,parts!$A$2:$Z$300,7,FALSE)*Z101,0)</f>
        <v>0</v>
      </c>
      <c r="AF101" s="12"/>
    </row>
    <row r="102" spans="1:32" x14ac:dyDescent="0.25">
      <c r="A102" s="11"/>
      <c r="B102" s="6"/>
      <c r="C102" s="4">
        <f>IFERROR(VLOOKUP(A102,parts!$A$2:$Z$300,12,FALSE)*B102,0)</f>
        <v>0</v>
      </c>
      <c r="D102" s="4">
        <f>IFERROR(VLOOKUP(A102,parts!$A$2:$Z$300,13,FALSE)*B102,0)</f>
        <v>0</v>
      </c>
      <c r="E102" s="4">
        <f>IFERROR(VLOOKUP(A102,parts!$A$2:$Z$300,14,FALSE)*B102,0)</f>
        <v>0</v>
      </c>
      <c r="F102" s="4">
        <f>IFERROR(VLOOKUP(A102,parts!$A$2:$Z$300,6,FALSE),0)</f>
        <v>0</v>
      </c>
      <c r="G102" s="4">
        <f>IFERROR(VLOOKUP(A102,parts!$A$2:$Z$300,7,FALSE)*B102,0)</f>
        <v>0</v>
      </c>
      <c r="H102" s="12"/>
      <c r="I102" s="11"/>
      <c r="J102" s="6"/>
      <c r="K102" s="4">
        <f>IFERROR(VLOOKUP(I102,parts!$A$2:$Z$300,12,FALSE)*J102,0)</f>
        <v>0</v>
      </c>
      <c r="L102" s="4">
        <f>IFERROR(VLOOKUP(I102,parts!$A$2:$Z$300,13,FALSE)*J102,0)</f>
        <v>0</v>
      </c>
      <c r="M102" s="4">
        <f>IFERROR(VLOOKUP(I102,parts!$A$2:$Z$300,14,FALSE)*J102,0)</f>
        <v>0</v>
      </c>
      <c r="N102" s="4">
        <f>IFERROR(VLOOKUP(I102,parts!$A$2:$Z$300,6,FALSE),0)</f>
        <v>0</v>
      </c>
      <c r="O102" s="4">
        <f>IFERROR(VLOOKUP(I102,parts!$A$2:$Z$300,7,FALSE)*J102,0)</f>
        <v>0</v>
      </c>
      <c r="P102" s="12"/>
      <c r="Q102" s="11"/>
      <c r="R102" s="6"/>
      <c r="S102" s="4">
        <f>IFERROR(VLOOKUP(Q102,parts!$A$2:$Z$300,12,FALSE)*R102,0)</f>
        <v>0</v>
      </c>
      <c r="T102" s="4">
        <f>IFERROR(VLOOKUP(Q102,parts!$A$2:$Z$300,13,FALSE)*R102,0)</f>
        <v>0</v>
      </c>
      <c r="U102" s="4">
        <f>IFERROR(VLOOKUP(Q102,parts!$A$2:$Z$300,14,FALSE)*R102,0)</f>
        <v>0</v>
      </c>
      <c r="V102" s="4">
        <f>IFERROR(VLOOKUP(Q102,parts!$A$2:$Z$300,6,FALSE),0)</f>
        <v>0</v>
      </c>
      <c r="W102" s="4">
        <f>IFERROR(VLOOKUP(Q102,parts!$A$2:$Z$300,7,FALSE)*R102,0)</f>
        <v>0</v>
      </c>
      <c r="X102" s="12"/>
      <c r="Y102" s="11"/>
      <c r="Z102" s="6"/>
      <c r="AA102" s="4">
        <f>IFERROR(VLOOKUP(Y102,parts!$A$2:$Z$300,12,FALSE)*Z102,0)</f>
        <v>0</v>
      </c>
      <c r="AB102" s="4">
        <f>IFERROR(VLOOKUP(Y102,parts!$A$2:$Z$300,13,FALSE)*Z102,0)</f>
        <v>0</v>
      </c>
      <c r="AC102" s="4">
        <f>IFERROR(VLOOKUP(Y102,parts!$A$2:$Z$300,14,FALSE)*Z102,0)</f>
        <v>0</v>
      </c>
      <c r="AD102" s="4">
        <f>IFERROR(VLOOKUP(Y102,parts!$A$2:$Z$300,6,FALSE),0)</f>
        <v>0</v>
      </c>
      <c r="AE102" s="4">
        <f>IFERROR(VLOOKUP(Y102,parts!$A$2:$Z$300,7,FALSE)*Z102,0)</f>
        <v>0</v>
      </c>
      <c r="AF102" s="12"/>
    </row>
    <row r="103" spans="1:32" x14ac:dyDescent="0.25">
      <c r="A103" s="11"/>
      <c r="B103" s="6"/>
      <c r="C103" s="4">
        <f>IFERROR(VLOOKUP(A103,parts!$A$2:$Z$300,12,FALSE)*B103,0)</f>
        <v>0</v>
      </c>
      <c r="D103" s="4">
        <f>IFERROR(VLOOKUP(A103,parts!$A$2:$Z$300,13,FALSE)*B103,0)</f>
        <v>0</v>
      </c>
      <c r="E103" s="4">
        <f>IFERROR(VLOOKUP(A103,parts!$A$2:$Z$300,14,FALSE)*B103,0)</f>
        <v>0</v>
      </c>
      <c r="F103" s="4">
        <f>IFERROR(VLOOKUP(A103,parts!$A$2:$Z$300,6,FALSE),0)</f>
        <v>0</v>
      </c>
      <c r="G103" s="4">
        <f>IFERROR(VLOOKUP(A103,parts!$A$2:$Z$300,7,FALSE)*B103,0)</f>
        <v>0</v>
      </c>
      <c r="H103" s="12"/>
      <c r="I103" s="11"/>
      <c r="J103" s="6"/>
      <c r="K103" s="4">
        <f>IFERROR(VLOOKUP(I103,parts!$A$2:$Z$300,12,FALSE)*J103,0)</f>
        <v>0</v>
      </c>
      <c r="L103" s="4">
        <f>IFERROR(VLOOKUP(I103,parts!$A$2:$Z$300,13,FALSE)*J103,0)</f>
        <v>0</v>
      </c>
      <c r="M103" s="4">
        <f>IFERROR(VLOOKUP(I103,parts!$A$2:$Z$300,14,FALSE)*J103,0)</f>
        <v>0</v>
      </c>
      <c r="N103" s="4">
        <f>IFERROR(VLOOKUP(I103,parts!$A$2:$Z$300,6,FALSE),0)</f>
        <v>0</v>
      </c>
      <c r="O103" s="4">
        <f>IFERROR(VLOOKUP(I103,parts!$A$2:$Z$300,7,FALSE)*J103,0)</f>
        <v>0</v>
      </c>
      <c r="P103" s="12"/>
      <c r="Q103" s="11"/>
      <c r="R103" s="6"/>
      <c r="S103" s="4">
        <f>IFERROR(VLOOKUP(Q103,parts!$A$2:$Z$300,12,FALSE)*R103,0)</f>
        <v>0</v>
      </c>
      <c r="T103" s="4">
        <f>IFERROR(VLOOKUP(Q103,parts!$A$2:$Z$300,13,FALSE)*R103,0)</f>
        <v>0</v>
      </c>
      <c r="U103" s="4">
        <f>IFERROR(VLOOKUP(Q103,parts!$A$2:$Z$300,14,FALSE)*R103,0)</f>
        <v>0</v>
      </c>
      <c r="V103" s="4">
        <f>IFERROR(VLOOKUP(Q103,parts!$A$2:$Z$300,6,FALSE),0)</f>
        <v>0</v>
      </c>
      <c r="W103" s="4">
        <f>IFERROR(VLOOKUP(Q103,parts!$A$2:$Z$300,7,FALSE)*R103,0)</f>
        <v>0</v>
      </c>
      <c r="X103" s="12"/>
      <c r="Y103" s="11"/>
      <c r="Z103" s="6"/>
      <c r="AA103" s="4">
        <f>IFERROR(VLOOKUP(Y103,parts!$A$2:$Z$300,12,FALSE)*Z103,0)</f>
        <v>0</v>
      </c>
      <c r="AB103" s="4">
        <f>IFERROR(VLOOKUP(Y103,parts!$A$2:$Z$300,13,FALSE)*Z103,0)</f>
        <v>0</v>
      </c>
      <c r="AC103" s="4">
        <f>IFERROR(VLOOKUP(Y103,parts!$A$2:$Z$300,14,FALSE)*Z103,0)</f>
        <v>0</v>
      </c>
      <c r="AD103" s="4">
        <f>IFERROR(VLOOKUP(Y103,parts!$A$2:$Z$300,6,FALSE),0)</f>
        <v>0</v>
      </c>
      <c r="AE103" s="4">
        <f>IFERROR(VLOOKUP(Y103,parts!$A$2:$Z$300,7,FALSE)*Z103,0)</f>
        <v>0</v>
      </c>
      <c r="AF103" s="12"/>
    </row>
    <row r="104" spans="1:32" x14ac:dyDescent="0.25">
      <c r="A104" s="11"/>
      <c r="B104" s="6"/>
      <c r="C104" s="4">
        <f>IFERROR(VLOOKUP(A104,parts!$A$2:$Z$300,12,FALSE)*B104,0)</f>
        <v>0</v>
      </c>
      <c r="D104" s="4">
        <f>IFERROR(VLOOKUP(A104,parts!$A$2:$Z$300,13,FALSE)*B104,0)</f>
        <v>0</v>
      </c>
      <c r="E104" s="4">
        <f>IFERROR(VLOOKUP(A104,parts!$A$2:$Z$300,14,FALSE)*B104,0)</f>
        <v>0</v>
      </c>
      <c r="F104" s="4">
        <f>IFERROR(VLOOKUP(A104,parts!$A$2:$Z$300,6,FALSE),0)</f>
        <v>0</v>
      </c>
      <c r="G104" s="4">
        <f>IFERROR(VLOOKUP(A104,parts!$A$2:$Z$300,7,FALSE)*B104,0)</f>
        <v>0</v>
      </c>
      <c r="H104" s="12"/>
      <c r="I104" s="11"/>
      <c r="J104" s="6"/>
      <c r="K104" s="4">
        <f>IFERROR(VLOOKUP(I104,parts!$A$2:$Z$300,12,FALSE)*J104,0)</f>
        <v>0</v>
      </c>
      <c r="L104" s="4">
        <f>IFERROR(VLOOKUP(I104,parts!$A$2:$Z$300,13,FALSE)*J104,0)</f>
        <v>0</v>
      </c>
      <c r="M104" s="4">
        <f>IFERROR(VLOOKUP(I104,parts!$A$2:$Z$300,14,FALSE)*J104,0)</f>
        <v>0</v>
      </c>
      <c r="N104" s="4">
        <f>IFERROR(VLOOKUP(I104,parts!$A$2:$Z$300,6,FALSE),0)</f>
        <v>0</v>
      </c>
      <c r="O104" s="4">
        <f>IFERROR(VLOOKUP(I104,parts!$A$2:$Z$300,7,FALSE)*J104,0)</f>
        <v>0</v>
      </c>
      <c r="P104" s="12"/>
      <c r="Q104" s="11"/>
      <c r="R104" s="6"/>
      <c r="S104" s="4">
        <f>IFERROR(VLOOKUP(Q104,parts!$A$2:$Z$300,12,FALSE)*R104,0)</f>
        <v>0</v>
      </c>
      <c r="T104" s="4">
        <f>IFERROR(VLOOKUP(Q104,parts!$A$2:$Z$300,13,FALSE)*R104,0)</f>
        <v>0</v>
      </c>
      <c r="U104" s="4">
        <f>IFERROR(VLOOKUP(Q104,parts!$A$2:$Z$300,14,FALSE)*R104,0)</f>
        <v>0</v>
      </c>
      <c r="V104" s="4">
        <f>IFERROR(VLOOKUP(Q104,parts!$A$2:$Z$300,6,FALSE),0)</f>
        <v>0</v>
      </c>
      <c r="W104" s="4">
        <f>IFERROR(VLOOKUP(Q104,parts!$A$2:$Z$300,7,FALSE)*R104,0)</f>
        <v>0</v>
      </c>
      <c r="X104" s="12"/>
      <c r="Y104" s="11"/>
      <c r="Z104" s="6"/>
      <c r="AA104" s="4">
        <f>IFERROR(VLOOKUP(Y104,parts!$A$2:$Z$300,12,FALSE)*Z104,0)</f>
        <v>0</v>
      </c>
      <c r="AB104" s="4">
        <f>IFERROR(VLOOKUP(Y104,parts!$A$2:$Z$300,13,FALSE)*Z104,0)</f>
        <v>0</v>
      </c>
      <c r="AC104" s="4">
        <f>IFERROR(VLOOKUP(Y104,parts!$A$2:$Z$300,14,FALSE)*Z104,0)</f>
        <v>0</v>
      </c>
      <c r="AD104" s="4">
        <f>IFERROR(VLOOKUP(Y104,parts!$A$2:$Z$300,6,FALSE),0)</f>
        <v>0</v>
      </c>
      <c r="AE104" s="4">
        <f>IFERROR(VLOOKUP(Y104,parts!$A$2:$Z$300,7,FALSE)*Z104,0)</f>
        <v>0</v>
      </c>
      <c r="AF104" s="12"/>
    </row>
    <row r="105" spans="1:32" x14ac:dyDescent="0.25">
      <c r="A105" s="11"/>
      <c r="B105" s="6"/>
      <c r="C105" s="4">
        <f>IFERROR(VLOOKUP(A105,parts!$A$2:$Z$300,12,FALSE)*B105,0)</f>
        <v>0</v>
      </c>
      <c r="D105" s="4">
        <f>IFERROR(VLOOKUP(A105,parts!$A$2:$Z$300,13,FALSE)*B105,0)</f>
        <v>0</v>
      </c>
      <c r="E105" s="4">
        <f>IFERROR(VLOOKUP(A105,parts!$A$2:$Z$300,14,FALSE)*B105,0)</f>
        <v>0</v>
      </c>
      <c r="F105" s="4">
        <f>IFERROR(VLOOKUP(A105,parts!$A$2:$Z$300,6,FALSE),0)</f>
        <v>0</v>
      </c>
      <c r="G105" s="4">
        <f>IFERROR(VLOOKUP(A105,parts!$A$2:$Z$300,7,FALSE)*B105,0)</f>
        <v>0</v>
      </c>
      <c r="H105" s="12"/>
      <c r="I105" s="11"/>
      <c r="J105" s="6"/>
      <c r="K105" s="4">
        <f>IFERROR(VLOOKUP(I105,parts!$A$2:$Z$300,12,FALSE)*J105,0)</f>
        <v>0</v>
      </c>
      <c r="L105" s="4">
        <f>IFERROR(VLOOKUP(I105,parts!$A$2:$Z$300,13,FALSE)*J105,0)</f>
        <v>0</v>
      </c>
      <c r="M105" s="4">
        <f>IFERROR(VLOOKUP(I105,parts!$A$2:$Z$300,14,FALSE)*J105,0)</f>
        <v>0</v>
      </c>
      <c r="N105" s="4">
        <f>IFERROR(VLOOKUP(I105,parts!$A$2:$Z$300,6,FALSE),0)</f>
        <v>0</v>
      </c>
      <c r="O105" s="4">
        <f>IFERROR(VLOOKUP(I105,parts!$A$2:$Z$300,7,FALSE)*J105,0)</f>
        <v>0</v>
      </c>
      <c r="P105" s="12"/>
      <c r="Q105" s="11"/>
      <c r="R105" s="6"/>
      <c r="S105" s="4">
        <f>IFERROR(VLOOKUP(Q105,parts!$A$2:$Z$300,12,FALSE)*R105,0)</f>
        <v>0</v>
      </c>
      <c r="T105" s="4">
        <f>IFERROR(VLOOKUP(Q105,parts!$A$2:$Z$300,13,FALSE)*R105,0)</f>
        <v>0</v>
      </c>
      <c r="U105" s="4">
        <f>IFERROR(VLOOKUP(Q105,parts!$A$2:$Z$300,14,FALSE)*R105,0)</f>
        <v>0</v>
      </c>
      <c r="V105" s="4">
        <f>IFERROR(VLOOKUP(Q105,parts!$A$2:$Z$300,6,FALSE),0)</f>
        <v>0</v>
      </c>
      <c r="W105" s="4">
        <f>IFERROR(VLOOKUP(Q105,parts!$A$2:$Z$300,7,FALSE)*R105,0)</f>
        <v>0</v>
      </c>
      <c r="X105" s="12"/>
      <c r="Y105" s="11"/>
      <c r="Z105" s="6"/>
      <c r="AA105" s="4">
        <f>IFERROR(VLOOKUP(Y105,parts!$A$2:$Z$300,12,FALSE)*Z105,0)</f>
        <v>0</v>
      </c>
      <c r="AB105" s="4">
        <f>IFERROR(VLOOKUP(Y105,parts!$A$2:$Z$300,13,FALSE)*Z105,0)</f>
        <v>0</v>
      </c>
      <c r="AC105" s="4">
        <f>IFERROR(VLOOKUP(Y105,parts!$A$2:$Z$300,14,FALSE)*Z105,0)</f>
        <v>0</v>
      </c>
      <c r="AD105" s="4">
        <f>IFERROR(VLOOKUP(Y105,parts!$A$2:$Z$300,6,FALSE),0)</f>
        <v>0</v>
      </c>
      <c r="AE105" s="4">
        <f>IFERROR(VLOOKUP(Y105,parts!$A$2:$Z$300,7,FALSE)*Z105,0)</f>
        <v>0</v>
      </c>
      <c r="AF105" s="12"/>
    </row>
    <row r="106" spans="1:32" x14ac:dyDescent="0.25">
      <c r="A106" s="11"/>
      <c r="B106" s="6"/>
      <c r="C106" s="4">
        <f>IFERROR(VLOOKUP(A106,parts!$A$2:$Z$300,12,FALSE)*B106,0)</f>
        <v>0</v>
      </c>
      <c r="D106" s="4">
        <f>IFERROR(VLOOKUP(A106,parts!$A$2:$Z$300,13,FALSE)*B106,0)</f>
        <v>0</v>
      </c>
      <c r="E106" s="4">
        <f>IFERROR(VLOOKUP(A106,parts!$A$2:$Z$300,14,FALSE)*B106,0)</f>
        <v>0</v>
      </c>
      <c r="F106" s="4">
        <f>IFERROR(VLOOKUP(A106,parts!$A$2:$Z$300,6,FALSE),0)</f>
        <v>0</v>
      </c>
      <c r="G106" s="4">
        <f>IFERROR(VLOOKUP(A106,parts!$A$2:$Z$300,7,FALSE)*B106,0)</f>
        <v>0</v>
      </c>
      <c r="H106" s="12"/>
      <c r="I106" s="11"/>
      <c r="J106" s="6"/>
      <c r="K106" s="4">
        <f>IFERROR(VLOOKUP(I106,parts!$A$2:$Z$300,12,FALSE)*J106,0)</f>
        <v>0</v>
      </c>
      <c r="L106" s="4">
        <f>IFERROR(VLOOKUP(I106,parts!$A$2:$Z$300,13,FALSE)*J106,0)</f>
        <v>0</v>
      </c>
      <c r="M106" s="4">
        <f>IFERROR(VLOOKUP(I106,parts!$A$2:$Z$300,14,FALSE)*J106,0)</f>
        <v>0</v>
      </c>
      <c r="N106" s="4">
        <f>IFERROR(VLOOKUP(I106,parts!$A$2:$Z$300,6,FALSE),0)</f>
        <v>0</v>
      </c>
      <c r="O106" s="4">
        <f>IFERROR(VLOOKUP(I106,parts!$A$2:$Z$300,7,FALSE)*J106,0)</f>
        <v>0</v>
      </c>
      <c r="P106" s="12"/>
      <c r="Q106" s="11"/>
      <c r="R106" s="6"/>
      <c r="S106" s="4">
        <f>IFERROR(VLOOKUP(Q106,parts!$A$2:$Z$300,12,FALSE)*R106,0)</f>
        <v>0</v>
      </c>
      <c r="T106" s="4">
        <f>IFERROR(VLOOKUP(Q106,parts!$A$2:$Z$300,13,FALSE)*R106,0)</f>
        <v>0</v>
      </c>
      <c r="U106" s="4">
        <f>IFERROR(VLOOKUP(Q106,parts!$A$2:$Z$300,14,FALSE)*R106,0)</f>
        <v>0</v>
      </c>
      <c r="V106" s="4">
        <f>IFERROR(VLOOKUP(Q106,parts!$A$2:$Z$300,6,FALSE),0)</f>
        <v>0</v>
      </c>
      <c r="W106" s="4">
        <f>IFERROR(VLOOKUP(Q106,parts!$A$2:$Z$300,7,FALSE)*R106,0)</f>
        <v>0</v>
      </c>
      <c r="X106" s="12"/>
      <c r="Y106" s="11"/>
      <c r="Z106" s="6"/>
      <c r="AA106" s="4">
        <f>IFERROR(VLOOKUP(Y106,parts!$A$2:$Z$300,12,FALSE)*Z106,0)</f>
        <v>0</v>
      </c>
      <c r="AB106" s="4">
        <f>IFERROR(VLOOKUP(Y106,parts!$A$2:$Z$300,13,FALSE)*Z106,0)</f>
        <v>0</v>
      </c>
      <c r="AC106" s="4">
        <f>IFERROR(VLOOKUP(Y106,parts!$A$2:$Z$300,14,FALSE)*Z106,0)</f>
        <v>0</v>
      </c>
      <c r="AD106" s="4">
        <f>IFERROR(VLOOKUP(Y106,parts!$A$2:$Z$300,6,FALSE),0)</f>
        <v>0</v>
      </c>
      <c r="AE106" s="4">
        <f>IFERROR(VLOOKUP(Y106,parts!$A$2:$Z$300,7,FALSE)*Z106,0)</f>
        <v>0</v>
      </c>
      <c r="AF106" s="12"/>
    </row>
    <row r="107" spans="1:32" x14ac:dyDescent="0.25">
      <c r="A107" s="11"/>
      <c r="B107" s="6"/>
      <c r="C107" s="4">
        <f>IFERROR(VLOOKUP(A107,parts!$A$2:$Z$300,12,FALSE)*B107,0)</f>
        <v>0</v>
      </c>
      <c r="D107" s="4">
        <f>IFERROR(VLOOKUP(A107,parts!$A$2:$Z$300,13,FALSE)*B107,0)</f>
        <v>0</v>
      </c>
      <c r="E107" s="4">
        <f>IFERROR(VLOOKUP(A107,parts!$A$2:$Z$300,14,FALSE)*B107,0)</f>
        <v>0</v>
      </c>
      <c r="F107" s="4">
        <f>IFERROR(VLOOKUP(A107,parts!$A$2:$Z$300,6,FALSE),0)</f>
        <v>0</v>
      </c>
      <c r="G107" s="4">
        <f>IFERROR(VLOOKUP(A107,parts!$A$2:$Z$300,7,FALSE)*B107,0)</f>
        <v>0</v>
      </c>
      <c r="H107" s="12"/>
      <c r="I107" s="11"/>
      <c r="J107" s="6"/>
      <c r="K107" s="4">
        <f>IFERROR(VLOOKUP(I107,parts!$A$2:$Z$300,12,FALSE)*J107,0)</f>
        <v>0</v>
      </c>
      <c r="L107" s="4">
        <f>IFERROR(VLOOKUP(I107,parts!$A$2:$Z$300,13,FALSE)*J107,0)</f>
        <v>0</v>
      </c>
      <c r="M107" s="4">
        <f>IFERROR(VLOOKUP(I107,parts!$A$2:$Z$300,14,FALSE)*J107,0)</f>
        <v>0</v>
      </c>
      <c r="N107" s="4">
        <f>IFERROR(VLOOKUP(I107,parts!$A$2:$Z$300,6,FALSE),0)</f>
        <v>0</v>
      </c>
      <c r="O107" s="4">
        <f>IFERROR(VLOOKUP(I107,parts!$A$2:$Z$300,7,FALSE)*J107,0)</f>
        <v>0</v>
      </c>
      <c r="P107" s="12"/>
      <c r="Q107" s="11"/>
      <c r="R107" s="6"/>
      <c r="S107" s="4">
        <f>IFERROR(VLOOKUP(Q107,parts!$A$2:$Z$300,12,FALSE)*R107,0)</f>
        <v>0</v>
      </c>
      <c r="T107" s="4">
        <f>IFERROR(VLOOKUP(Q107,parts!$A$2:$Z$300,13,FALSE)*R107,0)</f>
        <v>0</v>
      </c>
      <c r="U107" s="4">
        <f>IFERROR(VLOOKUP(Q107,parts!$A$2:$Z$300,14,FALSE)*R107,0)</f>
        <v>0</v>
      </c>
      <c r="V107" s="4">
        <f>IFERROR(VLOOKUP(Q107,parts!$A$2:$Z$300,6,FALSE),0)</f>
        <v>0</v>
      </c>
      <c r="W107" s="4">
        <f>IFERROR(VLOOKUP(Q107,parts!$A$2:$Z$300,7,FALSE)*R107,0)</f>
        <v>0</v>
      </c>
      <c r="X107" s="12"/>
      <c r="Y107" s="11"/>
      <c r="Z107" s="6"/>
      <c r="AA107" s="4">
        <f>IFERROR(VLOOKUP(Y107,parts!$A$2:$Z$300,12,FALSE)*Z107,0)</f>
        <v>0</v>
      </c>
      <c r="AB107" s="4">
        <f>IFERROR(VLOOKUP(Y107,parts!$A$2:$Z$300,13,FALSE)*Z107,0)</f>
        <v>0</v>
      </c>
      <c r="AC107" s="4">
        <f>IFERROR(VLOOKUP(Y107,parts!$A$2:$Z$300,14,FALSE)*Z107,0)</f>
        <v>0</v>
      </c>
      <c r="AD107" s="4">
        <f>IFERROR(VLOOKUP(Y107,parts!$A$2:$Z$300,6,FALSE),0)</f>
        <v>0</v>
      </c>
      <c r="AE107" s="4">
        <f>IFERROR(VLOOKUP(Y107,parts!$A$2:$Z$300,7,FALSE)*Z107,0)</f>
        <v>0</v>
      </c>
      <c r="AF107" s="12"/>
    </row>
    <row r="108" spans="1:32" x14ac:dyDescent="0.25">
      <c r="A108" s="11"/>
      <c r="B108" s="6"/>
      <c r="C108" s="4">
        <f>IFERROR(VLOOKUP(A108,parts!$A$2:$Z$300,12,FALSE)*B108,0)</f>
        <v>0</v>
      </c>
      <c r="D108" s="4">
        <f>IFERROR(VLOOKUP(A108,parts!$A$2:$Z$300,13,FALSE)*B108,0)</f>
        <v>0</v>
      </c>
      <c r="E108" s="4">
        <f>IFERROR(VLOOKUP(A108,parts!$A$2:$Z$300,14,FALSE)*B108,0)</f>
        <v>0</v>
      </c>
      <c r="F108" s="4">
        <f>IFERROR(VLOOKUP(A108,parts!$A$2:$Z$300,6,FALSE),0)</f>
        <v>0</v>
      </c>
      <c r="G108" s="4">
        <f>IFERROR(VLOOKUP(A108,parts!$A$2:$Z$300,7,FALSE)*B108,0)</f>
        <v>0</v>
      </c>
      <c r="H108" s="12"/>
      <c r="I108" s="11"/>
      <c r="J108" s="6"/>
      <c r="K108" s="4">
        <f>IFERROR(VLOOKUP(I108,parts!$A$2:$Z$300,12,FALSE)*J108,0)</f>
        <v>0</v>
      </c>
      <c r="L108" s="4">
        <f>IFERROR(VLOOKUP(I108,parts!$A$2:$Z$300,13,FALSE)*J108,0)</f>
        <v>0</v>
      </c>
      <c r="M108" s="4">
        <f>IFERROR(VLOOKUP(I108,parts!$A$2:$Z$300,14,FALSE)*J108,0)</f>
        <v>0</v>
      </c>
      <c r="N108" s="4">
        <f>IFERROR(VLOOKUP(I108,parts!$A$2:$Z$300,6,FALSE),0)</f>
        <v>0</v>
      </c>
      <c r="O108" s="4">
        <f>IFERROR(VLOOKUP(I108,parts!$A$2:$Z$300,7,FALSE)*J108,0)</f>
        <v>0</v>
      </c>
      <c r="P108" s="12"/>
      <c r="Q108" s="11"/>
      <c r="R108" s="6"/>
      <c r="S108" s="4">
        <f>IFERROR(VLOOKUP(Q108,parts!$A$2:$Z$300,12,FALSE)*R108,0)</f>
        <v>0</v>
      </c>
      <c r="T108" s="4">
        <f>IFERROR(VLOOKUP(Q108,parts!$A$2:$Z$300,13,FALSE)*R108,0)</f>
        <v>0</v>
      </c>
      <c r="U108" s="4">
        <f>IFERROR(VLOOKUP(Q108,parts!$A$2:$Z$300,14,FALSE)*R108,0)</f>
        <v>0</v>
      </c>
      <c r="V108" s="4">
        <f>IFERROR(VLOOKUP(Q108,parts!$A$2:$Z$300,6,FALSE),0)</f>
        <v>0</v>
      </c>
      <c r="W108" s="4">
        <f>IFERROR(VLOOKUP(Q108,parts!$A$2:$Z$300,7,FALSE)*R108,0)</f>
        <v>0</v>
      </c>
      <c r="X108" s="12"/>
      <c r="Y108" s="11"/>
      <c r="Z108" s="6"/>
      <c r="AA108" s="4">
        <f>IFERROR(VLOOKUP(Y108,parts!$A$2:$Z$300,12,FALSE)*Z108,0)</f>
        <v>0</v>
      </c>
      <c r="AB108" s="4">
        <f>IFERROR(VLOOKUP(Y108,parts!$A$2:$Z$300,13,FALSE)*Z108,0)</f>
        <v>0</v>
      </c>
      <c r="AC108" s="4">
        <f>IFERROR(VLOOKUP(Y108,parts!$A$2:$Z$300,14,FALSE)*Z108,0)</f>
        <v>0</v>
      </c>
      <c r="AD108" s="4">
        <f>IFERROR(VLOOKUP(Y108,parts!$A$2:$Z$300,6,FALSE),0)</f>
        <v>0</v>
      </c>
      <c r="AE108" s="4">
        <f>IFERROR(VLOOKUP(Y108,parts!$A$2:$Z$300,7,FALSE)*Z108,0)</f>
        <v>0</v>
      </c>
      <c r="AF108" s="12"/>
    </row>
    <row r="109" spans="1:32" x14ac:dyDescent="0.25">
      <c r="A109" s="11"/>
      <c r="B109" s="6"/>
      <c r="C109" s="4">
        <f>IFERROR(VLOOKUP(A109,parts!$A$2:$Z$300,12,FALSE)*B109,0)</f>
        <v>0</v>
      </c>
      <c r="D109" s="4">
        <f>IFERROR(VLOOKUP(A109,parts!$A$2:$Z$300,13,FALSE)*B109,0)</f>
        <v>0</v>
      </c>
      <c r="E109" s="4">
        <f>IFERROR(VLOOKUP(A109,parts!$A$2:$Z$300,14,FALSE)*B109,0)</f>
        <v>0</v>
      </c>
      <c r="F109" s="4">
        <f>IFERROR(VLOOKUP(A109,parts!$A$2:$Z$300,6,FALSE),0)</f>
        <v>0</v>
      </c>
      <c r="G109" s="4">
        <f>IFERROR(VLOOKUP(A109,parts!$A$2:$Z$300,7,FALSE)*B109,0)</f>
        <v>0</v>
      </c>
      <c r="H109" s="12"/>
      <c r="I109" s="11"/>
      <c r="J109" s="6"/>
      <c r="K109" s="4">
        <f>IFERROR(VLOOKUP(I109,parts!$A$2:$Z$300,12,FALSE)*J109,0)</f>
        <v>0</v>
      </c>
      <c r="L109" s="4">
        <f>IFERROR(VLOOKUP(I109,parts!$A$2:$Z$300,13,FALSE)*J109,0)</f>
        <v>0</v>
      </c>
      <c r="M109" s="4">
        <f>IFERROR(VLOOKUP(I109,parts!$A$2:$Z$300,14,FALSE)*J109,0)</f>
        <v>0</v>
      </c>
      <c r="N109" s="4">
        <f>IFERROR(VLOOKUP(I109,parts!$A$2:$Z$300,6,FALSE),0)</f>
        <v>0</v>
      </c>
      <c r="O109" s="4">
        <f>IFERROR(VLOOKUP(I109,parts!$A$2:$Z$300,7,FALSE)*J109,0)</f>
        <v>0</v>
      </c>
      <c r="P109" s="12"/>
      <c r="Q109" s="11"/>
      <c r="R109" s="6"/>
      <c r="S109" s="4">
        <f>IFERROR(VLOOKUP(Q109,parts!$A$2:$Z$300,12,FALSE)*R109,0)</f>
        <v>0</v>
      </c>
      <c r="T109" s="4">
        <f>IFERROR(VLOOKUP(Q109,parts!$A$2:$Z$300,13,FALSE)*R109,0)</f>
        <v>0</v>
      </c>
      <c r="U109" s="4">
        <f>IFERROR(VLOOKUP(Q109,parts!$A$2:$Z$300,14,FALSE)*R109,0)</f>
        <v>0</v>
      </c>
      <c r="V109" s="4">
        <f>IFERROR(VLOOKUP(Q109,parts!$A$2:$Z$300,6,FALSE),0)</f>
        <v>0</v>
      </c>
      <c r="W109" s="4">
        <f>IFERROR(VLOOKUP(Q109,parts!$A$2:$Z$300,7,FALSE)*R109,0)</f>
        <v>0</v>
      </c>
      <c r="X109" s="12"/>
      <c r="Y109" s="11"/>
      <c r="Z109" s="6"/>
      <c r="AA109" s="4">
        <f>IFERROR(VLOOKUP(Y109,parts!$A$2:$Z$300,12,FALSE)*Z109,0)</f>
        <v>0</v>
      </c>
      <c r="AB109" s="4">
        <f>IFERROR(VLOOKUP(Y109,parts!$A$2:$Z$300,13,FALSE)*Z109,0)</f>
        <v>0</v>
      </c>
      <c r="AC109" s="4">
        <f>IFERROR(VLOOKUP(Y109,parts!$A$2:$Z$300,14,FALSE)*Z109,0)</f>
        <v>0</v>
      </c>
      <c r="AD109" s="4">
        <f>IFERROR(VLOOKUP(Y109,parts!$A$2:$Z$300,6,FALSE),0)</f>
        <v>0</v>
      </c>
      <c r="AE109" s="4">
        <f>IFERROR(VLOOKUP(Y109,parts!$A$2:$Z$300,7,FALSE)*Z109,0)</f>
        <v>0</v>
      </c>
      <c r="AF109" s="12"/>
    </row>
    <row r="110" spans="1:32" x14ac:dyDescent="0.25">
      <c r="A110" s="11"/>
      <c r="B110" s="6"/>
      <c r="C110" s="4">
        <f>IFERROR(VLOOKUP(A110,parts!$A$2:$Z$300,12,FALSE)*B110,0)</f>
        <v>0</v>
      </c>
      <c r="D110" s="4">
        <f>IFERROR(VLOOKUP(A110,parts!$A$2:$Z$300,13,FALSE)*B110,0)</f>
        <v>0</v>
      </c>
      <c r="E110" s="4">
        <f>IFERROR(VLOOKUP(A110,parts!$A$2:$Z$300,14,FALSE)*B110,0)</f>
        <v>0</v>
      </c>
      <c r="F110" s="4">
        <f>IFERROR(VLOOKUP(A110,parts!$A$2:$Z$300,6,FALSE),0)</f>
        <v>0</v>
      </c>
      <c r="G110" s="4">
        <f>IFERROR(VLOOKUP(A110,parts!$A$2:$Z$300,7,FALSE)*B110,0)</f>
        <v>0</v>
      </c>
      <c r="H110" s="12"/>
      <c r="I110" s="11"/>
      <c r="J110" s="6"/>
      <c r="K110" s="4">
        <f>IFERROR(VLOOKUP(I110,parts!$A$2:$Z$300,12,FALSE)*J110,0)</f>
        <v>0</v>
      </c>
      <c r="L110" s="4">
        <f>IFERROR(VLOOKUP(I110,parts!$A$2:$Z$300,13,FALSE)*J110,0)</f>
        <v>0</v>
      </c>
      <c r="M110" s="4">
        <f>IFERROR(VLOOKUP(I110,parts!$A$2:$Z$300,14,FALSE)*J110,0)</f>
        <v>0</v>
      </c>
      <c r="N110" s="4">
        <f>IFERROR(VLOOKUP(I110,parts!$A$2:$Z$300,6,FALSE),0)</f>
        <v>0</v>
      </c>
      <c r="O110" s="4">
        <f>IFERROR(VLOOKUP(I110,parts!$A$2:$Z$300,7,FALSE)*J110,0)</f>
        <v>0</v>
      </c>
      <c r="P110" s="12"/>
      <c r="Q110" s="11"/>
      <c r="R110" s="6"/>
      <c r="S110" s="4">
        <f>IFERROR(VLOOKUP(Q110,parts!$A$2:$Z$300,12,FALSE)*R110,0)</f>
        <v>0</v>
      </c>
      <c r="T110" s="4">
        <f>IFERROR(VLOOKUP(Q110,parts!$A$2:$Z$300,13,FALSE)*R110,0)</f>
        <v>0</v>
      </c>
      <c r="U110" s="4">
        <f>IFERROR(VLOOKUP(Q110,parts!$A$2:$Z$300,14,FALSE)*R110,0)</f>
        <v>0</v>
      </c>
      <c r="V110" s="4">
        <f>IFERROR(VLOOKUP(Q110,parts!$A$2:$Z$300,6,FALSE),0)</f>
        <v>0</v>
      </c>
      <c r="W110" s="4">
        <f>IFERROR(VLOOKUP(Q110,parts!$A$2:$Z$300,7,FALSE)*R110,0)</f>
        <v>0</v>
      </c>
      <c r="X110" s="12"/>
      <c r="Y110" s="11"/>
      <c r="Z110" s="6"/>
      <c r="AA110" s="4">
        <f>IFERROR(VLOOKUP(Y110,parts!$A$2:$Z$300,12,FALSE)*Z110,0)</f>
        <v>0</v>
      </c>
      <c r="AB110" s="4">
        <f>IFERROR(VLOOKUP(Y110,parts!$A$2:$Z$300,13,FALSE)*Z110,0)</f>
        <v>0</v>
      </c>
      <c r="AC110" s="4">
        <f>IFERROR(VLOOKUP(Y110,parts!$A$2:$Z$300,14,FALSE)*Z110,0)</f>
        <v>0</v>
      </c>
      <c r="AD110" s="4">
        <f>IFERROR(VLOOKUP(Y110,parts!$A$2:$Z$300,6,FALSE),0)</f>
        <v>0</v>
      </c>
      <c r="AE110" s="4">
        <f>IFERROR(VLOOKUP(Y110,parts!$A$2:$Z$300,7,FALSE)*Z110,0)</f>
        <v>0</v>
      </c>
      <c r="AF110" s="12"/>
    </row>
    <row r="111" spans="1:32" x14ac:dyDescent="0.25">
      <c r="A111" s="11"/>
      <c r="B111" s="6"/>
      <c r="C111" s="4">
        <f>IFERROR(VLOOKUP(A111,parts!$A$2:$Z$300,12,FALSE)*B111,0)</f>
        <v>0</v>
      </c>
      <c r="D111" s="4">
        <f>IFERROR(VLOOKUP(A111,parts!$A$2:$Z$300,13,FALSE)*B111,0)</f>
        <v>0</v>
      </c>
      <c r="E111" s="4">
        <f>IFERROR(VLOOKUP(A111,parts!$A$2:$Z$300,14,FALSE)*B111,0)</f>
        <v>0</v>
      </c>
      <c r="F111" s="4">
        <f>IFERROR(VLOOKUP(A111,parts!$A$2:$Z$300,6,FALSE),0)</f>
        <v>0</v>
      </c>
      <c r="G111" s="4">
        <f>IFERROR(VLOOKUP(A111,parts!$A$2:$Z$300,7,FALSE)*B111,0)</f>
        <v>0</v>
      </c>
      <c r="H111" s="12"/>
      <c r="I111" s="11"/>
      <c r="J111" s="6"/>
      <c r="K111" s="4">
        <f>IFERROR(VLOOKUP(I111,parts!$A$2:$Z$300,12,FALSE)*J111,0)</f>
        <v>0</v>
      </c>
      <c r="L111" s="4">
        <f>IFERROR(VLOOKUP(I111,parts!$A$2:$Z$300,13,FALSE)*J111,0)</f>
        <v>0</v>
      </c>
      <c r="M111" s="4">
        <f>IFERROR(VLOOKUP(I111,parts!$A$2:$Z$300,14,FALSE)*J111,0)</f>
        <v>0</v>
      </c>
      <c r="N111" s="4">
        <f>IFERROR(VLOOKUP(I111,parts!$A$2:$Z$300,6,FALSE),0)</f>
        <v>0</v>
      </c>
      <c r="O111" s="4">
        <f>IFERROR(VLOOKUP(I111,parts!$A$2:$Z$300,7,FALSE)*J111,0)</f>
        <v>0</v>
      </c>
      <c r="P111" s="12"/>
      <c r="Q111" s="11"/>
      <c r="R111" s="6"/>
      <c r="S111" s="4">
        <f>IFERROR(VLOOKUP(Q111,parts!$A$2:$Z$300,12,FALSE)*R111,0)</f>
        <v>0</v>
      </c>
      <c r="T111" s="4">
        <f>IFERROR(VLOOKUP(Q111,parts!$A$2:$Z$300,13,FALSE)*R111,0)</f>
        <v>0</v>
      </c>
      <c r="U111" s="4">
        <f>IFERROR(VLOOKUP(Q111,parts!$A$2:$Z$300,14,FALSE)*R111,0)</f>
        <v>0</v>
      </c>
      <c r="V111" s="4">
        <f>IFERROR(VLOOKUP(Q111,parts!$A$2:$Z$300,6,FALSE),0)</f>
        <v>0</v>
      </c>
      <c r="W111" s="4">
        <f>IFERROR(VLOOKUP(Q111,parts!$A$2:$Z$300,7,FALSE)*R111,0)</f>
        <v>0</v>
      </c>
      <c r="X111" s="12"/>
      <c r="Y111" s="11"/>
      <c r="Z111" s="6"/>
      <c r="AA111" s="4">
        <f>IFERROR(VLOOKUP(Y111,parts!$A$2:$Z$300,12,FALSE)*Z111,0)</f>
        <v>0</v>
      </c>
      <c r="AB111" s="4">
        <f>IFERROR(VLOOKUP(Y111,parts!$A$2:$Z$300,13,FALSE)*Z111,0)</f>
        <v>0</v>
      </c>
      <c r="AC111" s="4">
        <f>IFERROR(VLOOKUP(Y111,parts!$A$2:$Z$300,14,FALSE)*Z111,0)</f>
        <v>0</v>
      </c>
      <c r="AD111" s="4">
        <f>IFERROR(VLOOKUP(Y111,parts!$A$2:$Z$300,6,FALSE),0)</f>
        <v>0</v>
      </c>
      <c r="AE111" s="4">
        <f>IFERROR(VLOOKUP(Y111,parts!$A$2:$Z$300,7,FALSE)*Z111,0)</f>
        <v>0</v>
      </c>
      <c r="AF111" s="12"/>
    </row>
    <row r="112" spans="1:32" x14ac:dyDescent="0.25">
      <c r="A112" s="11"/>
      <c r="B112" s="6"/>
      <c r="C112" s="4">
        <f>IFERROR(VLOOKUP(A112,parts!$A$2:$Z$300,12,FALSE)*B112,0)</f>
        <v>0</v>
      </c>
      <c r="D112" s="4">
        <f>IFERROR(VLOOKUP(A112,parts!$A$2:$Z$300,13,FALSE)*B112,0)</f>
        <v>0</v>
      </c>
      <c r="E112" s="4">
        <f>IFERROR(VLOOKUP(A112,parts!$A$2:$Z$300,14,FALSE)*B112,0)</f>
        <v>0</v>
      </c>
      <c r="F112" s="4">
        <f>IFERROR(VLOOKUP(A112,parts!$A$2:$Z$300,6,FALSE),0)</f>
        <v>0</v>
      </c>
      <c r="G112" s="4">
        <f>IFERROR(VLOOKUP(A112,parts!$A$2:$Z$300,7,FALSE)*B112,0)</f>
        <v>0</v>
      </c>
      <c r="H112" s="12"/>
      <c r="I112" s="11"/>
      <c r="J112" s="6"/>
      <c r="K112" s="4">
        <f>IFERROR(VLOOKUP(I112,parts!$A$2:$Z$300,12,FALSE)*J112,0)</f>
        <v>0</v>
      </c>
      <c r="L112" s="4">
        <f>IFERROR(VLOOKUP(I112,parts!$A$2:$Z$300,13,FALSE)*J112,0)</f>
        <v>0</v>
      </c>
      <c r="M112" s="4">
        <f>IFERROR(VLOOKUP(I112,parts!$A$2:$Z$300,14,FALSE)*J112,0)</f>
        <v>0</v>
      </c>
      <c r="N112" s="4">
        <f>IFERROR(VLOOKUP(I112,parts!$A$2:$Z$300,6,FALSE),0)</f>
        <v>0</v>
      </c>
      <c r="O112" s="4">
        <f>IFERROR(VLOOKUP(I112,parts!$A$2:$Z$300,7,FALSE)*J112,0)</f>
        <v>0</v>
      </c>
      <c r="P112" s="12"/>
      <c r="Q112" s="11"/>
      <c r="R112" s="6"/>
      <c r="S112" s="4">
        <f>IFERROR(VLOOKUP(Q112,parts!$A$2:$Z$300,12,FALSE)*R112,0)</f>
        <v>0</v>
      </c>
      <c r="T112" s="4">
        <f>IFERROR(VLOOKUP(Q112,parts!$A$2:$Z$300,13,FALSE)*R112,0)</f>
        <v>0</v>
      </c>
      <c r="U112" s="4">
        <f>IFERROR(VLOOKUP(Q112,parts!$A$2:$Z$300,14,FALSE)*R112,0)</f>
        <v>0</v>
      </c>
      <c r="V112" s="4">
        <f>IFERROR(VLOOKUP(Q112,parts!$A$2:$Z$300,6,FALSE),0)</f>
        <v>0</v>
      </c>
      <c r="W112" s="4">
        <f>IFERROR(VLOOKUP(Q112,parts!$A$2:$Z$300,7,FALSE)*R112,0)</f>
        <v>0</v>
      </c>
      <c r="X112" s="12"/>
      <c r="Y112" s="11"/>
      <c r="Z112" s="6"/>
      <c r="AA112" s="4">
        <f>IFERROR(VLOOKUP(Y112,parts!$A$2:$Z$300,12,FALSE)*Z112,0)</f>
        <v>0</v>
      </c>
      <c r="AB112" s="4">
        <f>IFERROR(VLOOKUP(Y112,parts!$A$2:$Z$300,13,FALSE)*Z112,0)</f>
        <v>0</v>
      </c>
      <c r="AC112" s="4">
        <f>IFERROR(VLOOKUP(Y112,parts!$A$2:$Z$300,14,FALSE)*Z112,0)</f>
        <v>0</v>
      </c>
      <c r="AD112" s="4">
        <f>IFERROR(VLOOKUP(Y112,parts!$A$2:$Z$300,6,FALSE),0)</f>
        <v>0</v>
      </c>
      <c r="AE112" s="4">
        <f>IFERROR(VLOOKUP(Y112,parts!$A$2:$Z$300,7,FALSE)*Z112,0)</f>
        <v>0</v>
      </c>
      <c r="AF112" s="12"/>
    </row>
    <row r="113" spans="1:32" ht="15.75" thickBot="1" x14ac:dyDescent="0.3">
      <c r="A113" s="11"/>
      <c r="B113" s="6"/>
      <c r="C113" s="4">
        <f>IFERROR(VLOOKUP(A113,parts!$A$2:$Z$300,12,FALSE)*B113,0)</f>
        <v>0</v>
      </c>
      <c r="D113" s="4">
        <f>IFERROR(VLOOKUP(A113,parts!$A$2:$Z$300,13,FALSE)*B113,0)</f>
        <v>0</v>
      </c>
      <c r="E113" s="4">
        <f>IFERROR(VLOOKUP(A113,parts!$A$2:$Z$300,14,FALSE)*B113,0)</f>
        <v>0</v>
      </c>
      <c r="F113" s="4">
        <f>IFERROR(VLOOKUP(A113,parts!$A$2:$Z$300,6,FALSE),0)</f>
        <v>0</v>
      </c>
      <c r="G113" s="4">
        <f>IFERROR(VLOOKUP(A113,parts!$A$2:$Z$300,7,FALSE)*B113,0)</f>
        <v>0</v>
      </c>
      <c r="H113" s="12"/>
      <c r="I113" s="11"/>
      <c r="J113" s="6"/>
      <c r="K113" s="4">
        <f>IFERROR(VLOOKUP(I113,parts!$A$2:$Z$300,12,FALSE)*J113,0)</f>
        <v>0</v>
      </c>
      <c r="L113" s="4">
        <f>IFERROR(VLOOKUP(I113,parts!$A$2:$Z$300,13,FALSE)*J113,0)</f>
        <v>0</v>
      </c>
      <c r="M113" s="4">
        <f>IFERROR(VLOOKUP(I113,parts!$A$2:$Z$300,14,FALSE)*J113,0)</f>
        <v>0</v>
      </c>
      <c r="N113" s="4">
        <f>IFERROR(VLOOKUP(I113,parts!$A$2:$Z$300,6,FALSE),0)</f>
        <v>0</v>
      </c>
      <c r="O113" s="4">
        <f>IFERROR(VLOOKUP(I113,parts!$A$2:$Z$300,7,FALSE)*J113,0)</f>
        <v>0</v>
      </c>
      <c r="P113" s="12"/>
      <c r="Q113" s="11"/>
      <c r="R113" s="6"/>
      <c r="S113" s="4">
        <f>IFERROR(VLOOKUP(Q113,parts!$A$2:$Z$300,12,FALSE)*R113,0)</f>
        <v>0</v>
      </c>
      <c r="T113" s="4">
        <f>IFERROR(VLOOKUP(Q113,parts!$A$2:$Z$300,13,FALSE)*R113,0)</f>
        <v>0</v>
      </c>
      <c r="U113" s="4">
        <f>IFERROR(VLOOKUP(Q113,parts!$A$2:$Z$300,14,FALSE)*R113,0)</f>
        <v>0</v>
      </c>
      <c r="V113" s="4">
        <f>IFERROR(VLOOKUP(Q113,parts!$A$2:$Z$300,6,FALSE),0)</f>
        <v>0</v>
      </c>
      <c r="W113" s="4">
        <f>IFERROR(VLOOKUP(Q113,parts!$A$2:$Z$300,7,FALSE)*R113,0)</f>
        <v>0</v>
      </c>
      <c r="X113" s="12"/>
      <c r="Y113" s="11"/>
      <c r="Z113" s="6"/>
      <c r="AA113" s="4">
        <f>IFERROR(VLOOKUP(Y113,parts!$A$2:$Z$300,12,FALSE)*Z113,0)</f>
        <v>0</v>
      </c>
      <c r="AB113" s="4">
        <f>IFERROR(VLOOKUP(Y113,parts!$A$2:$Z$300,13,FALSE)*Z113,0)</f>
        <v>0</v>
      </c>
      <c r="AC113" s="4">
        <f>IFERROR(VLOOKUP(Y113,parts!$A$2:$Z$300,14,FALSE)*Z113,0)</f>
        <v>0</v>
      </c>
      <c r="AD113" s="4">
        <f>IFERROR(VLOOKUP(Y113,parts!$A$2:$Z$300,6,FALSE),0)</f>
        <v>0</v>
      </c>
      <c r="AE113" s="4">
        <f>IFERROR(VLOOKUP(Y113,parts!$A$2:$Z$300,7,FALSE)*Z113,0)</f>
        <v>0</v>
      </c>
      <c r="AF113" s="12"/>
    </row>
    <row r="114" spans="1:32" x14ac:dyDescent="0.25">
      <c r="A114" s="13"/>
      <c r="B114" s="14" t="s">
        <v>73</v>
      </c>
      <c r="C114" s="14" t="s">
        <v>3</v>
      </c>
      <c r="D114" s="14" t="s">
        <v>66</v>
      </c>
      <c r="E114" s="14" t="s">
        <v>69</v>
      </c>
      <c r="F114" s="14" t="s">
        <v>6</v>
      </c>
      <c r="G114" s="15" t="s">
        <v>7</v>
      </c>
      <c r="H114" s="12"/>
      <c r="I114" s="13"/>
      <c r="J114" s="14" t="s">
        <v>73</v>
      </c>
      <c r="K114" s="14" t="s">
        <v>3</v>
      </c>
      <c r="L114" s="14" t="s">
        <v>66</v>
      </c>
      <c r="M114" s="14" t="s">
        <v>69</v>
      </c>
      <c r="N114" s="14" t="s">
        <v>6</v>
      </c>
      <c r="O114" s="15" t="s">
        <v>7</v>
      </c>
      <c r="P114" s="12"/>
      <c r="Q114" s="13"/>
      <c r="R114" s="14" t="s">
        <v>73</v>
      </c>
      <c r="S114" s="14" t="s">
        <v>3</v>
      </c>
      <c r="T114" s="14" t="s">
        <v>66</v>
      </c>
      <c r="U114" s="14" t="s">
        <v>69</v>
      </c>
      <c r="V114" s="14" t="s">
        <v>6</v>
      </c>
      <c r="W114" s="15" t="s">
        <v>7</v>
      </c>
      <c r="X114" s="12"/>
      <c r="Y114" s="13"/>
      <c r="Z114" s="14" t="s">
        <v>73</v>
      </c>
      <c r="AA114" s="14" t="s">
        <v>3</v>
      </c>
      <c r="AB114" s="14" t="s">
        <v>66</v>
      </c>
      <c r="AC114" s="14" t="s">
        <v>69</v>
      </c>
      <c r="AD114" s="14" t="s">
        <v>6</v>
      </c>
      <c r="AE114" s="15" t="s">
        <v>7</v>
      </c>
      <c r="AF114" s="12"/>
    </row>
    <row r="115" spans="1:32" x14ac:dyDescent="0.25">
      <c r="A115" s="16" t="s">
        <v>68</v>
      </c>
      <c r="B115" s="4">
        <f>SUM(B99:B113)+B91</f>
        <v>3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68</v>
      </c>
      <c r="J115" s="4">
        <f>SUM(J99:J113)+J91</f>
        <v>0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68</v>
      </c>
      <c r="R115" s="4">
        <f>SUM(R99:R113)+R91</f>
        <v>0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68</v>
      </c>
      <c r="Z115" s="4">
        <f>SUM(Z99:Z113)+Z91</f>
        <v>0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</row>
    <row r="116" spans="1:32" x14ac:dyDescent="0.25">
      <c r="A116" s="16" t="s">
        <v>71</v>
      </c>
      <c r="B116" s="43">
        <f>E115+B92</f>
        <v>10.773108687500001</v>
      </c>
      <c r="C116" s="44"/>
      <c r="D116" s="44"/>
      <c r="E116" s="44"/>
      <c r="F116" s="44"/>
      <c r="G116" s="45"/>
      <c r="H116" s="12"/>
      <c r="I116" s="16" t="s">
        <v>71</v>
      </c>
      <c r="J116" s="43">
        <f>M115+J92</f>
        <v>0</v>
      </c>
      <c r="K116" s="44"/>
      <c r="L116" s="44"/>
      <c r="M116" s="44"/>
      <c r="N116" s="44"/>
      <c r="O116" s="45"/>
      <c r="P116" s="12"/>
      <c r="Q116" s="16" t="s">
        <v>71</v>
      </c>
      <c r="R116" s="43">
        <f>U115+R92</f>
        <v>0</v>
      </c>
      <c r="S116" s="44"/>
      <c r="T116" s="44"/>
      <c r="U116" s="44"/>
      <c r="V116" s="44"/>
      <c r="W116" s="45"/>
      <c r="X116" s="12"/>
      <c r="Y116" s="16" t="s">
        <v>71</v>
      </c>
      <c r="Z116" s="43">
        <f>AC115+Z92</f>
        <v>0</v>
      </c>
      <c r="AA116" s="44"/>
      <c r="AB116" s="44"/>
      <c r="AC116" s="44"/>
      <c r="AD116" s="44"/>
      <c r="AE116" s="45"/>
      <c r="AF116" s="12"/>
    </row>
    <row r="117" spans="1:32" x14ac:dyDescent="0.25">
      <c r="A117" s="16" t="s">
        <v>75</v>
      </c>
      <c r="B117" s="43">
        <f>C115+B92</f>
        <v>10.773108687500001</v>
      </c>
      <c r="C117" s="44"/>
      <c r="D117" s="44"/>
      <c r="E117" s="44"/>
      <c r="F117" s="44"/>
      <c r="G117" s="45"/>
      <c r="H117" s="12"/>
      <c r="I117" s="16" t="s">
        <v>75</v>
      </c>
      <c r="J117" s="43">
        <f>K115+J92</f>
        <v>0</v>
      </c>
      <c r="K117" s="44"/>
      <c r="L117" s="44"/>
      <c r="M117" s="44"/>
      <c r="N117" s="44"/>
      <c r="O117" s="45"/>
      <c r="P117" s="12"/>
      <c r="Q117" s="16" t="s">
        <v>75</v>
      </c>
      <c r="R117" s="43">
        <f>S115+R92</f>
        <v>0</v>
      </c>
      <c r="S117" s="44"/>
      <c r="T117" s="44"/>
      <c r="U117" s="44"/>
      <c r="V117" s="44"/>
      <c r="W117" s="45"/>
      <c r="X117" s="12"/>
      <c r="Y117" s="16" t="s">
        <v>75</v>
      </c>
      <c r="Z117" s="43">
        <f>AA115+Z92</f>
        <v>0</v>
      </c>
      <c r="AA117" s="44"/>
      <c r="AB117" s="44"/>
      <c r="AC117" s="44"/>
      <c r="AD117" s="44"/>
      <c r="AE117" s="45"/>
      <c r="AF117" s="12"/>
    </row>
    <row r="118" spans="1:32" x14ac:dyDescent="0.25">
      <c r="A118" s="16" t="s">
        <v>74</v>
      </c>
      <c r="B118" s="43">
        <f>IFERROR((G115/10/B116),0)</f>
        <v>0</v>
      </c>
      <c r="C118" s="44"/>
      <c r="D118" s="44"/>
      <c r="E118" s="44"/>
      <c r="F118" s="44"/>
      <c r="G118" s="45"/>
      <c r="H118" s="12"/>
      <c r="I118" s="16" t="s">
        <v>74</v>
      </c>
      <c r="J118" s="43">
        <f>IFERROR((O115/10/J116),0)</f>
        <v>0</v>
      </c>
      <c r="K118" s="44"/>
      <c r="L118" s="44"/>
      <c r="M118" s="44"/>
      <c r="N118" s="44"/>
      <c r="O118" s="45"/>
      <c r="P118" s="12"/>
      <c r="Q118" s="16" t="s">
        <v>74</v>
      </c>
      <c r="R118" s="43">
        <f>IFERROR((W115/10/R116),0)</f>
        <v>0</v>
      </c>
      <c r="S118" s="44"/>
      <c r="T118" s="44"/>
      <c r="U118" s="44"/>
      <c r="V118" s="44"/>
      <c r="W118" s="45"/>
      <c r="X118" s="12"/>
      <c r="Y118" s="16" t="s">
        <v>74</v>
      </c>
      <c r="Z118" s="43">
        <f>IFERROR((AE115/10/Z116),0)</f>
        <v>0</v>
      </c>
      <c r="AA118" s="44"/>
      <c r="AB118" s="44"/>
      <c r="AC118" s="44"/>
      <c r="AD118" s="44"/>
      <c r="AE118" s="45"/>
      <c r="AF118" s="12"/>
    </row>
    <row r="119" spans="1:32" x14ac:dyDescent="0.25">
      <c r="A119" s="16" t="s">
        <v>70</v>
      </c>
      <c r="B119" s="43">
        <f>IFERROR((9.82 * F115) * LN(B116/B117),0)</f>
        <v>0</v>
      </c>
      <c r="C119" s="44"/>
      <c r="D119" s="44"/>
      <c r="E119" s="44"/>
      <c r="F119" s="44"/>
      <c r="G119" s="45"/>
      <c r="H119" s="12"/>
      <c r="I119" s="16" t="s">
        <v>70</v>
      </c>
      <c r="J119" s="43">
        <f>IFERROR((9.82 * N115) * LN(J116/J117),0)</f>
        <v>0</v>
      </c>
      <c r="K119" s="44"/>
      <c r="L119" s="44"/>
      <c r="M119" s="44"/>
      <c r="N119" s="44"/>
      <c r="O119" s="45"/>
      <c r="P119" s="12"/>
      <c r="Q119" s="16" t="s">
        <v>70</v>
      </c>
      <c r="R119" s="43">
        <f>IFERROR((9.82 * V115) * LN(R116/R117),0)</f>
        <v>0</v>
      </c>
      <c r="S119" s="44"/>
      <c r="T119" s="44"/>
      <c r="U119" s="44"/>
      <c r="V119" s="44"/>
      <c r="W119" s="45"/>
      <c r="X119" s="12"/>
      <c r="Y119" s="16" t="s">
        <v>70</v>
      </c>
      <c r="Z119" s="43">
        <f>IFERROR((9.82 * AD115) * LN(Z116/Z117),0)</f>
        <v>0</v>
      </c>
      <c r="AA119" s="44"/>
      <c r="AB119" s="44"/>
      <c r="AC119" s="44"/>
      <c r="AD119" s="44"/>
      <c r="AE119" s="45"/>
      <c r="AF119" s="12"/>
    </row>
    <row r="120" spans="1:32" ht="15.75" thickBot="1" x14ac:dyDescent="0.3">
      <c r="A120" s="17" t="s">
        <v>72</v>
      </c>
      <c r="B120" s="40">
        <f>B119+B96</f>
        <v>8003.3365648910458</v>
      </c>
      <c r="C120" s="41"/>
      <c r="D120" s="41"/>
      <c r="E120" s="41"/>
      <c r="F120" s="41"/>
      <c r="G120" s="42"/>
      <c r="H120" s="12"/>
      <c r="I120" s="17" t="s">
        <v>72</v>
      </c>
      <c r="J120" s="40">
        <f>J119+J96</f>
        <v>0</v>
      </c>
      <c r="K120" s="41"/>
      <c r="L120" s="41"/>
      <c r="M120" s="41"/>
      <c r="N120" s="41"/>
      <c r="O120" s="42"/>
      <c r="P120" s="12"/>
      <c r="Q120" s="17" t="s">
        <v>72</v>
      </c>
      <c r="R120" s="40">
        <f>R119+R96</f>
        <v>0</v>
      </c>
      <c r="S120" s="41"/>
      <c r="T120" s="41"/>
      <c r="U120" s="41"/>
      <c r="V120" s="41"/>
      <c r="W120" s="42"/>
      <c r="X120" s="12"/>
      <c r="Y120" s="17" t="s">
        <v>72</v>
      </c>
      <c r="Z120" s="40">
        <f>Z119+Z96</f>
        <v>0</v>
      </c>
      <c r="AA120" s="41"/>
      <c r="AB120" s="41"/>
      <c r="AC120" s="41"/>
      <c r="AD120" s="41"/>
      <c r="AE120" s="42"/>
      <c r="AF120" s="12"/>
    </row>
    <row r="121" spans="1:32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5.75" thickBot="1" x14ac:dyDescent="0.3">
      <c r="A122" s="47" t="s">
        <v>118</v>
      </c>
      <c r="B122" s="48"/>
      <c r="C122" s="48"/>
      <c r="D122" s="48"/>
      <c r="E122" s="48"/>
      <c r="F122" s="48"/>
      <c r="G122" s="49"/>
      <c r="H122" s="12"/>
      <c r="I122" s="47" t="s">
        <v>118</v>
      </c>
      <c r="J122" s="48"/>
      <c r="K122" s="48"/>
      <c r="L122" s="48"/>
      <c r="M122" s="48"/>
      <c r="N122" s="48"/>
      <c r="O122" s="49"/>
      <c r="P122" s="12"/>
      <c r="Q122" s="47" t="s">
        <v>118</v>
      </c>
      <c r="R122" s="48"/>
      <c r="S122" s="48"/>
      <c r="T122" s="48"/>
      <c r="U122" s="48"/>
      <c r="V122" s="48"/>
      <c r="W122" s="49"/>
      <c r="X122" s="12"/>
      <c r="Y122" s="47" t="s">
        <v>118</v>
      </c>
      <c r="Z122" s="48"/>
      <c r="AA122" s="48"/>
      <c r="AB122" s="48"/>
      <c r="AC122" s="48"/>
      <c r="AD122" s="48"/>
      <c r="AE122" s="49"/>
      <c r="AF122" s="12"/>
    </row>
    <row r="123" spans="1:32" x14ac:dyDescent="0.25">
      <c r="A123" s="52" t="s">
        <v>73</v>
      </c>
      <c r="B123" s="52"/>
      <c r="C123" s="52"/>
      <c r="D123" s="51">
        <f>B115</f>
        <v>3</v>
      </c>
      <c r="E123" s="51"/>
      <c r="F123" s="51"/>
      <c r="G123" s="51"/>
      <c r="H123" s="12"/>
      <c r="I123" s="52" t="s">
        <v>73</v>
      </c>
      <c r="J123" s="52"/>
      <c r="K123" s="52"/>
      <c r="L123" s="51">
        <f>J115</f>
        <v>0</v>
      </c>
      <c r="M123" s="51"/>
      <c r="N123" s="51"/>
      <c r="O123" s="51"/>
      <c r="P123" s="12"/>
      <c r="Q123" s="52" t="s">
        <v>73</v>
      </c>
      <c r="R123" s="52"/>
      <c r="S123" s="52"/>
      <c r="T123" s="51">
        <f>R115</f>
        <v>0</v>
      </c>
      <c r="U123" s="51"/>
      <c r="V123" s="51"/>
      <c r="W123" s="51"/>
      <c r="X123" s="12"/>
      <c r="Y123" s="52" t="s">
        <v>73</v>
      </c>
      <c r="Z123" s="52"/>
      <c r="AA123" s="52"/>
      <c r="AB123" s="51">
        <f>Z115</f>
        <v>0</v>
      </c>
      <c r="AC123" s="51"/>
      <c r="AD123" s="51"/>
      <c r="AE123" s="51"/>
      <c r="AF123" s="12"/>
    </row>
    <row r="124" spans="1:32" x14ac:dyDescent="0.25">
      <c r="A124" s="53" t="s">
        <v>2</v>
      </c>
      <c r="B124" s="53"/>
      <c r="C124" s="53"/>
      <c r="D124" s="50">
        <f>B116</f>
        <v>10.773108687500001</v>
      </c>
      <c r="E124" s="50"/>
      <c r="F124" s="50"/>
      <c r="G124" s="50"/>
      <c r="H124" s="12"/>
      <c r="I124" s="53" t="s">
        <v>2</v>
      </c>
      <c r="J124" s="53"/>
      <c r="K124" s="53"/>
      <c r="L124" s="50">
        <f>J116</f>
        <v>0</v>
      </c>
      <c r="M124" s="50"/>
      <c r="N124" s="50"/>
      <c r="O124" s="50"/>
      <c r="P124" s="12"/>
      <c r="Q124" s="53" t="s">
        <v>2</v>
      </c>
      <c r="R124" s="53"/>
      <c r="S124" s="53"/>
      <c r="T124" s="50">
        <f>R116</f>
        <v>0</v>
      </c>
      <c r="U124" s="50"/>
      <c r="V124" s="50"/>
      <c r="W124" s="50"/>
      <c r="X124" s="12"/>
      <c r="Y124" s="53" t="s">
        <v>2</v>
      </c>
      <c r="Z124" s="53"/>
      <c r="AA124" s="53"/>
      <c r="AB124" s="50">
        <f>Z116</f>
        <v>0</v>
      </c>
      <c r="AC124" s="50"/>
      <c r="AD124" s="50"/>
      <c r="AE124" s="50"/>
      <c r="AF124" s="12"/>
    </row>
    <row r="125" spans="1:32" x14ac:dyDescent="0.25">
      <c r="A125" s="53" t="s">
        <v>4</v>
      </c>
      <c r="B125" s="53"/>
      <c r="C125" s="53"/>
      <c r="D125" s="50">
        <f>D115+D91+D67+D43+D19</f>
        <v>8.9766162500000011</v>
      </c>
      <c r="E125" s="50"/>
      <c r="F125" s="50"/>
      <c r="G125" s="50"/>
      <c r="H125" s="12"/>
      <c r="I125" s="53" t="s">
        <v>4</v>
      </c>
      <c r="J125" s="53"/>
      <c r="K125" s="53"/>
      <c r="L125" s="50">
        <f>L115+L91+L67+L43+L19</f>
        <v>0</v>
      </c>
      <c r="M125" s="50"/>
      <c r="N125" s="50"/>
      <c r="O125" s="50"/>
      <c r="P125" s="12"/>
      <c r="Q125" s="53" t="s">
        <v>4</v>
      </c>
      <c r="R125" s="53"/>
      <c r="S125" s="53"/>
      <c r="T125" s="50">
        <f>T115+T91+T67+T43+T19</f>
        <v>0</v>
      </c>
      <c r="U125" s="50"/>
      <c r="V125" s="50"/>
      <c r="W125" s="50"/>
      <c r="X125" s="12"/>
      <c r="Y125" s="53" t="s">
        <v>4</v>
      </c>
      <c r="Z125" s="53"/>
      <c r="AA125" s="53"/>
      <c r="AB125" s="50">
        <f>AB115+AB91+AB67+AB43+AB19</f>
        <v>0</v>
      </c>
      <c r="AC125" s="50"/>
      <c r="AD125" s="50"/>
      <c r="AE125" s="50"/>
      <c r="AF125" s="12"/>
    </row>
    <row r="126" spans="1:32" x14ac:dyDescent="0.25">
      <c r="A126" s="53" t="s">
        <v>1</v>
      </c>
      <c r="B126" s="53"/>
      <c r="C126" s="53"/>
      <c r="D126" s="50">
        <f>D124-D125</f>
        <v>1.7964924374999995</v>
      </c>
      <c r="E126" s="50"/>
      <c r="F126" s="50"/>
      <c r="G126" s="50"/>
      <c r="H126" s="12"/>
      <c r="I126" s="53" t="s">
        <v>1</v>
      </c>
      <c r="J126" s="53"/>
      <c r="K126" s="53"/>
      <c r="L126" s="50">
        <f>L124-L125</f>
        <v>0</v>
      </c>
      <c r="M126" s="50"/>
      <c r="N126" s="50"/>
      <c r="O126" s="50"/>
      <c r="P126" s="12"/>
      <c r="Q126" s="53" t="s">
        <v>1</v>
      </c>
      <c r="R126" s="53"/>
      <c r="S126" s="53"/>
      <c r="T126" s="50">
        <f>T124-T125</f>
        <v>0</v>
      </c>
      <c r="U126" s="50"/>
      <c r="V126" s="50"/>
      <c r="W126" s="50"/>
      <c r="X126" s="12"/>
      <c r="Y126" s="53" t="s">
        <v>1</v>
      </c>
      <c r="Z126" s="53"/>
      <c r="AA126" s="53"/>
      <c r="AB126" s="50">
        <f>AB124-AB125</f>
        <v>0</v>
      </c>
      <c r="AC126" s="50"/>
      <c r="AD126" s="50"/>
      <c r="AE126" s="50"/>
      <c r="AF126" s="12"/>
    </row>
    <row r="127" spans="1:32" x14ac:dyDescent="0.25">
      <c r="A127" s="53" t="s">
        <v>119</v>
      </c>
      <c r="B127" s="53"/>
      <c r="C127" s="53"/>
      <c r="D127" s="50">
        <f>B120</f>
        <v>8003.3365648910458</v>
      </c>
      <c r="E127" s="50"/>
      <c r="F127" s="50"/>
      <c r="G127" s="50"/>
      <c r="H127" s="12"/>
      <c r="I127" s="53" t="s">
        <v>119</v>
      </c>
      <c r="J127" s="53"/>
      <c r="K127" s="53"/>
      <c r="L127" s="50">
        <f>J120</f>
        <v>0</v>
      </c>
      <c r="M127" s="50"/>
      <c r="N127" s="50"/>
      <c r="O127" s="50"/>
      <c r="P127" s="12"/>
      <c r="Q127" s="53" t="s">
        <v>119</v>
      </c>
      <c r="R127" s="53"/>
      <c r="S127" s="53"/>
      <c r="T127" s="50">
        <f>R120</f>
        <v>0</v>
      </c>
      <c r="U127" s="50"/>
      <c r="V127" s="50"/>
      <c r="W127" s="50"/>
      <c r="X127" s="12"/>
      <c r="Y127" s="53" t="s">
        <v>119</v>
      </c>
      <c r="Z127" s="53"/>
      <c r="AA127" s="53"/>
      <c r="AB127" s="50">
        <f>Z120</f>
        <v>0</v>
      </c>
      <c r="AC127" s="50"/>
      <c r="AD127" s="50"/>
      <c r="AE127" s="50"/>
      <c r="AF127" s="12"/>
    </row>
    <row r="128" spans="1:32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</sheetData>
  <mergeCells count="148">
    <mergeCell ref="Y127:AA127"/>
    <mergeCell ref="AB127:AE127"/>
    <mergeCell ref="Y122:AE122"/>
    <mergeCell ref="Y123:AA123"/>
    <mergeCell ref="AB123:AE123"/>
    <mergeCell ref="Y124:AA124"/>
    <mergeCell ref="AB124:AE124"/>
    <mergeCell ref="Y125:AA125"/>
    <mergeCell ref="AB125:AE125"/>
    <mergeCell ref="Y126:AA126"/>
    <mergeCell ref="AB126:AE126"/>
    <mergeCell ref="I127:K127"/>
    <mergeCell ref="L127:O127"/>
    <mergeCell ref="Q122:W122"/>
    <mergeCell ref="Q123:S123"/>
    <mergeCell ref="T123:W123"/>
    <mergeCell ref="Q124:S124"/>
    <mergeCell ref="T124:W124"/>
    <mergeCell ref="Q125:S125"/>
    <mergeCell ref="T125:W125"/>
    <mergeCell ref="Q126:S126"/>
    <mergeCell ref="T126:W126"/>
    <mergeCell ref="Q127:S127"/>
    <mergeCell ref="T127:W127"/>
    <mergeCell ref="I122:O122"/>
    <mergeCell ref="I123:K123"/>
    <mergeCell ref="L123:O123"/>
    <mergeCell ref="I124:K124"/>
    <mergeCell ref="L124:O124"/>
    <mergeCell ref="I125:K125"/>
    <mergeCell ref="L125:O125"/>
    <mergeCell ref="I126:K126"/>
    <mergeCell ref="L126:O126"/>
    <mergeCell ref="D127:G127"/>
    <mergeCell ref="D125:G125"/>
    <mergeCell ref="D124:G124"/>
    <mergeCell ref="D123:G123"/>
    <mergeCell ref="A123:C123"/>
    <mergeCell ref="A124:C124"/>
    <mergeCell ref="A125:C125"/>
    <mergeCell ref="A127:C127"/>
    <mergeCell ref="A126:C126"/>
    <mergeCell ref="D126:G126"/>
    <mergeCell ref="B20:G20"/>
    <mergeCell ref="J20:O20"/>
    <mergeCell ref="R20:W20"/>
    <mergeCell ref="Z20:AE20"/>
    <mergeCell ref="A1:G1"/>
    <mergeCell ref="I1:O1"/>
    <mergeCell ref="Q1:W1"/>
    <mergeCell ref="Y1:AE1"/>
    <mergeCell ref="A122:G122"/>
    <mergeCell ref="B23:G23"/>
    <mergeCell ref="J23:O23"/>
    <mergeCell ref="R23:W23"/>
    <mergeCell ref="Z23:AE23"/>
    <mergeCell ref="B22:G22"/>
    <mergeCell ref="J22:O22"/>
    <mergeCell ref="R22:W22"/>
    <mergeCell ref="Z22:AE22"/>
    <mergeCell ref="B21:G21"/>
    <mergeCell ref="J21:O21"/>
    <mergeCell ref="R21:W21"/>
    <mergeCell ref="Z21:AE21"/>
    <mergeCell ref="B45:G45"/>
    <mergeCell ref="J45:O45"/>
    <mergeCell ref="R45:W45"/>
    <mergeCell ref="Z45:AE45"/>
    <mergeCell ref="B44:G44"/>
    <mergeCell ref="J44:O44"/>
    <mergeCell ref="R44:W44"/>
    <mergeCell ref="Z44:AE44"/>
    <mergeCell ref="B24:G24"/>
    <mergeCell ref="J24:O24"/>
    <mergeCell ref="R24:W24"/>
    <mergeCell ref="Z24:AE24"/>
    <mergeCell ref="B48:G48"/>
    <mergeCell ref="J48:O48"/>
    <mergeCell ref="R48:W48"/>
    <mergeCell ref="Z48:AE48"/>
    <mergeCell ref="B47:G47"/>
    <mergeCell ref="J47:O47"/>
    <mergeCell ref="R47:W47"/>
    <mergeCell ref="Z47:AE47"/>
    <mergeCell ref="B46:G46"/>
    <mergeCell ref="J46:O46"/>
    <mergeCell ref="R46:W46"/>
    <mergeCell ref="Z46:AE46"/>
    <mergeCell ref="B70:G70"/>
    <mergeCell ref="J70:O70"/>
    <mergeCell ref="R70:W70"/>
    <mergeCell ref="Z70:AE70"/>
    <mergeCell ref="B69:G69"/>
    <mergeCell ref="J69:O69"/>
    <mergeCell ref="R69:W69"/>
    <mergeCell ref="Z69:AE69"/>
    <mergeCell ref="B68:G68"/>
    <mergeCell ref="J68:O68"/>
    <mergeCell ref="R68:W68"/>
    <mergeCell ref="Z68:AE68"/>
    <mergeCell ref="B92:G92"/>
    <mergeCell ref="J92:O92"/>
    <mergeCell ref="R92:W92"/>
    <mergeCell ref="Z92:AE92"/>
    <mergeCell ref="B72:G72"/>
    <mergeCell ref="J72:O72"/>
    <mergeCell ref="R72:W72"/>
    <mergeCell ref="Z72:AE72"/>
    <mergeCell ref="B71:G71"/>
    <mergeCell ref="J71:O71"/>
    <mergeCell ref="R71:W71"/>
    <mergeCell ref="Z71:AE71"/>
    <mergeCell ref="B95:G95"/>
    <mergeCell ref="J95:O95"/>
    <mergeCell ref="R95:W95"/>
    <mergeCell ref="Z95:AE95"/>
    <mergeCell ref="B94:G94"/>
    <mergeCell ref="J94:O94"/>
    <mergeCell ref="R94:W94"/>
    <mergeCell ref="Z94:AE94"/>
    <mergeCell ref="B93:G93"/>
    <mergeCell ref="J93:O93"/>
    <mergeCell ref="R93:W93"/>
    <mergeCell ref="Z93:AE93"/>
    <mergeCell ref="B117:G117"/>
    <mergeCell ref="J117:O117"/>
    <mergeCell ref="R117:W117"/>
    <mergeCell ref="Z117:AE117"/>
    <mergeCell ref="B116:G116"/>
    <mergeCell ref="J116:O116"/>
    <mergeCell ref="R116:W116"/>
    <mergeCell ref="Z116:AE116"/>
    <mergeCell ref="B96:G96"/>
    <mergeCell ref="J96:O96"/>
    <mergeCell ref="R96:W96"/>
    <mergeCell ref="Z96:AE96"/>
    <mergeCell ref="B120:G120"/>
    <mergeCell ref="J120:O120"/>
    <mergeCell ref="R120:W120"/>
    <mergeCell ref="Z120:AE120"/>
    <mergeCell ref="B119:G119"/>
    <mergeCell ref="J119:O119"/>
    <mergeCell ref="R119:W119"/>
    <mergeCell ref="Z119:AE119"/>
    <mergeCell ref="B118:G118"/>
    <mergeCell ref="J118:O118"/>
    <mergeCell ref="R118:W118"/>
    <mergeCell ref="Z118:AE1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B24" sqref="B24"/>
    </sheetView>
  </sheetViews>
  <sheetFormatPr defaultRowHeight="15" x14ac:dyDescent="0.25"/>
  <cols>
    <col min="2" max="2" width="10" bestFit="1" customWidth="1"/>
    <col min="4" max="4" width="10" bestFit="1" customWidth="1"/>
    <col min="5" max="5" width="9.7109375" bestFit="1" customWidth="1"/>
    <col min="8" max="8" width="10.85546875" customWidth="1"/>
    <col min="9" max="9" width="8.5703125" customWidth="1"/>
    <col min="10" max="10" width="7" customWidth="1"/>
    <col min="11" max="11" width="7.7109375" customWidth="1"/>
    <col min="12" max="13" width="6.7109375" customWidth="1"/>
    <col min="19" max="19" width="14.28515625" customWidth="1"/>
  </cols>
  <sheetData>
    <row r="1" spans="1:19" x14ac:dyDescent="0.25">
      <c r="B1" t="s">
        <v>111</v>
      </c>
      <c r="C1" t="s">
        <v>112</v>
      </c>
      <c r="D1" t="s">
        <v>142</v>
      </c>
      <c r="E1" t="s">
        <v>141</v>
      </c>
      <c r="F1" t="s">
        <v>154</v>
      </c>
      <c r="G1" t="s">
        <v>159</v>
      </c>
      <c r="H1" t="s">
        <v>164</v>
      </c>
      <c r="I1" t="s">
        <v>178</v>
      </c>
      <c r="J1" t="s">
        <v>179</v>
      </c>
      <c r="K1" t="s">
        <v>176</v>
      </c>
      <c r="L1" t="s">
        <v>177</v>
      </c>
      <c r="M1" t="s">
        <v>183</v>
      </c>
      <c r="N1" t="s">
        <v>184</v>
      </c>
      <c r="O1" t="s">
        <v>185</v>
      </c>
      <c r="P1" t="s">
        <v>186</v>
      </c>
      <c r="Q1" t="s">
        <v>180</v>
      </c>
      <c r="R1" t="s">
        <v>181</v>
      </c>
      <c r="S1" t="s">
        <v>182</v>
      </c>
    </row>
    <row r="2" spans="1:19" x14ac:dyDescent="0.25">
      <c r="A2" t="s">
        <v>108</v>
      </c>
      <c r="B2">
        <f>H2/G2*1000</f>
        <v>1</v>
      </c>
      <c r="C2">
        <f>B2/H2</f>
        <v>100</v>
      </c>
      <c r="D2">
        <v>0.45900000000000002</v>
      </c>
      <c r="E2">
        <f>D2*C2</f>
        <v>45.9</v>
      </c>
      <c r="F2">
        <f>B2*C2</f>
        <v>100</v>
      </c>
      <c r="G2">
        <v>10</v>
      </c>
      <c r="H2">
        <v>0.01</v>
      </c>
      <c r="I2">
        <v>5</v>
      </c>
      <c r="J2">
        <v>5</v>
      </c>
      <c r="K2">
        <v>0.9</v>
      </c>
      <c r="L2">
        <v>1.1000000000000001</v>
      </c>
      <c r="M2">
        <f t="shared" ref="M2:M8" si="0">K2*I2/G2</f>
        <v>0.45</v>
      </c>
      <c r="N2">
        <f t="shared" ref="N2:N9" si="1">L2*J2/G2</f>
        <v>0.55000000000000004</v>
      </c>
      <c r="O2">
        <f xml:space="preserve"> M2 *(G2/ I2) * 1000/G2 *I2</f>
        <v>450</v>
      </c>
      <c r="P2">
        <f>IFERROR(N2 *(G2/ J2) * 1000/G2 * J2,0)</f>
        <v>550</v>
      </c>
      <c r="Q2">
        <f>O2/I2</f>
        <v>90</v>
      </c>
      <c r="R2">
        <f>IFERROR(P2/J2,0)</f>
        <v>110</v>
      </c>
      <c r="S2">
        <f t="shared" ref="S2:S9" si="2">Q2*I2+R2*J2</f>
        <v>1000</v>
      </c>
    </row>
    <row r="3" spans="1:19" x14ac:dyDescent="0.25">
      <c r="A3" t="s">
        <v>109</v>
      </c>
      <c r="B3">
        <f t="shared" ref="B3:B8" si="3">H3/G3*1000</f>
        <v>0.8</v>
      </c>
      <c r="C3">
        <f t="shared" ref="C3:C8" si="4">B3/H3</f>
        <v>200</v>
      </c>
      <c r="D3">
        <v>1.2</v>
      </c>
      <c r="E3">
        <f t="shared" ref="E3:E5" si="5">D3*C3</f>
        <v>240</v>
      </c>
      <c r="F3">
        <f t="shared" ref="F3:F8" si="6">B3*C3</f>
        <v>160</v>
      </c>
      <c r="G3">
        <v>5</v>
      </c>
      <c r="H3">
        <v>4.0000000000000001E-3</v>
      </c>
      <c r="I3">
        <v>5</v>
      </c>
      <c r="J3">
        <v>0</v>
      </c>
      <c r="K3">
        <v>1</v>
      </c>
      <c r="L3">
        <v>0</v>
      </c>
      <c r="M3">
        <f t="shared" si="0"/>
        <v>1</v>
      </c>
      <c r="N3">
        <f t="shared" si="1"/>
        <v>0</v>
      </c>
      <c r="O3">
        <f t="shared" ref="O3:O9" si="7" xml:space="preserve"> M3 *(G3/ I3) * 1000/G3 *I3</f>
        <v>1000</v>
      </c>
      <c r="P3">
        <f t="shared" ref="P3:P9" si="8">IFERROR(N3 *(G3/ J3) * 1000/G3 * J3,0)</f>
        <v>0</v>
      </c>
      <c r="Q3">
        <f t="shared" ref="Q3:Q9" si="9">O3/I3</f>
        <v>200</v>
      </c>
      <c r="R3">
        <f t="shared" ref="R3:R9" si="10">IFERROR(P3/J3,0)</f>
        <v>0</v>
      </c>
      <c r="S3">
        <f t="shared" si="2"/>
        <v>1000</v>
      </c>
    </row>
    <row r="4" spans="1:19" x14ac:dyDescent="0.25">
      <c r="A4" t="s">
        <v>110</v>
      </c>
      <c r="B4">
        <f t="shared" si="3"/>
        <v>1.5</v>
      </c>
      <c r="C4">
        <f t="shared" si="4"/>
        <v>200</v>
      </c>
      <c r="D4">
        <v>0.6</v>
      </c>
      <c r="E4">
        <f t="shared" si="5"/>
        <v>120</v>
      </c>
      <c r="F4">
        <f t="shared" si="6"/>
        <v>300</v>
      </c>
      <c r="G4">
        <v>5</v>
      </c>
      <c r="H4">
        <v>7.4999999999999997E-3</v>
      </c>
      <c r="I4">
        <v>5</v>
      </c>
      <c r="J4">
        <v>0</v>
      </c>
      <c r="K4">
        <v>1</v>
      </c>
      <c r="L4">
        <v>0</v>
      </c>
      <c r="M4">
        <f t="shared" si="0"/>
        <v>1</v>
      </c>
      <c r="N4">
        <f t="shared" si="1"/>
        <v>0</v>
      </c>
      <c r="O4">
        <f t="shared" si="7"/>
        <v>1000</v>
      </c>
      <c r="P4">
        <f t="shared" si="8"/>
        <v>0</v>
      </c>
      <c r="Q4">
        <f t="shared" si="9"/>
        <v>200</v>
      </c>
      <c r="R4">
        <f t="shared" si="10"/>
        <v>0</v>
      </c>
      <c r="S4">
        <f t="shared" si="2"/>
        <v>1000</v>
      </c>
    </row>
    <row r="5" spans="1:19" x14ac:dyDescent="0.25">
      <c r="A5" t="s">
        <v>138</v>
      </c>
      <c r="B5">
        <f t="shared" si="3"/>
        <v>7.0849999999999996E-2</v>
      </c>
      <c r="C5">
        <f t="shared" si="4"/>
        <v>999.99999999999989</v>
      </c>
      <c r="D5">
        <v>3.6749999999999998E-2</v>
      </c>
      <c r="E5">
        <f t="shared" si="5"/>
        <v>36.749999999999993</v>
      </c>
      <c r="F5">
        <f t="shared" si="6"/>
        <v>70.849999999999994</v>
      </c>
      <c r="G5">
        <v>1</v>
      </c>
      <c r="H5">
        <v>7.0850000000000001E-5</v>
      </c>
      <c r="I5">
        <v>1</v>
      </c>
      <c r="J5">
        <v>0</v>
      </c>
      <c r="K5">
        <v>1</v>
      </c>
      <c r="L5">
        <v>0</v>
      </c>
      <c r="M5">
        <f t="shared" si="0"/>
        <v>1</v>
      </c>
      <c r="N5">
        <f t="shared" si="1"/>
        <v>0</v>
      </c>
      <c r="O5">
        <f t="shared" si="7"/>
        <v>1000</v>
      </c>
      <c r="P5">
        <f t="shared" si="8"/>
        <v>0</v>
      </c>
      <c r="Q5">
        <f t="shared" si="9"/>
        <v>1000</v>
      </c>
      <c r="R5">
        <f t="shared" si="10"/>
        <v>0</v>
      </c>
      <c r="S5">
        <f t="shared" si="2"/>
        <v>1000</v>
      </c>
    </row>
    <row r="6" spans="1:19" x14ac:dyDescent="0.25">
      <c r="A6" t="s">
        <v>163</v>
      </c>
      <c r="B6">
        <f t="shared" si="3"/>
        <v>0.28542500000000004</v>
      </c>
      <c r="C6">
        <f t="shared" si="4"/>
        <v>50.000000000000007</v>
      </c>
      <c r="F6">
        <f t="shared" si="6"/>
        <v>14.271250000000004</v>
      </c>
      <c r="G6">
        <v>20</v>
      </c>
      <c r="H6">
        <f>10*H5+H7</f>
        <v>5.7085E-3</v>
      </c>
      <c r="I6">
        <v>1</v>
      </c>
      <c r="J6">
        <v>5</v>
      </c>
      <c r="K6">
        <v>15</v>
      </c>
      <c r="L6">
        <v>1</v>
      </c>
      <c r="M6">
        <f t="shared" si="0"/>
        <v>0.75</v>
      </c>
      <c r="N6">
        <f t="shared" si="1"/>
        <v>0.25</v>
      </c>
      <c r="O6">
        <f t="shared" si="7"/>
        <v>750</v>
      </c>
      <c r="P6">
        <f t="shared" si="8"/>
        <v>250</v>
      </c>
      <c r="Q6">
        <f t="shared" si="9"/>
        <v>750</v>
      </c>
      <c r="R6">
        <f t="shared" si="10"/>
        <v>50</v>
      </c>
      <c r="S6">
        <f t="shared" si="2"/>
        <v>1000</v>
      </c>
    </row>
    <row r="7" spans="1:19" x14ac:dyDescent="0.25">
      <c r="A7" t="s">
        <v>10</v>
      </c>
      <c r="B7">
        <f t="shared" si="3"/>
        <v>1</v>
      </c>
      <c r="C7">
        <f t="shared" si="4"/>
        <v>200</v>
      </c>
      <c r="F7">
        <f t="shared" si="6"/>
        <v>200</v>
      </c>
      <c r="G7">
        <v>5</v>
      </c>
      <c r="H7">
        <v>5.0000000000000001E-3</v>
      </c>
      <c r="I7">
        <v>5</v>
      </c>
      <c r="J7">
        <v>0</v>
      </c>
      <c r="K7">
        <v>1</v>
      </c>
      <c r="L7">
        <v>0</v>
      </c>
      <c r="M7">
        <f t="shared" si="0"/>
        <v>1</v>
      </c>
      <c r="N7">
        <f t="shared" si="1"/>
        <v>0</v>
      </c>
      <c r="O7">
        <f t="shared" si="7"/>
        <v>1000</v>
      </c>
      <c r="P7">
        <f t="shared" si="8"/>
        <v>0</v>
      </c>
      <c r="Q7">
        <f t="shared" si="9"/>
        <v>200</v>
      </c>
      <c r="R7">
        <f t="shared" si="10"/>
        <v>0</v>
      </c>
      <c r="S7">
        <f t="shared" si="2"/>
        <v>1000</v>
      </c>
    </row>
    <row r="8" spans="1:19" x14ac:dyDescent="0.25">
      <c r="A8" t="s">
        <v>9</v>
      </c>
      <c r="B8">
        <f t="shared" si="3"/>
        <v>1</v>
      </c>
      <c r="C8">
        <f t="shared" si="4"/>
        <v>200</v>
      </c>
      <c r="F8">
        <f t="shared" si="6"/>
        <v>200</v>
      </c>
      <c r="G8">
        <v>5</v>
      </c>
      <c r="H8">
        <v>5.0000000000000001E-3</v>
      </c>
      <c r="I8">
        <v>5</v>
      </c>
      <c r="J8">
        <v>0</v>
      </c>
      <c r="K8">
        <v>1</v>
      </c>
      <c r="L8">
        <v>0</v>
      </c>
      <c r="M8">
        <f t="shared" si="0"/>
        <v>1</v>
      </c>
      <c r="N8">
        <f t="shared" si="1"/>
        <v>0</v>
      </c>
      <c r="O8">
        <f t="shared" si="7"/>
        <v>1000</v>
      </c>
      <c r="P8">
        <f t="shared" si="8"/>
        <v>0</v>
      </c>
      <c r="Q8">
        <f t="shared" si="9"/>
        <v>200</v>
      </c>
      <c r="R8">
        <f t="shared" si="10"/>
        <v>0</v>
      </c>
      <c r="S8">
        <f t="shared" si="2"/>
        <v>1000</v>
      </c>
    </row>
    <row r="9" spans="1:19" x14ac:dyDescent="0.25">
      <c r="A9" t="s">
        <v>187</v>
      </c>
      <c r="B9">
        <v>1</v>
      </c>
      <c r="C9">
        <v>1000</v>
      </c>
      <c r="F9">
        <v>1000</v>
      </c>
      <c r="G9">
        <v>1</v>
      </c>
      <c r="H9">
        <f>B9/C9</f>
        <v>1E-3</v>
      </c>
      <c r="I9">
        <v>1</v>
      </c>
      <c r="J9">
        <v>1</v>
      </c>
      <c r="K9">
        <v>1</v>
      </c>
      <c r="L9">
        <v>0.5</v>
      </c>
      <c r="M9">
        <v>0.5</v>
      </c>
      <c r="N9">
        <f t="shared" si="1"/>
        <v>0.5</v>
      </c>
      <c r="O9">
        <f t="shared" si="7"/>
        <v>500</v>
      </c>
      <c r="P9">
        <f t="shared" si="8"/>
        <v>500</v>
      </c>
      <c r="Q9">
        <f t="shared" si="9"/>
        <v>500</v>
      </c>
      <c r="R9">
        <f t="shared" si="10"/>
        <v>500</v>
      </c>
      <c r="S9">
        <f t="shared" si="2"/>
        <v>1000</v>
      </c>
    </row>
    <row r="10" spans="1:19" x14ac:dyDescent="0.25">
      <c r="A10" t="s">
        <v>194</v>
      </c>
      <c r="B10">
        <f>F10*H10</f>
        <v>0.2</v>
      </c>
      <c r="C10">
        <f>1/H10</f>
        <v>1000</v>
      </c>
      <c r="F10">
        <f>1000/G10</f>
        <v>200</v>
      </c>
      <c r="G10">
        <v>5</v>
      </c>
      <c r="H10">
        <v>1E-3</v>
      </c>
    </row>
    <row r="13" spans="1:19" x14ac:dyDescent="0.25">
      <c r="R13" t="s">
        <v>188</v>
      </c>
      <c r="S13" t="s">
        <v>191</v>
      </c>
    </row>
    <row r="14" spans="1:19" x14ac:dyDescent="0.25">
      <c r="I14" t="s">
        <v>155</v>
      </c>
      <c r="R14" t="s">
        <v>189</v>
      </c>
      <c r="S14" t="s">
        <v>190</v>
      </c>
    </row>
    <row r="15" spans="1:19" x14ac:dyDescent="0.25">
      <c r="I15" t="s">
        <v>156</v>
      </c>
      <c r="K15" t="s">
        <v>158</v>
      </c>
      <c r="M15" s="19" t="s">
        <v>160</v>
      </c>
      <c r="N15" t="s">
        <v>161</v>
      </c>
    </row>
    <row r="16" spans="1:19" x14ac:dyDescent="0.25">
      <c r="I16">
        <v>5.5</v>
      </c>
      <c r="J16" t="s">
        <v>157</v>
      </c>
      <c r="K16">
        <f>I16/H7</f>
        <v>1100</v>
      </c>
      <c r="L16" t="s">
        <v>157</v>
      </c>
      <c r="M16">
        <f>K16*H7</f>
        <v>5.5</v>
      </c>
      <c r="N16">
        <v>1</v>
      </c>
      <c r="O16" t="s">
        <v>157</v>
      </c>
    </row>
    <row r="17" spans="1:19" x14ac:dyDescent="0.25">
      <c r="I17">
        <v>1</v>
      </c>
      <c r="J17" t="s">
        <v>146</v>
      </c>
      <c r="K17">
        <f>I17/H5</f>
        <v>14114.326040931546</v>
      </c>
      <c r="L17" t="s">
        <v>146</v>
      </c>
      <c r="M17">
        <f>K17*H5</f>
        <v>1</v>
      </c>
      <c r="N17">
        <f>K17/K16</f>
        <v>12.83120549175595</v>
      </c>
      <c r="O17" t="s">
        <v>146</v>
      </c>
    </row>
    <row r="19" spans="1:19" x14ac:dyDescent="0.25">
      <c r="I19" t="s">
        <v>162</v>
      </c>
      <c r="K19" t="s">
        <v>104</v>
      </c>
      <c r="L19" t="s">
        <v>105</v>
      </c>
    </row>
    <row r="20" spans="1:19" x14ac:dyDescent="0.25">
      <c r="I20">
        <v>0.1</v>
      </c>
      <c r="J20" t="s">
        <v>157</v>
      </c>
      <c r="K20">
        <f>I20*G7</f>
        <v>0.5</v>
      </c>
      <c r="L20">
        <f>K20*B7/1000</f>
        <v>5.0000000000000001E-4</v>
      </c>
    </row>
    <row r="21" spans="1:19" x14ac:dyDescent="0.25">
      <c r="I21">
        <v>1.5</v>
      </c>
      <c r="J21" t="s">
        <v>146</v>
      </c>
      <c r="K21">
        <f>I21*G5</f>
        <v>1.5</v>
      </c>
      <c r="L21">
        <f>K21*B5/1000</f>
        <v>1.0627499999999999E-4</v>
      </c>
    </row>
    <row r="22" spans="1:19" x14ac:dyDescent="0.25">
      <c r="B22" t="s">
        <v>103</v>
      </c>
      <c r="C22" t="s">
        <v>105</v>
      </c>
      <c r="E22" t="s">
        <v>199</v>
      </c>
      <c r="F22" t="s">
        <v>200</v>
      </c>
      <c r="L22">
        <f>L20/L21</f>
        <v>4.7047753469771818</v>
      </c>
    </row>
    <row r="23" spans="1:19" x14ac:dyDescent="0.25">
      <c r="A23" t="s">
        <v>195</v>
      </c>
      <c r="B23">
        <v>125</v>
      </c>
      <c r="C23">
        <f>B23*H10</f>
        <v>0.125</v>
      </c>
      <c r="E23">
        <v>8.1</v>
      </c>
      <c r="F23">
        <f>E23/$H$3</f>
        <v>2024.9999999999998</v>
      </c>
    </row>
    <row r="24" spans="1:19" x14ac:dyDescent="0.25">
      <c r="A24" t="s">
        <v>196</v>
      </c>
      <c r="B24">
        <v>0</v>
      </c>
      <c r="C24">
        <f>B24*H3</f>
        <v>0</v>
      </c>
      <c r="E24">
        <v>4.0999999999999996</v>
      </c>
      <c r="F24">
        <f t="shared" ref="F24:F35" si="11">E24/$H$3</f>
        <v>1025</v>
      </c>
      <c r="Q24" t="s">
        <v>105</v>
      </c>
      <c r="R24" t="s">
        <v>199</v>
      </c>
      <c r="S24" t="s">
        <v>203</v>
      </c>
    </row>
    <row r="25" spans="1:19" x14ac:dyDescent="0.25">
      <c r="A25" t="s">
        <v>197</v>
      </c>
      <c r="C25">
        <f>C23+C24</f>
        <v>0.125</v>
      </c>
      <c r="F25">
        <f t="shared" si="11"/>
        <v>0</v>
      </c>
      <c r="P25" t="s">
        <v>152</v>
      </c>
      <c r="Q25">
        <v>2.5</v>
      </c>
      <c r="R25">
        <v>0</v>
      </c>
      <c r="S25">
        <v>2.5</v>
      </c>
    </row>
    <row r="26" spans="1:19" x14ac:dyDescent="0.25">
      <c r="A26" t="s">
        <v>105</v>
      </c>
      <c r="C26">
        <v>1.2</v>
      </c>
      <c r="F26">
        <f t="shared" si="11"/>
        <v>0</v>
      </c>
      <c r="P26" t="s">
        <v>201</v>
      </c>
      <c r="Q26">
        <v>2.1</v>
      </c>
      <c r="R26">
        <v>0</v>
      </c>
      <c r="S26">
        <v>2.1</v>
      </c>
    </row>
    <row r="27" spans="1:19" x14ac:dyDescent="0.25">
      <c r="C27">
        <f>C26-C25</f>
        <v>1.075</v>
      </c>
      <c r="F27">
        <f t="shared" si="11"/>
        <v>0</v>
      </c>
      <c r="P27" t="s">
        <v>151</v>
      </c>
      <c r="Q27">
        <v>1</v>
      </c>
      <c r="R27">
        <v>0</v>
      </c>
      <c r="S27">
        <v>1</v>
      </c>
    </row>
    <row r="28" spans="1:19" x14ac:dyDescent="0.25">
      <c r="F28">
        <f t="shared" si="11"/>
        <v>0</v>
      </c>
      <c r="P28" t="s">
        <v>153</v>
      </c>
      <c r="Q28">
        <v>2.7</v>
      </c>
      <c r="R28">
        <v>8.1</v>
      </c>
      <c r="S28">
        <v>10.8</v>
      </c>
    </row>
    <row r="29" spans="1:19" x14ac:dyDescent="0.25">
      <c r="F29">
        <f t="shared" si="11"/>
        <v>0</v>
      </c>
      <c r="S29">
        <v>0</v>
      </c>
    </row>
    <row r="30" spans="1:19" x14ac:dyDescent="0.25">
      <c r="B30" t="s">
        <v>103</v>
      </c>
      <c r="C30" t="s">
        <v>105</v>
      </c>
      <c r="F30">
        <f t="shared" si="11"/>
        <v>0</v>
      </c>
      <c r="P30" t="s">
        <v>62</v>
      </c>
      <c r="Q30">
        <v>4.5999999999999996</v>
      </c>
      <c r="R30">
        <v>0</v>
      </c>
      <c r="S30">
        <v>4.5999999999999996</v>
      </c>
    </row>
    <row r="31" spans="1:19" x14ac:dyDescent="0.25">
      <c r="A31" t="s">
        <v>195</v>
      </c>
      <c r="B31">
        <v>0</v>
      </c>
      <c r="C31">
        <f>B31*H10</f>
        <v>0</v>
      </c>
      <c r="F31">
        <f t="shared" si="11"/>
        <v>0</v>
      </c>
      <c r="P31" t="s">
        <v>202</v>
      </c>
      <c r="Q31">
        <v>4.2</v>
      </c>
      <c r="R31">
        <v>0</v>
      </c>
      <c r="S31">
        <v>4.2</v>
      </c>
    </row>
    <row r="32" spans="1:19" x14ac:dyDescent="0.25">
      <c r="A32" t="s">
        <v>196</v>
      </c>
      <c r="B32">
        <v>150</v>
      </c>
      <c r="C32">
        <f>B32*H3</f>
        <v>0.6</v>
      </c>
      <c r="F32">
        <f t="shared" si="11"/>
        <v>0</v>
      </c>
      <c r="P32" t="s">
        <v>61</v>
      </c>
      <c r="Q32">
        <v>1</v>
      </c>
      <c r="R32">
        <v>0</v>
      </c>
      <c r="S32">
        <v>1</v>
      </c>
    </row>
    <row r="33" spans="1:19" x14ac:dyDescent="0.25">
      <c r="A33" t="s">
        <v>197</v>
      </c>
      <c r="C33">
        <f>C31+C32</f>
        <v>0.6</v>
      </c>
      <c r="F33">
        <f t="shared" si="11"/>
        <v>0</v>
      </c>
      <c r="P33" t="s">
        <v>63</v>
      </c>
      <c r="Q33">
        <v>2.7</v>
      </c>
      <c r="R33">
        <v>4.0999999999999996</v>
      </c>
      <c r="S33">
        <v>6.8</v>
      </c>
    </row>
    <row r="34" spans="1:19" x14ac:dyDescent="0.25">
      <c r="A34" t="s">
        <v>105</v>
      </c>
      <c r="C34">
        <v>4</v>
      </c>
      <c r="F34">
        <f t="shared" si="11"/>
        <v>0</v>
      </c>
    </row>
    <row r="35" spans="1:19" x14ac:dyDescent="0.25">
      <c r="A35" t="s">
        <v>198</v>
      </c>
      <c r="C35">
        <f>C34-C33</f>
        <v>3.4</v>
      </c>
      <c r="F35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5"/>
  <sheetViews>
    <sheetView workbookViewId="0">
      <pane ySplit="1" topLeftCell="A2" activePane="bottomLeft" state="frozen"/>
      <selection pane="bottomLeft" activeCell="AD4" sqref="AD4"/>
    </sheetView>
  </sheetViews>
  <sheetFormatPr defaultRowHeight="15" x14ac:dyDescent="0.25"/>
  <cols>
    <col min="1" max="1" width="21.85546875" bestFit="1" customWidth="1"/>
    <col min="2" max="2" width="6.28515625" customWidth="1"/>
    <col min="3" max="3" width="7" customWidth="1"/>
    <col min="5" max="5" width="7.28515625" bestFit="1" customWidth="1"/>
    <col min="6" max="6" width="6.140625" customWidth="1"/>
    <col min="16" max="16" width="8.85546875" bestFit="1" customWidth="1"/>
    <col min="17" max="17" width="10.5703125" customWidth="1"/>
    <col min="21" max="21" width="6.28515625" customWidth="1"/>
    <col min="24" max="24" width="12" bestFit="1" customWidth="1"/>
    <col min="26" max="26" width="9.140625" style="20"/>
    <col min="27" max="27" width="9.7109375" customWidth="1"/>
    <col min="29" max="29" width="6.7109375" customWidth="1"/>
    <col min="30" max="30" width="3.140625" customWidth="1"/>
    <col min="31" max="31" width="9.85546875" bestFit="1" customWidth="1"/>
  </cols>
  <sheetData>
    <row r="1" spans="1:31" ht="15.75" thickBot="1" x14ac:dyDescent="0.3">
      <c r="A1" s="20" t="s">
        <v>221</v>
      </c>
      <c r="B1" s="20" t="s">
        <v>222</v>
      </c>
      <c r="C1" s="20" t="s">
        <v>223</v>
      </c>
      <c r="D1" s="20" t="s">
        <v>224</v>
      </c>
      <c r="E1" s="20" t="s">
        <v>225</v>
      </c>
      <c r="F1" s="20" t="s">
        <v>226</v>
      </c>
      <c r="G1" s="20" t="s">
        <v>227</v>
      </c>
      <c r="H1" s="20" t="s">
        <v>228</v>
      </c>
      <c r="I1" s="20" t="s">
        <v>229</v>
      </c>
      <c r="J1" s="20" t="s">
        <v>230</v>
      </c>
      <c r="K1" s="20" t="s">
        <v>231</v>
      </c>
      <c r="L1" s="20" t="s">
        <v>232</v>
      </c>
      <c r="M1" s="20" t="s">
        <v>233</v>
      </c>
      <c r="N1" s="20" t="s">
        <v>234</v>
      </c>
      <c r="O1" s="20" t="s">
        <v>235</v>
      </c>
      <c r="P1" s="20" t="s">
        <v>236</v>
      </c>
      <c r="Q1" s="20" t="s">
        <v>237</v>
      </c>
      <c r="R1" s="20" t="s">
        <v>238</v>
      </c>
      <c r="S1" s="20" t="s">
        <v>239</v>
      </c>
      <c r="T1" s="20" t="s">
        <v>240</v>
      </c>
      <c r="U1" s="20" t="s">
        <v>241</v>
      </c>
      <c r="V1" s="20" t="s">
        <v>242</v>
      </c>
      <c r="W1" s="20" t="s">
        <v>243</v>
      </c>
      <c r="X1" s="20" t="s">
        <v>244</v>
      </c>
      <c r="Y1" s="20" t="s">
        <v>245</v>
      </c>
      <c r="Z1" s="20" t="s">
        <v>360</v>
      </c>
      <c r="AA1" s="20"/>
      <c r="AB1" s="20"/>
      <c r="AC1" s="20"/>
      <c r="AD1" s="20"/>
      <c r="AE1" s="20"/>
    </row>
    <row r="2" spans="1:31" x14ac:dyDescent="0.25">
      <c r="A2" s="21" t="s">
        <v>246</v>
      </c>
      <c r="B2" s="22">
        <v>0.6</v>
      </c>
      <c r="C2" s="21">
        <v>52</v>
      </c>
      <c r="D2" s="22"/>
      <c r="E2" s="21" t="s">
        <v>247</v>
      </c>
      <c r="F2" s="21" t="s">
        <v>248</v>
      </c>
      <c r="G2" s="21">
        <v>20</v>
      </c>
      <c r="H2" s="21">
        <v>31</v>
      </c>
      <c r="I2" s="21">
        <f t="shared" ref="I2:I65" si="0">G2*100/C2</f>
        <v>38.46153846153846</v>
      </c>
      <c r="J2" s="21">
        <f t="shared" ref="J2:J35" si="1">H2*100/C2</f>
        <v>59.615384615384613</v>
      </c>
      <c r="K2" s="21">
        <v>265</v>
      </c>
      <c r="L2" s="21">
        <v>317</v>
      </c>
      <c r="M2" s="21" t="s">
        <v>249</v>
      </c>
      <c r="N2" s="21">
        <f>0.64*B2</f>
        <v>0.38400000000000001</v>
      </c>
      <c r="O2" s="21">
        <f t="shared" ref="O2:O65" si="2">L2/K2</f>
        <v>1.1962264150943396</v>
      </c>
      <c r="P2" s="21">
        <f t="shared" ref="P2:P65" si="3">L2-$AB$5</f>
        <v>28</v>
      </c>
      <c r="Q2" s="20">
        <f t="shared" ref="Q2:Q65" si="4">P2/$AB$4</f>
        <v>0.15909090909090909</v>
      </c>
      <c r="R2" s="20">
        <f>(POWER( 1- (H2-$AB$6)/$AB$8,$AB$10))*$AB$9</f>
        <v>0</v>
      </c>
      <c r="S2" s="30">
        <f t="shared" ref="S2:S65" si="5">T2/O2</f>
        <v>250.40866073989105</v>
      </c>
      <c r="T2" s="31">
        <f t="shared" ref="T2:T65" si="6">$AB$3 + Q2 * $AB$2</f>
        <v>299.54545454545456</v>
      </c>
      <c r="U2" s="20">
        <f t="shared" ref="U2:U65" si="7">VLOOKUP(M2,$AC$2:$AE$6,3,FALSE)*J2</f>
        <v>14.903846153846153</v>
      </c>
      <c r="V2" s="20">
        <f>0.64*0.64*VLOOKUP(M2,$AC$2:$AE$6,2,FALSE)*(1+R2)</f>
        <v>0.40960000000000002</v>
      </c>
      <c r="W2" s="30">
        <f t="shared" ref="W2:W65" si="8">X2/O2</f>
        <v>10.614712933753944</v>
      </c>
      <c r="X2" s="31">
        <f>H2*V2</f>
        <v>12.697600000000001</v>
      </c>
      <c r="Y2" s="20">
        <f t="shared" ref="Y2:Y65" si="9">(X2*0.1)/U2</f>
        <v>8.5196800000000017E-2</v>
      </c>
      <c r="Z2" s="20">
        <f t="shared" ref="Z2:Z22" si="10">1.5/Y2*X2</f>
        <v>223.55769230769226</v>
      </c>
      <c r="AA2" s="24" t="s">
        <v>250</v>
      </c>
      <c r="AB2" s="35">
        <v>60</v>
      </c>
      <c r="AC2" s="24" t="s">
        <v>233</v>
      </c>
      <c r="AD2" s="35" t="s">
        <v>251</v>
      </c>
      <c r="AE2" s="25" t="s">
        <v>252</v>
      </c>
    </row>
    <row r="3" spans="1:31" x14ac:dyDescent="0.25">
      <c r="A3" s="32" t="s">
        <v>253</v>
      </c>
      <c r="B3" s="32">
        <v>2.5</v>
      </c>
      <c r="C3" s="32">
        <v>250</v>
      </c>
      <c r="D3" s="32">
        <v>62.5</v>
      </c>
      <c r="E3" s="32" t="s">
        <v>247</v>
      </c>
      <c r="F3" s="32" t="s">
        <v>248</v>
      </c>
      <c r="G3" s="32">
        <v>74</v>
      </c>
      <c r="H3" s="32">
        <v>91</v>
      </c>
      <c r="I3" s="32">
        <f t="shared" si="0"/>
        <v>29.6</v>
      </c>
      <c r="J3" s="32">
        <f t="shared" si="1"/>
        <v>36.4</v>
      </c>
      <c r="K3" s="32">
        <v>260</v>
      </c>
      <c r="L3" s="32">
        <v>319</v>
      </c>
      <c r="M3" s="32" t="s">
        <v>249</v>
      </c>
      <c r="N3" s="32">
        <f>0.64*B3</f>
        <v>1.6</v>
      </c>
      <c r="O3" s="32">
        <f t="shared" si="2"/>
        <v>1.226923076923077</v>
      </c>
      <c r="P3" s="32">
        <f t="shared" si="3"/>
        <v>30</v>
      </c>
      <c r="Q3" s="32">
        <f t="shared" si="4"/>
        <v>0.17045454545454544</v>
      </c>
      <c r="R3" s="32">
        <f t="shared" ref="R3:R65" si="11">(POWER( 1- (H3-$AB$6)/$AB$8,$AB$10))*$AB$9</f>
        <v>0</v>
      </c>
      <c r="S3" s="30">
        <f t="shared" si="5"/>
        <v>244.69934454260473</v>
      </c>
      <c r="T3" s="31">
        <f t="shared" si="6"/>
        <v>300.22727272727275</v>
      </c>
      <c r="U3" s="32">
        <f t="shared" si="7"/>
        <v>9.1</v>
      </c>
      <c r="V3" s="32">
        <f t="shared" ref="V3:V65" si="12">0.64*0.64*VLOOKUP(M3,$AC$2:$AE$6,2,FALSE)*(1+R3)</f>
        <v>0.40960000000000002</v>
      </c>
      <c r="W3" s="30">
        <f t="shared" si="8"/>
        <v>30.379736677115986</v>
      </c>
      <c r="X3" s="31">
        <f t="shared" ref="X3:X65" si="13">H3*V3</f>
        <v>37.273600000000002</v>
      </c>
      <c r="Y3" s="32">
        <f t="shared" si="9"/>
        <v>0.40960000000000008</v>
      </c>
      <c r="Z3" s="20">
        <f t="shared" si="10"/>
        <v>136.49999999999997</v>
      </c>
      <c r="AA3" s="26" t="s">
        <v>254</v>
      </c>
      <c r="AB3" s="34">
        <v>290</v>
      </c>
      <c r="AC3" s="26" t="s">
        <v>163</v>
      </c>
      <c r="AD3" s="34">
        <v>1.5</v>
      </c>
      <c r="AE3" s="27">
        <v>0.25</v>
      </c>
    </row>
    <row r="4" spans="1:31" x14ac:dyDescent="0.25">
      <c r="A4" s="32" t="s">
        <v>255</v>
      </c>
      <c r="B4" s="32">
        <v>1.09375</v>
      </c>
      <c r="C4" s="32">
        <f>260*0.453592</f>
        <v>117.93392</v>
      </c>
      <c r="D4" s="32"/>
      <c r="E4" s="32" t="s">
        <v>247</v>
      </c>
      <c r="F4" s="32" t="s">
        <v>248</v>
      </c>
      <c r="G4" s="32">
        <v>20</v>
      </c>
      <c r="H4" s="32">
        <v>26.7</v>
      </c>
      <c r="I4" s="32">
        <f t="shared" si="0"/>
        <v>16.958649386029059</v>
      </c>
      <c r="J4" s="32">
        <f t="shared" si="1"/>
        <v>22.63979693034879</v>
      </c>
      <c r="K4" s="32">
        <v>260</v>
      </c>
      <c r="L4" s="32">
        <v>330</v>
      </c>
      <c r="M4" s="32" t="s">
        <v>249</v>
      </c>
      <c r="N4" s="32">
        <f>B4*0.64</f>
        <v>0.70000000000000007</v>
      </c>
      <c r="O4" s="32">
        <f t="shared" si="2"/>
        <v>1.2692307692307692</v>
      </c>
      <c r="P4" s="32">
        <f t="shared" si="3"/>
        <v>41</v>
      </c>
      <c r="Q4" s="32">
        <f t="shared" si="4"/>
        <v>0.23295454545454544</v>
      </c>
      <c r="R4" s="32">
        <f t="shared" si="11"/>
        <v>0</v>
      </c>
      <c r="S4" s="30">
        <f t="shared" si="5"/>
        <v>239.49724517906338</v>
      </c>
      <c r="T4" s="31">
        <f t="shared" si="6"/>
        <v>303.97727272727275</v>
      </c>
      <c r="U4" s="32">
        <f t="shared" si="7"/>
        <v>5.6599492325871976</v>
      </c>
      <c r="V4" s="32">
        <f t="shared" si="12"/>
        <v>0.40960000000000002</v>
      </c>
      <c r="W4" s="30">
        <f t="shared" si="8"/>
        <v>8.6164945454545467</v>
      </c>
      <c r="X4" s="31">
        <f t="shared" si="13"/>
        <v>10.93632</v>
      </c>
      <c r="Y4" s="32">
        <f t="shared" si="9"/>
        <v>0.19322293452800005</v>
      </c>
      <c r="Z4" s="20">
        <f t="shared" si="10"/>
        <v>84.899238488807953</v>
      </c>
      <c r="AA4" s="26" t="s">
        <v>256</v>
      </c>
      <c r="AB4" s="34">
        <v>176</v>
      </c>
      <c r="AC4" s="26" t="s">
        <v>257</v>
      </c>
      <c r="AD4" s="34">
        <v>1</v>
      </c>
      <c r="AE4" s="27">
        <v>0.25</v>
      </c>
    </row>
    <row r="5" spans="1:31" ht="15.75" thickBot="1" x14ac:dyDescent="0.3">
      <c r="A5" s="21" t="s">
        <v>258</v>
      </c>
      <c r="B5" s="21">
        <v>1</v>
      </c>
      <c r="C5" s="21">
        <v>165</v>
      </c>
      <c r="D5" s="21">
        <v>83.1</v>
      </c>
      <c r="E5" s="21" t="s">
        <v>259</v>
      </c>
      <c r="F5" s="21" t="s">
        <v>260</v>
      </c>
      <c r="G5" s="22">
        <f>H5/O5</f>
        <v>45.040358744394617</v>
      </c>
      <c r="H5" s="21">
        <v>64.8</v>
      </c>
      <c r="I5" s="21">
        <f t="shared" si="0"/>
        <v>27.297187117814918</v>
      </c>
      <c r="J5" s="21">
        <f t="shared" si="1"/>
        <v>39.272727272727273</v>
      </c>
      <c r="K5" s="21">
        <v>310</v>
      </c>
      <c r="L5" s="21">
        <v>446</v>
      </c>
      <c r="M5" s="21" t="s">
        <v>163</v>
      </c>
      <c r="N5" s="21">
        <f>0.64*B5</f>
        <v>0.64</v>
      </c>
      <c r="O5" s="21">
        <f t="shared" si="2"/>
        <v>1.4387096774193548</v>
      </c>
      <c r="P5" s="21">
        <f t="shared" si="3"/>
        <v>157</v>
      </c>
      <c r="Q5" s="20">
        <f t="shared" si="4"/>
        <v>0.89204545454545459</v>
      </c>
      <c r="R5" s="20">
        <f t="shared" si="11"/>
        <v>0</v>
      </c>
      <c r="S5" s="30">
        <f t="shared" si="5"/>
        <v>238.77140236445169</v>
      </c>
      <c r="T5" s="31">
        <f t="shared" si="6"/>
        <v>343.52272727272725</v>
      </c>
      <c r="U5" s="20">
        <f t="shared" si="7"/>
        <v>9.8181818181818183</v>
      </c>
      <c r="V5" s="20">
        <f t="shared" si="12"/>
        <v>0.61440000000000006</v>
      </c>
      <c r="W5" s="30">
        <f t="shared" si="8"/>
        <v>27.672796412556057</v>
      </c>
      <c r="X5" s="31">
        <f t="shared" si="13"/>
        <v>39.813120000000005</v>
      </c>
      <c r="Y5" s="20">
        <f t="shared" si="9"/>
        <v>0.40550400000000009</v>
      </c>
      <c r="Z5" s="20">
        <f t="shared" si="10"/>
        <v>147.27272727272725</v>
      </c>
      <c r="AA5" s="26" t="s">
        <v>261</v>
      </c>
      <c r="AB5" s="34">
        <v>289</v>
      </c>
      <c r="AC5" s="26" t="s">
        <v>262</v>
      </c>
      <c r="AD5" s="34">
        <v>1</v>
      </c>
      <c r="AE5" s="27">
        <v>0.25</v>
      </c>
    </row>
    <row r="6" spans="1:31" ht="15.75" thickBot="1" x14ac:dyDescent="0.3">
      <c r="A6" s="32" t="s">
        <v>263</v>
      </c>
      <c r="B6" s="32">
        <f>(38.67/12)/3.048</f>
        <v>1.0572506561679791</v>
      </c>
      <c r="C6" s="32">
        <v>131</v>
      </c>
      <c r="D6" s="32">
        <v>64</v>
      </c>
      <c r="E6" s="32" t="s">
        <v>264</v>
      </c>
      <c r="F6" s="32" t="s">
        <v>260</v>
      </c>
      <c r="G6" s="32">
        <v>35</v>
      </c>
      <c r="H6" s="32">
        <v>66</v>
      </c>
      <c r="I6" s="32">
        <f t="shared" si="0"/>
        <v>26.717557251908396</v>
      </c>
      <c r="J6" s="32">
        <f t="shared" si="1"/>
        <v>50.381679389312978</v>
      </c>
      <c r="K6" s="32">
        <v>255</v>
      </c>
      <c r="L6" s="32">
        <v>450</v>
      </c>
      <c r="M6" s="32" t="s">
        <v>163</v>
      </c>
      <c r="N6" s="32">
        <v>0.67500000000000004</v>
      </c>
      <c r="O6" s="32">
        <f t="shared" si="2"/>
        <v>1.7647058823529411</v>
      </c>
      <c r="P6" s="32">
        <f t="shared" si="3"/>
        <v>161</v>
      </c>
      <c r="Q6" s="32">
        <f t="shared" si="4"/>
        <v>0.91477272727272729</v>
      </c>
      <c r="R6" s="32">
        <f t="shared" si="11"/>
        <v>0</v>
      </c>
      <c r="S6" s="30">
        <f t="shared" si="5"/>
        <v>195.43560606060606</v>
      </c>
      <c r="T6" s="31">
        <f t="shared" si="6"/>
        <v>344.88636363636363</v>
      </c>
      <c r="U6" s="32">
        <f t="shared" si="7"/>
        <v>12.595419847328245</v>
      </c>
      <c r="V6" s="32">
        <f t="shared" si="12"/>
        <v>0.61440000000000006</v>
      </c>
      <c r="W6" s="30">
        <f t="shared" si="8"/>
        <v>22.978560000000002</v>
      </c>
      <c r="X6" s="31">
        <f t="shared" si="13"/>
        <v>40.550400000000003</v>
      </c>
      <c r="Y6" s="32">
        <f t="shared" si="9"/>
        <v>0.32194560000000005</v>
      </c>
      <c r="Z6" s="20">
        <f t="shared" si="10"/>
        <v>188.93129770992363</v>
      </c>
      <c r="AA6" s="24" t="s">
        <v>265</v>
      </c>
      <c r="AB6" s="25">
        <f>MIN(H2:H65)</f>
        <v>26.7</v>
      </c>
      <c r="AC6" s="36" t="s">
        <v>249</v>
      </c>
      <c r="AD6" s="36">
        <v>1</v>
      </c>
      <c r="AE6" s="29">
        <v>0.25</v>
      </c>
    </row>
    <row r="7" spans="1:31" x14ac:dyDescent="0.25">
      <c r="A7" s="32" t="s">
        <v>266</v>
      </c>
      <c r="B7" s="32">
        <v>1.25</v>
      </c>
      <c r="C7" s="32">
        <v>168</v>
      </c>
      <c r="D7" s="32">
        <v>84</v>
      </c>
      <c r="E7" s="32" t="s">
        <v>264</v>
      </c>
      <c r="F7" s="32" t="s">
        <v>260</v>
      </c>
      <c r="G7" s="32">
        <v>50</v>
      </c>
      <c r="H7" s="32">
        <v>90</v>
      </c>
      <c r="I7" s="32">
        <f t="shared" si="0"/>
        <v>29.761904761904763</v>
      </c>
      <c r="J7" s="32">
        <f t="shared" si="1"/>
        <v>53.571428571428569</v>
      </c>
      <c r="K7" s="32">
        <v>255</v>
      </c>
      <c r="L7" s="32">
        <v>457</v>
      </c>
      <c r="M7" s="32" t="s">
        <v>163</v>
      </c>
      <c r="N7" s="32">
        <f>B7*0.64</f>
        <v>0.8</v>
      </c>
      <c r="O7" s="32">
        <f t="shared" si="2"/>
        <v>1.7921568627450981</v>
      </c>
      <c r="P7" s="32">
        <f t="shared" si="3"/>
        <v>168</v>
      </c>
      <c r="Q7" s="32">
        <f t="shared" si="4"/>
        <v>0.95454545454545459</v>
      </c>
      <c r="R7" s="32">
        <f t="shared" si="11"/>
        <v>0</v>
      </c>
      <c r="S7" s="30">
        <f t="shared" si="5"/>
        <v>193.7736224388303</v>
      </c>
      <c r="T7" s="31">
        <f t="shared" si="6"/>
        <v>347.27272727272725</v>
      </c>
      <c r="U7" s="32">
        <f t="shared" si="7"/>
        <v>13.392857142857142</v>
      </c>
      <c r="V7" s="32">
        <f t="shared" si="12"/>
        <v>0.61440000000000006</v>
      </c>
      <c r="W7" s="30">
        <f t="shared" si="8"/>
        <v>30.854442013129106</v>
      </c>
      <c r="X7" s="31">
        <f t="shared" si="13"/>
        <v>55.296000000000006</v>
      </c>
      <c r="Y7" s="32">
        <f t="shared" si="9"/>
        <v>0.4128768000000001</v>
      </c>
      <c r="Z7" s="20">
        <f t="shared" si="10"/>
        <v>200.89285714285714</v>
      </c>
      <c r="AA7" s="26" t="s">
        <v>267</v>
      </c>
      <c r="AB7" s="27">
        <f>MAX(H2:H65)</f>
        <v>10230</v>
      </c>
      <c r="AC7" s="20"/>
      <c r="AD7" s="20"/>
      <c r="AE7" s="20"/>
    </row>
    <row r="8" spans="1:31" x14ac:dyDescent="0.25">
      <c r="A8" s="21" t="s">
        <v>268</v>
      </c>
      <c r="B8" s="21">
        <v>0.71</v>
      </c>
      <c r="C8" s="21">
        <v>242</v>
      </c>
      <c r="D8" s="21"/>
      <c r="E8" s="21" t="s">
        <v>264</v>
      </c>
      <c r="F8" s="21" t="s">
        <v>260</v>
      </c>
      <c r="G8" s="21"/>
      <c r="H8" s="21">
        <v>98</v>
      </c>
      <c r="I8" s="21">
        <f t="shared" si="0"/>
        <v>0</v>
      </c>
      <c r="J8" s="21">
        <f t="shared" si="1"/>
        <v>40.495867768595041</v>
      </c>
      <c r="K8" s="22">
        <v>350</v>
      </c>
      <c r="L8" s="21">
        <v>463</v>
      </c>
      <c r="M8" s="21" t="s">
        <v>163</v>
      </c>
      <c r="N8" s="21">
        <f>0.64*B8</f>
        <v>0.45439999999999997</v>
      </c>
      <c r="O8" s="21">
        <f t="shared" si="2"/>
        <v>1.322857142857143</v>
      </c>
      <c r="P8" s="21">
        <f t="shared" si="3"/>
        <v>174</v>
      </c>
      <c r="Q8" s="20">
        <f t="shared" si="4"/>
        <v>0.98863636363636365</v>
      </c>
      <c r="R8" s="20">
        <f t="shared" si="11"/>
        <v>0</v>
      </c>
      <c r="S8" s="30">
        <f t="shared" si="5"/>
        <v>264.06342038091498</v>
      </c>
      <c r="T8" s="31">
        <f t="shared" si="6"/>
        <v>349.31818181818181</v>
      </c>
      <c r="U8" s="20">
        <f t="shared" si="7"/>
        <v>10.12396694214876</v>
      </c>
      <c r="V8" s="20">
        <f t="shared" si="12"/>
        <v>0.61440000000000006</v>
      </c>
      <c r="W8" s="30">
        <f t="shared" si="8"/>
        <v>45.516025917926569</v>
      </c>
      <c r="X8" s="31">
        <f t="shared" si="13"/>
        <v>60.211200000000005</v>
      </c>
      <c r="Y8" s="20">
        <f t="shared" si="9"/>
        <v>0.59473920000000013</v>
      </c>
      <c r="Z8" s="20">
        <f t="shared" si="10"/>
        <v>151.85950413223139</v>
      </c>
      <c r="AA8" s="26" t="s">
        <v>269</v>
      </c>
      <c r="AB8" s="27">
        <f>AB7-AB6</f>
        <v>10203.299999999999</v>
      </c>
      <c r="AC8" s="20"/>
      <c r="AD8" s="20"/>
      <c r="AE8" s="20"/>
    </row>
    <row r="9" spans="1:31" x14ac:dyDescent="0.25">
      <c r="A9" s="32" t="s">
        <v>270</v>
      </c>
      <c r="B9" s="32">
        <v>2.13</v>
      </c>
      <c r="C9" s="32">
        <v>277</v>
      </c>
      <c r="D9" s="32">
        <v>280</v>
      </c>
      <c r="E9" s="32" t="s">
        <v>264</v>
      </c>
      <c r="F9" s="32" t="s">
        <v>260</v>
      </c>
      <c r="G9" s="32">
        <v>60</v>
      </c>
      <c r="H9" s="32">
        <v>110</v>
      </c>
      <c r="I9" s="32">
        <f t="shared" si="0"/>
        <v>21.660649819494584</v>
      </c>
      <c r="J9" s="32">
        <f t="shared" si="1"/>
        <v>39.711191335740075</v>
      </c>
      <c r="K9" s="32">
        <v>255</v>
      </c>
      <c r="L9" s="32">
        <v>465</v>
      </c>
      <c r="M9" s="32" t="s">
        <v>163</v>
      </c>
      <c r="N9" s="32">
        <v>1.36</v>
      </c>
      <c r="O9" s="32">
        <f t="shared" si="2"/>
        <v>1.8235294117647058</v>
      </c>
      <c r="P9" s="32">
        <f t="shared" si="3"/>
        <v>176</v>
      </c>
      <c r="Q9" s="32">
        <f t="shared" si="4"/>
        <v>1</v>
      </c>
      <c r="R9" s="32">
        <f t="shared" si="11"/>
        <v>0</v>
      </c>
      <c r="S9" s="32">
        <f t="shared" si="5"/>
        <v>191.93548387096774</v>
      </c>
      <c r="T9" s="32">
        <f t="shared" si="6"/>
        <v>350</v>
      </c>
      <c r="U9" s="32">
        <f t="shared" si="7"/>
        <v>9.9277978339350188</v>
      </c>
      <c r="V9" s="32">
        <f t="shared" si="12"/>
        <v>0.61440000000000006</v>
      </c>
      <c r="W9" s="32">
        <f t="shared" si="8"/>
        <v>37.0621935483871</v>
      </c>
      <c r="X9" s="32">
        <f t="shared" si="13"/>
        <v>67.584000000000003</v>
      </c>
      <c r="Y9" s="32">
        <f t="shared" si="9"/>
        <v>0.6807552</v>
      </c>
      <c r="Z9" s="20">
        <f t="shared" si="10"/>
        <v>148.91696750902528</v>
      </c>
      <c r="AA9" s="26" t="s">
        <v>271</v>
      </c>
      <c r="AB9" s="27">
        <v>0</v>
      </c>
      <c r="AC9" s="20"/>
      <c r="AD9" s="20"/>
      <c r="AE9" s="20"/>
    </row>
    <row r="10" spans="1:31" ht="15.75" thickBot="1" x14ac:dyDescent="0.3">
      <c r="A10" s="21" t="s">
        <v>272</v>
      </c>
      <c r="B10" s="21">
        <v>2.13</v>
      </c>
      <c r="C10" s="21">
        <v>500</v>
      </c>
      <c r="D10" s="22">
        <v>285</v>
      </c>
      <c r="E10" s="21" t="s">
        <v>264</v>
      </c>
      <c r="F10" s="21" t="s">
        <v>260</v>
      </c>
      <c r="G10" s="22">
        <f>H10/O10</f>
        <v>217.52688172043011</v>
      </c>
      <c r="H10" s="21">
        <v>289</v>
      </c>
      <c r="I10" s="21">
        <f t="shared" si="0"/>
        <v>43.505376344086024</v>
      </c>
      <c r="J10" s="21">
        <f t="shared" si="1"/>
        <v>57.8</v>
      </c>
      <c r="K10" s="22">
        <v>350</v>
      </c>
      <c r="L10" s="21">
        <v>465</v>
      </c>
      <c r="M10" s="21" t="s">
        <v>163</v>
      </c>
      <c r="N10" s="21">
        <f>0.64*B10</f>
        <v>1.3632</v>
      </c>
      <c r="O10" s="21">
        <f t="shared" si="2"/>
        <v>1.3285714285714285</v>
      </c>
      <c r="P10" s="21">
        <f t="shared" si="3"/>
        <v>176</v>
      </c>
      <c r="Q10" s="20">
        <f t="shared" si="4"/>
        <v>1</v>
      </c>
      <c r="R10" s="20">
        <f t="shared" si="11"/>
        <v>0</v>
      </c>
      <c r="S10" s="30">
        <f t="shared" si="5"/>
        <v>263.44086021505376</v>
      </c>
      <c r="T10" s="31">
        <f t="shared" si="6"/>
        <v>350</v>
      </c>
      <c r="U10" s="20">
        <f t="shared" si="7"/>
        <v>14.45</v>
      </c>
      <c r="V10" s="20">
        <f t="shared" si="12"/>
        <v>0.61440000000000006</v>
      </c>
      <c r="W10" s="30">
        <f t="shared" si="8"/>
        <v>133.64851612903229</v>
      </c>
      <c r="X10" s="31">
        <f t="shared" si="13"/>
        <v>177.56160000000003</v>
      </c>
      <c r="Y10" s="20">
        <f t="shared" si="9"/>
        <v>1.2288000000000003</v>
      </c>
      <c r="Z10" s="20">
        <f t="shared" si="10"/>
        <v>216.74999999999994</v>
      </c>
      <c r="AA10" s="28" t="s">
        <v>273</v>
      </c>
      <c r="AB10" s="29">
        <v>1</v>
      </c>
      <c r="AC10" s="20"/>
      <c r="AD10" s="20"/>
      <c r="AE10" s="20"/>
    </row>
    <row r="11" spans="1:31" s="20" customFormat="1" x14ac:dyDescent="0.25">
      <c r="A11" s="21" t="s">
        <v>357</v>
      </c>
      <c r="B11" s="21">
        <v>2.2400000000000002</v>
      </c>
      <c r="C11" s="21">
        <v>408.5</v>
      </c>
      <c r="D11" s="21">
        <v>82.2</v>
      </c>
      <c r="E11" s="21" t="s">
        <v>259</v>
      </c>
      <c r="F11" s="21" t="s">
        <v>260</v>
      </c>
      <c r="G11" s="22">
        <v>207.86830357142856</v>
      </c>
      <c r="H11" s="21">
        <v>298</v>
      </c>
      <c r="I11" s="21">
        <f t="shared" ref="I11:I12" si="14">G11*100/C11</f>
        <v>50.88575362825668</v>
      </c>
      <c r="J11" s="21">
        <f t="shared" ref="J11:J12" si="15">H11*100/C11</f>
        <v>72.949816401468794</v>
      </c>
      <c r="K11" s="22">
        <v>280</v>
      </c>
      <c r="L11" s="21">
        <v>326</v>
      </c>
      <c r="M11" s="21" t="s">
        <v>257</v>
      </c>
      <c r="N11" s="21">
        <f t="shared" ref="N11:N12" si="16">0.64*B11</f>
        <v>1.4336000000000002</v>
      </c>
      <c r="O11" s="21">
        <f t="shared" ref="O11:O12" si="17">L11/K11</f>
        <v>1.1642857142857144</v>
      </c>
      <c r="P11" s="21">
        <f t="shared" ref="P11:P12" si="18">L11-$AB$5</f>
        <v>37</v>
      </c>
      <c r="Q11" s="20">
        <f t="shared" ref="Q11:Q12" si="19">P11/$AB$4</f>
        <v>0.21022727272727273</v>
      </c>
      <c r="R11" s="20">
        <f t="shared" ref="R11:R12" si="20">(POWER( 1- (H11-$AB$6)/$AB$8,$AB$10))*$AB$9</f>
        <v>0</v>
      </c>
      <c r="S11" s="30">
        <f t="shared" ref="S11:S12" si="21">T11/O11</f>
        <v>259.91355270496376</v>
      </c>
      <c r="T11" s="31">
        <f t="shared" ref="T11:T12" si="22">$AB$3 + Q11 * $AB$2</f>
        <v>302.61363636363637</v>
      </c>
      <c r="U11" s="20">
        <f t="shared" ref="U11:U12" si="23">VLOOKUP(M11,$AC$2:$AE$6,3,FALSE)*J11</f>
        <v>18.237454100367199</v>
      </c>
      <c r="V11" s="20">
        <f t="shared" ref="V11:V12" si="24">0.64*0.64*VLOOKUP(M11,$AC$2:$AE$6,2,FALSE)*(1+R11)</f>
        <v>0.40960000000000002</v>
      </c>
      <c r="W11" s="30">
        <f t="shared" ref="W11:W12" si="25">X11/O11</f>
        <v>104.83749693251534</v>
      </c>
      <c r="X11" s="31">
        <f t="shared" ref="X11:X12" si="26">H11*V11</f>
        <v>122.0608</v>
      </c>
      <c r="Y11" s="20">
        <f t="shared" ref="Y11:Y12" si="27">(X11*0.1)/U11</f>
        <v>0.66928639999999995</v>
      </c>
      <c r="Z11" s="20">
        <f t="shared" si="10"/>
        <v>273.56181150550793</v>
      </c>
      <c r="AA11" s="1"/>
      <c r="AB11" s="1"/>
    </row>
    <row r="12" spans="1:31" s="20" customFormat="1" x14ac:dyDescent="0.25">
      <c r="A12" s="21" t="s">
        <v>358</v>
      </c>
      <c r="B12" s="21">
        <v>2.4</v>
      </c>
      <c r="C12" s="21">
        <v>572</v>
      </c>
      <c r="D12" s="22"/>
      <c r="E12" s="21" t="s">
        <v>359</v>
      </c>
      <c r="F12" s="21" t="s">
        <v>260</v>
      </c>
      <c r="G12" s="22">
        <v>191.40625</v>
      </c>
      <c r="H12" s="21">
        <v>294</v>
      </c>
      <c r="I12" s="21">
        <f t="shared" si="14"/>
        <v>33.46263111888112</v>
      </c>
      <c r="J12" s="21">
        <f t="shared" si="15"/>
        <v>51.3986013986014</v>
      </c>
      <c r="K12" s="22">
        <v>320</v>
      </c>
      <c r="L12" s="21">
        <v>359</v>
      </c>
      <c r="M12" s="21" t="s">
        <v>257</v>
      </c>
      <c r="N12" s="21">
        <f t="shared" si="16"/>
        <v>1.536</v>
      </c>
      <c r="O12" s="21">
        <f t="shared" si="17"/>
        <v>1.121875</v>
      </c>
      <c r="P12" s="21">
        <f t="shared" si="18"/>
        <v>70</v>
      </c>
      <c r="Q12" s="20">
        <f t="shared" si="19"/>
        <v>0.39772727272727271</v>
      </c>
      <c r="R12" s="20">
        <f t="shared" si="20"/>
        <v>0</v>
      </c>
      <c r="S12" s="30">
        <f t="shared" si="21"/>
        <v>279.76702962775386</v>
      </c>
      <c r="T12" s="31">
        <f t="shared" si="22"/>
        <v>313.86363636363637</v>
      </c>
      <c r="U12" s="20">
        <f t="shared" si="23"/>
        <v>12.84965034965035</v>
      </c>
      <c r="V12" s="20">
        <f t="shared" si="24"/>
        <v>0.40960000000000002</v>
      </c>
      <c r="W12" s="30">
        <f t="shared" si="25"/>
        <v>107.3403008356546</v>
      </c>
      <c r="X12" s="31">
        <f t="shared" si="26"/>
        <v>120.42240000000001</v>
      </c>
      <c r="Y12" s="20">
        <f t="shared" si="27"/>
        <v>0.93716480000000013</v>
      </c>
      <c r="Z12" s="20">
        <f t="shared" si="10"/>
        <v>192.74475524475525</v>
      </c>
      <c r="AA12" s="1"/>
      <c r="AB12" s="1"/>
    </row>
    <row r="13" spans="1:31" x14ac:dyDescent="0.25">
      <c r="A13" s="37" t="s">
        <v>274</v>
      </c>
      <c r="B13" s="22">
        <v>1.125</v>
      </c>
      <c r="C13" s="22">
        <v>400</v>
      </c>
      <c r="D13" s="22">
        <v>14</v>
      </c>
      <c r="E13" s="37" t="s">
        <v>259</v>
      </c>
      <c r="F13" s="37" t="s">
        <v>275</v>
      </c>
      <c r="G13" s="22">
        <v>360</v>
      </c>
      <c r="H13" s="22">
        <v>400</v>
      </c>
      <c r="I13" s="37">
        <f t="shared" si="0"/>
        <v>90</v>
      </c>
      <c r="J13" s="37">
        <f t="shared" si="1"/>
        <v>100</v>
      </c>
      <c r="K13" s="22">
        <v>270</v>
      </c>
      <c r="L13" s="22">
        <v>300</v>
      </c>
      <c r="M13" s="37" t="s">
        <v>257</v>
      </c>
      <c r="N13" s="37">
        <v>0.72</v>
      </c>
      <c r="O13" s="37">
        <f t="shared" si="2"/>
        <v>1.1111111111111112</v>
      </c>
      <c r="P13" s="37">
        <f t="shared" si="3"/>
        <v>11</v>
      </c>
      <c r="Q13" s="37">
        <f t="shared" si="4"/>
        <v>6.25E-2</v>
      </c>
      <c r="R13" s="37">
        <f t="shared" si="11"/>
        <v>0</v>
      </c>
      <c r="S13" s="37">
        <f t="shared" si="5"/>
        <v>264.375</v>
      </c>
      <c r="T13" s="37">
        <f t="shared" si="6"/>
        <v>293.75</v>
      </c>
      <c r="U13" s="37">
        <f t="shared" si="7"/>
        <v>25</v>
      </c>
      <c r="V13" s="37">
        <f t="shared" si="12"/>
        <v>0.40960000000000002</v>
      </c>
      <c r="W13" s="37">
        <f t="shared" si="8"/>
        <v>147.45599999999999</v>
      </c>
      <c r="X13" s="37">
        <f t="shared" si="13"/>
        <v>163.84</v>
      </c>
      <c r="Y13" s="37">
        <f t="shared" si="9"/>
        <v>0.65536000000000005</v>
      </c>
      <c r="Z13" s="20">
        <f t="shared" si="10"/>
        <v>375</v>
      </c>
      <c r="AA13" s="20"/>
      <c r="AB13" s="20"/>
      <c r="AC13" s="20"/>
      <c r="AD13" s="20"/>
      <c r="AE13" s="20"/>
    </row>
    <row r="14" spans="1:31" x14ac:dyDescent="0.25">
      <c r="A14" s="21" t="s">
        <v>276</v>
      </c>
      <c r="B14" s="22">
        <v>1.65</v>
      </c>
      <c r="C14" s="22">
        <v>450</v>
      </c>
      <c r="D14" s="21">
        <v>18</v>
      </c>
      <c r="E14" s="21" t="s">
        <v>259</v>
      </c>
      <c r="F14" s="21" t="s">
        <v>260</v>
      </c>
      <c r="G14" s="22">
        <v>400</v>
      </c>
      <c r="H14" s="22">
        <v>450</v>
      </c>
      <c r="I14" s="21">
        <f t="shared" si="0"/>
        <v>88.888888888888886</v>
      </c>
      <c r="J14" s="21">
        <f t="shared" si="1"/>
        <v>100</v>
      </c>
      <c r="K14" s="22">
        <v>265</v>
      </c>
      <c r="L14" s="22">
        <v>335</v>
      </c>
      <c r="M14" s="23" t="s">
        <v>257</v>
      </c>
      <c r="N14" s="21">
        <f>0.64*B14</f>
        <v>1.056</v>
      </c>
      <c r="O14" s="21">
        <f t="shared" si="2"/>
        <v>1.2641509433962264</v>
      </c>
      <c r="P14" s="21">
        <f t="shared" si="3"/>
        <v>46</v>
      </c>
      <c r="Q14" s="20">
        <f t="shared" si="4"/>
        <v>0.26136363636363635</v>
      </c>
      <c r="R14" s="20">
        <f t="shared" si="11"/>
        <v>0</v>
      </c>
      <c r="S14" s="30">
        <f t="shared" si="5"/>
        <v>241.80800542740843</v>
      </c>
      <c r="T14" s="31">
        <f t="shared" si="6"/>
        <v>305.68181818181819</v>
      </c>
      <c r="U14" s="20">
        <f t="shared" si="7"/>
        <v>25</v>
      </c>
      <c r="V14" s="20">
        <f t="shared" si="12"/>
        <v>0.40960000000000002</v>
      </c>
      <c r="W14" s="30">
        <f t="shared" si="8"/>
        <v>145.80537313432839</v>
      </c>
      <c r="X14" s="31">
        <f t="shared" si="13"/>
        <v>184.32000000000002</v>
      </c>
      <c r="Y14" s="20">
        <f t="shared" si="9"/>
        <v>0.73728000000000005</v>
      </c>
      <c r="Z14" s="20">
        <f t="shared" si="10"/>
        <v>375</v>
      </c>
      <c r="AA14" s="20"/>
      <c r="AB14" s="20"/>
      <c r="AC14" s="20"/>
      <c r="AD14" s="20"/>
      <c r="AE14" s="20"/>
    </row>
    <row r="15" spans="1:31" x14ac:dyDescent="0.25">
      <c r="A15" s="21" t="s">
        <v>277</v>
      </c>
      <c r="B15" s="22">
        <v>1.25</v>
      </c>
      <c r="C15" s="22">
        <v>480</v>
      </c>
      <c r="D15" s="21">
        <v>14.5</v>
      </c>
      <c r="E15" s="21" t="s">
        <v>259</v>
      </c>
      <c r="F15" s="21" t="s">
        <v>275</v>
      </c>
      <c r="G15" s="22">
        <v>420</v>
      </c>
      <c r="H15" s="22">
        <v>480</v>
      </c>
      <c r="I15" s="21">
        <f t="shared" si="0"/>
        <v>87.5</v>
      </c>
      <c r="J15" s="21">
        <f t="shared" si="1"/>
        <v>100</v>
      </c>
      <c r="K15" s="22">
        <v>266</v>
      </c>
      <c r="L15" s="22">
        <v>305</v>
      </c>
      <c r="M15" s="23" t="s">
        <v>257</v>
      </c>
      <c r="N15" s="21">
        <v>0.8</v>
      </c>
      <c r="O15" s="21">
        <f t="shared" si="2"/>
        <v>1.1466165413533835</v>
      </c>
      <c r="P15" s="21">
        <f t="shared" si="3"/>
        <v>16</v>
      </c>
      <c r="Q15" s="20">
        <f t="shared" si="4"/>
        <v>9.0909090909090912E-2</v>
      </c>
      <c r="R15" s="20">
        <f t="shared" si="11"/>
        <v>0</v>
      </c>
      <c r="S15" s="30">
        <f t="shared" si="5"/>
        <v>257.67511177347239</v>
      </c>
      <c r="T15" s="31">
        <f t="shared" si="6"/>
        <v>295.45454545454544</v>
      </c>
      <c r="U15" s="20">
        <f t="shared" si="7"/>
        <v>25</v>
      </c>
      <c r="V15" s="20">
        <f t="shared" si="12"/>
        <v>0.40960000000000002</v>
      </c>
      <c r="W15" s="30">
        <f t="shared" si="8"/>
        <v>171.4679606557377</v>
      </c>
      <c r="X15" s="31">
        <f t="shared" si="13"/>
        <v>196.608</v>
      </c>
      <c r="Y15" s="20">
        <f t="shared" si="9"/>
        <v>0.78643200000000002</v>
      </c>
      <c r="Z15" s="20">
        <f t="shared" si="10"/>
        <v>375</v>
      </c>
      <c r="AA15" s="20"/>
      <c r="AB15" s="20"/>
      <c r="AC15" s="20"/>
      <c r="AD15" s="20"/>
      <c r="AE15" s="20"/>
    </row>
    <row r="16" spans="1:31" x14ac:dyDescent="0.25">
      <c r="A16" s="21" t="s">
        <v>278</v>
      </c>
      <c r="B16" s="22">
        <v>1.875</v>
      </c>
      <c r="C16" s="22">
        <v>520</v>
      </c>
      <c r="D16" s="21">
        <v>20</v>
      </c>
      <c r="E16" s="21" t="s">
        <v>259</v>
      </c>
      <c r="F16" s="21" t="s">
        <v>260</v>
      </c>
      <c r="G16" s="22">
        <v>440</v>
      </c>
      <c r="H16" s="22">
        <v>520</v>
      </c>
      <c r="I16" s="21">
        <f t="shared" si="0"/>
        <v>84.615384615384613</v>
      </c>
      <c r="J16" s="21">
        <f t="shared" si="1"/>
        <v>100</v>
      </c>
      <c r="K16" s="22">
        <v>275</v>
      </c>
      <c r="L16" s="22">
        <v>336</v>
      </c>
      <c r="M16" s="21" t="s">
        <v>257</v>
      </c>
      <c r="N16" s="21">
        <f>0.64*B16</f>
        <v>1.2</v>
      </c>
      <c r="O16" s="21">
        <f t="shared" si="2"/>
        <v>1.2218181818181819</v>
      </c>
      <c r="P16" s="21">
        <f t="shared" si="3"/>
        <v>47</v>
      </c>
      <c r="Q16" s="20">
        <f t="shared" si="4"/>
        <v>0.26704545454545453</v>
      </c>
      <c r="R16" s="20">
        <f t="shared" si="11"/>
        <v>0</v>
      </c>
      <c r="S16" s="30">
        <f t="shared" si="5"/>
        <v>250.46502976190473</v>
      </c>
      <c r="T16" s="31">
        <f t="shared" si="6"/>
        <v>306.02272727272725</v>
      </c>
      <c r="U16" s="20">
        <f t="shared" si="7"/>
        <v>25</v>
      </c>
      <c r="V16" s="20">
        <f t="shared" si="12"/>
        <v>0.40960000000000002</v>
      </c>
      <c r="W16" s="30">
        <f t="shared" si="8"/>
        <v>174.32380952380953</v>
      </c>
      <c r="X16" s="31">
        <f t="shared" si="13"/>
        <v>212.99200000000002</v>
      </c>
      <c r="Y16" s="20">
        <f t="shared" si="9"/>
        <v>0.85196800000000006</v>
      </c>
      <c r="Z16" s="20">
        <f t="shared" si="10"/>
        <v>375</v>
      </c>
      <c r="AA16" s="20"/>
      <c r="AB16" s="20"/>
      <c r="AC16" s="20"/>
      <c r="AD16" s="20"/>
      <c r="AE16" s="20"/>
    </row>
    <row r="17" spans="1:31" x14ac:dyDescent="0.25">
      <c r="A17" s="21" t="s">
        <v>279</v>
      </c>
      <c r="B17" s="22">
        <v>2.25</v>
      </c>
      <c r="C17" s="22">
        <v>470</v>
      </c>
      <c r="D17" s="21">
        <v>16</v>
      </c>
      <c r="E17" s="21" t="s">
        <v>259</v>
      </c>
      <c r="F17" s="21" t="s">
        <v>275</v>
      </c>
      <c r="G17" s="22">
        <v>655</v>
      </c>
      <c r="H17" s="22">
        <v>723</v>
      </c>
      <c r="I17" s="21">
        <f t="shared" si="0"/>
        <v>139.36170212765958</v>
      </c>
      <c r="J17" s="21">
        <f t="shared" si="1"/>
        <v>153.82978723404256</v>
      </c>
      <c r="K17" s="22">
        <v>282</v>
      </c>
      <c r="L17" s="22">
        <v>311</v>
      </c>
      <c r="M17" s="21" t="s">
        <v>257</v>
      </c>
      <c r="N17" s="21">
        <f>0.64*B17</f>
        <v>1.44</v>
      </c>
      <c r="O17" s="21">
        <f t="shared" si="2"/>
        <v>1.1028368794326242</v>
      </c>
      <c r="P17" s="21">
        <f t="shared" si="3"/>
        <v>22</v>
      </c>
      <c r="Q17" s="20">
        <f t="shared" si="4"/>
        <v>0.125</v>
      </c>
      <c r="R17" s="20">
        <f t="shared" si="11"/>
        <v>0</v>
      </c>
      <c r="S17" s="30">
        <f t="shared" si="5"/>
        <v>269.75884244372986</v>
      </c>
      <c r="T17" s="31">
        <f t="shared" si="6"/>
        <v>297.5</v>
      </c>
      <c r="U17" s="20">
        <f t="shared" si="7"/>
        <v>38.457446808510639</v>
      </c>
      <c r="V17" s="20">
        <f t="shared" si="12"/>
        <v>0.40960000000000002</v>
      </c>
      <c r="W17" s="30">
        <f t="shared" si="8"/>
        <v>268.52638456591637</v>
      </c>
      <c r="X17" s="31">
        <f>H17*V17</f>
        <v>296.14080000000001</v>
      </c>
      <c r="Y17" s="20">
        <f t="shared" si="9"/>
        <v>0.77004800000000007</v>
      </c>
      <c r="Z17" s="20">
        <f t="shared" si="10"/>
        <v>576.86170212765956</v>
      </c>
      <c r="AA17" s="20"/>
      <c r="AB17" s="20"/>
      <c r="AC17" s="20"/>
      <c r="AD17" s="20"/>
      <c r="AE17" s="20"/>
    </row>
    <row r="18" spans="1:31" x14ac:dyDescent="0.25">
      <c r="A18" s="21" t="s">
        <v>280</v>
      </c>
      <c r="B18" s="21">
        <v>1</v>
      </c>
      <c r="C18" s="21">
        <v>826</v>
      </c>
      <c r="D18" s="22"/>
      <c r="E18" s="21" t="s">
        <v>259</v>
      </c>
      <c r="F18" s="21" t="s">
        <v>275</v>
      </c>
      <c r="G18" s="21">
        <v>670</v>
      </c>
      <c r="H18" s="21">
        <v>750</v>
      </c>
      <c r="I18" s="21">
        <f t="shared" si="0"/>
        <v>81.1138014527845</v>
      </c>
      <c r="J18" s="21">
        <f t="shared" si="1"/>
        <v>90.799031476997584</v>
      </c>
      <c r="K18" s="22">
        <v>260</v>
      </c>
      <c r="L18" s="21">
        <v>290</v>
      </c>
      <c r="M18" s="23" t="s">
        <v>249</v>
      </c>
      <c r="N18" s="21">
        <f>0.64*B18</f>
        <v>0.64</v>
      </c>
      <c r="O18" s="21">
        <f t="shared" si="2"/>
        <v>1.1153846153846154</v>
      </c>
      <c r="P18" s="21">
        <f t="shared" si="3"/>
        <v>1</v>
      </c>
      <c r="Q18" s="20">
        <f t="shared" si="4"/>
        <v>5.681818181818182E-3</v>
      </c>
      <c r="R18" s="20">
        <f t="shared" si="11"/>
        <v>0</v>
      </c>
      <c r="S18" s="30">
        <f t="shared" si="5"/>
        <v>260.30564263322879</v>
      </c>
      <c r="T18" s="31">
        <f t="shared" si="6"/>
        <v>290.34090909090907</v>
      </c>
      <c r="U18" s="20">
        <f t="shared" si="7"/>
        <v>22.699757869249396</v>
      </c>
      <c r="V18" s="20">
        <f t="shared" si="12"/>
        <v>0.40960000000000002</v>
      </c>
      <c r="W18" s="30">
        <f t="shared" si="8"/>
        <v>275.4206896551724</v>
      </c>
      <c r="X18" s="31">
        <f t="shared" si="13"/>
        <v>307.2</v>
      </c>
      <c r="Y18" s="20">
        <f t="shared" si="9"/>
        <v>1.3533183999999998</v>
      </c>
      <c r="Z18" s="20">
        <f t="shared" si="10"/>
        <v>340.49636803874097</v>
      </c>
      <c r="AA18" s="20"/>
      <c r="AB18" s="20"/>
      <c r="AC18" s="20"/>
      <c r="AD18" s="20"/>
      <c r="AE18" s="20"/>
    </row>
    <row r="19" spans="1:31" x14ac:dyDescent="0.25">
      <c r="A19" s="21" t="s">
        <v>281</v>
      </c>
      <c r="B19" s="21">
        <v>2.8</v>
      </c>
      <c r="C19" s="22">
        <v>950</v>
      </c>
      <c r="D19" s="22"/>
      <c r="E19" s="21" t="s">
        <v>259</v>
      </c>
      <c r="F19" s="21" t="s">
        <v>260</v>
      </c>
      <c r="G19" s="22"/>
      <c r="H19" s="21">
        <v>800</v>
      </c>
      <c r="I19" s="21">
        <f t="shared" si="0"/>
        <v>0</v>
      </c>
      <c r="J19" s="21">
        <f t="shared" si="1"/>
        <v>84.21052631578948</v>
      </c>
      <c r="K19" s="22">
        <v>260</v>
      </c>
      <c r="L19" s="21">
        <v>290</v>
      </c>
      <c r="M19" s="23" t="s">
        <v>249</v>
      </c>
      <c r="N19" s="21">
        <f>0.64*B19</f>
        <v>1.7919999999999998</v>
      </c>
      <c r="O19" s="21">
        <f t="shared" si="2"/>
        <v>1.1153846153846154</v>
      </c>
      <c r="P19" s="21">
        <f t="shared" si="3"/>
        <v>1</v>
      </c>
      <c r="Q19" s="20">
        <f t="shared" si="4"/>
        <v>5.681818181818182E-3</v>
      </c>
      <c r="R19" s="20">
        <f t="shared" si="11"/>
        <v>0</v>
      </c>
      <c r="S19" s="30">
        <f t="shared" si="5"/>
        <v>260.30564263322879</v>
      </c>
      <c r="T19" s="31">
        <f t="shared" si="6"/>
        <v>290.34090909090907</v>
      </c>
      <c r="U19" s="20">
        <f t="shared" si="7"/>
        <v>21.05263157894737</v>
      </c>
      <c r="V19" s="20">
        <f t="shared" si="12"/>
        <v>0.40960000000000002</v>
      </c>
      <c r="W19" s="30">
        <f t="shared" si="8"/>
        <v>293.78206896551723</v>
      </c>
      <c r="X19" s="31">
        <f t="shared" si="13"/>
        <v>327.68</v>
      </c>
      <c r="Y19" s="20">
        <f t="shared" si="9"/>
        <v>1.5564799999999999</v>
      </c>
      <c r="Z19" s="20">
        <f t="shared" si="10"/>
        <v>315.78947368421058</v>
      </c>
      <c r="AA19" s="20"/>
      <c r="AB19" s="20"/>
      <c r="AC19" s="20"/>
      <c r="AD19" s="20"/>
      <c r="AE19" s="20"/>
    </row>
    <row r="20" spans="1:31" x14ac:dyDescent="0.25">
      <c r="A20" s="21" t="s">
        <v>282</v>
      </c>
      <c r="B20" s="22">
        <v>2.8</v>
      </c>
      <c r="C20" s="22">
        <v>525</v>
      </c>
      <c r="D20" s="21">
        <v>24</v>
      </c>
      <c r="E20" s="21" t="s">
        <v>259</v>
      </c>
      <c r="F20" s="21" t="s">
        <v>260</v>
      </c>
      <c r="G20" s="22">
        <v>700</v>
      </c>
      <c r="H20" s="22">
        <v>801</v>
      </c>
      <c r="I20" s="21">
        <f t="shared" si="0"/>
        <v>133.33333333333334</v>
      </c>
      <c r="J20" s="21">
        <f t="shared" si="1"/>
        <v>152.57142857142858</v>
      </c>
      <c r="K20" s="22">
        <v>285</v>
      </c>
      <c r="L20" s="22">
        <v>348</v>
      </c>
      <c r="M20" s="21" t="s">
        <v>257</v>
      </c>
      <c r="N20" s="21">
        <f>0.64*B20</f>
        <v>1.7919999999999998</v>
      </c>
      <c r="O20" s="21">
        <f t="shared" si="2"/>
        <v>1.2210526315789474</v>
      </c>
      <c r="P20" s="21">
        <f t="shared" si="3"/>
        <v>59</v>
      </c>
      <c r="Q20" s="20">
        <f t="shared" si="4"/>
        <v>0.33522727272727271</v>
      </c>
      <c r="R20" s="20">
        <f t="shared" si="11"/>
        <v>0</v>
      </c>
      <c r="S20" s="30">
        <f t="shared" si="5"/>
        <v>253.97237460815049</v>
      </c>
      <c r="T20" s="31">
        <f t="shared" si="6"/>
        <v>310.11363636363637</v>
      </c>
      <c r="U20" s="20">
        <f t="shared" si="7"/>
        <v>38.142857142857146</v>
      </c>
      <c r="V20" s="20">
        <f t="shared" si="12"/>
        <v>0.40960000000000002</v>
      </c>
      <c r="W20" s="30">
        <f t="shared" si="8"/>
        <v>268.69406896551726</v>
      </c>
      <c r="X20" s="31">
        <f t="shared" si="13"/>
        <v>328.08960000000002</v>
      </c>
      <c r="Y20" s="20">
        <f t="shared" si="9"/>
        <v>0.86016000000000015</v>
      </c>
      <c r="Z20" s="20">
        <f t="shared" si="10"/>
        <v>572.142857142857</v>
      </c>
      <c r="AA20" s="20"/>
      <c r="AB20" s="20"/>
      <c r="AC20" s="20"/>
      <c r="AD20" s="20"/>
      <c r="AE20" s="20"/>
    </row>
    <row r="21" spans="1:31" x14ac:dyDescent="0.25">
      <c r="A21" s="37" t="s">
        <v>283</v>
      </c>
      <c r="B21" s="37">
        <f>4.9/3.048</f>
        <v>1.6076115485564306</v>
      </c>
      <c r="C21" s="37">
        <v>1000</v>
      </c>
      <c r="D21" s="37">
        <v>8</v>
      </c>
      <c r="E21" s="37" t="s">
        <v>259</v>
      </c>
      <c r="F21" s="37" t="s">
        <v>275</v>
      </c>
      <c r="G21" s="37">
        <v>836</v>
      </c>
      <c r="H21" s="37">
        <v>947</v>
      </c>
      <c r="I21" s="37">
        <f t="shared" si="0"/>
        <v>83.6</v>
      </c>
      <c r="J21" s="37">
        <f t="shared" si="1"/>
        <v>94.7</v>
      </c>
      <c r="K21" s="37">
        <v>255</v>
      </c>
      <c r="L21" s="37">
        <v>289</v>
      </c>
      <c r="M21" s="39" t="s">
        <v>257</v>
      </c>
      <c r="N21" s="37">
        <v>1</v>
      </c>
      <c r="O21" s="37">
        <f t="shared" si="2"/>
        <v>1.1333333333333333</v>
      </c>
      <c r="P21" s="37">
        <f t="shared" si="3"/>
        <v>0</v>
      </c>
      <c r="Q21" s="37">
        <f t="shared" si="4"/>
        <v>0</v>
      </c>
      <c r="R21" s="37">
        <f t="shared" si="11"/>
        <v>0</v>
      </c>
      <c r="S21" s="37">
        <f t="shared" si="5"/>
        <v>255.88235294117646</v>
      </c>
      <c r="T21" s="37">
        <f t="shared" si="6"/>
        <v>290</v>
      </c>
      <c r="U21" s="37">
        <f t="shared" si="7"/>
        <v>23.675000000000001</v>
      </c>
      <c r="V21" s="37">
        <f t="shared" si="12"/>
        <v>0.40960000000000002</v>
      </c>
      <c r="W21" s="37">
        <f t="shared" si="8"/>
        <v>342.2569411764706</v>
      </c>
      <c r="X21" s="37">
        <f t="shared" si="13"/>
        <v>387.89120000000003</v>
      </c>
      <c r="Y21" s="37">
        <f t="shared" si="9"/>
        <v>1.6384000000000001</v>
      </c>
      <c r="Z21" s="20">
        <f t="shared" si="10"/>
        <v>355.125</v>
      </c>
      <c r="AA21" s="20"/>
      <c r="AB21" s="20"/>
      <c r="AC21" s="20"/>
      <c r="AD21" s="20"/>
      <c r="AE21" s="20"/>
    </row>
    <row r="22" spans="1:31" x14ac:dyDescent="0.25">
      <c r="A22" s="32" t="s">
        <v>284</v>
      </c>
      <c r="B22" s="32">
        <v>0.73</v>
      </c>
      <c r="C22" s="32">
        <v>1190</v>
      </c>
      <c r="D22" s="32"/>
      <c r="E22" s="32" t="s">
        <v>259</v>
      </c>
      <c r="F22" s="32" t="s">
        <v>275</v>
      </c>
      <c r="G22" s="32">
        <v>839</v>
      </c>
      <c r="H22" s="32">
        <v>1019</v>
      </c>
      <c r="I22" s="32">
        <f t="shared" si="0"/>
        <v>70.504201680672267</v>
      </c>
      <c r="J22" s="32">
        <f t="shared" si="1"/>
        <v>85.630252100840337</v>
      </c>
      <c r="K22" s="32">
        <v>263</v>
      </c>
      <c r="L22" s="32">
        <v>320</v>
      </c>
      <c r="M22" s="33" t="s">
        <v>257</v>
      </c>
      <c r="N22" s="32">
        <f>0.64*B22</f>
        <v>0.4672</v>
      </c>
      <c r="O22" s="32">
        <f t="shared" si="2"/>
        <v>1.2167300380228137</v>
      </c>
      <c r="P22" s="32">
        <f t="shared" si="3"/>
        <v>31</v>
      </c>
      <c r="Q22" s="32">
        <f t="shared" si="4"/>
        <v>0.17613636363636365</v>
      </c>
      <c r="R22" s="32">
        <f t="shared" si="11"/>
        <v>0</v>
      </c>
      <c r="S22" s="32">
        <f t="shared" si="5"/>
        <v>247.02947443181819</v>
      </c>
      <c r="T22" s="32">
        <f t="shared" si="6"/>
        <v>300.56818181818181</v>
      </c>
      <c r="U22" s="32">
        <f t="shared" si="7"/>
        <v>21.407563025210084</v>
      </c>
      <c r="V22" s="32">
        <f t="shared" si="12"/>
        <v>0.40960000000000002</v>
      </c>
      <c r="W22" s="32">
        <f t="shared" si="8"/>
        <v>343.03616000000005</v>
      </c>
      <c r="X22" s="32">
        <f t="shared" si="13"/>
        <v>417.38240000000002</v>
      </c>
      <c r="Y22" s="32">
        <f t="shared" si="9"/>
        <v>1.9496960000000001</v>
      </c>
      <c r="Z22" s="20">
        <f t="shared" si="10"/>
        <v>321.11344537815125</v>
      </c>
      <c r="AA22" s="20"/>
      <c r="AB22" s="20"/>
      <c r="AC22" s="20"/>
      <c r="AD22" s="20"/>
      <c r="AE22" s="20"/>
    </row>
    <row r="23" spans="1:31" x14ac:dyDescent="0.25">
      <c r="A23" s="32" t="s">
        <v>285</v>
      </c>
      <c r="B23" s="32">
        <v>2.1</v>
      </c>
      <c r="C23" s="32">
        <v>1788</v>
      </c>
      <c r="D23" s="32">
        <v>27.5</v>
      </c>
      <c r="E23" s="32" t="s">
        <v>259</v>
      </c>
      <c r="F23" s="32" t="s">
        <v>260</v>
      </c>
      <c r="G23" s="32">
        <v>486</v>
      </c>
      <c r="H23" s="32">
        <v>1033</v>
      </c>
      <c r="I23" s="32">
        <f t="shared" si="0"/>
        <v>27.181208053691275</v>
      </c>
      <c r="J23" s="32">
        <f t="shared" si="1"/>
        <v>57.774049217002236</v>
      </c>
      <c r="K23" s="32">
        <v>200</v>
      </c>
      <c r="L23" s="32">
        <v>421</v>
      </c>
      <c r="M23" s="32" t="s">
        <v>163</v>
      </c>
      <c r="N23" s="32">
        <v>1.3</v>
      </c>
      <c r="O23" s="32">
        <f t="shared" si="2"/>
        <v>2.105</v>
      </c>
      <c r="P23" s="32">
        <f t="shared" si="3"/>
        <v>132</v>
      </c>
      <c r="Q23" s="32">
        <f t="shared" si="4"/>
        <v>0.75</v>
      </c>
      <c r="R23" s="32">
        <f t="shared" si="11"/>
        <v>0</v>
      </c>
      <c r="S23" s="30">
        <f t="shared" si="5"/>
        <v>159.14489311163896</v>
      </c>
      <c r="T23" s="31">
        <f t="shared" si="6"/>
        <v>335</v>
      </c>
      <c r="U23" s="32">
        <f t="shared" si="7"/>
        <v>14.443512304250559</v>
      </c>
      <c r="V23" s="32">
        <f t="shared" si="12"/>
        <v>0.61440000000000006</v>
      </c>
      <c r="W23" s="30">
        <f t="shared" si="8"/>
        <v>301.5084085510689</v>
      </c>
      <c r="X23" s="31">
        <f t="shared" si="13"/>
        <v>634.67520000000002</v>
      </c>
      <c r="Y23" s="32">
        <f t="shared" si="9"/>
        <v>4.3941888000000002</v>
      </c>
      <c r="Z23" s="20">
        <f t="shared" ref="Z23:Z40" si="28">1.5/Y23*X23</f>
        <v>216.65268456375838</v>
      </c>
      <c r="AA23" s="20"/>
      <c r="AB23" s="20"/>
      <c r="AC23" s="20"/>
      <c r="AD23" s="20"/>
      <c r="AE23" s="20"/>
    </row>
    <row r="24" spans="1:31" x14ac:dyDescent="0.25">
      <c r="A24" s="21" t="s">
        <v>286</v>
      </c>
      <c r="B24" s="21">
        <v>2.2799999999999998</v>
      </c>
      <c r="C24" s="21">
        <v>739</v>
      </c>
      <c r="D24" s="21">
        <v>8</v>
      </c>
      <c r="E24" s="22" t="s">
        <v>287</v>
      </c>
      <c r="F24" s="21" t="s">
        <v>275</v>
      </c>
      <c r="G24" s="21">
        <v>956</v>
      </c>
      <c r="H24" s="21">
        <v>1096</v>
      </c>
      <c r="I24" s="21">
        <f t="shared" si="0"/>
        <v>129.36400541271991</v>
      </c>
      <c r="J24" s="21">
        <f t="shared" si="1"/>
        <v>148.30852503382951</v>
      </c>
      <c r="K24" s="21">
        <v>259</v>
      </c>
      <c r="L24" s="21">
        <v>297</v>
      </c>
      <c r="M24" s="21" t="s">
        <v>249</v>
      </c>
      <c r="N24" s="21">
        <f>0.64*B24</f>
        <v>1.4591999999999998</v>
      </c>
      <c r="O24" s="21">
        <f t="shared" si="2"/>
        <v>1.1467181467181466</v>
      </c>
      <c r="P24" s="21">
        <f t="shared" si="3"/>
        <v>8</v>
      </c>
      <c r="Q24" s="20">
        <f t="shared" si="4"/>
        <v>4.5454545454545456E-2</v>
      </c>
      <c r="R24" s="20">
        <f t="shared" si="11"/>
        <v>0</v>
      </c>
      <c r="S24" s="30">
        <f t="shared" si="5"/>
        <v>255.27395163758803</v>
      </c>
      <c r="T24" s="31">
        <f t="shared" si="6"/>
        <v>292.72727272727275</v>
      </c>
      <c r="U24" s="20">
        <f t="shared" si="7"/>
        <v>37.077131258457378</v>
      </c>
      <c r="V24" s="20">
        <f t="shared" si="12"/>
        <v>0.40960000000000002</v>
      </c>
      <c r="W24" s="30">
        <f t="shared" si="8"/>
        <v>391.48381952861956</v>
      </c>
      <c r="X24" s="31">
        <f t="shared" si="13"/>
        <v>448.92160000000001</v>
      </c>
      <c r="Y24" s="20">
        <f t="shared" si="9"/>
        <v>1.2107776000000001</v>
      </c>
      <c r="Z24" s="20">
        <f t="shared" si="28"/>
        <v>556.15696887686067</v>
      </c>
      <c r="AA24" s="20"/>
      <c r="AB24" s="20"/>
      <c r="AC24" s="20"/>
      <c r="AD24" s="20"/>
      <c r="AE24" s="20"/>
    </row>
    <row r="25" spans="1:31" x14ac:dyDescent="0.25">
      <c r="A25" s="33" t="s">
        <v>288</v>
      </c>
      <c r="B25" s="33">
        <v>3</v>
      </c>
      <c r="C25" s="33">
        <v>2470</v>
      </c>
      <c r="D25" s="33">
        <v>92</v>
      </c>
      <c r="E25" s="33" t="s">
        <v>259</v>
      </c>
      <c r="F25" s="33" t="s">
        <v>260</v>
      </c>
      <c r="G25" s="33">
        <v>1000</v>
      </c>
      <c r="H25" s="33">
        <v>1307</v>
      </c>
      <c r="I25" s="33">
        <f t="shared" si="0"/>
        <v>40.48582995951417</v>
      </c>
      <c r="J25" s="33">
        <f t="shared" si="1"/>
        <v>52.914979757085021</v>
      </c>
      <c r="K25" s="33">
        <v>342</v>
      </c>
      <c r="L25" s="33">
        <v>448</v>
      </c>
      <c r="M25" s="33" t="s">
        <v>163</v>
      </c>
      <c r="N25" s="33">
        <v>1.95</v>
      </c>
      <c r="O25" s="33">
        <f t="shared" si="2"/>
        <v>1.3099415204678362</v>
      </c>
      <c r="P25" s="32">
        <f t="shared" si="3"/>
        <v>159</v>
      </c>
      <c r="Q25" s="32">
        <f t="shared" si="4"/>
        <v>0.90340909090909094</v>
      </c>
      <c r="R25" s="32">
        <f t="shared" si="11"/>
        <v>0</v>
      </c>
      <c r="S25" s="32">
        <f t="shared" si="5"/>
        <v>262.76329139610391</v>
      </c>
      <c r="T25" s="32">
        <f t="shared" si="6"/>
        <v>344.20454545454544</v>
      </c>
      <c r="U25" s="32">
        <f t="shared" si="7"/>
        <v>13.228744939271255</v>
      </c>
      <c r="V25" s="32">
        <f t="shared" si="12"/>
        <v>0.61440000000000006</v>
      </c>
      <c r="W25" s="32">
        <f t="shared" si="8"/>
        <v>613.02034285714296</v>
      </c>
      <c r="X25" s="32">
        <f t="shared" si="13"/>
        <v>803.02080000000012</v>
      </c>
      <c r="Y25" s="32">
        <f t="shared" si="9"/>
        <v>6.070272000000001</v>
      </c>
      <c r="Z25" s="20">
        <f t="shared" si="28"/>
        <v>198.43117408906883</v>
      </c>
      <c r="AA25" s="20"/>
      <c r="AB25" s="20"/>
      <c r="AC25" s="20"/>
      <c r="AD25" s="20"/>
      <c r="AE25" s="20"/>
    </row>
    <row r="26" spans="1:31" x14ac:dyDescent="0.25">
      <c r="A26" s="21" t="s">
        <v>289</v>
      </c>
      <c r="B26" s="21">
        <v>2</v>
      </c>
      <c r="C26" s="21">
        <v>1240</v>
      </c>
      <c r="D26" s="21"/>
      <c r="E26" s="21" t="s">
        <v>287</v>
      </c>
      <c r="F26" s="21" t="s">
        <v>290</v>
      </c>
      <c r="G26" s="21">
        <v>1510</v>
      </c>
      <c r="H26" s="21">
        <v>1680</v>
      </c>
      <c r="I26" s="21">
        <f t="shared" si="0"/>
        <v>121.7741935483871</v>
      </c>
      <c r="J26" s="21">
        <f t="shared" si="1"/>
        <v>135.48387096774192</v>
      </c>
      <c r="K26" s="21">
        <v>297</v>
      </c>
      <c r="L26" s="21">
        <v>331</v>
      </c>
      <c r="M26" s="21" t="s">
        <v>257</v>
      </c>
      <c r="N26" s="21">
        <f>0.64*B26</f>
        <v>1.28</v>
      </c>
      <c r="O26" s="21">
        <f t="shared" si="2"/>
        <v>1.1144781144781144</v>
      </c>
      <c r="P26" s="21">
        <f t="shared" si="3"/>
        <v>42</v>
      </c>
      <c r="Q26" s="20">
        <f t="shared" si="4"/>
        <v>0.23863636363636365</v>
      </c>
      <c r="R26" s="20">
        <f t="shared" si="11"/>
        <v>0</v>
      </c>
      <c r="S26" s="30">
        <f t="shared" si="5"/>
        <v>273.05891238670694</v>
      </c>
      <c r="T26" s="31">
        <f t="shared" si="6"/>
        <v>304.31818181818181</v>
      </c>
      <c r="U26" s="20">
        <f t="shared" si="7"/>
        <v>33.87096774193548</v>
      </c>
      <c r="V26" s="20">
        <f t="shared" si="12"/>
        <v>0.40960000000000002</v>
      </c>
      <c r="W26" s="30">
        <f t="shared" si="8"/>
        <v>617.44415709969792</v>
      </c>
      <c r="X26" s="31">
        <f t="shared" si="13"/>
        <v>688.12800000000004</v>
      </c>
      <c r="Y26" s="20">
        <f t="shared" si="9"/>
        <v>2.0316160000000005</v>
      </c>
      <c r="Z26" s="20">
        <f t="shared" si="28"/>
        <v>508.0645161290322</v>
      </c>
      <c r="AA26" s="20"/>
      <c r="AB26" s="20"/>
      <c r="AC26" s="20"/>
      <c r="AD26" s="20"/>
      <c r="AE26" s="20"/>
    </row>
    <row r="27" spans="1:31" x14ac:dyDescent="0.25">
      <c r="A27" s="21" t="s">
        <v>291</v>
      </c>
      <c r="B27" s="21">
        <v>1.5</v>
      </c>
      <c r="C27" s="21">
        <v>1070</v>
      </c>
      <c r="D27" s="21">
        <v>26.2</v>
      </c>
      <c r="E27" s="21" t="s">
        <v>292</v>
      </c>
      <c r="F27" s="21" t="s">
        <v>275</v>
      </c>
      <c r="G27" s="21">
        <v>1671</v>
      </c>
      <c r="H27" s="21">
        <v>1832</v>
      </c>
      <c r="I27" s="21">
        <f t="shared" si="0"/>
        <v>156.16822429906543</v>
      </c>
      <c r="J27" s="21">
        <f t="shared" si="1"/>
        <v>171.21495327102804</v>
      </c>
      <c r="K27" s="21">
        <v>288</v>
      </c>
      <c r="L27" s="21">
        <v>316</v>
      </c>
      <c r="M27" s="21" t="s">
        <v>249</v>
      </c>
      <c r="N27" s="21">
        <f>0.64*B27</f>
        <v>0.96</v>
      </c>
      <c r="O27" s="21">
        <f t="shared" si="2"/>
        <v>1.0972222222222223</v>
      </c>
      <c r="P27" s="21">
        <f t="shared" si="3"/>
        <v>27</v>
      </c>
      <c r="Q27" s="20">
        <f t="shared" si="4"/>
        <v>0.15340909090909091</v>
      </c>
      <c r="R27" s="20">
        <f t="shared" si="11"/>
        <v>0</v>
      </c>
      <c r="S27" s="30">
        <f t="shared" si="5"/>
        <v>272.69275028768698</v>
      </c>
      <c r="T27" s="31">
        <f t="shared" si="6"/>
        <v>299.20454545454544</v>
      </c>
      <c r="U27" s="20">
        <f t="shared" si="7"/>
        <v>42.803738317757009</v>
      </c>
      <c r="V27" s="20">
        <f t="shared" si="12"/>
        <v>0.40960000000000002</v>
      </c>
      <c r="W27" s="30">
        <f t="shared" si="8"/>
        <v>683.89719493670884</v>
      </c>
      <c r="X27" s="31">
        <f t="shared" si="13"/>
        <v>750.38720000000001</v>
      </c>
      <c r="Y27" s="20">
        <f t="shared" si="9"/>
        <v>1.753088</v>
      </c>
      <c r="Z27" s="20">
        <f t="shared" si="28"/>
        <v>642.0560747663551</v>
      </c>
      <c r="AA27" s="20"/>
      <c r="AB27" s="20"/>
      <c r="AC27" s="20"/>
      <c r="AD27" s="20"/>
      <c r="AE27" s="20"/>
    </row>
    <row r="28" spans="1:31" x14ac:dyDescent="0.25">
      <c r="A28" s="32" t="s">
        <v>293</v>
      </c>
      <c r="B28" s="32">
        <v>2.4</v>
      </c>
      <c r="C28" s="32">
        <v>3526</v>
      </c>
      <c r="D28" s="32">
        <v>69</v>
      </c>
      <c r="E28" s="32" t="s">
        <v>294</v>
      </c>
      <c r="F28" s="32" t="s">
        <v>275</v>
      </c>
      <c r="G28" s="32">
        <v>1859</v>
      </c>
      <c r="H28" s="32">
        <v>2277</v>
      </c>
      <c r="I28" s="32">
        <f t="shared" si="0"/>
        <v>52.722631877481568</v>
      </c>
      <c r="J28" s="32">
        <f t="shared" si="1"/>
        <v>64.57742484401588</v>
      </c>
      <c r="K28" s="32">
        <v>365</v>
      </c>
      <c r="L28" s="32">
        <v>452</v>
      </c>
      <c r="M28" s="32" t="s">
        <v>163</v>
      </c>
      <c r="N28" s="32">
        <v>1.54</v>
      </c>
      <c r="O28" s="32">
        <f t="shared" si="2"/>
        <v>1.2383561643835617</v>
      </c>
      <c r="P28" s="32">
        <f t="shared" si="3"/>
        <v>163</v>
      </c>
      <c r="Q28" s="32">
        <f t="shared" si="4"/>
        <v>0.92613636363636365</v>
      </c>
      <c r="R28" s="32">
        <f t="shared" si="11"/>
        <v>0</v>
      </c>
      <c r="S28" s="30">
        <f t="shared" si="5"/>
        <v>279.05395213193884</v>
      </c>
      <c r="T28" s="31">
        <f t="shared" si="6"/>
        <v>345.56818181818181</v>
      </c>
      <c r="U28" s="32">
        <f t="shared" si="7"/>
        <v>16.14435621100397</v>
      </c>
      <c r="V28" s="32">
        <f t="shared" si="12"/>
        <v>0.61440000000000006</v>
      </c>
      <c r="W28" s="30">
        <f t="shared" si="8"/>
        <v>1129.714407079646</v>
      </c>
      <c r="X28" s="31">
        <f t="shared" si="13"/>
        <v>1398.9888000000001</v>
      </c>
      <c r="Y28" s="32">
        <f t="shared" si="9"/>
        <v>8.6654976000000019</v>
      </c>
      <c r="Z28" s="20">
        <f t="shared" si="28"/>
        <v>242.16534316505951</v>
      </c>
      <c r="AA28" s="20"/>
      <c r="AB28" s="20"/>
      <c r="AC28" s="20"/>
      <c r="AD28" s="20"/>
      <c r="AE28" s="20"/>
    </row>
    <row r="29" spans="1:31" x14ac:dyDescent="0.25">
      <c r="A29" s="21" t="s">
        <v>295</v>
      </c>
      <c r="B29" s="22"/>
      <c r="C29" s="22"/>
      <c r="D29" s="22"/>
      <c r="E29" s="21" t="s">
        <v>292</v>
      </c>
      <c r="F29" s="21" t="s">
        <v>275</v>
      </c>
      <c r="G29" s="22"/>
      <c r="H29" s="21">
        <v>2400</v>
      </c>
      <c r="I29" s="21" t="e">
        <f t="shared" si="0"/>
        <v>#DIV/0!</v>
      </c>
      <c r="J29" s="21" t="e">
        <f t="shared" si="1"/>
        <v>#DIV/0!</v>
      </c>
      <c r="K29" s="22"/>
      <c r="L29" s="22"/>
      <c r="M29" s="21" t="s">
        <v>262</v>
      </c>
      <c r="N29" s="21">
        <f>0.64*B29</f>
        <v>0</v>
      </c>
      <c r="O29" s="21" t="e">
        <f t="shared" si="2"/>
        <v>#DIV/0!</v>
      </c>
      <c r="P29" s="21">
        <f t="shared" si="3"/>
        <v>-289</v>
      </c>
      <c r="Q29" s="20">
        <f t="shared" si="4"/>
        <v>-1.6420454545454546</v>
      </c>
      <c r="R29" s="20">
        <f t="shared" si="11"/>
        <v>0</v>
      </c>
      <c r="S29" s="30" t="e">
        <f t="shared" si="5"/>
        <v>#DIV/0!</v>
      </c>
      <c r="T29" s="31">
        <f t="shared" si="6"/>
        <v>191.47727272727272</v>
      </c>
      <c r="U29" s="20" t="e">
        <f t="shared" si="7"/>
        <v>#DIV/0!</v>
      </c>
      <c r="V29" s="20">
        <f t="shared" si="12"/>
        <v>0.40960000000000002</v>
      </c>
      <c r="W29" s="30" t="e">
        <f t="shared" si="8"/>
        <v>#DIV/0!</v>
      </c>
      <c r="X29" s="31">
        <f t="shared" si="13"/>
        <v>983.04000000000008</v>
      </c>
      <c r="Y29" s="20" t="e">
        <f t="shared" si="9"/>
        <v>#DIV/0!</v>
      </c>
      <c r="Z29" s="20" t="e">
        <f t="shared" si="28"/>
        <v>#DIV/0!</v>
      </c>
      <c r="AA29" s="20"/>
      <c r="AB29" s="20"/>
      <c r="AC29" s="20"/>
      <c r="AD29" s="20"/>
      <c r="AE29" s="20"/>
    </row>
    <row r="30" spans="1:31" x14ac:dyDescent="0.25">
      <c r="A30" s="32" t="s">
        <v>296</v>
      </c>
      <c r="B30" s="32">
        <v>2.4300000000000002</v>
      </c>
      <c r="C30" s="32">
        <v>6600</v>
      </c>
      <c r="D30" s="32">
        <v>69</v>
      </c>
      <c r="E30" s="32" t="s">
        <v>259</v>
      </c>
      <c r="F30" s="32" t="s">
        <v>275</v>
      </c>
      <c r="G30" s="32">
        <v>2935</v>
      </c>
      <c r="H30" s="32">
        <v>3312</v>
      </c>
      <c r="I30" s="32">
        <f t="shared" si="0"/>
        <v>44.469696969696969</v>
      </c>
      <c r="J30" s="32">
        <f t="shared" si="1"/>
        <v>50.18181818181818</v>
      </c>
      <c r="K30" s="32">
        <v>365</v>
      </c>
      <c r="L30" s="32">
        <v>410</v>
      </c>
      <c r="M30" s="32" t="s">
        <v>163</v>
      </c>
      <c r="N30" s="32">
        <v>1.56</v>
      </c>
      <c r="O30" s="32">
        <f t="shared" si="2"/>
        <v>1.1232876712328768</v>
      </c>
      <c r="P30" s="32">
        <f t="shared" si="3"/>
        <v>121</v>
      </c>
      <c r="Q30" s="32">
        <f t="shared" si="4"/>
        <v>0.6875</v>
      </c>
      <c r="R30" s="32">
        <f t="shared" si="11"/>
        <v>0</v>
      </c>
      <c r="S30" s="32">
        <f t="shared" si="5"/>
        <v>294.89329268292681</v>
      </c>
      <c r="T30" s="32">
        <f t="shared" si="6"/>
        <v>331.25</v>
      </c>
      <c r="U30" s="32">
        <f t="shared" si="7"/>
        <v>12.545454545454545</v>
      </c>
      <c r="V30" s="32">
        <f t="shared" si="12"/>
        <v>0.61440000000000006</v>
      </c>
      <c r="W30" s="32">
        <f t="shared" si="8"/>
        <v>1811.5509073170731</v>
      </c>
      <c r="X30" s="32">
        <f t="shared" si="13"/>
        <v>2034.8928000000001</v>
      </c>
      <c r="Y30" s="32">
        <f t="shared" si="9"/>
        <v>16.22016</v>
      </c>
      <c r="Z30" s="20">
        <f t="shared" si="28"/>
        <v>188.18181818181819</v>
      </c>
      <c r="AA30" s="20"/>
      <c r="AB30" s="20"/>
      <c r="AC30" s="20"/>
      <c r="AD30" s="20"/>
      <c r="AE30" s="20"/>
    </row>
    <row r="31" spans="1:31" x14ac:dyDescent="0.25">
      <c r="A31" s="21" t="s">
        <v>297</v>
      </c>
      <c r="B31" s="21">
        <v>2.4300000000000002</v>
      </c>
      <c r="C31" s="21">
        <v>6500</v>
      </c>
      <c r="D31" s="21">
        <v>69</v>
      </c>
      <c r="E31" s="21" t="s">
        <v>259</v>
      </c>
      <c r="F31" s="21" t="s">
        <v>260</v>
      </c>
      <c r="G31" s="21">
        <v>2950</v>
      </c>
      <c r="H31" s="21">
        <v>3400</v>
      </c>
      <c r="I31" s="21">
        <f t="shared" si="0"/>
        <v>45.384615384615387</v>
      </c>
      <c r="J31" s="21">
        <f t="shared" si="1"/>
        <v>52.307692307692307</v>
      </c>
      <c r="K31" s="21">
        <v>365</v>
      </c>
      <c r="L31" s="21">
        <v>415</v>
      </c>
      <c r="M31" s="21" t="s">
        <v>163</v>
      </c>
      <c r="N31" s="21">
        <v>1.56</v>
      </c>
      <c r="O31" s="21">
        <f t="shared" si="2"/>
        <v>1.1369863013698631</v>
      </c>
      <c r="P31" s="21">
        <f t="shared" si="3"/>
        <v>126</v>
      </c>
      <c r="Q31" s="20">
        <f t="shared" si="4"/>
        <v>0.71590909090909094</v>
      </c>
      <c r="R31" s="20">
        <f t="shared" si="11"/>
        <v>0</v>
      </c>
      <c r="S31" s="30">
        <f t="shared" si="5"/>
        <v>292.83953997809414</v>
      </c>
      <c r="T31" s="31">
        <f t="shared" si="6"/>
        <v>332.95454545454544</v>
      </c>
      <c r="U31" s="20">
        <f t="shared" si="7"/>
        <v>13.076923076923077</v>
      </c>
      <c r="V31" s="20">
        <f t="shared" si="12"/>
        <v>0.61440000000000006</v>
      </c>
      <c r="W31" s="30">
        <f t="shared" si="8"/>
        <v>1837.2780722891564</v>
      </c>
      <c r="X31" s="31">
        <f t="shared" si="13"/>
        <v>2088.96</v>
      </c>
      <c r="Y31" s="20">
        <f t="shared" si="9"/>
        <v>15.974400000000001</v>
      </c>
      <c r="Z31" s="20">
        <f t="shared" si="28"/>
        <v>196.15384615384613</v>
      </c>
      <c r="AA31" s="20"/>
      <c r="AB31" s="20"/>
      <c r="AC31" s="20"/>
      <c r="AD31" s="20"/>
      <c r="AE31" s="20"/>
    </row>
    <row r="32" spans="1:31" x14ac:dyDescent="0.25">
      <c r="A32" s="23" t="s">
        <v>298</v>
      </c>
      <c r="B32" s="23">
        <v>3.28125</v>
      </c>
      <c r="C32" s="23">
        <v>8500</v>
      </c>
      <c r="D32" s="23">
        <v>120</v>
      </c>
      <c r="E32" s="23" t="s">
        <v>259</v>
      </c>
      <c r="F32" s="23" t="s">
        <v>260</v>
      </c>
      <c r="G32" s="23">
        <v>3100</v>
      </c>
      <c r="H32" s="23">
        <v>3650</v>
      </c>
      <c r="I32" s="23">
        <f t="shared" si="0"/>
        <v>36.470588235294116</v>
      </c>
      <c r="J32" s="23">
        <f t="shared" si="1"/>
        <v>42.941176470588232</v>
      </c>
      <c r="K32" s="23">
        <v>365</v>
      </c>
      <c r="L32" s="23">
        <v>450</v>
      </c>
      <c r="M32" s="23" t="s">
        <v>163</v>
      </c>
      <c r="N32" s="23">
        <f>B32*0.64</f>
        <v>2.1</v>
      </c>
      <c r="O32" s="23">
        <f t="shared" si="2"/>
        <v>1.2328767123287672</v>
      </c>
      <c r="P32" s="21">
        <f t="shared" si="3"/>
        <v>161</v>
      </c>
      <c r="Q32" s="20">
        <f t="shared" si="4"/>
        <v>0.91477272727272729</v>
      </c>
      <c r="R32" s="20">
        <f t="shared" si="11"/>
        <v>0</v>
      </c>
      <c r="S32" s="30">
        <f t="shared" si="5"/>
        <v>279.74116161616161</v>
      </c>
      <c r="T32" s="31">
        <f t="shared" si="6"/>
        <v>344.88636363636363</v>
      </c>
      <c r="U32" s="20">
        <f t="shared" si="7"/>
        <v>10.735294117647058</v>
      </c>
      <c r="V32" s="20">
        <f t="shared" si="12"/>
        <v>0.61440000000000006</v>
      </c>
      <c r="W32" s="30">
        <f t="shared" si="8"/>
        <v>1818.9653333333335</v>
      </c>
      <c r="X32" s="31">
        <f t="shared" si="13"/>
        <v>2242.5600000000004</v>
      </c>
      <c r="Y32" s="20">
        <f t="shared" si="9"/>
        <v>20.889600000000009</v>
      </c>
      <c r="Z32" s="20">
        <f t="shared" si="28"/>
        <v>161.02941176470586</v>
      </c>
      <c r="AA32" s="20"/>
      <c r="AB32" s="20"/>
      <c r="AC32" s="20"/>
      <c r="AD32" s="20"/>
      <c r="AE32" s="20"/>
    </row>
    <row r="33" spans="1:31" x14ac:dyDescent="0.25">
      <c r="A33" s="21" t="s">
        <v>299</v>
      </c>
      <c r="B33" s="21">
        <v>3.15</v>
      </c>
      <c r="C33" s="21">
        <v>5480</v>
      </c>
      <c r="D33" s="21">
        <v>36.4</v>
      </c>
      <c r="E33" s="21" t="s">
        <v>292</v>
      </c>
      <c r="F33" s="21" t="s">
        <v>275</v>
      </c>
      <c r="G33" s="21">
        <v>3830</v>
      </c>
      <c r="H33" s="21">
        <v>4150</v>
      </c>
      <c r="I33" s="21">
        <f t="shared" si="0"/>
        <v>69.890510948905103</v>
      </c>
      <c r="J33" s="21">
        <f t="shared" si="1"/>
        <v>75.729927007299267</v>
      </c>
      <c r="K33" s="21">
        <v>313</v>
      </c>
      <c r="L33" s="21">
        <v>339</v>
      </c>
      <c r="M33" s="21" t="s">
        <v>257</v>
      </c>
      <c r="N33" s="21">
        <f>0.64*B33</f>
        <v>2.016</v>
      </c>
      <c r="O33" s="21">
        <f t="shared" si="2"/>
        <v>1.0830670926517572</v>
      </c>
      <c r="P33" s="21">
        <f t="shared" si="3"/>
        <v>50</v>
      </c>
      <c r="Q33" s="20">
        <f t="shared" si="4"/>
        <v>0.28409090909090912</v>
      </c>
      <c r="R33" s="20">
        <f t="shared" si="11"/>
        <v>0</v>
      </c>
      <c r="S33" s="30">
        <f t="shared" si="5"/>
        <v>283.49624564226337</v>
      </c>
      <c r="T33" s="31">
        <f t="shared" si="6"/>
        <v>307.04545454545456</v>
      </c>
      <c r="U33" s="20">
        <f t="shared" si="7"/>
        <v>18.932481751824817</v>
      </c>
      <c r="V33" s="20">
        <f t="shared" si="12"/>
        <v>0.40960000000000002</v>
      </c>
      <c r="W33" s="30">
        <f t="shared" si="8"/>
        <v>1569.4687905604721</v>
      </c>
      <c r="X33" s="31">
        <f t="shared" si="13"/>
        <v>1699.8400000000001</v>
      </c>
      <c r="Y33" s="20">
        <f t="shared" si="9"/>
        <v>8.9784320000000015</v>
      </c>
      <c r="Z33" s="20">
        <f t="shared" si="28"/>
        <v>283.98722627737226</v>
      </c>
      <c r="AA33" s="20"/>
      <c r="AB33" s="20"/>
      <c r="AC33" s="20"/>
      <c r="AD33" s="20"/>
      <c r="AE33" s="20"/>
    </row>
    <row r="34" spans="1:31" x14ac:dyDescent="0.25">
      <c r="A34" s="21" t="s">
        <v>300</v>
      </c>
      <c r="B34" s="21">
        <v>4.28</v>
      </c>
      <c r="C34" s="21">
        <v>9068</v>
      </c>
      <c r="D34" s="22"/>
      <c r="E34" s="21" t="s">
        <v>259</v>
      </c>
      <c r="F34" s="21" t="s">
        <v>260</v>
      </c>
      <c r="G34" s="21">
        <v>3864</v>
      </c>
      <c r="H34" s="21">
        <v>5335</v>
      </c>
      <c r="I34" s="21">
        <f t="shared" si="0"/>
        <v>42.611380679311864</v>
      </c>
      <c r="J34" s="21">
        <f t="shared" si="1"/>
        <v>58.833259814733125</v>
      </c>
      <c r="K34" s="21">
        <v>310</v>
      </c>
      <c r="L34" s="21">
        <v>428</v>
      </c>
      <c r="M34" s="21" t="s">
        <v>163</v>
      </c>
      <c r="N34" s="21">
        <f>0.64*B34</f>
        <v>2.7392000000000003</v>
      </c>
      <c r="O34" s="21">
        <f t="shared" si="2"/>
        <v>1.3806451612903226</v>
      </c>
      <c r="P34" s="21">
        <f t="shared" si="3"/>
        <v>139</v>
      </c>
      <c r="Q34" s="20">
        <f t="shared" si="4"/>
        <v>0.78977272727272729</v>
      </c>
      <c r="R34" s="20">
        <f t="shared" si="11"/>
        <v>0</v>
      </c>
      <c r="S34" s="30">
        <f t="shared" si="5"/>
        <v>244.36862786745965</v>
      </c>
      <c r="T34" s="31">
        <f t="shared" si="6"/>
        <v>337.38636363636363</v>
      </c>
      <c r="U34" s="20">
        <f t="shared" si="7"/>
        <v>14.708314953683281</v>
      </c>
      <c r="V34" s="20">
        <f t="shared" si="12"/>
        <v>0.61440000000000006</v>
      </c>
      <c r="W34" s="30">
        <f t="shared" si="8"/>
        <v>2374.1248598130846</v>
      </c>
      <c r="X34" s="31">
        <f t="shared" si="13"/>
        <v>3277.8240000000005</v>
      </c>
      <c r="Y34" s="20">
        <f t="shared" si="9"/>
        <v>22.285516800000003</v>
      </c>
      <c r="Z34" s="20">
        <f t="shared" si="28"/>
        <v>220.62472430524926</v>
      </c>
      <c r="AA34" s="20"/>
      <c r="AB34" s="20"/>
      <c r="AC34" s="20"/>
      <c r="AD34" s="20"/>
      <c r="AE34" s="20"/>
    </row>
    <row r="35" spans="1:31" x14ac:dyDescent="0.25">
      <c r="A35" s="21" t="s">
        <v>301</v>
      </c>
      <c r="B35" s="21">
        <v>3.4</v>
      </c>
      <c r="C35" s="21">
        <v>3370</v>
      </c>
      <c r="D35" s="22"/>
      <c r="E35" s="21" t="s">
        <v>302</v>
      </c>
      <c r="F35" s="21" t="s">
        <v>275</v>
      </c>
      <c r="G35" s="21">
        <v>6270</v>
      </c>
      <c r="H35" s="21">
        <v>6710</v>
      </c>
      <c r="I35" s="21">
        <f t="shared" si="0"/>
        <v>186.053412462908</v>
      </c>
      <c r="J35" s="21">
        <f t="shared" si="1"/>
        <v>199.10979228486647</v>
      </c>
      <c r="K35" s="21">
        <v>301</v>
      </c>
      <c r="L35" s="21">
        <v>322</v>
      </c>
      <c r="M35" s="23" t="s">
        <v>249</v>
      </c>
      <c r="N35" s="21">
        <f>0.64*B35</f>
        <v>2.1760000000000002</v>
      </c>
      <c r="O35" s="21">
        <f t="shared" si="2"/>
        <v>1.069767441860465</v>
      </c>
      <c r="P35" s="21">
        <f t="shared" si="3"/>
        <v>33</v>
      </c>
      <c r="Q35" s="20">
        <f t="shared" si="4"/>
        <v>0.1875</v>
      </c>
      <c r="R35" s="20">
        <f t="shared" si="11"/>
        <v>0</v>
      </c>
      <c r="S35" s="30">
        <f t="shared" si="5"/>
        <v>281.60326086956525</v>
      </c>
      <c r="T35" s="31">
        <f t="shared" si="6"/>
        <v>301.25</v>
      </c>
      <c r="U35" s="20">
        <f t="shared" si="7"/>
        <v>49.777448071216618</v>
      </c>
      <c r="V35" s="20">
        <f t="shared" si="12"/>
        <v>0.40960000000000002</v>
      </c>
      <c r="W35" s="30">
        <f t="shared" si="8"/>
        <v>2569.1714782608701</v>
      </c>
      <c r="X35" s="31">
        <f t="shared" si="13"/>
        <v>2748.4160000000002</v>
      </c>
      <c r="Y35" s="20">
        <f t="shared" si="9"/>
        <v>5.5214080000000001</v>
      </c>
      <c r="Z35" s="20">
        <f t="shared" si="28"/>
        <v>746.66172106824934</v>
      </c>
      <c r="AA35" s="20"/>
      <c r="AB35" s="20"/>
      <c r="AC35" s="20"/>
      <c r="AD35" s="20"/>
      <c r="AE35" s="20"/>
    </row>
    <row r="36" spans="1:31" x14ac:dyDescent="0.25">
      <c r="A36" s="32" t="s">
        <v>303</v>
      </c>
      <c r="B36" s="32">
        <v>4.0026246719160099</v>
      </c>
      <c r="C36" s="32">
        <v>8391</v>
      </c>
      <c r="D36" s="32">
        <v>16</v>
      </c>
      <c r="E36" s="32" t="s">
        <v>259</v>
      </c>
      <c r="F36" s="32" t="s">
        <v>275</v>
      </c>
      <c r="G36" s="32">
        <v>6770</v>
      </c>
      <c r="H36" s="32">
        <v>7750</v>
      </c>
      <c r="I36" s="32">
        <f t="shared" si="0"/>
        <v>80.6816827553331</v>
      </c>
      <c r="J36" s="32">
        <v>111.32477654629962</v>
      </c>
      <c r="K36" s="32">
        <v>265</v>
      </c>
      <c r="L36" s="32">
        <v>310</v>
      </c>
      <c r="M36" s="32" t="s">
        <v>257</v>
      </c>
      <c r="N36" s="32">
        <v>2.4500000000000002</v>
      </c>
      <c r="O36" s="32">
        <f t="shared" si="2"/>
        <v>1.1698113207547169</v>
      </c>
      <c r="P36" s="32">
        <f t="shared" si="3"/>
        <v>21</v>
      </c>
      <c r="Q36" s="32">
        <f t="shared" si="4"/>
        <v>0.11931818181818182</v>
      </c>
      <c r="R36" s="32">
        <f t="shared" si="11"/>
        <v>0</v>
      </c>
      <c r="S36" s="30">
        <f t="shared" si="5"/>
        <v>254.02309384164226</v>
      </c>
      <c r="T36" s="31">
        <f t="shared" si="6"/>
        <v>297.15909090909093</v>
      </c>
      <c r="U36" s="32">
        <f t="shared" si="7"/>
        <v>27.831194136574904</v>
      </c>
      <c r="V36" s="32">
        <f t="shared" si="12"/>
        <v>0.40960000000000002</v>
      </c>
      <c r="W36" s="30">
        <f t="shared" si="8"/>
        <v>2713.6000000000004</v>
      </c>
      <c r="X36" s="31">
        <f t="shared" si="13"/>
        <v>3174.4</v>
      </c>
      <c r="Y36" s="32">
        <f t="shared" si="9"/>
        <v>11.405906568084699</v>
      </c>
      <c r="Z36" s="20">
        <f t="shared" si="28"/>
        <v>417.46791204862353</v>
      </c>
      <c r="AA36" s="20"/>
      <c r="AB36" s="20"/>
      <c r="AC36" s="20"/>
      <c r="AD36" s="20"/>
      <c r="AE36" s="20"/>
    </row>
    <row r="37" spans="1:31" x14ac:dyDescent="0.25">
      <c r="A37" s="21" t="s">
        <v>304</v>
      </c>
      <c r="B37" s="21">
        <v>3.8</v>
      </c>
      <c r="C37" s="21">
        <v>10750</v>
      </c>
      <c r="D37" s="21">
        <v>36.869999999999997</v>
      </c>
      <c r="E37" s="21" t="s">
        <v>292</v>
      </c>
      <c r="F37" s="21" t="s">
        <v>275</v>
      </c>
      <c r="G37" s="21">
        <v>7257</v>
      </c>
      <c r="H37" s="21">
        <v>7904</v>
      </c>
      <c r="I37" s="21">
        <f t="shared" si="0"/>
        <v>67.506976744186048</v>
      </c>
      <c r="J37" s="21">
        <f>H37*100/C37</f>
        <v>73.525581395348837</v>
      </c>
      <c r="K37" s="21">
        <v>309</v>
      </c>
      <c r="L37" s="21">
        <v>337</v>
      </c>
      <c r="M37" s="21" t="s">
        <v>257</v>
      </c>
      <c r="N37" s="21">
        <v>2.4500000000000002</v>
      </c>
      <c r="O37" s="21">
        <f t="shared" si="2"/>
        <v>1.0906148867313916</v>
      </c>
      <c r="P37" s="21">
        <f t="shared" si="3"/>
        <v>48</v>
      </c>
      <c r="Q37" s="20">
        <f t="shared" si="4"/>
        <v>0.27272727272727271</v>
      </c>
      <c r="R37" s="20">
        <f t="shared" si="11"/>
        <v>0</v>
      </c>
      <c r="S37" s="30">
        <f t="shared" si="5"/>
        <v>280.90909090909093</v>
      </c>
      <c r="T37" s="31">
        <f t="shared" si="6"/>
        <v>306.36363636363637</v>
      </c>
      <c r="U37" s="20">
        <f t="shared" si="7"/>
        <v>18.381395348837209</v>
      </c>
      <c r="V37" s="20">
        <f t="shared" si="12"/>
        <v>0.40960000000000002</v>
      </c>
      <c r="W37" s="30">
        <f t="shared" si="8"/>
        <v>2968.4890967359047</v>
      </c>
      <c r="X37" s="31">
        <f t="shared" si="13"/>
        <v>3237.4784</v>
      </c>
      <c r="Y37" s="20">
        <f t="shared" si="9"/>
        <v>17.6128</v>
      </c>
      <c r="Z37" s="20">
        <f t="shared" si="28"/>
        <v>275.72093023255815</v>
      </c>
      <c r="AA37" s="20"/>
      <c r="AB37" s="20"/>
      <c r="AC37" s="20"/>
      <c r="AD37" s="20"/>
      <c r="AE37" s="20"/>
    </row>
    <row r="38" spans="1:31" x14ac:dyDescent="0.25">
      <c r="A38" s="21" t="s">
        <v>305</v>
      </c>
      <c r="B38" s="21">
        <v>3</v>
      </c>
      <c r="C38" s="22">
        <v>8000</v>
      </c>
      <c r="D38" s="21">
        <v>250</v>
      </c>
      <c r="E38" s="21" t="s">
        <v>302</v>
      </c>
      <c r="F38" s="21" t="s">
        <v>275</v>
      </c>
      <c r="G38" s="21">
        <v>7050</v>
      </c>
      <c r="H38" s="21">
        <v>8400</v>
      </c>
      <c r="I38" s="21">
        <f t="shared" si="0"/>
        <v>88.125</v>
      </c>
      <c r="J38" s="21">
        <f>H38*100/C38</f>
        <v>105</v>
      </c>
      <c r="K38" s="21">
        <v>321</v>
      </c>
      <c r="L38" s="21">
        <v>380</v>
      </c>
      <c r="M38" s="21" t="s">
        <v>262</v>
      </c>
      <c r="N38" s="21">
        <f>0.64*B38</f>
        <v>1.92</v>
      </c>
      <c r="O38" s="21">
        <f t="shared" si="2"/>
        <v>1.1838006230529594</v>
      </c>
      <c r="P38" s="21">
        <f t="shared" si="3"/>
        <v>91</v>
      </c>
      <c r="Q38" s="20">
        <f t="shared" si="4"/>
        <v>0.51704545454545459</v>
      </c>
      <c r="R38" s="20">
        <f t="shared" si="11"/>
        <v>0</v>
      </c>
      <c r="S38" s="30">
        <f t="shared" si="5"/>
        <v>271.17972488038276</v>
      </c>
      <c r="T38" s="31">
        <f t="shared" si="6"/>
        <v>321.02272727272725</v>
      </c>
      <c r="U38" s="20">
        <f t="shared" si="7"/>
        <v>26.25</v>
      </c>
      <c r="V38" s="20">
        <f t="shared" si="12"/>
        <v>0.40960000000000002</v>
      </c>
      <c r="W38" s="30">
        <f t="shared" si="8"/>
        <v>2906.4353684210532</v>
      </c>
      <c r="X38" s="31">
        <f t="shared" si="13"/>
        <v>3440.6400000000003</v>
      </c>
      <c r="Y38" s="20">
        <f t="shared" si="9"/>
        <v>13.107200000000002</v>
      </c>
      <c r="Z38" s="20">
        <f t="shared" si="28"/>
        <v>393.74999999999994</v>
      </c>
      <c r="AA38" s="20"/>
      <c r="AB38" s="20"/>
      <c r="AC38" s="20"/>
      <c r="AD38" s="20"/>
      <c r="AE38" s="20"/>
    </row>
    <row r="39" spans="1:31" x14ac:dyDescent="0.25">
      <c r="A39" s="32" t="s">
        <v>306</v>
      </c>
      <c r="B39" s="32">
        <v>3.3187500000000001</v>
      </c>
      <c r="C39" s="32">
        <v>8000</v>
      </c>
      <c r="D39" s="32">
        <v>10</v>
      </c>
      <c r="E39" s="32" t="s">
        <v>259</v>
      </c>
      <c r="F39" s="32" t="s">
        <v>275</v>
      </c>
      <c r="G39" s="32">
        <v>8006</v>
      </c>
      <c r="H39" s="32">
        <v>10230</v>
      </c>
      <c r="I39" s="32">
        <f t="shared" si="0"/>
        <v>100.075</v>
      </c>
      <c r="J39" s="32">
        <f>H39*100/C39</f>
        <v>127.875</v>
      </c>
      <c r="K39" s="32">
        <v>265</v>
      </c>
      <c r="L39" s="32">
        <v>325</v>
      </c>
      <c r="M39" s="33" t="s">
        <v>257</v>
      </c>
      <c r="N39" s="32">
        <v>2.125</v>
      </c>
      <c r="O39" s="32">
        <f t="shared" si="2"/>
        <v>1.2264150943396226</v>
      </c>
      <c r="P39" s="32">
        <f t="shared" si="3"/>
        <v>36</v>
      </c>
      <c r="Q39" s="32">
        <f t="shared" si="4"/>
        <v>0.20454545454545456</v>
      </c>
      <c r="R39" s="32">
        <f t="shared" si="11"/>
        <v>0</v>
      </c>
      <c r="S39" s="30">
        <f t="shared" si="5"/>
        <v>246.46853146853147</v>
      </c>
      <c r="T39" s="31">
        <f t="shared" si="6"/>
        <v>302.27272727272725</v>
      </c>
      <c r="U39" s="32">
        <f t="shared" si="7"/>
        <v>31.96875</v>
      </c>
      <c r="V39" s="32">
        <f t="shared" si="12"/>
        <v>0.40960000000000002</v>
      </c>
      <c r="W39" s="30">
        <f t="shared" si="8"/>
        <v>3416.6311384615392</v>
      </c>
      <c r="X39" s="31">
        <f t="shared" si="13"/>
        <v>4190.2080000000005</v>
      </c>
      <c r="Y39" s="32">
        <f t="shared" si="9"/>
        <v>13.107200000000002</v>
      </c>
      <c r="Z39" s="20">
        <f t="shared" si="28"/>
        <v>479.53124999999994</v>
      </c>
      <c r="AA39" s="20"/>
      <c r="AB39" s="20"/>
      <c r="AC39" s="20"/>
      <c r="AD39" s="20"/>
      <c r="AE39" s="20"/>
    </row>
    <row r="40" spans="1:31" x14ac:dyDescent="0.25">
      <c r="A40" s="21" t="s">
        <v>307</v>
      </c>
      <c r="B40" s="21">
        <v>1.53</v>
      </c>
      <c r="C40" s="21">
        <v>643</v>
      </c>
      <c r="D40" s="21">
        <v>8</v>
      </c>
      <c r="E40" s="21" t="s">
        <v>259</v>
      </c>
      <c r="F40" s="21" t="s">
        <v>275</v>
      </c>
      <c r="G40" s="21">
        <v>667</v>
      </c>
      <c r="H40" s="21">
        <f>G40*1.13709677</f>
        <v>758.4435455900001</v>
      </c>
      <c r="I40" s="21">
        <f t="shared" si="0"/>
        <v>103.73250388802488</v>
      </c>
      <c r="J40" s="21">
        <f t="shared" ref="J40:J65" si="29">H40*100/C40</f>
        <v>117.95389511508556</v>
      </c>
      <c r="K40" s="21">
        <v>248</v>
      </c>
      <c r="L40" s="21">
        <v>282</v>
      </c>
      <c r="M40" s="21" t="s">
        <v>257</v>
      </c>
      <c r="N40" s="21">
        <f t="shared" ref="N40:N65" si="30">0.64*B40</f>
        <v>0.97920000000000007</v>
      </c>
      <c r="O40" s="21">
        <f t="shared" si="2"/>
        <v>1.1370967741935485</v>
      </c>
      <c r="P40" s="21">
        <f t="shared" si="3"/>
        <v>-7</v>
      </c>
      <c r="Q40" s="20">
        <f t="shared" si="4"/>
        <v>-3.9772727272727272E-2</v>
      </c>
      <c r="R40" s="20">
        <f t="shared" si="11"/>
        <v>0</v>
      </c>
      <c r="S40" s="30">
        <f t="shared" si="5"/>
        <v>252.93681495809153</v>
      </c>
      <c r="T40" s="31">
        <f t="shared" si="6"/>
        <v>287.61363636363637</v>
      </c>
      <c r="U40" s="20">
        <f t="shared" si="7"/>
        <v>29.48847377877139</v>
      </c>
      <c r="V40" s="20">
        <f t="shared" si="12"/>
        <v>0.40960000000000002</v>
      </c>
      <c r="W40" s="30">
        <f t="shared" si="8"/>
        <v>273.20319899244214</v>
      </c>
      <c r="X40" s="31">
        <f t="shared" si="13"/>
        <v>310.65847627366406</v>
      </c>
      <c r="Y40" s="20">
        <f t="shared" si="9"/>
        <v>1.0534912000000001</v>
      </c>
      <c r="Z40" s="20">
        <f t="shared" si="28"/>
        <v>442.32710668157085</v>
      </c>
      <c r="AA40" s="20"/>
      <c r="AB40" s="20"/>
      <c r="AC40" s="20"/>
      <c r="AD40" s="20"/>
      <c r="AE40" s="20"/>
    </row>
    <row r="41" spans="1:31" x14ac:dyDescent="0.25">
      <c r="A41" s="21"/>
      <c r="B41" s="21"/>
      <c r="C41" s="21"/>
      <c r="D41" s="21"/>
      <c r="E41" s="21"/>
      <c r="F41" s="21"/>
      <c r="G41" s="21"/>
      <c r="H41" s="21"/>
      <c r="I41" s="21" t="e">
        <f t="shared" si="0"/>
        <v>#DIV/0!</v>
      </c>
      <c r="J41" s="21" t="e">
        <f t="shared" si="29"/>
        <v>#DIV/0!</v>
      </c>
      <c r="K41" s="21"/>
      <c r="L41" s="21"/>
      <c r="M41" s="21"/>
      <c r="N41" s="21">
        <f t="shared" si="30"/>
        <v>0</v>
      </c>
      <c r="O41" s="21" t="e">
        <f t="shared" si="2"/>
        <v>#DIV/0!</v>
      </c>
      <c r="P41" s="21">
        <f t="shared" si="3"/>
        <v>-289</v>
      </c>
      <c r="Q41" s="20">
        <f t="shared" si="4"/>
        <v>-1.6420454545454546</v>
      </c>
      <c r="R41" s="20">
        <f t="shared" si="11"/>
        <v>0</v>
      </c>
      <c r="S41" s="30" t="e">
        <f t="shared" si="5"/>
        <v>#DIV/0!</v>
      </c>
      <c r="T41" s="31">
        <f t="shared" si="6"/>
        <v>191.47727272727272</v>
      </c>
      <c r="U41" s="20" t="e">
        <f t="shared" si="7"/>
        <v>#N/A</v>
      </c>
      <c r="V41" s="20" t="e">
        <f t="shared" si="12"/>
        <v>#N/A</v>
      </c>
      <c r="W41" s="30" t="e">
        <f t="shared" si="8"/>
        <v>#N/A</v>
      </c>
      <c r="X41" s="31" t="e">
        <f t="shared" si="13"/>
        <v>#N/A</v>
      </c>
      <c r="Y41" s="20" t="e">
        <f t="shared" si="9"/>
        <v>#N/A</v>
      </c>
      <c r="AA41" s="20"/>
      <c r="AB41" s="20"/>
      <c r="AC41" s="20"/>
      <c r="AD41" s="20"/>
      <c r="AE41" s="20"/>
    </row>
    <row r="42" spans="1:31" x14ac:dyDescent="0.25">
      <c r="A42" s="21"/>
      <c r="B42" s="21"/>
      <c r="C42" s="21"/>
      <c r="D42" s="21"/>
      <c r="E42" s="21"/>
      <c r="F42" s="21"/>
      <c r="G42" s="21"/>
      <c r="H42" s="21"/>
      <c r="I42" s="21" t="e">
        <f t="shared" si="0"/>
        <v>#DIV/0!</v>
      </c>
      <c r="J42" s="21" t="e">
        <f t="shared" si="29"/>
        <v>#DIV/0!</v>
      </c>
      <c r="K42" s="21"/>
      <c r="L42" s="21"/>
      <c r="M42" s="21"/>
      <c r="N42" s="21">
        <f t="shared" si="30"/>
        <v>0</v>
      </c>
      <c r="O42" s="21" t="e">
        <f t="shared" si="2"/>
        <v>#DIV/0!</v>
      </c>
      <c r="P42" s="21">
        <f t="shared" si="3"/>
        <v>-289</v>
      </c>
      <c r="Q42" s="20">
        <f t="shared" si="4"/>
        <v>-1.6420454545454546</v>
      </c>
      <c r="R42" s="20">
        <f t="shared" si="11"/>
        <v>0</v>
      </c>
      <c r="S42" s="30" t="e">
        <f t="shared" si="5"/>
        <v>#DIV/0!</v>
      </c>
      <c r="T42" s="31">
        <f t="shared" si="6"/>
        <v>191.47727272727272</v>
      </c>
      <c r="U42" s="20" t="e">
        <f t="shared" si="7"/>
        <v>#N/A</v>
      </c>
      <c r="V42" s="20" t="e">
        <f t="shared" si="12"/>
        <v>#N/A</v>
      </c>
      <c r="W42" s="30" t="e">
        <f t="shared" si="8"/>
        <v>#N/A</v>
      </c>
      <c r="X42" s="31" t="e">
        <f t="shared" si="13"/>
        <v>#N/A</v>
      </c>
      <c r="Y42" s="20" t="e">
        <f t="shared" si="9"/>
        <v>#N/A</v>
      </c>
      <c r="AA42" s="20"/>
      <c r="AB42" s="20"/>
      <c r="AC42" s="20"/>
      <c r="AD42" s="20"/>
      <c r="AE42" s="20"/>
    </row>
    <row r="43" spans="1:31" x14ac:dyDescent="0.25">
      <c r="A43" s="21"/>
      <c r="B43" s="21"/>
      <c r="C43" s="21"/>
      <c r="D43" s="21"/>
      <c r="E43" s="21"/>
      <c r="F43" s="21"/>
      <c r="G43" s="21"/>
      <c r="H43" s="21"/>
      <c r="I43" s="21" t="e">
        <f t="shared" si="0"/>
        <v>#DIV/0!</v>
      </c>
      <c r="J43" s="21" t="e">
        <f t="shared" si="29"/>
        <v>#DIV/0!</v>
      </c>
      <c r="K43" s="21"/>
      <c r="L43" s="21"/>
      <c r="M43" s="21"/>
      <c r="N43" s="21">
        <f t="shared" si="30"/>
        <v>0</v>
      </c>
      <c r="O43" s="21" t="e">
        <f t="shared" si="2"/>
        <v>#DIV/0!</v>
      </c>
      <c r="P43" s="21">
        <f t="shared" si="3"/>
        <v>-289</v>
      </c>
      <c r="Q43" s="20">
        <f t="shared" si="4"/>
        <v>-1.6420454545454546</v>
      </c>
      <c r="R43" s="20">
        <f t="shared" si="11"/>
        <v>0</v>
      </c>
      <c r="S43" s="30" t="e">
        <f t="shared" si="5"/>
        <v>#DIV/0!</v>
      </c>
      <c r="T43" s="31">
        <f t="shared" si="6"/>
        <v>191.47727272727272</v>
      </c>
      <c r="U43" s="20" t="e">
        <f t="shared" si="7"/>
        <v>#N/A</v>
      </c>
      <c r="V43" s="20" t="e">
        <f t="shared" si="12"/>
        <v>#N/A</v>
      </c>
      <c r="W43" s="30" t="e">
        <f t="shared" si="8"/>
        <v>#N/A</v>
      </c>
      <c r="X43" s="31" t="e">
        <f t="shared" si="13"/>
        <v>#N/A</v>
      </c>
      <c r="Y43" s="20" t="e">
        <f t="shared" si="9"/>
        <v>#N/A</v>
      </c>
      <c r="AA43" s="20"/>
      <c r="AB43" s="20"/>
      <c r="AC43" s="20"/>
      <c r="AD43" s="20"/>
      <c r="AE43" s="20"/>
    </row>
    <row r="44" spans="1:31" x14ac:dyDescent="0.25">
      <c r="A44" s="21"/>
      <c r="B44" s="21"/>
      <c r="C44" s="21"/>
      <c r="D44" s="21"/>
      <c r="E44" s="21"/>
      <c r="F44" s="21"/>
      <c r="G44" s="21"/>
      <c r="H44" s="21"/>
      <c r="I44" s="21" t="e">
        <f t="shared" si="0"/>
        <v>#DIV/0!</v>
      </c>
      <c r="J44" s="21" t="e">
        <f t="shared" si="29"/>
        <v>#DIV/0!</v>
      </c>
      <c r="K44" s="21"/>
      <c r="L44" s="21"/>
      <c r="M44" s="21"/>
      <c r="N44" s="21">
        <f t="shared" si="30"/>
        <v>0</v>
      </c>
      <c r="O44" s="21" t="e">
        <f t="shared" si="2"/>
        <v>#DIV/0!</v>
      </c>
      <c r="P44" s="21">
        <f t="shared" si="3"/>
        <v>-289</v>
      </c>
      <c r="Q44" s="20">
        <f t="shared" si="4"/>
        <v>-1.6420454545454546</v>
      </c>
      <c r="R44" s="20">
        <f t="shared" si="11"/>
        <v>0</v>
      </c>
      <c r="S44" s="30" t="e">
        <f t="shared" si="5"/>
        <v>#DIV/0!</v>
      </c>
      <c r="T44" s="31">
        <f t="shared" si="6"/>
        <v>191.47727272727272</v>
      </c>
      <c r="U44" s="20" t="e">
        <f t="shared" si="7"/>
        <v>#N/A</v>
      </c>
      <c r="V44" s="20" t="e">
        <f t="shared" si="12"/>
        <v>#N/A</v>
      </c>
      <c r="W44" s="30" t="e">
        <f t="shared" si="8"/>
        <v>#N/A</v>
      </c>
      <c r="X44" s="31" t="e">
        <f t="shared" si="13"/>
        <v>#N/A</v>
      </c>
      <c r="Y44" s="20" t="e">
        <f t="shared" si="9"/>
        <v>#N/A</v>
      </c>
      <c r="AA44" s="20"/>
      <c r="AB44" s="20"/>
      <c r="AC44" s="20"/>
      <c r="AD44" s="20"/>
      <c r="AE44" s="20"/>
    </row>
    <row r="45" spans="1:31" x14ac:dyDescent="0.25">
      <c r="A45" s="21"/>
      <c r="B45" s="21"/>
      <c r="C45" s="21"/>
      <c r="D45" s="21"/>
      <c r="E45" s="21"/>
      <c r="F45" s="21"/>
      <c r="G45" s="21"/>
      <c r="H45" s="21"/>
      <c r="I45" s="21" t="e">
        <f t="shared" si="0"/>
        <v>#DIV/0!</v>
      </c>
      <c r="J45" s="21" t="e">
        <f t="shared" si="29"/>
        <v>#DIV/0!</v>
      </c>
      <c r="K45" s="21"/>
      <c r="L45" s="21"/>
      <c r="M45" s="21"/>
      <c r="N45" s="21">
        <f t="shared" si="30"/>
        <v>0</v>
      </c>
      <c r="O45" s="21" t="e">
        <f t="shared" si="2"/>
        <v>#DIV/0!</v>
      </c>
      <c r="P45" s="21">
        <f t="shared" si="3"/>
        <v>-289</v>
      </c>
      <c r="Q45" s="20">
        <f t="shared" si="4"/>
        <v>-1.6420454545454546</v>
      </c>
      <c r="R45" s="20">
        <f t="shared" si="11"/>
        <v>0</v>
      </c>
      <c r="S45" s="30" t="e">
        <f t="shared" si="5"/>
        <v>#DIV/0!</v>
      </c>
      <c r="T45" s="31">
        <f t="shared" si="6"/>
        <v>191.47727272727272</v>
      </c>
      <c r="U45" s="20" t="e">
        <f t="shared" si="7"/>
        <v>#N/A</v>
      </c>
      <c r="V45" s="20" t="e">
        <f t="shared" si="12"/>
        <v>#N/A</v>
      </c>
      <c r="W45" s="30" t="e">
        <f t="shared" si="8"/>
        <v>#N/A</v>
      </c>
      <c r="X45" s="31" t="e">
        <f t="shared" si="13"/>
        <v>#N/A</v>
      </c>
      <c r="Y45" s="20" t="e">
        <f t="shared" si="9"/>
        <v>#N/A</v>
      </c>
      <c r="AA45" s="20"/>
      <c r="AB45" s="20"/>
      <c r="AC45" s="20"/>
      <c r="AD45" s="20"/>
      <c r="AE45" s="20"/>
    </row>
    <row r="46" spans="1:31" x14ac:dyDescent="0.25">
      <c r="A46" s="21"/>
      <c r="B46" s="21"/>
      <c r="C46" s="21"/>
      <c r="D46" s="21"/>
      <c r="E46" s="21"/>
      <c r="F46" s="21"/>
      <c r="G46" s="21"/>
      <c r="H46" s="21"/>
      <c r="I46" s="21" t="e">
        <f t="shared" si="0"/>
        <v>#DIV/0!</v>
      </c>
      <c r="J46" s="21" t="e">
        <f t="shared" si="29"/>
        <v>#DIV/0!</v>
      </c>
      <c r="K46" s="21"/>
      <c r="L46" s="21"/>
      <c r="M46" s="21"/>
      <c r="N46" s="21">
        <f t="shared" si="30"/>
        <v>0</v>
      </c>
      <c r="O46" s="21" t="e">
        <f t="shared" si="2"/>
        <v>#DIV/0!</v>
      </c>
      <c r="P46" s="21">
        <f t="shared" si="3"/>
        <v>-289</v>
      </c>
      <c r="Q46" s="20">
        <f t="shared" si="4"/>
        <v>-1.6420454545454546</v>
      </c>
      <c r="R46" s="20">
        <f t="shared" si="11"/>
        <v>0</v>
      </c>
      <c r="S46" s="30" t="e">
        <f t="shared" si="5"/>
        <v>#DIV/0!</v>
      </c>
      <c r="T46" s="31">
        <f t="shared" si="6"/>
        <v>191.47727272727272</v>
      </c>
      <c r="U46" s="20" t="e">
        <f t="shared" si="7"/>
        <v>#N/A</v>
      </c>
      <c r="V46" s="20" t="e">
        <f t="shared" si="12"/>
        <v>#N/A</v>
      </c>
      <c r="W46" s="30" t="e">
        <f t="shared" si="8"/>
        <v>#N/A</v>
      </c>
      <c r="X46" s="31" t="e">
        <f t="shared" si="13"/>
        <v>#N/A</v>
      </c>
      <c r="Y46" s="20" t="e">
        <f t="shared" si="9"/>
        <v>#N/A</v>
      </c>
      <c r="AA46" s="20"/>
      <c r="AB46" s="20"/>
      <c r="AC46" s="20"/>
      <c r="AD46" s="20"/>
      <c r="AE46" s="20"/>
    </row>
    <row r="47" spans="1:31" x14ac:dyDescent="0.25">
      <c r="A47" s="21"/>
      <c r="B47" s="21"/>
      <c r="C47" s="21"/>
      <c r="D47" s="21"/>
      <c r="E47" s="21"/>
      <c r="F47" s="21"/>
      <c r="G47" s="21"/>
      <c r="H47" s="21"/>
      <c r="I47" s="21" t="e">
        <f t="shared" si="0"/>
        <v>#DIV/0!</v>
      </c>
      <c r="J47" s="21" t="e">
        <f t="shared" si="29"/>
        <v>#DIV/0!</v>
      </c>
      <c r="K47" s="21"/>
      <c r="L47" s="21"/>
      <c r="M47" s="21"/>
      <c r="N47" s="21">
        <f t="shared" si="30"/>
        <v>0</v>
      </c>
      <c r="O47" s="21" t="e">
        <f t="shared" si="2"/>
        <v>#DIV/0!</v>
      </c>
      <c r="P47" s="21">
        <f t="shared" si="3"/>
        <v>-289</v>
      </c>
      <c r="Q47" s="20">
        <f t="shared" si="4"/>
        <v>-1.6420454545454546</v>
      </c>
      <c r="R47" s="20">
        <f t="shared" si="11"/>
        <v>0</v>
      </c>
      <c r="S47" s="30" t="e">
        <f t="shared" si="5"/>
        <v>#DIV/0!</v>
      </c>
      <c r="T47" s="31">
        <f t="shared" si="6"/>
        <v>191.47727272727272</v>
      </c>
      <c r="U47" s="20" t="e">
        <f t="shared" si="7"/>
        <v>#N/A</v>
      </c>
      <c r="V47" s="20" t="e">
        <f t="shared" si="12"/>
        <v>#N/A</v>
      </c>
      <c r="W47" s="30" t="e">
        <f t="shared" si="8"/>
        <v>#N/A</v>
      </c>
      <c r="X47" s="31" t="e">
        <f t="shared" si="13"/>
        <v>#N/A</v>
      </c>
      <c r="Y47" s="20" t="e">
        <f t="shared" si="9"/>
        <v>#N/A</v>
      </c>
      <c r="AA47" s="20"/>
      <c r="AB47" s="20"/>
      <c r="AC47" s="20"/>
      <c r="AD47" s="20"/>
      <c r="AE47" s="20"/>
    </row>
    <row r="48" spans="1:31" x14ac:dyDescent="0.25">
      <c r="A48" s="21"/>
      <c r="B48" s="21"/>
      <c r="C48" s="21"/>
      <c r="D48" s="21"/>
      <c r="E48" s="21"/>
      <c r="F48" s="21"/>
      <c r="G48" s="21"/>
      <c r="H48" s="21"/>
      <c r="I48" s="21" t="e">
        <f t="shared" si="0"/>
        <v>#DIV/0!</v>
      </c>
      <c r="J48" s="21" t="e">
        <f t="shared" si="29"/>
        <v>#DIV/0!</v>
      </c>
      <c r="K48" s="21"/>
      <c r="L48" s="21"/>
      <c r="M48" s="21"/>
      <c r="N48" s="21">
        <f t="shared" si="30"/>
        <v>0</v>
      </c>
      <c r="O48" s="21" t="e">
        <f t="shared" si="2"/>
        <v>#DIV/0!</v>
      </c>
      <c r="P48" s="21">
        <f t="shared" si="3"/>
        <v>-289</v>
      </c>
      <c r="Q48" s="20">
        <f t="shared" si="4"/>
        <v>-1.6420454545454546</v>
      </c>
      <c r="R48" s="20">
        <f t="shared" si="11"/>
        <v>0</v>
      </c>
      <c r="S48" s="30" t="e">
        <f t="shared" si="5"/>
        <v>#DIV/0!</v>
      </c>
      <c r="T48" s="31">
        <f t="shared" si="6"/>
        <v>191.47727272727272</v>
      </c>
      <c r="U48" s="20" t="e">
        <f t="shared" si="7"/>
        <v>#N/A</v>
      </c>
      <c r="V48" s="20" t="e">
        <f t="shared" si="12"/>
        <v>#N/A</v>
      </c>
      <c r="W48" s="30" t="e">
        <f t="shared" si="8"/>
        <v>#N/A</v>
      </c>
      <c r="X48" s="31" t="e">
        <f t="shared" si="13"/>
        <v>#N/A</v>
      </c>
      <c r="Y48" s="20" t="e">
        <f t="shared" si="9"/>
        <v>#N/A</v>
      </c>
      <c r="AA48" s="20"/>
      <c r="AB48" s="20"/>
      <c r="AC48" s="20"/>
      <c r="AD48" s="20"/>
      <c r="AE48" s="20"/>
    </row>
    <row r="49" spans="1:31" x14ac:dyDescent="0.25">
      <c r="A49" s="21"/>
      <c r="B49" s="21"/>
      <c r="C49" s="21"/>
      <c r="D49" s="21"/>
      <c r="E49" s="21"/>
      <c r="F49" s="21"/>
      <c r="G49" s="21"/>
      <c r="H49" s="21"/>
      <c r="I49" s="21" t="e">
        <f t="shared" si="0"/>
        <v>#DIV/0!</v>
      </c>
      <c r="J49" s="21" t="e">
        <f t="shared" si="29"/>
        <v>#DIV/0!</v>
      </c>
      <c r="K49" s="21"/>
      <c r="L49" s="21"/>
      <c r="M49" s="21"/>
      <c r="N49" s="21">
        <f t="shared" si="30"/>
        <v>0</v>
      </c>
      <c r="O49" s="21" t="e">
        <f t="shared" si="2"/>
        <v>#DIV/0!</v>
      </c>
      <c r="P49" s="21">
        <f t="shared" si="3"/>
        <v>-289</v>
      </c>
      <c r="Q49" s="20">
        <f t="shared" si="4"/>
        <v>-1.6420454545454546</v>
      </c>
      <c r="R49" s="20">
        <f t="shared" si="11"/>
        <v>0</v>
      </c>
      <c r="S49" s="30" t="e">
        <f t="shared" si="5"/>
        <v>#DIV/0!</v>
      </c>
      <c r="T49" s="31">
        <f t="shared" si="6"/>
        <v>191.47727272727272</v>
      </c>
      <c r="U49" s="20" t="e">
        <f t="shared" si="7"/>
        <v>#N/A</v>
      </c>
      <c r="V49" s="20" t="e">
        <f t="shared" si="12"/>
        <v>#N/A</v>
      </c>
      <c r="W49" s="30" t="e">
        <f t="shared" si="8"/>
        <v>#N/A</v>
      </c>
      <c r="X49" s="31" t="e">
        <f t="shared" si="13"/>
        <v>#N/A</v>
      </c>
      <c r="Y49" s="20" t="e">
        <f t="shared" si="9"/>
        <v>#N/A</v>
      </c>
      <c r="AA49" s="20"/>
      <c r="AB49" s="20"/>
      <c r="AC49" s="20"/>
      <c r="AD49" s="20"/>
      <c r="AE49" s="20"/>
    </row>
    <row r="50" spans="1:31" x14ac:dyDescent="0.25">
      <c r="A50" s="21"/>
      <c r="B50" s="21"/>
      <c r="C50" s="21"/>
      <c r="D50" s="21"/>
      <c r="E50" s="21"/>
      <c r="F50" s="21"/>
      <c r="G50" s="21"/>
      <c r="H50" s="21"/>
      <c r="I50" s="21" t="e">
        <f t="shared" si="0"/>
        <v>#DIV/0!</v>
      </c>
      <c r="J50" s="21" t="e">
        <f t="shared" si="29"/>
        <v>#DIV/0!</v>
      </c>
      <c r="K50" s="21"/>
      <c r="L50" s="21"/>
      <c r="M50" s="21"/>
      <c r="N50" s="21">
        <f t="shared" si="30"/>
        <v>0</v>
      </c>
      <c r="O50" s="21" t="e">
        <f t="shared" si="2"/>
        <v>#DIV/0!</v>
      </c>
      <c r="P50" s="21">
        <f t="shared" si="3"/>
        <v>-289</v>
      </c>
      <c r="Q50" s="20">
        <f t="shared" si="4"/>
        <v>-1.6420454545454546</v>
      </c>
      <c r="R50" s="20">
        <f t="shared" si="11"/>
        <v>0</v>
      </c>
      <c r="S50" s="30" t="e">
        <f t="shared" si="5"/>
        <v>#DIV/0!</v>
      </c>
      <c r="T50" s="31">
        <f t="shared" si="6"/>
        <v>191.47727272727272</v>
      </c>
      <c r="U50" s="20" t="e">
        <f t="shared" si="7"/>
        <v>#N/A</v>
      </c>
      <c r="V50" s="20" t="e">
        <f t="shared" si="12"/>
        <v>#N/A</v>
      </c>
      <c r="W50" s="30" t="e">
        <f t="shared" si="8"/>
        <v>#N/A</v>
      </c>
      <c r="X50" s="31" t="e">
        <f t="shared" si="13"/>
        <v>#N/A</v>
      </c>
      <c r="Y50" s="20" t="e">
        <f t="shared" si="9"/>
        <v>#N/A</v>
      </c>
      <c r="AA50" s="20"/>
      <c r="AB50" s="20"/>
      <c r="AC50" s="20"/>
      <c r="AD50" s="20"/>
      <c r="AE50" s="20"/>
    </row>
    <row r="51" spans="1:31" x14ac:dyDescent="0.25">
      <c r="A51" s="21"/>
      <c r="B51" s="21"/>
      <c r="C51" s="21"/>
      <c r="D51" s="21"/>
      <c r="E51" s="21"/>
      <c r="F51" s="21"/>
      <c r="G51" s="21"/>
      <c r="H51" s="21"/>
      <c r="I51" s="21" t="e">
        <f t="shared" si="0"/>
        <v>#DIV/0!</v>
      </c>
      <c r="J51" s="21" t="e">
        <f t="shared" si="29"/>
        <v>#DIV/0!</v>
      </c>
      <c r="K51" s="21"/>
      <c r="L51" s="21"/>
      <c r="M51" s="21"/>
      <c r="N51" s="21">
        <f t="shared" si="30"/>
        <v>0</v>
      </c>
      <c r="O51" s="21" t="e">
        <f t="shared" si="2"/>
        <v>#DIV/0!</v>
      </c>
      <c r="P51" s="21">
        <f t="shared" si="3"/>
        <v>-289</v>
      </c>
      <c r="Q51" s="20">
        <f t="shared" si="4"/>
        <v>-1.6420454545454546</v>
      </c>
      <c r="R51" s="20">
        <f t="shared" si="11"/>
        <v>0</v>
      </c>
      <c r="S51" s="30" t="e">
        <f t="shared" si="5"/>
        <v>#DIV/0!</v>
      </c>
      <c r="T51" s="31">
        <f t="shared" si="6"/>
        <v>191.47727272727272</v>
      </c>
      <c r="U51" s="20" t="e">
        <f t="shared" si="7"/>
        <v>#N/A</v>
      </c>
      <c r="V51" s="20" t="e">
        <f t="shared" si="12"/>
        <v>#N/A</v>
      </c>
      <c r="W51" s="30" t="e">
        <f t="shared" si="8"/>
        <v>#N/A</v>
      </c>
      <c r="X51" s="31" t="e">
        <f t="shared" si="13"/>
        <v>#N/A</v>
      </c>
      <c r="Y51" s="20" t="e">
        <f t="shared" si="9"/>
        <v>#N/A</v>
      </c>
      <c r="AA51" s="20"/>
      <c r="AB51" s="20"/>
      <c r="AC51" s="20"/>
      <c r="AD51" s="20"/>
      <c r="AE51" s="20"/>
    </row>
    <row r="52" spans="1:31" x14ac:dyDescent="0.25">
      <c r="A52" s="21"/>
      <c r="B52" s="21"/>
      <c r="C52" s="21"/>
      <c r="D52" s="21"/>
      <c r="E52" s="21"/>
      <c r="F52" s="21"/>
      <c r="G52" s="21"/>
      <c r="H52" s="21"/>
      <c r="I52" s="21" t="e">
        <f t="shared" si="0"/>
        <v>#DIV/0!</v>
      </c>
      <c r="J52" s="21" t="e">
        <f t="shared" si="29"/>
        <v>#DIV/0!</v>
      </c>
      <c r="K52" s="21"/>
      <c r="L52" s="21"/>
      <c r="M52" s="21"/>
      <c r="N52" s="21">
        <f t="shared" si="30"/>
        <v>0</v>
      </c>
      <c r="O52" s="21" t="e">
        <f t="shared" si="2"/>
        <v>#DIV/0!</v>
      </c>
      <c r="P52" s="21">
        <f t="shared" si="3"/>
        <v>-289</v>
      </c>
      <c r="Q52" s="20">
        <f t="shared" si="4"/>
        <v>-1.6420454545454546</v>
      </c>
      <c r="R52" s="20">
        <f t="shared" si="11"/>
        <v>0</v>
      </c>
      <c r="S52" s="30" t="e">
        <f t="shared" si="5"/>
        <v>#DIV/0!</v>
      </c>
      <c r="T52" s="31">
        <f t="shared" si="6"/>
        <v>191.47727272727272</v>
      </c>
      <c r="U52" s="20" t="e">
        <f t="shared" si="7"/>
        <v>#N/A</v>
      </c>
      <c r="V52" s="20" t="e">
        <f t="shared" si="12"/>
        <v>#N/A</v>
      </c>
      <c r="W52" s="30" t="e">
        <f t="shared" si="8"/>
        <v>#N/A</v>
      </c>
      <c r="X52" s="31" t="e">
        <f t="shared" si="13"/>
        <v>#N/A</v>
      </c>
      <c r="Y52" s="20" t="e">
        <f t="shared" si="9"/>
        <v>#N/A</v>
      </c>
      <c r="AA52" s="20"/>
      <c r="AB52" s="20"/>
      <c r="AC52" s="20"/>
      <c r="AD52" s="20"/>
      <c r="AE52" s="20"/>
    </row>
    <row r="53" spans="1:31" x14ac:dyDescent="0.25">
      <c r="A53" s="21"/>
      <c r="B53" s="21"/>
      <c r="C53" s="21"/>
      <c r="D53" s="21"/>
      <c r="E53" s="21"/>
      <c r="F53" s="21"/>
      <c r="G53" s="21"/>
      <c r="H53" s="21"/>
      <c r="I53" s="21" t="e">
        <f t="shared" si="0"/>
        <v>#DIV/0!</v>
      </c>
      <c r="J53" s="21" t="e">
        <f t="shared" si="29"/>
        <v>#DIV/0!</v>
      </c>
      <c r="K53" s="21"/>
      <c r="L53" s="21"/>
      <c r="M53" s="21"/>
      <c r="N53" s="21">
        <f t="shared" si="30"/>
        <v>0</v>
      </c>
      <c r="O53" s="21" t="e">
        <f t="shared" si="2"/>
        <v>#DIV/0!</v>
      </c>
      <c r="P53" s="21">
        <f t="shared" si="3"/>
        <v>-289</v>
      </c>
      <c r="Q53" s="20">
        <f t="shared" si="4"/>
        <v>-1.6420454545454546</v>
      </c>
      <c r="R53" s="20">
        <f t="shared" si="11"/>
        <v>0</v>
      </c>
      <c r="S53" s="30" t="e">
        <f t="shared" si="5"/>
        <v>#DIV/0!</v>
      </c>
      <c r="T53" s="31">
        <f t="shared" si="6"/>
        <v>191.47727272727272</v>
      </c>
      <c r="U53" s="20" t="e">
        <f t="shared" si="7"/>
        <v>#N/A</v>
      </c>
      <c r="V53" s="20" t="e">
        <f t="shared" si="12"/>
        <v>#N/A</v>
      </c>
      <c r="W53" s="30" t="e">
        <f t="shared" si="8"/>
        <v>#N/A</v>
      </c>
      <c r="X53" s="31" t="e">
        <f t="shared" si="13"/>
        <v>#N/A</v>
      </c>
      <c r="Y53" s="20" t="e">
        <f t="shared" si="9"/>
        <v>#N/A</v>
      </c>
      <c r="AA53" s="20"/>
      <c r="AB53" s="20"/>
      <c r="AC53" s="20"/>
      <c r="AD53" s="20"/>
      <c r="AE53" s="20"/>
    </row>
    <row r="54" spans="1:31" x14ac:dyDescent="0.25">
      <c r="A54" s="21"/>
      <c r="B54" s="21"/>
      <c r="C54" s="21"/>
      <c r="D54" s="21"/>
      <c r="E54" s="21"/>
      <c r="F54" s="21"/>
      <c r="G54" s="21"/>
      <c r="H54" s="21"/>
      <c r="I54" s="21" t="e">
        <f t="shared" si="0"/>
        <v>#DIV/0!</v>
      </c>
      <c r="J54" s="21" t="e">
        <f t="shared" si="29"/>
        <v>#DIV/0!</v>
      </c>
      <c r="K54" s="21"/>
      <c r="L54" s="21"/>
      <c r="M54" s="21"/>
      <c r="N54" s="21">
        <f t="shared" si="30"/>
        <v>0</v>
      </c>
      <c r="O54" s="21" t="e">
        <f t="shared" si="2"/>
        <v>#DIV/0!</v>
      </c>
      <c r="P54" s="21">
        <f t="shared" si="3"/>
        <v>-289</v>
      </c>
      <c r="Q54" s="20">
        <f t="shared" si="4"/>
        <v>-1.6420454545454546</v>
      </c>
      <c r="R54" s="20">
        <f t="shared" si="11"/>
        <v>0</v>
      </c>
      <c r="S54" s="30" t="e">
        <f t="shared" si="5"/>
        <v>#DIV/0!</v>
      </c>
      <c r="T54" s="31">
        <f t="shared" si="6"/>
        <v>191.47727272727272</v>
      </c>
      <c r="U54" s="20" t="e">
        <f t="shared" si="7"/>
        <v>#N/A</v>
      </c>
      <c r="V54" s="20" t="e">
        <f t="shared" si="12"/>
        <v>#N/A</v>
      </c>
      <c r="W54" s="30" t="e">
        <f t="shared" si="8"/>
        <v>#N/A</v>
      </c>
      <c r="X54" s="31" t="e">
        <f t="shared" si="13"/>
        <v>#N/A</v>
      </c>
      <c r="Y54" s="20" t="e">
        <f t="shared" si="9"/>
        <v>#N/A</v>
      </c>
      <c r="AA54" s="20"/>
      <c r="AB54" s="20"/>
      <c r="AC54" s="20"/>
      <c r="AD54" s="20"/>
      <c r="AE54" s="20"/>
    </row>
    <row r="55" spans="1:31" x14ac:dyDescent="0.25">
      <c r="A55" s="21"/>
      <c r="B55" s="21"/>
      <c r="C55" s="21"/>
      <c r="D55" s="21"/>
      <c r="E55" s="21"/>
      <c r="F55" s="21"/>
      <c r="G55" s="21"/>
      <c r="H55" s="21"/>
      <c r="I55" s="21" t="e">
        <f t="shared" si="0"/>
        <v>#DIV/0!</v>
      </c>
      <c r="J55" s="21" t="e">
        <f t="shared" si="29"/>
        <v>#DIV/0!</v>
      </c>
      <c r="K55" s="21"/>
      <c r="L55" s="21"/>
      <c r="M55" s="21"/>
      <c r="N55" s="21">
        <f t="shared" si="30"/>
        <v>0</v>
      </c>
      <c r="O55" s="21" t="e">
        <f t="shared" si="2"/>
        <v>#DIV/0!</v>
      </c>
      <c r="P55" s="21">
        <f t="shared" si="3"/>
        <v>-289</v>
      </c>
      <c r="Q55" s="20">
        <f t="shared" si="4"/>
        <v>-1.6420454545454546</v>
      </c>
      <c r="R55" s="20">
        <f t="shared" si="11"/>
        <v>0</v>
      </c>
      <c r="S55" s="30" t="e">
        <f t="shared" si="5"/>
        <v>#DIV/0!</v>
      </c>
      <c r="T55" s="31">
        <f t="shared" si="6"/>
        <v>191.47727272727272</v>
      </c>
      <c r="U55" s="20" t="e">
        <f t="shared" si="7"/>
        <v>#N/A</v>
      </c>
      <c r="V55" s="20" t="e">
        <f t="shared" si="12"/>
        <v>#N/A</v>
      </c>
      <c r="W55" s="30" t="e">
        <f t="shared" si="8"/>
        <v>#N/A</v>
      </c>
      <c r="X55" s="31" t="e">
        <f t="shared" si="13"/>
        <v>#N/A</v>
      </c>
      <c r="Y55" s="20" t="e">
        <f t="shared" si="9"/>
        <v>#N/A</v>
      </c>
      <c r="AA55" s="20"/>
      <c r="AB55" s="20"/>
      <c r="AC55" s="20"/>
      <c r="AD55" s="20"/>
      <c r="AE55" s="20"/>
    </row>
    <row r="56" spans="1:31" x14ac:dyDescent="0.25">
      <c r="A56" s="21"/>
      <c r="B56" s="21"/>
      <c r="C56" s="21"/>
      <c r="D56" s="21"/>
      <c r="E56" s="21"/>
      <c r="F56" s="21"/>
      <c r="G56" s="21"/>
      <c r="H56" s="21"/>
      <c r="I56" s="21" t="e">
        <f t="shared" si="0"/>
        <v>#DIV/0!</v>
      </c>
      <c r="J56" s="21" t="e">
        <f t="shared" si="29"/>
        <v>#DIV/0!</v>
      </c>
      <c r="K56" s="21"/>
      <c r="L56" s="21"/>
      <c r="M56" s="21"/>
      <c r="N56" s="21">
        <f t="shared" si="30"/>
        <v>0</v>
      </c>
      <c r="O56" s="21" t="e">
        <f t="shared" si="2"/>
        <v>#DIV/0!</v>
      </c>
      <c r="P56" s="21">
        <f t="shared" si="3"/>
        <v>-289</v>
      </c>
      <c r="Q56" s="20">
        <f t="shared" si="4"/>
        <v>-1.6420454545454546</v>
      </c>
      <c r="R56" s="20">
        <f t="shared" si="11"/>
        <v>0</v>
      </c>
      <c r="S56" s="30" t="e">
        <f t="shared" si="5"/>
        <v>#DIV/0!</v>
      </c>
      <c r="T56" s="31">
        <f t="shared" si="6"/>
        <v>191.47727272727272</v>
      </c>
      <c r="U56" s="20" t="e">
        <f t="shared" si="7"/>
        <v>#N/A</v>
      </c>
      <c r="V56" s="20" t="e">
        <f t="shared" si="12"/>
        <v>#N/A</v>
      </c>
      <c r="W56" s="30" t="e">
        <f t="shared" si="8"/>
        <v>#N/A</v>
      </c>
      <c r="X56" s="31" t="e">
        <f t="shared" si="13"/>
        <v>#N/A</v>
      </c>
      <c r="Y56" s="20" t="e">
        <f t="shared" si="9"/>
        <v>#N/A</v>
      </c>
      <c r="AA56" s="20"/>
      <c r="AB56" s="20"/>
      <c r="AC56" s="20"/>
      <c r="AD56" s="20"/>
      <c r="AE56" s="20"/>
    </row>
    <row r="57" spans="1:31" x14ac:dyDescent="0.25">
      <c r="A57" s="21"/>
      <c r="B57" s="21"/>
      <c r="C57" s="21"/>
      <c r="D57" s="21"/>
      <c r="E57" s="21"/>
      <c r="F57" s="21"/>
      <c r="G57" s="21"/>
      <c r="H57" s="21"/>
      <c r="I57" s="21" t="e">
        <f t="shared" si="0"/>
        <v>#DIV/0!</v>
      </c>
      <c r="J57" s="21" t="e">
        <f t="shared" si="29"/>
        <v>#DIV/0!</v>
      </c>
      <c r="K57" s="21"/>
      <c r="L57" s="21"/>
      <c r="M57" s="21"/>
      <c r="N57" s="21">
        <f t="shared" si="30"/>
        <v>0</v>
      </c>
      <c r="O57" s="21" t="e">
        <f t="shared" si="2"/>
        <v>#DIV/0!</v>
      </c>
      <c r="P57" s="21">
        <f t="shared" si="3"/>
        <v>-289</v>
      </c>
      <c r="Q57" s="20">
        <f t="shared" si="4"/>
        <v>-1.6420454545454546</v>
      </c>
      <c r="R57" s="20">
        <f t="shared" si="11"/>
        <v>0</v>
      </c>
      <c r="S57" s="30" t="e">
        <f t="shared" si="5"/>
        <v>#DIV/0!</v>
      </c>
      <c r="T57" s="31">
        <f t="shared" si="6"/>
        <v>191.47727272727272</v>
      </c>
      <c r="U57" s="20" t="e">
        <f t="shared" si="7"/>
        <v>#N/A</v>
      </c>
      <c r="V57" s="20" t="e">
        <f t="shared" si="12"/>
        <v>#N/A</v>
      </c>
      <c r="W57" s="30" t="e">
        <f t="shared" si="8"/>
        <v>#N/A</v>
      </c>
      <c r="X57" s="31" t="e">
        <f t="shared" si="13"/>
        <v>#N/A</v>
      </c>
      <c r="Y57" s="20" t="e">
        <f t="shared" si="9"/>
        <v>#N/A</v>
      </c>
      <c r="AA57" s="20"/>
      <c r="AB57" s="20"/>
      <c r="AC57" s="20"/>
      <c r="AD57" s="20"/>
      <c r="AE57" s="20"/>
    </row>
    <row r="58" spans="1:31" x14ac:dyDescent="0.25">
      <c r="A58" s="21"/>
      <c r="B58" s="21"/>
      <c r="C58" s="21"/>
      <c r="D58" s="21"/>
      <c r="E58" s="21"/>
      <c r="F58" s="21"/>
      <c r="G58" s="21"/>
      <c r="H58" s="21"/>
      <c r="I58" s="21" t="e">
        <f t="shared" si="0"/>
        <v>#DIV/0!</v>
      </c>
      <c r="J58" s="21" t="e">
        <f t="shared" si="29"/>
        <v>#DIV/0!</v>
      </c>
      <c r="K58" s="21"/>
      <c r="L58" s="21"/>
      <c r="M58" s="21"/>
      <c r="N58" s="21">
        <f t="shared" si="30"/>
        <v>0</v>
      </c>
      <c r="O58" s="21" t="e">
        <f t="shared" si="2"/>
        <v>#DIV/0!</v>
      </c>
      <c r="P58" s="21">
        <f t="shared" si="3"/>
        <v>-289</v>
      </c>
      <c r="Q58" s="20">
        <f t="shared" si="4"/>
        <v>-1.6420454545454546</v>
      </c>
      <c r="R58" s="20">
        <f t="shared" si="11"/>
        <v>0</v>
      </c>
      <c r="S58" s="30" t="e">
        <f t="shared" si="5"/>
        <v>#DIV/0!</v>
      </c>
      <c r="T58" s="31">
        <f t="shared" si="6"/>
        <v>191.47727272727272</v>
      </c>
      <c r="U58" s="20" t="e">
        <f t="shared" si="7"/>
        <v>#N/A</v>
      </c>
      <c r="V58" s="20" t="e">
        <f t="shared" si="12"/>
        <v>#N/A</v>
      </c>
      <c r="W58" s="30" t="e">
        <f t="shared" si="8"/>
        <v>#N/A</v>
      </c>
      <c r="X58" s="31" t="e">
        <f t="shared" si="13"/>
        <v>#N/A</v>
      </c>
      <c r="Y58" s="20" t="e">
        <f t="shared" si="9"/>
        <v>#N/A</v>
      </c>
      <c r="AA58" s="20"/>
      <c r="AB58" s="20"/>
      <c r="AC58" s="20"/>
      <c r="AD58" s="20"/>
      <c r="AE58" s="20"/>
    </row>
    <row r="59" spans="1:31" x14ac:dyDescent="0.25">
      <c r="A59" s="21"/>
      <c r="B59" s="21"/>
      <c r="C59" s="21"/>
      <c r="D59" s="21"/>
      <c r="E59" s="21"/>
      <c r="F59" s="21"/>
      <c r="G59" s="21"/>
      <c r="H59" s="21"/>
      <c r="I59" s="21" t="e">
        <f t="shared" si="0"/>
        <v>#DIV/0!</v>
      </c>
      <c r="J59" s="21" t="e">
        <f t="shared" si="29"/>
        <v>#DIV/0!</v>
      </c>
      <c r="K59" s="21"/>
      <c r="L59" s="21"/>
      <c r="M59" s="21"/>
      <c r="N59" s="21">
        <f t="shared" si="30"/>
        <v>0</v>
      </c>
      <c r="O59" s="21" t="e">
        <f t="shared" si="2"/>
        <v>#DIV/0!</v>
      </c>
      <c r="P59" s="21">
        <f t="shared" si="3"/>
        <v>-289</v>
      </c>
      <c r="Q59" s="20">
        <f t="shared" si="4"/>
        <v>-1.6420454545454546</v>
      </c>
      <c r="R59" s="20">
        <f t="shared" si="11"/>
        <v>0</v>
      </c>
      <c r="S59" s="30" t="e">
        <f t="shared" si="5"/>
        <v>#DIV/0!</v>
      </c>
      <c r="T59" s="31">
        <f t="shared" si="6"/>
        <v>191.47727272727272</v>
      </c>
      <c r="U59" s="20" t="e">
        <f t="shared" si="7"/>
        <v>#N/A</v>
      </c>
      <c r="V59" s="20" t="e">
        <f t="shared" si="12"/>
        <v>#N/A</v>
      </c>
      <c r="W59" s="30" t="e">
        <f t="shared" si="8"/>
        <v>#N/A</v>
      </c>
      <c r="X59" s="31" t="e">
        <f t="shared" si="13"/>
        <v>#N/A</v>
      </c>
      <c r="Y59" s="20" t="e">
        <f t="shared" si="9"/>
        <v>#N/A</v>
      </c>
      <c r="AA59" s="20"/>
      <c r="AB59" s="20"/>
      <c r="AC59" s="20"/>
      <c r="AD59" s="20"/>
      <c r="AE59" s="20"/>
    </row>
    <row r="60" spans="1:31" x14ac:dyDescent="0.25">
      <c r="A60" s="21"/>
      <c r="B60" s="21"/>
      <c r="C60" s="21"/>
      <c r="D60" s="21"/>
      <c r="E60" s="21"/>
      <c r="F60" s="21"/>
      <c r="G60" s="21"/>
      <c r="H60" s="21"/>
      <c r="I60" s="21" t="e">
        <f t="shared" si="0"/>
        <v>#DIV/0!</v>
      </c>
      <c r="J60" s="21" t="e">
        <f t="shared" si="29"/>
        <v>#DIV/0!</v>
      </c>
      <c r="K60" s="21"/>
      <c r="L60" s="21"/>
      <c r="M60" s="21"/>
      <c r="N60" s="21">
        <f t="shared" si="30"/>
        <v>0</v>
      </c>
      <c r="O60" s="21" t="e">
        <f t="shared" si="2"/>
        <v>#DIV/0!</v>
      </c>
      <c r="P60" s="21">
        <f t="shared" si="3"/>
        <v>-289</v>
      </c>
      <c r="Q60" s="20">
        <f t="shared" si="4"/>
        <v>-1.6420454545454546</v>
      </c>
      <c r="R60" s="20">
        <f t="shared" si="11"/>
        <v>0</v>
      </c>
      <c r="S60" s="30" t="e">
        <f t="shared" si="5"/>
        <v>#DIV/0!</v>
      </c>
      <c r="T60" s="31">
        <f t="shared" si="6"/>
        <v>191.47727272727272</v>
      </c>
      <c r="U60" s="20" t="e">
        <f t="shared" si="7"/>
        <v>#N/A</v>
      </c>
      <c r="V60" s="20" t="e">
        <f t="shared" si="12"/>
        <v>#N/A</v>
      </c>
      <c r="W60" s="30" t="e">
        <f t="shared" si="8"/>
        <v>#N/A</v>
      </c>
      <c r="X60" s="31" t="e">
        <f t="shared" si="13"/>
        <v>#N/A</v>
      </c>
      <c r="Y60" s="20" t="e">
        <f t="shared" si="9"/>
        <v>#N/A</v>
      </c>
      <c r="AA60" s="20"/>
      <c r="AB60" s="20"/>
      <c r="AC60" s="20"/>
      <c r="AD60" s="20"/>
      <c r="AE60" s="20"/>
    </row>
    <row r="61" spans="1:31" x14ac:dyDescent="0.25">
      <c r="A61" s="21"/>
      <c r="B61" s="21"/>
      <c r="C61" s="21"/>
      <c r="D61" s="21"/>
      <c r="E61" s="21"/>
      <c r="F61" s="21"/>
      <c r="G61" s="21"/>
      <c r="H61" s="21"/>
      <c r="I61" s="21" t="e">
        <f t="shared" si="0"/>
        <v>#DIV/0!</v>
      </c>
      <c r="J61" s="21" t="e">
        <f t="shared" si="29"/>
        <v>#DIV/0!</v>
      </c>
      <c r="K61" s="21"/>
      <c r="L61" s="21"/>
      <c r="M61" s="21"/>
      <c r="N61" s="21">
        <f t="shared" si="30"/>
        <v>0</v>
      </c>
      <c r="O61" s="21" t="e">
        <f t="shared" si="2"/>
        <v>#DIV/0!</v>
      </c>
      <c r="P61" s="21">
        <f t="shared" si="3"/>
        <v>-289</v>
      </c>
      <c r="Q61" s="20">
        <f t="shared" si="4"/>
        <v>-1.6420454545454546</v>
      </c>
      <c r="R61" s="20">
        <f t="shared" si="11"/>
        <v>0</v>
      </c>
      <c r="S61" s="30" t="e">
        <f t="shared" si="5"/>
        <v>#DIV/0!</v>
      </c>
      <c r="T61" s="31">
        <f t="shared" si="6"/>
        <v>191.47727272727272</v>
      </c>
      <c r="U61" s="20" t="e">
        <f t="shared" si="7"/>
        <v>#N/A</v>
      </c>
      <c r="V61" s="20" t="e">
        <f t="shared" si="12"/>
        <v>#N/A</v>
      </c>
      <c r="W61" s="30" t="e">
        <f t="shared" si="8"/>
        <v>#N/A</v>
      </c>
      <c r="X61" s="31" t="e">
        <f t="shared" si="13"/>
        <v>#N/A</v>
      </c>
      <c r="Y61" s="20" t="e">
        <f t="shared" si="9"/>
        <v>#N/A</v>
      </c>
      <c r="AA61" s="20"/>
      <c r="AB61" s="20"/>
      <c r="AC61" s="20"/>
      <c r="AD61" s="20"/>
      <c r="AE61" s="20"/>
    </row>
    <row r="62" spans="1:31" x14ac:dyDescent="0.25">
      <c r="A62" s="21"/>
      <c r="B62" s="21"/>
      <c r="C62" s="21"/>
      <c r="D62" s="21"/>
      <c r="E62" s="21"/>
      <c r="F62" s="21"/>
      <c r="G62" s="21"/>
      <c r="H62" s="21"/>
      <c r="I62" s="21" t="e">
        <f t="shared" si="0"/>
        <v>#DIV/0!</v>
      </c>
      <c r="J62" s="21" t="e">
        <f t="shared" si="29"/>
        <v>#DIV/0!</v>
      </c>
      <c r="K62" s="21"/>
      <c r="L62" s="21"/>
      <c r="M62" s="21"/>
      <c r="N62" s="21">
        <f t="shared" si="30"/>
        <v>0</v>
      </c>
      <c r="O62" s="21" t="e">
        <f t="shared" si="2"/>
        <v>#DIV/0!</v>
      </c>
      <c r="P62" s="21">
        <f t="shared" si="3"/>
        <v>-289</v>
      </c>
      <c r="Q62" s="20">
        <f t="shared" si="4"/>
        <v>-1.6420454545454546</v>
      </c>
      <c r="R62" s="20">
        <f t="shared" si="11"/>
        <v>0</v>
      </c>
      <c r="S62" s="30" t="e">
        <f t="shared" si="5"/>
        <v>#DIV/0!</v>
      </c>
      <c r="T62" s="31">
        <f t="shared" si="6"/>
        <v>191.47727272727272</v>
      </c>
      <c r="U62" s="20" t="e">
        <f t="shared" si="7"/>
        <v>#N/A</v>
      </c>
      <c r="V62" s="20" t="e">
        <f t="shared" si="12"/>
        <v>#N/A</v>
      </c>
      <c r="W62" s="30" t="e">
        <f t="shared" si="8"/>
        <v>#N/A</v>
      </c>
      <c r="X62" s="31" t="e">
        <f t="shared" si="13"/>
        <v>#N/A</v>
      </c>
      <c r="Y62" s="20" t="e">
        <f t="shared" si="9"/>
        <v>#N/A</v>
      </c>
      <c r="AA62" s="20"/>
      <c r="AB62" s="20"/>
      <c r="AC62" s="20"/>
      <c r="AD62" s="20"/>
      <c r="AE62" s="20"/>
    </row>
    <row r="63" spans="1:31" x14ac:dyDescent="0.25">
      <c r="A63" s="21"/>
      <c r="B63" s="21"/>
      <c r="C63" s="21"/>
      <c r="D63" s="21"/>
      <c r="E63" s="21"/>
      <c r="F63" s="21"/>
      <c r="G63" s="21"/>
      <c r="H63" s="21"/>
      <c r="I63" s="21" t="e">
        <f t="shared" si="0"/>
        <v>#DIV/0!</v>
      </c>
      <c r="J63" s="21" t="e">
        <f t="shared" si="29"/>
        <v>#DIV/0!</v>
      </c>
      <c r="K63" s="21"/>
      <c r="L63" s="21"/>
      <c r="M63" s="21"/>
      <c r="N63" s="21">
        <f t="shared" si="30"/>
        <v>0</v>
      </c>
      <c r="O63" s="21" t="e">
        <f t="shared" si="2"/>
        <v>#DIV/0!</v>
      </c>
      <c r="P63" s="21">
        <f t="shared" si="3"/>
        <v>-289</v>
      </c>
      <c r="Q63" s="20">
        <f t="shared" si="4"/>
        <v>-1.6420454545454546</v>
      </c>
      <c r="R63" s="20">
        <f t="shared" si="11"/>
        <v>0</v>
      </c>
      <c r="S63" s="30" t="e">
        <f t="shared" si="5"/>
        <v>#DIV/0!</v>
      </c>
      <c r="T63" s="31">
        <f t="shared" si="6"/>
        <v>191.47727272727272</v>
      </c>
      <c r="U63" s="20" t="e">
        <f t="shared" si="7"/>
        <v>#N/A</v>
      </c>
      <c r="V63" s="20" t="e">
        <f t="shared" si="12"/>
        <v>#N/A</v>
      </c>
      <c r="W63" s="30" t="e">
        <f t="shared" si="8"/>
        <v>#N/A</v>
      </c>
      <c r="X63" s="31" t="e">
        <f t="shared" si="13"/>
        <v>#N/A</v>
      </c>
      <c r="Y63" s="20" t="e">
        <f t="shared" si="9"/>
        <v>#N/A</v>
      </c>
      <c r="AA63" s="20"/>
      <c r="AB63" s="20"/>
      <c r="AC63" s="20"/>
      <c r="AD63" s="20"/>
      <c r="AE63" s="20"/>
    </row>
    <row r="64" spans="1:31" x14ac:dyDescent="0.25">
      <c r="A64" s="21"/>
      <c r="B64" s="21"/>
      <c r="C64" s="21"/>
      <c r="D64" s="21"/>
      <c r="E64" s="21"/>
      <c r="F64" s="21"/>
      <c r="G64" s="21"/>
      <c r="H64" s="21"/>
      <c r="I64" s="21" t="e">
        <f t="shared" si="0"/>
        <v>#DIV/0!</v>
      </c>
      <c r="J64" s="21" t="e">
        <f t="shared" si="29"/>
        <v>#DIV/0!</v>
      </c>
      <c r="K64" s="21"/>
      <c r="L64" s="21"/>
      <c r="M64" s="21"/>
      <c r="N64" s="21">
        <f t="shared" si="30"/>
        <v>0</v>
      </c>
      <c r="O64" s="21" t="e">
        <f t="shared" si="2"/>
        <v>#DIV/0!</v>
      </c>
      <c r="P64" s="21">
        <f t="shared" si="3"/>
        <v>-289</v>
      </c>
      <c r="Q64" s="20">
        <f t="shared" si="4"/>
        <v>-1.6420454545454546</v>
      </c>
      <c r="R64" s="20">
        <f t="shared" si="11"/>
        <v>0</v>
      </c>
      <c r="S64" s="30" t="e">
        <f t="shared" si="5"/>
        <v>#DIV/0!</v>
      </c>
      <c r="T64" s="31">
        <f t="shared" si="6"/>
        <v>191.47727272727272</v>
      </c>
      <c r="U64" s="20" t="e">
        <f t="shared" si="7"/>
        <v>#N/A</v>
      </c>
      <c r="V64" s="20" t="e">
        <f t="shared" si="12"/>
        <v>#N/A</v>
      </c>
      <c r="W64" s="30" t="e">
        <f t="shared" si="8"/>
        <v>#N/A</v>
      </c>
      <c r="X64" s="31" t="e">
        <f t="shared" si="13"/>
        <v>#N/A</v>
      </c>
      <c r="Y64" s="20" t="e">
        <f t="shared" si="9"/>
        <v>#N/A</v>
      </c>
      <c r="AA64" s="20"/>
      <c r="AB64" s="20"/>
      <c r="AC64" s="20"/>
      <c r="AD64" s="20"/>
      <c r="AE64" s="20"/>
    </row>
    <row r="65" spans="1:31" x14ac:dyDescent="0.25">
      <c r="A65" s="21"/>
      <c r="B65" s="21"/>
      <c r="C65" s="21"/>
      <c r="D65" s="21"/>
      <c r="E65" s="21"/>
      <c r="F65" s="21"/>
      <c r="G65" s="21"/>
      <c r="H65" s="21"/>
      <c r="I65" s="21" t="e">
        <f t="shared" si="0"/>
        <v>#DIV/0!</v>
      </c>
      <c r="J65" s="21" t="e">
        <f t="shared" si="29"/>
        <v>#DIV/0!</v>
      </c>
      <c r="K65" s="21"/>
      <c r="L65" s="21"/>
      <c r="M65" s="21"/>
      <c r="N65" s="21">
        <f t="shared" si="30"/>
        <v>0</v>
      </c>
      <c r="O65" s="21" t="e">
        <f t="shared" si="2"/>
        <v>#DIV/0!</v>
      </c>
      <c r="P65" s="21">
        <f t="shared" si="3"/>
        <v>-289</v>
      </c>
      <c r="Q65" s="20">
        <f t="shared" si="4"/>
        <v>-1.6420454545454546</v>
      </c>
      <c r="R65" s="20">
        <f t="shared" si="11"/>
        <v>0</v>
      </c>
      <c r="S65" s="30" t="e">
        <f t="shared" si="5"/>
        <v>#DIV/0!</v>
      </c>
      <c r="T65" s="31">
        <f t="shared" si="6"/>
        <v>191.47727272727272</v>
      </c>
      <c r="U65" s="20" t="e">
        <f t="shared" si="7"/>
        <v>#N/A</v>
      </c>
      <c r="V65" s="20" t="e">
        <f t="shared" si="12"/>
        <v>#N/A</v>
      </c>
      <c r="W65" s="30" t="e">
        <f t="shared" si="8"/>
        <v>#N/A</v>
      </c>
      <c r="X65" s="31" t="e">
        <f t="shared" si="13"/>
        <v>#N/A</v>
      </c>
      <c r="Y65" s="20" t="e">
        <f t="shared" si="9"/>
        <v>#N/A</v>
      </c>
      <c r="AA65" s="20"/>
      <c r="AB65" s="20"/>
      <c r="AC65" s="20"/>
      <c r="AD65" s="20"/>
      <c r="AE65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"/>
  <sheetViews>
    <sheetView workbookViewId="0">
      <selection activeCell="G3" sqref="G3"/>
    </sheetView>
  </sheetViews>
  <sheetFormatPr defaultRowHeight="15" x14ac:dyDescent="0.25"/>
  <cols>
    <col min="1" max="1" width="10.5703125" bestFit="1" customWidth="1"/>
    <col min="4" max="4" width="9.140625" style="20"/>
    <col min="7" max="9" width="9.140625" style="20"/>
    <col min="13" max="14" width="9.140625" style="20"/>
  </cols>
  <sheetData>
    <row r="1" spans="1:17" x14ac:dyDescent="0.25">
      <c r="A1" t="s">
        <v>308</v>
      </c>
      <c r="B1" t="s">
        <v>309</v>
      </c>
      <c r="C1" t="s">
        <v>310</v>
      </c>
      <c r="D1" s="20" t="s">
        <v>311</v>
      </c>
      <c r="E1" t="s">
        <v>331</v>
      </c>
      <c r="F1" t="s">
        <v>332</v>
      </c>
      <c r="G1" s="20" t="s">
        <v>334</v>
      </c>
      <c r="H1" s="20" t="s">
        <v>335</v>
      </c>
      <c r="K1" t="s">
        <v>105</v>
      </c>
      <c r="L1" t="s">
        <v>334</v>
      </c>
      <c r="M1" t="s">
        <v>336</v>
      </c>
      <c r="N1" s="20" t="s">
        <v>332</v>
      </c>
    </row>
    <row r="2" spans="1:17" x14ac:dyDescent="0.25">
      <c r="A2">
        <v>1200</v>
      </c>
      <c r="B2">
        <v>1</v>
      </c>
      <c r="C2">
        <v>26</v>
      </c>
      <c r="D2" s="20">
        <f>(C2*0.5*C2*0.5)*PI()</f>
        <v>530.92915845667505</v>
      </c>
      <c r="E2">
        <v>1.22</v>
      </c>
      <c r="F2">
        <f>SQRT((2*A2*9.81)/(E2*D2*B2))</f>
        <v>6.0289533097392178</v>
      </c>
      <c r="G2" s="20">
        <f>D2*F2*F2*B2*E2*0.5</f>
        <v>11772.000000000002</v>
      </c>
      <c r="H2" s="20">
        <f>A2*9.81</f>
        <v>11772</v>
      </c>
      <c r="K2">
        <v>1200</v>
      </c>
      <c r="L2">
        <v>11772</v>
      </c>
      <c r="M2">
        <f>9.81*K2</f>
        <v>11772</v>
      </c>
      <c r="N2" s="20">
        <f>(M2-L2)/K2</f>
        <v>0</v>
      </c>
      <c r="P2" t="s">
        <v>312</v>
      </c>
    </row>
    <row r="3" spans="1:17" x14ac:dyDescent="0.25">
      <c r="A3">
        <v>1200</v>
      </c>
      <c r="B3">
        <v>1</v>
      </c>
      <c r="C3">
        <v>26</v>
      </c>
      <c r="D3" s="20">
        <f t="shared" ref="D3:D66" si="0">(C3*0.5*C3*0.5)*PI()</f>
        <v>530.92915845667505</v>
      </c>
      <c r="E3" s="20">
        <v>1.22</v>
      </c>
      <c r="F3" s="20">
        <f t="shared" ref="F3:F66" si="1">SQRT((2*A3*9.81)/(E3*D3*B3))</f>
        <v>6.0289533097392178</v>
      </c>
      <c r="G3" s="20">
        <f t="shared" ref="G3:G66" si="2">D3*F3*F3*B3*E3*0.5</f>
        <v>11772.000000000002</v>
      </c>
      <c r="H3" s="20">
        <f t="shared" ref="H3:H66" si="3">A3*9.81</f>
        <v>11772</v>
      </c>
      <c r="P3" t="s">
        <v>313</v>
      </c>
    </row>
    <row r="4" spans="1:17" x14ac:dyDescent="0.25">
      <c r="C4">
        <v>15</v>
      </c>
      <c r="D4" s="20">
        <f t="shared" si="0"/>
        <v>176.71458676442586</v>
      </c>
      <c r="E4" s="20">
        <v>1.22</v>
      </c>
      <c r="F4" s="20" t="e">
        <f t="shared" si="1"/>
        <v>#DIV/0!</v>
      </c>
      <c r="G4" s="20" t="e">
        <f t="shared" si="2"/>
        <v>#DIV/0!</v>
      </c>
      <c r="H4" s="20">
        <f t="shared" si="3"/>
        <v>0</v>
      </c>
    </row>
    <row r="5" spans="1:17" x14ac:dyDescent="0.25">
      <c r="C5">
        <v>20</v>
      </c>
      <c r="D5" s="20">
        <f t="shared" si="0"/>
        <v>314.15926535897933</v>
      </c>
      <c r="E5" s="20">
        <v>1.22</v>
      </c>
      <c r="F5" s="20" t="e">
        <f t="shared" si="1"/>
        <v>#DIV/0!</v>
      </c>
      <c r="G5" s="20" t="e">
        <f t="shared" si="2"/>
        <v>#DIV/0!</v>
      </c>
      <c r="H5" s="20">
        <f t="shared" si="3"/>
        <v>0</v>
      </c>
    </row>
    <row r="6" spans="1:17" x14ac:dyDescent="0.25">
      <c r="C6" s="20">
        <v>25</v>
      </c>
      <c r="D6" s="20">
        <f t="shared" si="0"/>
        <v>490.87385212340519</v>
      </c>
      <c r="E6" s="20">
        <v>1.22</v>
      </c>
      <c r="F6" s="20" t="e">
        <f t="shared" si="1"/>
        <v>#DIV/0!</v>
      </c>
      <c r="G6" s="20" t="e">
        <f t="shared" si="2"/>
        <v>#DIV/0!</v>
      </c>
      <c r="H6" s="20">
        <f t="shared" si="3"/>
        <v>0</v>
      </c>
      <c r="P6" t="s">
        <v>329</v>
      </c>
    </row>
    <row r="7" spans="1:17" x14ac:dyDescent="0.25">
      <c r="C7" s="20">
        <v>30</v>
      </c>
      <c r="D7" s="20">
        <f t="shared" si="0"/>
        <v>706.85834705770344</v>
      </c>
      <c r="E7" s="20">
        <v>1.22</v>
      </c>
      <c r="F7" s="20" t="e">
        <f t="shared" si="1"/>
        <v>#DIV/0!</v>
      </c>
      <c r="G7" s="20" t="e">
        <f t="shared" si="2"/>
        <v>#DIV/0!</v>
      </c>
      <c r="H7" s="20">
        <f t="shared" si="3"/>
        <v>0</v>
      </c>
      <c r="P7" t="s">
        <v>330</v>
      </c>
    </row>
    <row r="8" spans="1:17" x14ac:dyDescent="0.25">
      <c r="C8" s="20">
        <v>35</v>
      </c>
      <c r="D8" s="20">
        <f t="shared" si="0"/>
        <v>962.11275016187415</v>
      </c>
      <c r="E8" s="20">
        <v>1.22</v>
      </c>
      <c r="F8" s="20" t="e">
        <f t="shared" si="1"/>
        <v>#DIV/0!</v>
      </c>
      <c r="G8" s="20" t="e">
        <f t="shared" si="2"/>
        <v>#DIV/0!</v>
      </c>
      <c r="H8" s="20">
        <f t="shared" si="3"/>
        <v>0</v>
      </c>
    </row>
    <row r="9" spans="1:17" x14ac:dyDescent="0.25">
      <c r="C9" s="20">
        <v>40</v>
      </c>
      <c r="D9" s="20">
        <f t="shared" si="0"/>
        <v>1256.6370614359173</v>
      </c>
      <c r="E9" s="20">
        <v>1.22</v>
      </c>
      <c r="F9" s="20" t="e">
        <f t="shared" si="1"/>
        <v>#DIV/0!</v>
      </c>
      <c r="G9" s="20" t="e">
        <f t="shared" si="2"/>
        <v>#DIV/0!</v>
      </c>
      <c r="H9" s="20">
        <f t="shared" si="3"/>
        <v>0</v>
      </c>
      <c r="P9" t="s">
        <v>333</v>
      </c>
    </row>
    <row r="10" spans="1:17" x14ac:dyDescent="0.25">
      <c r="C10" s="20">
        <v>45</v>
      </c>
      <c r="D10" s="20">
        <f t="shared" si="0"/>
        <v>1590.4312808798327</v>
      </c>
      <c r="E10" s="20">
        <v>1.22</v>
      </c>
      <c r="F10" s="20" t="e">
        <f t="shared" si="1"/>
        <v>#DIV/0!</v>
      </c>
      <c r="G10" s="20" t="e">
        <f t="shared" si="2"/>
        <v>#DIV/0!</v>
      </c>
      <c r="H10" s="20">
        <f t="shared" si="3"/>
        <v>0</v>
      </c>
      <c r="P10" t="s">
        <v>105</v>
      </c>
      <c r="Q10">
        <v>85</v>
      </c>
    </row>
    <row r="11" spans="1:17" x14ac:dyDescent="0.25">
      <c r="C11" s="20">
        <v>50</v>
      </c>
      <c r="D11" s="20">
        <f t="shared" si="0"/>
        <v>1963.4954084936207</v>
      </c>
      <c r="E11" s="20">
        <v>1.22</v>
      </c>
      <c r="F11" s="20" t="e">
        <f t="shared" si="1"/>
        <v>#DIV/0!</v>
      </c>
      <c r="G11" s="20" t="e">
        <f t="shared" si="2"/>
        <v>#DIV/0!</v>
      </c>
      <c r="H11" s="20">
        <f t="shared" si="3"/>
        <v>0</v>
      </c>
      <c r="P11" t="s">
        <v>335</v>
      </c>
      <c r="Q11">
        <f>9.81*Q10</f>
        <v>833.85</v>
      </c>
    </row>
    <row r="12" spans="1:17" x14ac:dyDescent="0.25">
      <c r="C12" s="20">
        <v>55</v>
      </c>
      <c r="D12" s="20">
        <f t="shared" si="0"/>
        <v>2375.8294442772813</v>
      </c>
      <c r="E12" s="20">
        <v>1.22</v>
      </c>
      <c r="F12" s="20" t="e">
        <f t="shared" si="1"/>
        <v>#DIV/0!</v>
      </c>
      <c r="G12" s="20" t="e">
        <f t="shared" si="2"/>
        <v>#DIV/0!</v>
      </c>
      <c r="H12" s="20">
        <f t="shared" si="3"/>
        <v>0</v>
      </c>
      <c r="P12" t="s">
        <v>334</v>
      </c>
      <c r="Q12">
        <v>700</v>
      </c>
    </row>
    <row r="13" spans="1:17" x14ac:dyDescent="0.25">
      <c r="C13" s="20">
        <v>60</v>
      </c>
      <c r="D13" s="20">
        <f t="shared" si="0"/>
        <v>2827.4333882308138</v>
      </c>
      <c r="E13" s="20">
        <v>1.22</v>
      </c>
      <c r="F13" s="20" t="e">
        <f t="shared" si="1"/>
        <v>#DIV/0!</v>
      </c>
      <c r="G13" s="20" t="e">
        <f t="shared" si="2"/>
        <v>#DIV/0!</v>
      </c>
      <c r="H13" s="20">
        <f t="shared" si="3"/>
        <v>0</v>
      </c>
      <c r="P13" t="s">
        <v>332</v>
      </c>
      <c r="Q13">
        <f>(Q11-Q12) /Q10</f>
        <v>1.5747058823529414</v>
      </c>
    </row>
    <row r="14" spans="1:17" x14ac:dyDescent="0.25">
      <c r="C14" s="20">
        <v>65</v>
      </c>
      <c r="D14" s="20">
        <f t="shared" si="0"/>
        <v>3318.3072403542192</v>
      </c>
      <c r="E14" s="20">
        <v>1.22</v>
      </c>
      <c r="F14" s="20" t="e">
        <f t="shared" si="1"/>
        <v>#DIV/0!</v>
      </c>
      <c r="G14" s="20" t="e">
        <f t="shared" si="2"/>
        <v>#DIV/0!</v>
      </c>
      <c r="H14" s="20">
        <f t="shared" si="3"/>
        <v>0</v>
      </c>
    </row>
    <row r="15" spans="1:17" x14ac:dyDescent="0.25">
      <c r="C15" s="20">
        <v>70</v>
      </c>
      <c r="D15" s="20">
        <f t="shared" si="0"/>
        <v>3848.4510006474966</v>
      </c>
      <c r="E15" s="20">
        <v>1.22</v>
      </c>
      <c r="F15" s="20" t="e">
        <f t="shared" si="1"/>
        <v>#DIV/0!</v>
      </c>
      <c r="G15" s="20" t="e">
        <f t="shared" si="2"/>
        <v>#DIV/0!</v>
      </c>
      <c r="H15" s="20">
        <f t="shared" si="3"/>
        <v>0</v>
      </c>
    </row>
    <row r="16" spans="1:17" x14ac:dyDescent="0.25">
      <c r="C16" s="20">
        <v>75</v>
      </c>
      <c r="D16" s="20">
        <f t="shared" si="0"/>
        <v>4417.8646691106469</v>
      </c>
      <c r="E16" s="20">
        <v>1.22</v>
      </c>
      <c r="F16" s="20" t="e">
        <f t="shared" si="1"/>
        <v>#DIV/0!</v>
      </c>
      <c r="G16" s="20" t="e">
        <f t="shared" si="2"/>
        <v>#DIV/0!</v>
      </c>
      <c r="H16" s="20">
        <f t="shared" si="3"/>
        <v>0</v>
      </c>
    </row>
    <row r="17" spans="3:12" x14ac:dyDescent="0.25">
      <c r="C17" s="20">
        <v>80</v>
      </c>
      <c r="D17" s="20">
        <f t="shared" si="0"/>
        <v>5026.5482457436692</v>
      </c>
      <c r="E17" s="20">
        <v>1.22</v>
      </c>
      <c r="F17" s="20" t="e">
        <f t="shared" si="1"/>
        <v>#DIV/0!</v>
      </c>
      <c r="G17" s="20" t="e">
        <f t="shared" si="2"/>
        <v>#DIV/0!</v>
      </c>
      <c r="H17" s="20">
        <f t="shared" si="3"/>
        <v>0</v>
      </c>
    </row>
    <row r="18" spans="3:12" x14ac:dyDescent="0.25">
      <c r="C18" s="20">
        <v>85</v>
      </c>
      <c r="D18" s="20">
        <f t="shared" si="0"/>
        <v>5674.5017305465635</v>
      </c>
      <c r="E18" s="20">
        <v>1.22</v>
      </c>
      <c r="F18" s="20" t="e">
        <f t="shared" si="1"/>
        <v>#DIV/0!</v>
      </c>
      <c r="G18" s="20" t="e">
        <f t="shared" si="2"/>
        <v>#DIV/0!</v>
      </c>
      <c r="H18" s="20">
        <f t="shared" si="3"/>
        <v>0</v>
      </c>
    </row>
    <row r="19" spans="3:12" x14ac:dyDescent="0.25">
      <c r="C19" s="20">
        <v>90</v>
      </c>
      <c r="D19" s="20">
        <f t="shared" si="0"/>
        <v>6361.7251235193307</v>
      </c>
      <c r="E19" s="20">
        <v>1.22</v>
      </c>
      <c r="F19" s="20" t="e">
        <f t="shared" si="1"/>
        <v>#DIV/0!</v>
      </c>
      <c r="G19" s="20" t="e">
        <f t="shared" si="2"/>
        <v>#DIV/0!</v>
      </c>
      <c r="H19" s="20">
        <f t="shared" si="3"/>
        <v>0</v>
      </c>
    </row>
    <row r="20" spans="3:12" x14ac:dyDescent="0.25">
      <c r="C20" s="20">
        <v>95</v>
      </c>
      <c r="D20" s="20">
        <f t="shared" si="0"/>
        <v>7088.2184246619709</v>
      </c>
      <c r="E20" s="20">
        <v>1.22</v>
      </c>
      <c r="F20" s="20" t="e">
        <f t="shared" si="1"/>
        <v>#DIV/0!</v>
      </c>
      <c r="G20" s="20" t="e">
        <f t="shared" si="2"/>
        <v>#DIV/0!</v>
      </c>
      <c r="H20" s="20">
        <f t="shared" si="3"/>
        <v>0</v>
      </c>
    </row>
    <row r="21" spans="3:12" x14ac:dyDescent="0.25">
      <c r="C21" s="20">
        <v>100</v>
      </c>
      <c r="D21" s="20">
        <f t="shared" si="0"/>
        <v>7853.981633974483</v>
      </c>
      <c r="E21" s="20">
        <v>1.22</v>
      </c>
      <c r="F21" s="20" t="e">
        <f t="shared" si="1"/>
        <v>#DIV/0!</v>
      </c>
      <c r="G21" s="20" t="e">
        <f t="shared" si="2"/>
        <v>#DIV/0!</v>
      </c>
      <c r="H21" s="20">
        <f t="shared" si="3"/>
        <v>0</v>
      </c>
    </row>
    <row r="22" spans="3:12" x14ac:dyDescent="0.25">
      <c r="C22" s="20">
        <v>105</v>
      </c>
      <c r="D22" s="20">
        <f t="shared" si="0"/>
        <v>8659.0147514568671</v>
      </c>
      <c r="E22" s="20">
        <v>1.22</v>
      </c>
      <c r="F22" s="20" t="e">
        <f t="shared" si="1"/>
        <v>#DIV/0!</v>
      </c>
      <c r="G22" s="20" t="e">
        <f t="shared" si="2"/>
        <v>#DIV/0!</v>
      </c>
      <c r="H22" s="20">
        <f t="shared" si="3"/>
        <v>0</v>
      </c>
      <c r="L22" t="s">
        <v>337</v>
      </c>
    </row>
    <row r="23" spans="3:12" x14ac:dyDescent="0.25">
      <c r="C23" s="20">
        <v>110</v>
      </c>
      <c r="D23" s="20">
        <f t="shared" si="0"/>
        <v>9503.317777109125</v>
      </c>
      <c r="E23" s="20">
        <v>1.22</v>
      </c>
      <c r="F23" s="20" t="e">
        <f t="shared" si="1"/>
        <v>#DIV/0!</v>
      </c>
      <c r="G23" s="20" t="e">
        <f t="shared" si="2"/>
        <v>#DIV/0!</v>
      </c>
      <c r="H23" s="20">
        <f t="shared" si="3"/>
        <v>0</v>
      </c>
      <c r="L23" t="s">
        <v>338</v>
      </c>
    </row>
    <row r="24" spans="3:12" x14ac:dyDescent="0.25">
      <c r="C24" s="20">
        <v>115</v>
      </c>
      <c r="D24" s="20">
        <f t="shared" si="0"/>
        <v>10386.890710931253</v>
      </c>
      <c r="E24" s="20">
        <v>1.22</v>
      </c>
      <c r="F24" s="20" t="e">
        <f t="shared" si="1"/>
        <v>#DIV/0!</v>
      </c>
      <c r="G24" s="20" t="e">
        <f t="shared" si="2"/>
        <v>#DIV/0!</v>
      </c>
      <c r="H24" s="20">
        <f t="shared" si="3"/>
        <v>0</v>
      </c>
      <c r="L24" t="s">
        <v>339</v>
      </c>
    </row>
    <row r="25" spans="3:12" x14ac:dyDescent="0.25">
      <c r="C25" s="20">
        <v>120</v>
      </c>
      <c r="D25" s="20">
        <f t="shared" si="0"/>
        <v>11309.733552923255</v>
      </c>
      <c r="E25" s="20">
        <v>1.22</v>
      </c>
      <c r="F25" s="20" t="e">
        <f t="shared" si="1"/>
        <v>#DIV/0!</v>
      </c>
      <c r="G25" s="20" t="e">
        <f t="shared" si="2"/>
        <v>#DIV/0!</v>
      </c>
      <c r="H25" s="20">
        <f t="shared" si="3"/>
        <v>0</v>
      </c>
      <c r="L25" t="s">
        <v>340</v>
      </c>
    </row>
    <row r="26" spans="3:12" x14ac:dyDescent="0.25">
      <c r="C26" s="20">
        <v>125</v>
      </c>
      <c r="D26" s="20">
        <f t="shared" si="0"/>
        <v>12271.846303085129</v>
      </c>
      <c r="E26" s="20">
        <v>1.22</v>
      </c>
      <c r="F26" s="20" t="e">
        <f t="shared" si="1"/>
        <v>#DIV/0!</v>
      </c>
      <c r="G26" s="20" t="e">
        <f t="shared" si="2"/>
        <v>#DIV/0!</v>
      </c>
      <c r="H26" s="20">
        <f t="shared" si="3"/>
        <v>0</v>
      </c>
    </row>
    <row r="27" spans="3:12" x14ac:dyDescent="0.25">
      <c r="C27" s="20">
        <v>130</v>
      </c>
      <c r="D27" s="20">
        <f t="shared" si="0"/>
        <v>13273.228961416877</v>
      </c>
      <c r="E27" s="20">
        <v>1.22</v>
      </c>
      <c r="F27" s="20" t="e">
        <f t="shared" si="1"/>
        <v>#DIV/0!</v>
      </c>
      <c r="G27" s="20" t="e">
        <f t="shared" si="2"/>
        <v>#DIV/0!</v>
      </c>
      <c r="H27" s="20">
        <f t="shared" si="3"/>
        <v>0</v>
      </c>
    </row>
    <row r="28" spans="3:12" x14ac:dyDescent="0.25">
      <c r="C28" s="20">
        <v>135</v>
      </c>
      <c r="D28" s="20">
        <f t="shared" si="0"/>
        <v>14313.881527918495</v>
      </c>
      <c r="E28" s="20">
        <v>1.22</v>
      </c>
      <c r="F28" s="20" t="e">
        <f t="shared" si="1"/>
        <v>#DIV/0!</v>
      </c>
      <c r="G28" s="20" t="e">
        <f t="shared" si="2"/>
        <v>#DIV/0!</v>
      </c>
      <c r="H28" s="20">
        <f t="shared" si="3"/>
        <v>0</v>
      </c>
    </row>
    <row r="29" spans="3:12" x14ac:dyDescent="0.25">
      <c r="C29" s="20">
        <v>140</v>
      </c>
      <c r="D29" s="20">
        <f t="shared" si="0"/>
        <v>15393.804002589986</v>
      </c>
      <c r="E29" s="20">
        <v>1.22</v>
      </c>
      <c r="F29" s="20" t="e">
        <f t="shared" si="1"/>
        <v>#DIV/0!</v>
      </c>
      <c r="G29" s="20" t="e">
        <f t="shared" si="2"/>
        <v>#DIV/0!</v>
      </c>
      <c r="H29" s="20">
        <f t="shared" si="3"/>
        <v>0</v>
      </c>
    </row>
    <row r="30" spans="3:12" x14ac:dyDescent="0.25">
      <c r="C30" s="20">
        <v>145</v>
      </c>
      <c r="D30" s="20">
        <f t="shared" si="0"/>
        <v>16512.99638543135</v>
      </c>
      <c r="E30" s="20">
        <v>1.22</v>
      </c>
      <c r="F30" s="20" t="e">
        <f t="shared" si="1"/>
        <v>#DIV/0!</v>
      </c>
      <c r="G30" s="20" t="e">
        <f t="shared" si="2"/>
        <v>#DIV/0!</v>
      </c>
      <c r="H30" s="20">
        <f t="shared" si="3"/>
        <v>0</v>
      </c>
    </row>
    <row r="31" spans="3:12" x14ac:dyDescent="0.25">
      <c r="C31" s="20">
        <v>150</v>
      </c>
      <c r="D31" s="20">
        <f t="shared" si="0"/>
        <v>17671.458676442588</v>
      </c>
      <c r="E31" s="20">
        <v>1.22</v>
      </c>
      <c r="F31" s="20" t="e">
        <f t="shared" si="1"/>
        <v>#DIV/0!</v>
      </c>
      <c r="G31" s="20" t="e">
        <f t="shared" si="2"/>
        <v>#DIV/0!</v>
      </c>
      <c r="H31" s="20">
        <f t="shared" si="3"/>
        <v>0</v>
      </c>
      <c r="L31" t="s">
        <v>341</v>
      </c>
    </row>
    <row r="32" spans="3:12" x14ac:dyDescent="0.25">
      <c r="C32" s="20">
        <v>155</v>
      </c>
      <c r="D32" s="20">
        <f t="shared" si="0"/>
        <v>18869.190875623695</v>
      </c>
      <c r="E32" s="20">
        <v>1.22</v>
      </c>
      <c r="F32" s="20" t="e">
        <f t="shared" si="1"/>
        <v>#DIV/0!</v>
      </c>
      <c r="G32" s="20" t="e">
        <f t="shared" si="2"/>
        <v>#DIV/0!</v>
      </c>
      <c r="H32" s="20">
        <f t="shared" si="3"/>
        <v>0</v>
      </c>
      <c r="L32">
        <f>(1200*9.81)/(6.028953*6.028953)</f>
        <v>323.86681993607374</v>
      </c>
    </row>
    <row r="33" spans="3:12" x14ac:dyDescent="0.25">
      <c r="C33" s="20">
        <v>160</v>
      </c>
      <c r="D33" s="20">
        <f t="shared" si="0"/>
        <v>20106.192982974677</v>
      </c>
      <c r="E33" s="20">
        <v>1.22</v>
      </c>
      <c r="F33" s="20" t="e">
        <f t="shared" si="1"/>
        <v>#DIV/0!</v>
      </c>
      <c r="G33" s="20" t="e">
        <f t="shared" si="2"/>
        <v>#DIV/0!</v>
      </c>
      <c r="H33" s="20">
        <f t="shared" si="3"/>
        <v>0</v>
      </c>
      <c r="L33">
        <f>SQRT((1200*9.81)/L32)</f>
        <v>6.0289529999999996</v>
      </c>
    </row>
    <row r="34" spans="3:12" x14ac:dyDescent="0.25">
      <c r="C34" s="20">
        <v>165</v>
      </c>
      <c r="D34" s="20">
        <f t="shared" si="0"/>
        <v>21382.464998495529</v>
      </c>
      <c r="E34" s="20">
        <v>1.22</v>
      </c>
      <c r="F34" s="20" t="e">
        <f t="shared" si="1"/>
        <v>#DIV/0!</v>
      </c>
      <c r="G34" s="20" t="e">
        <f t="shared" si="2"/>
        <v>#DIV/0!</v>
      </c>
      <c r="H34" s="20">
        <f t="shared" si="3"/>
        <v>0</v>
      </c>
    </row>
    <row r="35" spans="3:12" x14ac:dyDescent="0.25">
      <c r="C35" s="20">
        <v>170</v>
      </c>
      <c r="D35" s="20">
        <f t="shared" si="0"/>
        <v>22698.006922186254</v>
      </c>
      <c r="E35" s="20">
        <v>1.22</v>
      </c>
      <c r="F35" s="20" t="e">
        <f t="shared" si="1"/>
        <v>#DIV/0!</v>
      </c>
      <c r="G35" s="20" t="e">
        <f t="shared" si="2"/>
        <v>#DIV/0!</v>
      </c>
      <c r="H35" s="20">
        <f t="shared" si="3"/>
        <v>0</v>
      </c>
    </row>
    <row r="36" spans="3:12" x14ac:dyDescent="0.25">
      <c r="C36" s="20">
        <v>175</v>
      </c>
      <c r="D36" s="20">
        <f t="shared" si="0"/>
        <v>24052.818754046853</v>
      </c>
      <c r="E36" s="20">
        <v>1.22</v>
      </c>
      <c r="F36" s="20" t="e">
        <f t="shared" si="1"/>
        <v>#DIV/0!</v>
      </c>
      <c r="G36" s="20" t="e">
        <f t="shared" si="2"/>
        <v>#DIV/0!</v>
      </c>
      <c r="H36" s="20">
        <f t="shared" si="3"/>
        <v>0</v>
      </c>
    </row>
    <row r="37" spans="3:12" x14ac:dyDescent="0.25">
      <c r="C37" s="20">
        <v>180</v>
      </c>
      <c r="D37" s="20">
        <f t="shared" si="0"/>
        <v>25446.900494077323</v>
      </c>
      <c r="E37" s="20">
        <v>1.22</v>
      </c>
      <c r="F37" s="20" t="e">
        <f t="shared" si="1"/>
        <v>#DIV/0!</v>
      </c>
      <c r="G37" s="20" t="e">
        <f t="shared" si="2"/>
        <v>#DIV/0!</v>
      </c>
      <c r="H37" s="20">
        <f t="shared" si="3"/>
        <v>0</v>
      </c>
    </row>
    <row r="38" spans="3:12" x14ac:dyDescent="0.25">
      <c r="C38" s="20">
        <v>185</v>
      </c>
      <c r="D38" s="20">
        <f t="shared" si="0"/>
        <v>26880.252142277666</v>
      </c>
      <c r="E38" s="20">
        <v>1.22</v>
      </c>
      <c r="F38" s="20" t="e">
        <f t="shared" si="1"/>
        <v>#DIV/0!</v>
      </c>
      <c r="G38" s="20" t="e">
        <f t="shared" si="2"/>
        <v>#DIV/0!</v>
      </c>
      <c r="H38" s="20">
        <f t="shared" si="3"/>
        <v>0</v>
      </c>
    </row>
    <row r="39" spans="3:12" x14ac:dyDescent="0.25">
      <c r="C39" s="20">
        <v>190</v>
      </c>
      <c r="D39" s="20">
        <f t="shared" si="0"/>
        <v>28352.873698647883</v>
      </c>
      <c r="E39" s="20">
        <v>1.22</v>
      </c>
      <c r="F39" s="20" t="e">
        <f t="shared" si="1"/>
        <v>#DIV/0!</v>
      </c>
      <c r="G39" s="20" t="e">
        <f t="shared" si="2"/>
        <v>#DIV/0!</v>
      </c>
      <c r="H39" s="20">
        <f t="shared" si="3"/>
        <v>0</v>
      </c>
    </row>
    <row r="40" spans="3:12" x14ac:dyDescent="0.25">
      <c r="C40" s="20">
        <v>195</v>
      </c>
      <c r="D40" s="20">
        <f t="shared" si="0"/>
        <v>29864.765163187971</v>
      </c>
      <c r="E40" s="20">
        <v>1.22</v>
      </c>
      <c r="F40" s="20" t="e">
        <f t="shared" si="1"/>
        <v>#DIV/0!</v>
      </c>
      <c r="G40" s="20" t="e">
        <f t="shared" si="2"/>
        <v>#DIV/0!</v>
      </c>
      <c r="H40" s="20">
        <f t="shared" si="3"/>
        <v>0</v>
      </c>
    </row>
    <row r="41" spans="3:12" x14ac:dyDescent="0.25">
      <c r="C41" s="20">
        <v>200</v>
      </c>
      <c r="D41" s="20">
        <f t="shared" si="0"/>
        <v>31415.926535897932</v>
      </c>
      <c r="E41" s="20">
        <v>1.22</v>
      </c>
      <c r="F41" s="20" t="e">
        <f t="shared" si="1"/>
        <v>#DIV/0!</v>
      </c>
      <c r="G41" s="20" t="e">
        <f t="shared" si="2"/>
        <v>#DIV/0!</v>
      </c>
      <c r="H41" s="20">
        <f t="shared" si="3"/>
        <v>0</v>
      </c>
    </row>
    <row r="42" spans="3:12" x14ac:dyDescent="0.25">
      <c r="C42" s="20">
        <v>205</v>
      </c>
      <c r="D42" s="20">
        <f t="shared" si="0"/>
        <v>33006.357816777767</v>
      </c>
      <c r="E42" s="20">
        <v>1.22</v>
      </c>
      <c r="F42" s="20" t="e">
        <f t="shared" si="1"/>
        <v>#DIV/0!</v>
      </c>
      <c r="G42" s="20" t="e">
        <f t="shared" si="2"/>
        <v>#DIV/0!</v>
      </c>
      <c r="H42" s="20">
        <f t="shared" si="3"/>
        <v>0</v>
      </c>
    </row>
    <row r="43" spans="3:12" x14ac:dyDescent="0.25">
      <c r="C43" s="20">
        <v>210</v>
      </c>
      <c r="D43" s="20">
        <f t="shared" si="0"/>
        <v>34636.059005827468</v>
      </c>
      <c r="E43" s="20">
        <v>1.22</v>
      </c>
      <c r="F43" s="20" t="e">
        <f t="shared" si="1"/>
        <v>#DIV/0!</v>
      </c>
      <c r="G43" s="20" t="e">
        <f t="shared" si="2"/>
        <v>#DIV/0!</v>
      </c>
      <c r="H43" s="20">
        <f t="shared" si="3"/>
        <v>0</v>
      </c>
    </row>
    <row r="44" spans="3:12" x14ac:dyDescent="0.25">
      <c r="C44" s="20">
        <v>215</v>
      </c>
      <c r="D44" s="20">
        <f t="shared" si="0"/>
        <v>36305.030103047044</v>
      </c>
      <c r="E44" s="20">
        <v>1.22</v>
      </c>
      <c r="F44" s="20" t="e">
        <f t="shared" si="1"/>
        <v>#DIV/0!</v>
      </c>
      <c r="G44" s="20" t="e">
        <f t="shared" si="2"/>
        <v>#DIV/0!</v>
      </c>
      <c r="H44" s="20">
        <f t="shared" si="3"/>
        <v>0</v>
      </c>
    </row>
    <row r="45" spans="3:12" x14ac:dyDescent="0.25">
      <c r="C45" s="20">
        <v>220</v>
      </c>
      <c r="D45" s="20">
        <f t="shared" si="0"/>
        <v>38013.2711084365</v>
      </c>
      <c r="E45" s="20">
        <v>1.22</v>
      </c>
      <c r="F45" s="20" t="e">
        <f t="shared" si="1"/>
        <v>#DIV/0!</v>
      </c>
      <c r="G45" s="20" t="e">
        <f t="shared" si="2"/>
        <v>#DIV/0!</v>
      </c>
      <c r="H45" s="20">
        <f t="shared" si="3"/>
        <v>0</v>
      </c>
    </row>
    <row r="46" spans="3:12" x14ac:dyDescent="0.25">
      <c r="C46" s="20">
        <v>225</v>
      </c>
      <c r="D46" s="20">
        <f t="shared" si="0"/>
        <v>39760.782021995816</v>
      </c>
      <c r="E46" s="20">
        <v>1.22</v>
      </c>
      <c r="F46" s="20" t="e">
        <f t="shared" si="1"/>
        <v>#DIV/0!</v>
      </c>
      <c r="G46" s="20" t="e">
        <f t="shared" si="2"/>
        <v>#DIV/0!</v>
      </c>
      <c r="H46" s="20">
        <f t="shared" si="3"/>
        <v>0</v>
      </c>
    </row>
    <row r="47" spans="3:12" x14ac:dyDescent="0.25">
      <c r="C47" s="20">
        <v>230</v>
      </c>
      <c r="D47" s="20">
        <f t="shared" si="0"/>
        <v>41547.562843725012</v>
      </c>
      <c r="E47" s="20">
        <v>1.22</v>
      </c>
      <c r="F47" s="20" t="e">
        <f t="shared" si="1"/>
        <v>#DIV/0!</v>
      </c>
      <c r="G47" s="20" t="e">
        <f t="shared" si="2"/>
        <v>#DIV/0!</v>
      </c>
      <c r="H47" s="20">
        <f t="shared" si="3"/>
        <v>0</v>
      </c>
    </row>
    <row r="48" spans="3:12" x14ac:dyDescent="0.25">
      <c r="C48" s="20">
        <v>235</v>
      </c>
      <c r="D48" s="20">
        <f t="shared" si="0"/>
        <v>43373.613573624083</v>
      </c>
      <c r="E48" s="20">
        <v>1.22</v>
      </c>
      <c r="F48" s="20" t="e">
        <f t="shared" si="1"/>
        <v>#DIV/0!</v>
      </c>
      <c r="G48" s="20" t="e">
        <f t="shared" si="2"/>
        <v>#DIV/0!</v>
      </c>
      <c r="H48" s="20">
        <f t="shared" si="3"/>
        <v>0</v>
      </c>
    </row>
    <row r="49" spans="3:8" x14ac:dyDescent="0.25">
      <c r="C49" s="20">
        <v>240</v>
      </c>
      <c r="D49" s="20">
        <f t="shared" si="0"/>
        <v>45238.93421169302</v>
      </c>
      <c r="E49" s="20">
        <v>1.22</v>
      </c>
      <c r="F49" s="20" t="e">
        <f t="shared" si="1"/>
        <v>#DIV/0!</v>
      </c>
      <c r="G49" s="20" t="e">
        <f t="shared" si="2"/>
        <v>#DIV/0!</v>
      </c>
      <c r="H49" s="20">
        <f t="shared" si="3"/>
        <v>0</v>
      </c>
    </row>
    <row r="50" spans="3:8" x14ac:dyDescent="0.25">
      <c r="C50" s="20">
        <v>245</v>
      </c>
      <c r="D50" s="20">
        <f t="shared" si="0"/>
        <v>47143.524757931831</v>
      </c>
      <c r="E50" s="20">
        <v>1.22</v>
      </c>
      <c r="F50" s="20" t="e">
        <f t="shared" si="1"/>
        <v>#DIV/0!</v>
      </c>
      <c r="G50" s="20" t="e">
        <f t="shared" si="2"/>
        <v>#DIV/0!</v>
      </c>
      <c r="H50" s="20">
        <f t="shared" si="3"/>
        <v>0</v>
      </c>
    </row>
    <row r="51" spans="3:8" x14ac:dyDescent="0.25">
      <c r="C51" s="20">
        <v>250</v>
      </c>
      <c r="D51" s="20">
        <f t="shared" si="0"/>
        <v>49087.385212340516</v>
      </c>
      <c r="E51" s="20">
        <v>1.22</v>
      </c>
      <c r="F51" s="20" t="e">
        <f t="shared" si="1"/>
        <v>#DIV/0!</v>
      </c>
      <c r="G51" s="20" t="e">
        <f t="shared" si="2"/>
        <v>#DIV/0!</v>
      </c>
      <c r="H51" s="20">
        <f t="shared" si="3"/>
        <v>0</v>
      </c>
    </row>
    <row r="52" spans="3:8" x14ac:dyDescent="0.25">
      <c r="C52" s="20">
        <v>255</v>
      </c>
      <c r="D52" s="20">
        <f t="shared" si="0"/>
        <v>51070.515574919074</v>
      </c>
      <c r="E52" s="20">
        <v>1.22</v>
      </c>
      <c r="F52" s="20" t="e">
        <f t="shared" si="1"/>
        <v>#DIV/0!</v>
      </c>
      <c r="G52" s="20" t="e">
        <f t="shared" si="2"/>
        <v>#DIV/0!</v>
      </c>
      <c r="H52" s="20">
        <f t="shared" si="3"/>
        <v>0</v>
      </c>
    </row>
    <row r="53" spans="3:8" x14ac:dyDescent="0.25">
      <c r="C53" s="20">
        <v>260</v>
      </c>
      <c r="D53" s="20">
        <f t="shared" si="0"/>
        <v>53092.915845667507</v>
      </c>
      <c r="E53" s="20">
        <v>1.22</v>
      </c>
      <c r="F53" s="20" t="e">
        <f t="shared" si="1"/>
        <v>#DIV/0!</v>
      </c>
      <c r="G53" s="20" t="e">
        <f t="shared" si="2"/>
        <v>#DIV/0!</v>
      </c>
      <c r="H53" s="20">
        <f t="shared" si="3"/>
        <v>0</v>
      </c>
    </row>
    <row r="54" spans="3:8" x14ac:dyDescent="0.25">
      <c r="C54" s="20">
        <v>265</v>
      </c>
      <c r="D54" s="20">
        <f t="shared" si="0"/>
        <v>55154.586024585806</v>
      </c>
      <c r="E54" s="20">
        <v>1.22</v>
      </c>
      <c r="F54" s="20" t="e">
        <f t="shared" si="1"/>
        <v>#DIV/0!</v>
      </c>
      <c r="G54" s="20" t="e">
        <f t="shared" si="2"/>
        <v>#DIV/0!</v>
      </c>
      <c r="H54" s="20">
        <f t="shared" si="3"/>
        <v>0</v>
      </c>
    </row>
    <row r="55" spans="3:8" x14ac:dyDescent="0.25">
      <c r="C55" s="20">
        <v>270</v>
      </c>
      <c r="D55" s="20">
        <f t="shared" si="0"/>
        <v>57255.526111673978</v>
      </c>
      <c r="E55" s="20">
        <v>1.22</v>
      </c>
      <c r="F55" s="20" t="e">
        <f t="shared" si="1"/>
        <v>#DIV/0!</v>
      </c>
      <c r="G55" s="20" t="e">
        <f t="shared" si="2"/>
        <v>#DIV/0!</v>
      </c>
      <c r="H55" s="20">
        <f t="shared" si="3"/>
        <v>0</v>
      </c>
    </row>
    <row r="56" spans="3:8" x14ac:dyDescent="0.25">
      <c r="C56" s="20">
        <v>275</v>
      </c>
      <c r="D56" s="20">
        <f t="shared" si="0"/>
        <v>59395.736106932025</v>
      </c>
      <c r="E56" s="20">
        <v>1.22</v>
      </c>
      <c r="F56" s="20" t="e">
        <f t="shared" si="1"/>
        <v>#DIV/0!</v>
      </c>
      <c r="G56" s="20" t="e">
        <f t="shared" si="2"/>
        <v>#DIV/0!</v>
      </c>
      <c r="H56" s="20">
        <f t="shared" si="3"/>
        <v>0</v>
      </c>
    </row>
    <row r="57" spans="3:8" x14ac:dyDescent="0.25">
      <c r="C57" s="20">
        <v>280</v>
      </c>
      <c r="D57" s="20">
        <f t="shared" si="0"/>
        <v>61575.216010359945</v>
      </c>
      <c r="E57" s="20">
        <v>1.22</v>
      </c>
      <c r="F57" s="20" t="e">
        <f t="shared" si="1"/>
        <v>#DIV/0!</v>
      </c>
      <c r="G57" s="20" t="e">
        <f t="shared" si="2"/>
        <v>#DIV/0!</v>
      </c>
      <c r="H57" s="20">
        <f t="shared" si="3"/>
        <v>0</v>
      </c>
    </row>
    <row r="58" spans="3:8" x14ac:dyDescent="0.25">
      <c r="C58" s="20">
        <v>285</v>
      </c>
      <c r="D58" s="20">
        <f t="shared" si="0"/>
        <v>63793.96582195774</v>
      </c>
      <c r="E58" s="20">
        <v>1.22</v>
      </c>
      <c r="F58" s="20" t="e">
        <f t="shared" si="1"/>
        <v>#DIV/0!</v>
      </c>
      <c r="G58" s="20" t="e">
        <f t="shared" si="2"/>
        <v>#DIV/0!</v>
      </c>
      <c r="H58" s="20">
        <f t="shared" si="3"/>
        <v>0</v>
      </c>
    </row>
    <row r="59" spans="3:8" x14ac:dyDescent="0.25">
      <c r="C59" s="20">
        <v>290</v>
      </c>
      <c r="D59" s="20">
        <f t="shared" si="0"/>
        <v>66051.9855417254</v>
      </c>
      <c r="E59" s="20">
        <v>1.22</v>
      </c>
      <c r="F59" s="20" t="e">
        <f t="shared" si="1"/>
        <v>#DIV/0!</v>
      </c>
      <c r="G59" s="20" t="e">
        <f t="shared" si="2"/>
        <v>#DIV/0!</v>
      </c>
      <c r="H59" s="20">
        <f t="shared" si="3"/>
        <v>0</v>
      </c>
    </row>
    <row r="60" spans="3:8" x14ac:dyDescent="0.25">
      <c r="C60" s="20">
        <v>295</v>
      </c>
      <c r="D60" s="20">
        <f t="shared" si="0"/>
        <v>68349.275169662942</v>
      </c>
      <c r="E60" s="20">
        <v>1.22</v>
      </c>
      <c r="F60" s="20" t="e">
        <f t="shared" si="1"/>
        <v>#DIV/0!</v>
      </c>
      <c r="G60" s="20" t="e">
        <f t="shared" si="2"/>
        <v>#DIV/0!</v>
      </c>
      <c r="H60" s="20">
        <f t="shared" si="3"/>
        <v>0</v>
      </c>
    </row>
    <row r="61" spans="3:8" x14ac:dyDescent="0.25">
      <c r="C61" s="20">
        <v>300</v>
      </c>
      <c r="D61" s="20">
        <f t="shared" si="0"/>
        <v>70685.83470577035</v>
      </c>
      <c r="E61" s="20">
        <v>1.22</v>
      </c>
      <c r="F61" s="20" t="e">
        <f t="shared" si="1"/>
        <v>#DIV/0!</v>
      </c>
      <c r="G61" s="20" t="e">
        <f t="shared" si="2"/>
        <v>#DIV/0!</v>
      </c>
      <c r="H61" s="20">
        <f t="shared" si="3"/>
        <v>0</v>
      </c>
    </row>
    <row r="62" spans="3:8" x14ac:dyDescent="0.25">
      <c r="C62" s="20">
        <v>305</v>
      </c>
      <c r="D62" s="20">
        <f t="shared" si="0"/>
        <v>73061.664150047625</v>
      </c>
      <c r="E62" s="20">
        <v>1.22</v>
      </c>
      <c r="F62" s="20" t="e">
        <f t="shared" si="1"/>
        <v>#DIV/0!</v>
      </c>
      <c r="G62" s="20" t="e">
        <f t="shared" si="2"/>
        <v>#DIV/0!</v>
      </c>
      <c r="H62" s="20">
        <f t="shared" si="3"/>
        <v>0</v>
      </c>
    </row>
    <row r="63" spans="3:8" x14ac:dyDescent="0.25">
      <c r="C63" s="20">
        <v>310</v>
      </c>
      <c r="D63" s="20">
        <f t="shared" si="0"/>
        <v>75476.763502494781</v>
      </c>
      <c r="E63" s="20">
        <v>1.22</v>
      </c>
      <c r="F63" s="20" t="e">
        <f t="shared" si="1"/>
        <v>#DIV/0!</v>
      </c>
      <c r="G63" s="20" t="e">
        <f t="shared" si="2"/>
        <v>#DIV/0!</v>
      </c>
      <c r="H63" s="20">
        <f t="shared" si="3"/>
        <v>0</v>
      </c>
    </row>
    <row r="64" spans="3:8" x14ac:dyDescent="0.25">
      <c r="C64" s="20">
        <v>315</v>
      </c>
      <c r="D64" s="20">
        <f t="shared" si="0"/>
        <v>77931.132763111804</v>
      </c>
      <c r="E64" s="20">
        <v>1.22</v>
      </c>
      <c r="F64" s="20" t="e">
        <f t="shared" si="1"/>
        <v>#DIV/0!</v>
      </c>
      <c r="G64" s="20" t="e">
        <f t="shared" si="2"/>
        <v>#DIV/0!</v>
      </c>
      <c r="H64" s="20">
        <f t="shared" si="3"/>
        <v>0</v>
      </c>
    </row>
    <row r="65" spans="3:8" x14ac:dyDescent="0.25">
      <c r="C65" s="20">
        <v>320</v>
      </c>
      <c r="D65" s="20">
        <f t="shared" si="0"/>
        <v>80424.771931898707</v>
      </c>
      <c r="E65" s="20">
        <v>1.22</v>
      </c>
      <c r="F65" s="20" t="e">
        <f t="shared" si="1"/>
        <v>#DIV/0!</v>
      </c>
      <c r="G65" s="20" t="e">
        <f t="shared" si="2"/>
        <v>#DIV/0!</v>
      </c>
      <c r="H65" s="20">
        <f t="shared" si="3"/>
        <v>0</v>
      </c>
    </row>
    <row r="66" spans="3:8" x14ac:dyDescent="0.25">
      <c r="C66" s="20">
        <v>325</v>
      </c>
      <c r="D66" s="20">
        <f t="shared" si="0"/>
        <v>82957.681008855478</v>
      </c>
      <c r="E66" s="20">
        <v>1.22</v>
      </c>
      <c r="F66" s="20" t="e">
        <f t="shared" si="1"/>
        <v>#DIV/0!</v>
      </c>
      <c r="G66" s="20" t="e">
        <f t="shared" si="2"/>
        <v>#DIV/0!</v>
      </c>
      <c r="H66" s="20">
        <f t="shared" si="3"/>
        <v>0</v>
      </c>
    </row>
    <row r="67" spans="3:8" x14ac:dyDescent="0.25">
      <c r="C67" s="20">
        <v>330</v>
      </c>
      <c r="D67" s="20">
        <f t="shared" ref="D67:D130" si="4">(C67*0.5*C67*0.5)*PI()</f>
        <v>85529.859993982114</v>
      </c>
      <c r="E67" s="20">
        <v>1.22</v>
      </c>
      <c r="F67" s="20" t="e">
        <f t="shared" ref="F67:F130" si="5">SQRT((2*A67*9.81)/(E67*D67*B67))</f>
        <v>#DIV/0!</v>
      </c>
      <c r="G67" s="20" t="e">
        <f t="shared" ref="G67:G130" si="6">D67*F67*F67*B67*E67*0.5</f>
        <v>#DIV/0!</v>
      </c>
      <c r="H67" s="20">
        <f t="shared" ref="H67:H130" si="7">A67*9.81</f>
        <v>0</v>
      </c>
    </row>
    <row r="68" spans="3:8" x14ac:dyDescent="0.25">
      <c r="C68" s="20">
        <v>335</v>
      </c>
      <c r="D68" s="20">
        <f t="shared" si="4"/>
        <v>88141.308887278632</v>
      </c>
      <c r="E68" s="20">
        <v>1.22</v>
      </c>
      <c r="F68" s="20" t="e">
        <f t="shared" si="5"/>
        <v>#DIV/0!</v>
      </c>
      <c r="G68" s="20" t="e">
        <f t="shared" si="6"/>
        <v>#DIV/0!</v>
      </c>
      <c r="H68" s="20">
        <f t="shared" si="7"/>
        <v>0</v>
      </c>
    </row>
    <row r="69" spans="3:8" x14ac:dyDescent="0.25">
      <c r="C69" s="20">
        <v>340</v>
      </c>
      <c r="D69" s="20">
        <f t="shared" si="4"/>
        <v>90792.027688745016</v>
      </c>
      <c r="E69" s="20">
        <v>1.22</v>
      </c>
      <c r="F69" s="20" t="e">
        <f t="shared" si="5"/>
        <v>#DIV/0!</v>
      </c>
      <c r="G69" s="20" t="e">
        <f t="shared" si="6"/>
        <v>#DIV/0!</v>
      </c>
      <c r="H69" s="20">
        <f t="shared" si="7"/>
        <v>0</v>
      </c>
    </row>
    <row r="70" spans="3:8" x14ac:dyDescent="0.25">
      <c r="C70" s="20">
        <v>345</v>
      </c>
      <c r="D70" s="20">
        <f t="shared" si="4"/>
        <v>93482.016398381282</v>
      </c>
      <c r="E70" s="20">
        <v>1.22</v>
      </c>
      <c r="F70" s="20" t="e">
        <f t="shared" si="5"/>
        <v>#DIV/0!</v>
      </c>
      <c r="G70" s="20" t="e">
        <f t="shared" si="6"/>
        <v>#DIV/0!</v>
      </c>
      <c r="H70" s="20">
        <f t="shared" si="7"/>
        <v>0</v>
      </c>
    </row>
    <row r="71" spans="3:8" x14ac:dyDescent="0.25">
      <c r="C71" s="20">
        <v>350</v>
      </c>
      <c r="D71" s="20">
        <f t="shared" si="4"/>
        <v>96211.275016187414</v>
      </c>
      <c r="E71" s="20">
        <v>1.22</v>
      </c>
      <c r="F71" s="20" t="e">
        <f t="shared" si="5"/>
        <v>#DIV/0!</v>
      </c>
      <c r="G71" s="20" t="e">
        <f t="shared" si="6"/>
        <v>#DIV/0!</v>
      </c>
      <c r="H71" s="20">
        <f t="shared" si="7"/>
        <v>0</v>
      </c>
    </row>
    <row r="72" spans="3:8" x14ac:dyDescent="0.25">
      <c r="C72" s="20">
        <v>355</v>
      </c>
      <c r="D72" s="20">
        <f t="shared" si="4"/>
        <v>98979.803542163412</v>
      </c>
      <c r="E72" s="20">
        <v>1.22</v>
      </c>
      <c r="F72" s="20" t="e">
        <f t="shared" si="5"/>
        <v>#DIV/0!</v>
      </c>
      <c r="G72" s="20" t="e">
        <f t="shared" si="6"/>
        <v>#DIV/0!</v>
      </c>
      <c r="H72" s="20">
        <f t="shared" si="7"/>
        <v>0</v>
      </c>
    </row>
    <row r="73" spans="3:8" x14ac:dyDescent="0.25">
      <c r="C73" s="20">
        <v>360</v>
      </c>
      <c r="D73" s="20">
        <f t="shared" si="4"/>
        <v>101787.60197630929</v>
      </c>
      <c r="E73" s="20">
        <v>1.22</v>
      </c>
      <c r="F73" s="20" t="e">
        <f t="shared" si="5"/>
        <v>#DIV/0!</v>
      </c>
      <c r="G73" s="20" t="e">
        <f t="shared" si="6"/>
        <v>#DIV/0!</v>
      </c>
      <c r="H73" s="20">
        <f t="shared" si="7"/>
        <v>0</v>
      </c>
    </row>
    <row r="74" spans="3:8" x14ac:dyDescent="0.25">
      <c r="C74" s="20">
        <v>365</v>
      </c>
      <c r="D74" s="20">
        <f t="shared" si="4"/>
        <v>104634.67031862505</v>
      </c>
      <c r="E74" s="20">
        <v>1.22</v>
      </c>
      <c r="F74" s="20" t="e">
        <f t="shared" si="5"/>
        <v>#DIV/0!</v>
      </c>
      <c r="G74" s="20" t="e">
        <f t="shared" si="6"/>
        <v>#DIV/0!</v>
      </c>
      <c r="H74" s="20">
        <f t="shared" si="7"/>
        <v>0</v>
      </c>
    </row>
    <row r="75" spans="3:8" x14ac:dyDescent="0.25">
      <c r="C75" s="20">
        <v>370</v>
      </c>
      <c r="D75" s="20">
        <f t="shared" si="4"/>
        <v>107521.00856911067</v>
      </c>
      <c r="E75" s="20">
        <v>1.22</v>
      </c>
      <c r="F75" s="20" t="e">
        <f t="shared" si="5"/>
        <v>#DIV/0!</v>
      </c>
      <c r="G75" s="20" t="e">
        <f t="shared" si="6"/>
        <v>#DIV/0!</v>
      </c>
      <c r="H75" s="20">
        <f t="shared" si="7"/>
        <v>0</v>
      </c>
    </row>
    <row r="76" spans="3:8" x14ac:dyDescent="0.25">
      <c r="C76" s="20">
        <v>375</v>
      </c>
      <c r="D76" s="20">
        <f t="shared" si="4"/>
        <v>110446.61672776616</v>
      </c>
      <c r="E76" s="20">
        <v>1.22</v>
      </c>
      <c r="F76" s="20" t="e">
        <f t="shared" si="5"/>
        <v>#DIV/0!</v>
      </c>
      <c r="G76" s="20" t="e">
        <f t="shared" si="6"/>
        <v>#DIV/0!</v>
      </c>
      <c r="H76" s="20">
        <f t="shared" si="7"/>
        <v>0</v>
      </c>
    </row>
    <row r="77" spans="3:8" x14ac:dyDescent="0.25">
      <c r="C77" s="20">
        <v>380</v>
      </c>
      <c r="D77" s="20">
        <f t="shared" si="4"/>
        <v>113411.49479459153</v>
      </c>
      <c r="E77" s="20">
        <v>1.22</v>
      </c>
      <c r="F77" s="20" t="e">
        <f t="shared" si="5"/>
        <v>#DIV/0!</v>
      </c>
      <c r="G77" s="20" t="e">
        <f t="shared" si="6"/>
        <v>#DIV/0!</v>
      </c>
      <c r="H77" s="20">
        <f t="shared" si="7"/>
        <v>0</v>
      </c>
    </row>
    <row r="78" spans="3:8" x14ac:dyDescent="0.25">
      <c r="C78" s="20">
        <v>385</v>
      </c>
      <c r="D78" s="20">
        <f t="shared" si="4"/>
        <v>116415.64276958678</v>
      </c>
      <c r="E78" s="20">
        <v>1.22</v>
      </c>
      <c r="F78" s="20" t="e">
        <f t="shared" si="5"/>
        <v>#DIV/0!</v>
      </c>
      <c r="G78" s="20" t="e">
        <f t="shared" si="6"/>
        <v>#DIV/0!</v>
      </c>
      <c r="H78" s="20">
        <f t="shared" si="7"/>
        <v>0</v>
      </c>
    </row>
    <row r="79" spans="3:8" x14ac:dyDescent="0.25">
      <c r="C79" s="20">
        <v>390</v>
      </c>
      <c r="D79" s="20">
        <f t="shared" si="4"/>
        <v>119459.06065275188</v>
      </c>
      <c r="E79" s="20">
        <v>1.22</v>
      </c>
      <c r="F79" s="20" t="e">
        <f t="shared" si="5"/>
        <v>#DIV/0!</v>
      </c>
      <c r="G79" s="20" t="e">
        <f t="shared" si="6"/>
        <v>#DIV/0!</v>
      </c>
      <c r="H79" s="20">
        <f t="shared" si="7"/>
        <v>0</v>
      </c>
    </row>
    <row r="80" spans="3:8" x14ac:dyDescent="0.25">
      <c r="C80" s="20">
        <v>395</v>
      </c>
      <c r="D80" s="20">
        <f t="shared" si="4"/>
        <v>122541.74844408687</v>
      </c>
      <c r="E80" s="20">
        <v>1.22</v>
      </c>
      <c r="F80" s="20" t="e">
        <f t="shared" si="5"/>
        <v>#DIV/0!</v>
      </c>
      <c r="G80" s="20" t="e">
        <f t="shared" si="6"/>
        <v>#DIV/0!</v>
      </c>
      <c r="H80" s="20">
        <f t="shared" si="7"/>
        <v>0</v>
      </c>
    </row>
    <row r="81" spans="3:8" x14ac:dyDescent="0.25">
      <c r="C81" s="20">
        <v>400</v>
      </c>
      <c r="D81" s="20">
        <f t="shared" si="4"/>
        <v>125663.70614359173</v>
      </c>
      <c r="E81" s="20">
        <v>1.22</v>
      </c>
      <c r="F81" s="20" t="e">
        <f t="shared" si="5"/>
        <v>#DIV/0!</v>
      </c>
      <c r="G81" s="20" t="e">
        <f t="shared" si="6"/>
        <v>#DIV/0!</v>
      </c>
      <c r="H81" s="20">
        <f t="shared" si="7"/>
        <v>0</v>
      </c>
    </row>
    <row r="82" spans="3:8" x14ac:dyDescent="0.25">
      <c r="C82" s="20">
        <v>405</v>
      </c>
      <c r="D82" s="20">
        <f t="shared" si="4"/>
        <v>128824.93375126645</v>
      </c>
      <c r="E82" s="20">
        <v>1.22</v>
      </c>
      <c r="F82" s="20" t="e">
        <f t="shared" si="5"/>
        <v>#DIV/0!</v>
      </c>
      <c r="G82" s="20" t="e">
        <f t="shared" si="6"/>
        <v>#DIV/0!</v>
      </c>
      <c r="H82" s="20">
        <f t="shared" si="7"/>
        <v>0</v>
      </c>
    </row>
    <row r="83" spans="3:8" x14ac:dyDescent="0.25">
      <c r="C83" s="20">
        <v>410</v>
      </c>
      <c r="D83" s="20">
        <f t="shared" si="4"/>
        <v>132025.43126711107</v>
      </c>
      <c r="E83" s="20">
        <v>1.22</v>
      </c>
      <c r="F83" s="20" t="e">
        <f t="shared" si="5"/>
        <v>#DIV/0!</v>
      </c>
      <c r="G83" s="20" t="e">
        <f t="shared" si="6"/>
        <v>#DIV/0!</v>
      </c>
      <c r="H83" s="20">
        <f t="shared" si="7"/>
        <v>0</v>
      </c>
    </row>
    <row r="84" spans="3:8" x14ac:dyDescent="0.25">
      <c r="C84" s="20">
        <v>415</v>
      </c>
      <c r="D84" s="20">
        <f t="shared" si="4"/>
        <v>135265.19869112552</v>
      </c>
      <c r="E84" s="20">
        <v>1.22</v>
      </c>
      <c r="F84" s="20" t="e">
        <f t="shared" si="5"/>
        <v>#DIV/0!</v>
      </c>
      <c r="G84" s="20" t="e">
        <f t="shared" si="6"/>
        <v>#DIV/0!</v>
      </c>
      <c r="H84" s="20">
        <f t="shared" si="7"/>
        <v>0</v>
      </c>
    </row>
    <row r="85" spans="3:8" x14ac:dyDescent="0.25">
      <c r="C85" s="20">
        <v>420</v>
      </c>
      <c r="D85" s="20">
        <f t="shared" si="4"/>
        <v>138544.23602330987</v>
      </c>
      <c r="E85" s="20">
        <v>1.22</v>
      </c>
      <c r="F85" s="20" t="e">
        <f t="shared" si="5"/>
        <v>#DIV/0!</v>
      </c>
      <c r="G85" s="20" t="e">
        <f t="shared" si="6"/>
        <v>#DIV/0!</v>
      </c>
      <c r="H85" s="20">
        <f t="shared" si="7"/>
        <v>0</v>
      </c>
    </row>
    <row r="86" spans="3:8" x14ac:dyDescent="0.25">
      <c r="C86" s="20">
        <v>425</v>
      </c>
      <c r="D86" s="20">
        <f t="shared" si="4"/>
        <v>141862.54326366409</v>
      </c>
      <c r="E86" s="20">
        <v>1.22</v>
      </c>
      <c r="F86" s="20" t="e">
        <f t="shared" si="5"/>
        <v>#DIV/0!</v>
      </c>
      <c r="G86" s="20" t="e">
        <f t="shared" si="6"/>
        <v>#DIV/0!</v>
      </c>
      <c r="H86" s="20">
        <f t="shared" si="7"/>
        <v>0</v>
      </c>
    </row>
    <row r="87" spans="3:8" x14ac:dyDescent="0.25">
      <c r="C87" s="20">
        <v>430</v>
      </c>
      <c r="D87" s="20">
        <f t="shared" si="4"/>
        <v>145220.12041218817</v>
      </c>
      <c r="E87" s="20">
        <v>1.22</v>
      </c>
      <c r="F87" s="20" t="e">
        <f t="shared" si="5"/>
        <v>#DIV/0!</v>
      </c>
      <c r="G87" s="20" t="e">
        <f t="shared" si="6"/>
        <v>#DIV/0!</v>
      </c>
      <c r="H87" s="20">
        <f t="shared" si="7"/>
        <v>0</v>
      </c>
    </row>
    <row r="88" spans="3:8" x14ac:dyDescent="0.25">
      <c r="C88" s="20">
        <v>435</v>
      </c>
      <c r="D88" s="20">
        <f t="shared" si="4"/>
        <v>148616.96746888215</v>
      </c>
      <c r="E88" s="20">
        <v>1.22</v>
      </c>
      <c r="F88" s="20" t="e">
        <f t="shared" si="5"/>
        <v>#DIV/0!</v>
      </c>
      <c r="G88" s="20" t="e">
        <f t="shared" si="6"/>
        <v>#DIV/0!</v>
      </c>
      <c r="H88" s="20">
        <f t="shared" si="7"/>
        <v>0</v>
      </c>
    </row>
    <row r="89" spans="3:8" x14ac:dyDescent="0.25">
      <c r="C89" s="20">
        <v>440</v>
      </c>
      <c r="D89" s="20">
        <f t="shared" si="4"/>
        <v>152053.084433746</v>
      </c>
      <c r="E89" s="20">
        <v>1.22</v>
      </c>
      <c r="F89" s="20" t="e">
        <f t="shared" si="5"/>
        <v>#DIV/0!</v>
      </c>
      <c r="G89" s="20" t="e">
        <f t="shared" si="6"/>
        <v>#DIV/0!</v>
      </c>
      <c r="H89" s="20">
        <f t="shared" si="7"/>
        <v>0</v>
      </c>
    </row>
    <row r="90" spans="3:8" x14ac:dyDescent="0.25">
      <c r="C90" s="20">
        <v>445</v>
      </c>
      <c r="D90" s="20">
        <f t="shared" si="4"/>
        <v>155528.47130677968</v>
      </c>
      <c r="E90" s="20">
        <v>1.22</v>
      </c>
      <c r="F90" s="20" t="e">
        <f t="shared" si="5"/>
        <v>#DIV/0!</v>
      </c>
      <c r="G90" s="20" t="e">
        <f t="shared" si="6"/>
        <v>#DIV/0!</v>
      </c>
      <c r="H90" s="20">
        <f t="shared" si="7"/>
        <v>0</v>
      </c>
    </row>
    <row r="91" spans="3:8" x14ac:dyDescent="0.25">
      <c r="C91" s="20">
        <v>450</v>
      </c>
      <c r="D91" s="20">
        <f t="shared" si="4"/>
        <v>159043.12808798326</v>
      </c>
      <c r="E91" s="20">
        <v>1.22</v>
      </c>
      <c r="F91" s="20" t="e">
        <f t="shared" si="5"/>
        <v>#DIV/0!</v>
      </c>
      <c r="G91" s="20" t="e">
        <f t="shared" si="6"/>
        <v>#DIV/0!</v>
      </c>
      <c r="H91" s="20">
        <f t="shared" si="7"/>
        <v>0</v>
      </c>
    </row>
    <row r="92" spans="3:8" x14ac:dyDescent="0.25">
      <c r="C92" s="20">
        <v>455</v>
      </c>
      <c r="D92" s="20">
        <f t="shared" si="4"/>
        <v>162597.05477735674</v>
      </c>
      <c r="E92" s="20">
        <v>1.22</v>
      </c>
      <c r="F92" s="20" t="e">
        <f t="shared" si="5"/>
        <v>#DIV/0!</v>
      </c>
      <c r="G92" s="20" t="e">
        <f t="shared" si="6"/>
        <v>#DIV/0!</v>
      </c>
      <c r="H92" s="20">
        <f t="shared" si="7"/>
        <v>0</v>
      </c>
    </row>
    <row r="93" spans="3:8" x14ac:dyDescent="0.25">
      <c r="C93" s="20">
        <v>460</v>
      </c>
      <c r="D93" s="20">
        <f t="shared" si="4"/>
        <v>166190.25137490005</v>
      </c>
      <c r="E93" s="20">
        <v>1.22</v>
      </c>
      <c r="F93" s="20" t="e">
        <f t="shared" si="5"/>
        <v>#DIV/0!</v>
      </c>
      <c r="G93" s="20" t="e">
        <f t="shared" si="6"/>
        <v>#DIV/0!</v>
      </c>
      <c r="H93" s="20">
        <f t="shared" si="7"/>
        <v>0</v>
      </c>
    </row>
    <row r="94" spans="3:8" x14ac:dyDescent="0.25">
      <c r="C94" s="20">
        <v>465</v>
      </c>
      <c r="D94" s="20">
        <f t="shared" si="4"/>
        <v>169822.71788061326</v>
      </c>
      <c r="E94" s="20">
        <v>1.22</v>
      </c>
      <c r="F94" s="20" t="e">
        <f t="shared" si="5"/>
        <v>#DIV/0!</v>
      </c>
      <c r="G94" s="20" t="e">
        <f t="shared" si="6"/>
        <v>#DIV/0!</v>
      </c>
      <c r="H94" s="20">
        <f t="shared" si="7"/>
        <v>0</v>
      </c>
    </row>
    <row r="95" spans="3:8" x14ac:dyDescent="0.25">
      <c r="C95" s="20">
        <v>470</v>
      </c>
      <c r="D95" s="20">
        <f t="shared" si="4"/>
        <v>173494.45429449633</v>
      </c>
      <c r="E95" s="20">
        <v>1.22</v>
      </c>
      <c r="F95" s="20" t="e">
        <f t="shared" si="5"/>
        <v>#DIV/0!</v>
      </c>
      <c r="G95" s="20" t="e">
        <f t="shared" si="6"/>
        <v>#DIV/0!</v>
      </c>
      <c r="H95" s="20">
        <f t="shared" si="7"/>
        <v>0</v>
      </c>
    </row>
    <row r="96" spans="3:8" x14ac:dyDescent="0.25">
      <c r="C96" s="20">
        <v>475</v>
      </c>
      <c r="D96" s="20">
        <f t="shared" si="4"/>
        <v>177205.46061654927</v>
      </c>
      <c r="E96" s="20">
        <v>1.22</v>
      </c>
      <c r="F96" s="20" t="e">
        <f t="shared" si="5"/>
        <v>#DIV/0!</v>
      </c>
      <c r="G96" s="20" t="e">
        <f t="shared" si="6"/>
        <v>#DIV/0!</v>
      </c>
      <c r="H96" s="20">
        <f t="shared" si="7"/>
        <v>0</v>
      </c>
    </row>
    <row r="97" spans="3:8" x14ac:dyDescent="0.25">
      <c r="C97" s="20">
        <v>480</v>
      </c>
      <c r="D97" s="20">
        <f t="shared" si="4"/>
        <v>180955.73684677208</v>
      </c>
      <c r="E97" s="20">
        <v>1.22</v>
      </c>
      <c r="F97" s="20" t="e">
        <f t="shared" si="5"/>
        <v>#DIV/0!</v>
      </c>
      <c r="G97" s="20" t="e">
        <f t="shared" si="6"/>
        <v>#DIV/0!</v>
      </c>
      <c r="H97" s="20">
        <f t="shared" si="7"/>
        <v>0</v>
      </c>
    </row>
    <row r="98" spans="3:8" x14ac:dyDescent="0.25">
      <c r="C98" s="20">
        <v>485</v>
      </c>
      <c r="D98" s="20">
        <f t="shared" si="4"/>
        <v>184745.28298516478</v>
      </c>
      <c r="E98" s="20">
        <v>1.22</v>
      </c>
      <c r="F98" s="20" t="e">
        <f t="shared" si="5"/>
        <v>#DIV/0!</v>
      </c>
      <c r="G98" s="20" t="e">
        <f t="shared" si="6"/>
        <v>#DIV/0!</v>
      </c>
      <c r="H98" s="20">
        <f t="shared" si="7"/>
        <v>0</v>
      </c>
    </row>
    <row r="99" spans="3:8" x14ac:dyDescent="0.25">
      <c r="C99" s="20">
        <v>490</v>
      </c>
      <c r="D99" s="20">
        <f t="shared" si="4"/>
        <v>188574.09903172732</v>
      </c>
      <c r="E99" s="20">
        <v>1.22</v>
      </c>
      <c r="F99" s="20" t="e">
        <f t="shared" si="5"/>
        <v>#DIV/0!</v>
      </c>
      <c r="G99" s="20" t="e">
        <f t="shared" si="6"/>
        <v>#DIV/0!</v>
      </c>
      <c r="H99" s="20">
        <f t="shared" si="7"/>
        <v>0</v>
      </c>
    </row>
    <row r="100" spans="3:8" x14ac:dyDescent="0.25">
      <c r="C100" s="20">
        <v>495</v>
      </c>
      <c r="D100" s="20">
        <f t="shared" si="4"/>
        <v>192442.18498645976</v>
      </c>
      <c r="E100" s="20">
        <v>1.22</v>
      </c>
      <c r="F100" s="20" t="e">
        <f t="shared" si="5"/>
        <v>#DIV/0!</v>
      </c>
      <c r="G100" s="20" t="e">
        <f t="shared" si="6"/>
        <v>#DIV/0!</v>
      </c>
      <c r="H100" s="20">
        <f t="shared" si="7"/>
        <v>0</v>
      </c>
    </row>
    <row r="101" spans="3:8" x14ac:dyDescent="0.25">
      <c r="C101" s="20">
        <v>500</v>
      </c>
      <c r="D101" s="20">
        <f t="shared" si="4"/>
        <v>196349.54084936206</v>
      </c>
      <c r="E101" s="20">
        <v>1.22</v>
      </c>
      <c r="F101" s="20" t="e">
        <f t="shared" si="5"/>
        <v>#DIV/0!</v>
      </c>
      <c r="G101" s="20" t="e">
        <f t="shared" si="6"/>
        <v>#DIV/0!</v>
      </c>
      <c r="H101" s="20">
        <f t="shared" si="7"/>
        <v>0</v>
      </c>
    </row>
    <row r="102" spans="3:8" x14ac:dyDescent="0.25">
      <c r="C102" s="20">
        <v>505</v>
      </c>
      <c r="D102" s="20">
        <f t="shared" si="4"/>
        <v>200296.16662043426</v>
      </c>
      <c r="E102" s="20">
        <v>1.22</v>
      </c>
      <c r="F102" s="20" t="e">
        <f t="shared" si="5"/>
        <v>#DIV/0!</v>
      </c>
      <c r="G102" s="20" t="e">
        <f t="shared" si="6"/>
        <v>#DIV/0!</v>
      </c>
      <c r="H102" s="20">
        <f t="shared" si="7"/>
        <v>0</v>
      </c>
    </row>
    <row r="103" spans="3:8" x14ac:dyDescent="0.25">
      <c r="C103" s="20">
        <v>510</v>
      </c>
      <c r="D103" s="20">
        <f t="shared" si="4"/>
        <v>204282.0622996763</v>
      </c>
      <c r="E103" s="20">
        <v>1.22</v>
      </c>
      <c r="F103" s="20" t="e">
        <f t="shared" si="5"/>
        <v>#DIV/0!</v>
      </c>
      <c r="G103" s="20" t="e">
        <f t="shared" si="6"/>
        <v>#DIV/0!</v>
      </c>
      <c r="H103" s="20">
        <f t="shared" si="7"/>
        <v>0</v>
      </c>
    </row>
    <row r="104" spans="3:8" x14ac:dyDescent="0.25">
      <c r="C104" s="20">
        <v>515</v>
      </c>
      <c r="D104" s="20">
        <f t="shared" si="4"/>
        <v>208307.22788708823</v>
      </c>
      <c r="E104" s="20">
        <v>1.22</v>
      </c>
      <c r="F104" s="20" t="e">
        <f t="shared" si="5"/>
        <v>#DIV/0!</v>
      </c>
      <c r="G104" s="20" t="e">
        <f t="shared" si="6"/>
        <v>#DIV/0!</v>
      </c>
      <c r="H104" s="20">
        <f t="shared" si="7"/>
        <v>0</v>
      </c>
    </row>
    <row r="105" spans="3:8" x14ac:dyDescent="0.25">
      <c r="C105" s="20">
        <v>520</v>
      </c>
      <c r="D105" s="20">
        <f t="shared" si="4"/>
        <v>212371.66338267003</v>
      </c>
      <c r="E105" s="20">
        <v>1.22</v>
      </c>
      <c r="F105" s="20" t="e">
        <f t="shared" si="5"/>
        <v>#DIV/0!</v>
      </c>
      <c r="G105" s="20" t="e">
        <f t="shared" si="6"/>
        <v>#DIV/0!</v>
      </c>
      <c r="H105" s="20">
        <f t="shared" si="7"/>
        <v>0</v>
      </c>
    </row>
    <row r="106" spans="3:8" x14ac:dyDescent="0.25">
      <c r="C106" s="20">
        <v>525</v>
      </c>
      <c r="D106" s="20">
        <f t="shared" si="4"/>
        <v>216475.36878642169</v>
      </c>
      <c r="E106" s="20">
        <v>1.22</v>
      </c>
      <c r="F106" s="20" t="e">
        <f t="shared" si="5"/>
        <v>#DIV/0!</v>
      </c>
      <c r="G106" s="20" t="e">
        <f t="shared" si="6"/>
        <v>#DIV/0!</v>
      </c>
      <c r="H106" s="20">
        <f t="shared" si="7"/>
        <v>0</v>
      </c>
    </row>
    <row r="107" spans="3:8" x14ac:dyDescent="0.25">
      <c r="C107" s="20">
        <v>530</v>
      </c>
      <c r="D107" s="20">
        <f t="shared" si="4"/>
        <v>220618.34409834322</v>
      </c>
      <c r="E107" s="20">
        <v>1.22</v>
      </c>
      <c r="F107" s="20" t="e">
        <f t="shared" si="5"/>
        <v>#DIV/0!</v>
      </c>
      <c r="G107" s="20" t="e">
        <f t="shared" si="6"/>
        <v>#DIV/0!</v>
      </c>
      <c r="H107" s="20">
        <f t="shared" si="7"/>
        <v>0</v>
      </c>
    </row>
    <row r="108" spans="3:8" x14ac:dyDescent="0.25">
      <c r="C108" s="20">
        <v>535</v>
      </c>
      <c r="D108" s="20">
        <f t="shared" si="4"/>
        <v>224800.58931843462</v>
      </c>
      <c r="E108" s="20">
        <v>1.22</v>
      </c>
      <c r="F108" s="20" t="e">
        <f t="shared" si="5"/>
        <v>#DIV/0!</v>
      </c>
      <c r="G108" s="20" t="e">
        <f t="shared" si="6"/>
        <v>#DIV/0!</v>
      </c>
      <c r="H108" s="20">
        <f t="shared" si="7"/>
        <v>0</v>
      </c>
    </row>
    <row r="109" spans="3:8" x14ac:dyDescent="0.25">
      <c r="C109" s="20">
        <v>540</v>
      </c>
      <c r="D109" s="20">
        <f t="shared" si="4"/>
        <v>229022.10444669591</v>
      </c>
      <c r="E109" s="20">
        <v>1.22</v>
      </c>
      <c r="F109" s="20" t="e">
        <f t="shared" si="5"/>
        <v>#DIV/0!</v>
      </c>
      <c r="G109" s="20" t="e">
        <f t="shared" si="6"/>
        <v>#DIV/0!</v>
      </c>
      <c r="H109" s="20">
        <f t="shared" si="7"/>
        <v>0</v>
      </c>
    </row>
    <row r="110" spans="3:8" x14ac:dyDescent="0.25">
      <c r="C110" s="20">
        <v>545</v>
      </c>
      <c r="D110" s="20">
        <f t="shared" si="4"/>
        <v>233282.88948312707</v>
      </c>
      <c r="E110" s="20">
        <v>1.22</v>
      </c>
      <c r="F110" s="20" t="e">
        <f t="shared" si="5"/>
        <v>#DIV/0!</v>
      </c>
      <c r="G110" s="20" t="e">
        <f t="shared" si="6"/>
        <v>#DIV/0!</v>
      </c>
      <c r="H110" s="20">
        <f t="shared" si="7"/>
        <v>0</v>
      </c>
    </row>
    <row r="111" spans="3:8" x14ac:dyDescent="0.25">
      <c r="C111" s="20">
        <v>550</v>
      </c>
      <c r="D111" s="20">
        <f t="shared" si="4"/>
        <v>237582.9444277281</v>
      </c>
      <c r="E111" s="20">
        <v>1.22</v>
      </c>
      <c r="F111" s="20" t="e">
        <f t="shared" si="5"/>
        <v>#DIV/0!</v>
      </c>
      <c r="G111" s="20" t="e">
        <f t="shared" si="6"/>
        <v>#DIV/0!</v>
      </c>
      <c r="H111" s="20">
        <f t="shared" si="7"/>
        <v>0</v>
      </c>
    </row>
    <row r="112" spans="3:8" x14ac:dyDescent="0.25">
      <c r="C112" s="20">
        <v>555</v>
      </c>
      <c r="D112" s="20">
        <f t="shared" si="4"/>
        <v>241922.26928049899</v>
      </c>
      <c r="E112" s="20">
        <v>1.22</v>
      </c>
      <c r="F112" s="20" t="e">
        <f t="shared" si="5"/>
        <v>#DIV/0!</v>
      </c>
      <c r="G112" s="20" t="e">
        <f t="shared" si="6"/>
        <v>#DIV/0!</v>
      </c>
      <c r="H112" s="20">
        <f t="shared" si="7"/>
        <v>0</v>
      </c>
    </row>
    <row r="113" spans="3:8" x14ac:dyDescent="0.25">
      <c r="C113" s="20">
        <v>560</v>
      </c>
      <c r="D113" s="20">
        <f t="shared" si="4"/>
        <v>246300.86404143978</v>
      </c>
      <c r="E113" s="20">
        <v>1.22</v>
      </c>
      <c r="F113" s="20" t="e">
        <f t="shared" si="5"/>
        <v>#DIV/0!</v>
      </c>
      <c r="G113" s="20" t="e">
        <f t="shared" si="6"/>
        <v>#DIV/0!</v>
      </c>
      <c r="H113" s="20">
        <f t="shared" si="7"/>
        <v>0</v>
      </c>
    </row>
    <row r="114" spans="3:8" x14ac:dyDescent="0.25">
      <c r="C114" s="20">
        <v>565</v>
      </c>
      <c r="D114" s="20">
        <f t="shared" si="4"/>
        <v>250718.72871055044</v>
      </c>
      <c r="E114" s="20">
        <v>1.22</v>
      </c>
      <c r="F114" s="20" t="e">
        <f t="shared" si="5"/>
        <v>#DIV/0!</v>
      </c>
      <c r="G114" s="20" t="e">
        <f t="shared" si="6"/>
        <v>#DIV/0!</v>
      </c>
      <c r="H114" s="20">
        <f t="shared" si="7"/>
        <v>0</v>
      </c>
    </row>
    <row r="115" spans="3:8" x14ac:dyDescent="0.25">
      <c r="C115" s="20">
        <v>570</v>
      </c>
      <c r="D115" s="20">
        <f t="shared" si="4"/>
        <v>255175.86328783096</v>
      </c>
      <c r="E115" s="20">
        <v>1.22</v>
      </c>
      <c r="F115" s="20" t="e">
        <f t="shared" si="5"/>
        <v>#DIV/0!</v>
      </c>
      <c r="G115" s="20" t="e">
        <f t="shared" si="6"/>
        <v>#DIV/0!</v>
      </c>
      <c r="H115" s="20">
        <f t="shared" si="7"/>
        <v>0</v>
      </c>
    </row>
    <row r="116" spans="3:8" x14ac:dyDescent="0.25">
      <c r="C116" s="20">
        <v>575</v>
      </c>
      <c r="D116" s="20">
        <f t="shared" si="4"/>
        <v>259672.26777328135</v>
      </c>
      <c r="E116" s="20">
        <v>1.22</v>
      </c>
      <c r="F116" s="20" t="e">
        <f t="shared" si="5"/>
        <v>#DIV/0!</v>
      </c>
      <c r="G116" s="20" t="e">
        <f t="shared" si="6"/>
        <v>#DIV/0!</v>
      </c>
      <c r="H116" s="20">
        <f t="shared" si="7"/>
        <v>0</v>
      </c>
    </row>
    <row r="117" spans="3:8" x14ac:dyDescent="0.25">
      <c r="C117" s="20">
        <v>580</v>
      </c>
      <c r="D117" s="20">
        <f t="shared" si="4"/>
        <v>264207.9421669016</v>
      </c>
      <c r="E117" s="20">
        <v>1.22</v>
      </c>
      <c r="F117" s="20" t="e">
        <f t="shared" si="5"/>
        <v>#DIV/0!</v>
      </c>
      <c r="G117" s="20" t="e">
        <f t="shared" si="6"/>
        <v>#DIV/0!</v>
      </c>
      <c r="H117" s="20">
        <f t="shared" si="7"/>
        <v>0</v>
      </c>
    </row>
    <row r="118" spans="3:8" x14ac:dyDescent="0.25">
      <c r="C118" s="20">
        <v>585</v>
      </c>
      <c r="D118" s="20">
        <f t="shared" si="4"/>
        <v>268782.88646869175</v>
      </c>
      <c r="E118" s="20">
        <v>1.22</v>
      </c>
      <c r="F118" s="20" t="e">
        <f t="shared" si="5"/>
        <v>#DIV/0!</v>
      </c>
      <c r="G118" s="20" t="e">
        <f t="shared" si="6"/>
        <v>#DIV/0!</v>
      </c>
      <c r="H118" s="20">
        <f t="shared" si="7"/>
        <v>0</v>
      </c>
    </row>
    <row r="119" spans="3:8" x14ac:dyDescent="0.25">
      <c r="C119" s="20">
        <v>590</v>
      </c>
      <c r="D119" s="20">
        <f t="shared" si="4"/>
        <v>273397.10067865177</v>
      </c>
      <c r="E119" s="20">
        <v>1.22</v>
      </c>
      <c r="F119" s="20" t="e">
        <f t="shared" si="5"/>
        <v>#DIV/0!</v>
      </c>
      <c r="G119" s="20" t="e">
        <f t="shared" si="6"/>
        <v>#DIV/0!</v>
      </c>
      <c r="H119" s="20">
        <f t="shared" si="7"/>
        <v>0</v>
      </c>
    </row>
    <row r="120" spans="3:8" x14ac:dyDescent="0.25">
      <c r="C120" s="20">
        <v>595</v>
      </c>
      <c r="D120" s="20">
        <f t="shared" si="4"/>
        <v>278050.58479678165</v>
      </c>
      <c r="F120" s="20" t="e">
        <f t="shared" si="5"/>
        <v>#DIV/0!</v>
      </c>
      <c r="G120" s="20" t="e">
        <f t="shared" si="6"/>
        <v>#DIV/0!</v>
      </c>
      <c r="H120" s="20">
        <f t="shared" si="7"/>
        <v>0</v>
      </c>
    </row>
    <row r="121" spans="3:8" x14ac:dyDescent="0.25">
      <c r="C121" s="20">
        <v>600</v>
      </c>
      <c r="D121" s="20">
        <f t="shared" si="4"/>
        <v>282743.3388230814</v>
      </c>
      <c r="F121" s="20" t="e">
        <f t="shared" si="5"/>
        <v>#DIV/0!</v>
      </c>
      <c r="G121" s="20" t="e">
        <f t="shared" si="6"/>
        <v>#DIV/0!</v>
      </c>
      <c r="H121" s="20">
        <f t="shared" si="7"/>
        <v>0</v>
      </c>
    </row>
    <row r="122" spans="3:8" x14ac:dyDescent="0.25">
      <c r="C122" s="20">
        <v>605</v>
      </c>
      <c r="D122" s="20">
        <f t="shared" si="4"/>
        <v>287475.36275755102</v>
      </c>
      <c r="F122" s="20" t="e">
        <f t="shared" si="5"/>
        <v>#DIV/0!</v>
      </c>
      <c r="G122" s="20" t="e">
        <f t="shared" si="6"/>
        <v>#DIV/0!</v>
      </c>
      <c r="H122" s="20">
        <f t="shared" si="7"/>
        <v>0</v>
      </c>
    </row>
    <row r="123" spans="3:8" x14ac:dyDescent="0.25">
      <c r="C123" s="20">
        <v>610</v>
      </c>
      <c r="D123" s="20">
        <f t="shared" si="4"/>
        <v>292246.6566001905</v>
      </c>
      <c r="F123" s="20" t="e">
        <f t="shared" si="5"/>
        <v>#DIV/0!</v>
      </c>
      <c r="G123" s="20" t="e">
        <f t="shared" si="6"/>
        <v>#DIV/0!</v>
      </c>
      <c r="H123" s="20">
        <f t="shared" si="7"/>
        <v>0</v>
      </c>
    </row>
    <row r="124" spans="3:8" x14ac:dyDescent="0.25">
      <c r="C124" s="20">
        <v>615</v>
      </c>
      <c r="D124" s="20">
        <f t="shared" si="4"/>
        <v>297057.22035099985</v>
      </c>
      <c r="F124" s="20" t="e">
        <f t="shared" si="5"/>
        <v>#DIV/0!</v>
      </c>
      <c r="G124" s="20" t="e">
        <f t="shared" si="6"/>
        <v>#DIV/0!</v>
      </c>
      <c r="H124" s="20">
        <f t="shared" si="7"/>
        <v>0</v>
      </c>
    </row>
    <row r="125" spans="3:8" x14ac:dyDescent="0.25">
      <c r="C125" s="20">
        <v>620</v>
      </c>
      <c r="D125" s="20">
        <f t="shared" si="4"/>
        <v>301907.05400997913</v>
      </c>
      <c r="F125" s="20" t="e">
        <f t="shared" si="5"/>
        <v>#DIV/0!</v>
      </c>
      <c r="G125" s="20" t="e">
        <f t="shared" si="6"/>
        <v>#DIV/0!</v>
      </c>
      <c r="H125" s="20">
        <f t="shared" si="7"/>
        <v>0</v>
      </c>
    </row>
    <row r="126" spans="3:8" x14ac:dyDescent="0.25">
      <c r="C126" s="20">
        <v>625</v>
      </c>
      <c r="D126" s="20">
        <f t="shared" si="4"/>
        <v>306796.15757712821</v>
      </c>
      <c r="F126" s="20" t="e">
        <f t="shared" si="5"/>
        <v>#DIV/0!</v>
      </c>
      <c r="G126" s="20" t="e">
        <f t="shared" si="6"/>
        <v>#DIV/0!</v>
      </c>
      <c r="H126" s="20">
        <f t="shared" si="7"/>
        <v>0</v>
      </c>
    </row>
    <row r="127" spans="3:8" x14ac:dyDescent="0.25">
      <c r="C127" s="20">
        <v>630</v>
      </c>
      <c r="D127" s="20">
        <f t="shared" si="4"/>
        <v>311724.53105244722</v>
      </c>
      <c r="F127" s="20" t="e">
        <f t="shared" si="5"/>
        <v>#DIV/0!</v>
      </c>
      <c r="G127" s="20" t="e">
        <f t="shared" si="6"/>
        <v>#DIV/0!</v>
      </c>
      <c r="H127" s="20">
        <f t="shared" si="7"/>
        <v>0</v>
      </c>
    </row>
    <row r="128" spans="3:8" x14ac:dyDescent="0.25">
      <c r="C128" s="20">
        <v>635</v>
      </c>
      <c r="D128" s="20">
        <f t="shared" si="4"/>
        <v>316692.17443593609</v>
      </c>
      <c r="F128" s="20" t="e">
        <f t="shared" si="5"/>
        <v>#DIV/0!</v>
      </c>
      <c r="G128" s="20" t="e">
        <f t="shared" si="6"/>
        <v>#DIV/0!</v>
      </c>
      <c r="H128" s="20">
        <f t="shared" si="7"/>
        <v>0</v>
      </c>
    </row>
    <row r="129" spans="3:8" x14ac:dyDescent="0.25">
      <c r="C129" s="20">
        <v>640</v>
      </c>
      <c r="D129" s="20">
        <f t="shared" si="4"/>
        <v>321699.08772759483</v>
      </c>
      <c r="F129" s="20" t="e">
        <f t="shared" si="5"/>
        <v>#DIV/0!</v>
      </c>
      <c r="G129" s="20" t="e">
        <f t="shared" si="6"/>
        <v>#DIV/0!</v>
      </c>
      <c r="H129" s="20">
        <f t="shared" si="7"/>
        <v>0</v>
      </c>
    </row>
    <row r="130" spans="3:8" x14ac:dyDescent="0.25">
      <c r="C130" s="20">
        <v>645</v>
      </c>
      <c r="D130" s="20">
        <f t="shared" si="4"/>
        <v>326745.27092742344</v>
      </c>
      <c r="F130" s="20" t="e">
        <f t="shared" si="5"/>
        <v>#DIV/0!</v>
      </c>
      <c r="G130" s="20" t="e">
        <f t="shared" si="6"/>
        <v>#DIV/0!</v>
      </c>
      <c r="H130" s="20">
        <f t="shared" si="7"/>
        <v>0</v>
      </c>
    </row>
    <row r="131" spans="3:8" x14ac:dyDescent="0.25">
      <c r="C131" s="20">
        <v>650</v>
      </c>
      <c r="D131" s="20">
        <f t="shared" ref="D131:D194" si="8">(C131*0.5*C131*0.5)*PI()</f>
        <v>331830.72403542191</v>
      </c>
      <c r="F131" s="20" t="e">
        <f t="shared" ref="F131:F194" si="9">SQRT((2*A131*9.81)/(E131*D131*B131))</f>
        <v>#DIV/0!</v>
      </c>
      <c r="G131" s="20" t="e">
        <f t="shared" ref="G131:G194" si="10">D131*F131*F131*B131*E131*0.5</f>
        <v>#DIV/0!</v>
      </c>
      <c r="H131" s="20">
        <f t="shared" ref="H131:H194" si="11">A131*9.81</f>
        <v>0</v>
      </c>
    </row>
    <row r="132" spans="3:8" x14ac:dyDescent="0.25">
      <c r="C132" s="20">
        <v>655</v>
      </c>
      <c r="D132" s="20">
        <f t="shared" si="8"/>
        <v>336955.44705159025</v>
      </c>
      <c r="F132" s="20" t="e">
        <f t="shared" si="9"/>
        <v>#DIV/0!</v>
      </c>
      <c r="G132" s="20" t="e">
        <f t="shared" si="10"/>
        <v>#DIV/0!</v>
      </c>
      <c r="H132" s="20">
        <f t="shared" si="11"/>
        <v>0</v>
      </c>
    </row>
    <row r="133" spans="3:8" x14ac:dyDescent="0.25">
      <c r="C133" s="20">
        <v>660</v>
      </c>
      <c r="D133" s="20">
        <f t="shared" si="8"/>
        <v>342119.43997592846</v>
      </c>
      <c r="F133" s="20" t="e">
        <f t="shared" si="9"/>
        <v>#DIV/0!</v>
      </c>
      <c r="G133" s="20" t="e">
        <f t="shared" si="10"/>
        <v>#DIV/0!</v>
      </c>
      <c r="H133" s="20">
        <f t="shared" si="11"/>
        <v>0</v>
      </c>
    </row>
    <row r="134" spans="3:8" x14ac:dyDescent="0.25">
      <c r="C134" s="20">
        <v>665</v>
      </c>
      <c r="D134" s="20">
        <f t="shared" si="8"/>
        <v>347322.70280843659</v>
      </c>
      <c r="F134" s="20" t="e">
        <f t="shared" si="9"/>
        <v>#DIV/0!</v>
      </c>
      <c r="G134" s="20" t="e">
        <f t="shared" si="10"/>
        <v>#DIV/0!</v>
      </c>
      <c r="H134" s="20">
        <f t="shared" si="11"/>
        <v>0</v>
      </c>
    </row>
    <row r="135" spans="3:8" x14ac:dyDescent="0.25">
      <c r="C135" s="20">
        <v>670</v>
      </c>
      <c r="D135" s="20">
        <f t="shared" si="8"/>
        <v>352565.23554911453</v>
      </c>
      <c r="F135" s="20" t="e">
        <f t="shared" si="9"/>
        <v>#DIV/0!</v>
      </c>
      <c r="G135" s="20" t="e">
        <f t="shared" si="10"/>
        <v>#DIV/0!</v>
      </c>
      <c r="H135" s="20">
        <f t="shared" si="11"/>
        <v>0</v>
      </c>
    </row>
    <row r="136" spans="3:8" x14ac:dyDescent="0.25">
      <c r="C136" s="20">
        <v>675</v>
      </c>
      <c r="D136" s="20">
        <f t="shared" si="8"/>
        <v>357847.03819796239</v>
      </c>
      <c r="F136" s="20" t="e">
        <f t="shared" si="9"/>
        <v>#DIV/0!</v>
      </c>
      <c r="G136" s="20" t="e">
        <f t="shared" si="10"/>
        <v>#DIV/0!</v>
      </c>
      <c r="H136" s="20">
        <f t="shared" si="11"/>
        <v>0</v>
      </c>
    </row>
    <row r="137" spans="3:8" x14ac:dyDescent="0.25">
      <c r="C137" s="20">
        <v>680</v>
      </c>
      <c r="D137" s="20">
        <f t="shared" si="8"/>
        <v>363168.11075498007</v>
      </c>
      <c r="F137" s="20" t="e">
        <f t="shared" si="9"/>
        <v>#DIV/0!</v>
      </c>
      <c r="G137" s="20" t="e">
        <f t="shared" si="10"/>
        <v>#DIV/0!</v>
      </c>
      <c r="H137" s="20">
        <f t="shared" si="11"/>
        <v>0</v>
      </c>
    </row>
    <row r="138" spans="3:8" x14ac:dyDescent="0.25">
      <c r="C138" s="20">
        <v>685</v>
      </c>
      <c r="D138" s="20">
        <f t="shared" si="8"/>
        <v>368528.45322016766</v>
      </c>
      <c r="F138" s="20" t="e">
        <f t="shared" si="9"/>
        <v>#DIV/0!</v>
      </c>
      <c r="G138" s="20" t="e">
        <f t="shared" si="10"/>
        <v>#DIV/0!</v>
      </c>
      <c r="H138" s="20">
        <f t="shared" si="11"/>
        <v>0</v>
      </c>
    </row>
    <row r="139" spans="3:8" x14ac:dyDescent="0.25">
      <c r="C139" s="20">
        <v>690</v>
      </c>
      <c r="D139" s="20">
        <f t="shared" si="8"/>
        <v>373928.06559352513</v>
      </c>
      <c r="F139" s="20" t="e">
        <f t="shared" si="9"/>
        <v>#DIV/0!</v>
      </c>
      <c r="G139" s="20" t="e">
        <f t="shared" si="10"/>
        <v>#DIV/0!</v>
      </c>
      <c r="H139" s="20">
        <f t="shared" si="11"/>
        <v>0</v>
      </c>
    </row>
    <row r="140" spans="3:8" x14ac:dyDescent="0.25">
      <c r="C140" s="20">
        <v>695</v>
      </c>
      <c r="D140" s="20">
        <f t="shared" si="8"/>
        <v>379366.94787505246</v>
      </c>
      <c r="F140" s="20" t="e">
        <f t="shared" si="9"/>
        <v>#DIV/0!</v>
      </c>
      <c r="G140" s="20" t="e">
        <f t="shared" si="10"/>
        <v>#DIV/0!</v>
      </c>
      <c r="H140" s="20">
        <f t="shared" si="11"/>
        <v>0</v>
      </c>
    </row>
    <row r="141" spans="3:8" x14ac:dyDescent="0.25">
      <c r="C141" s="20">
        <v>700</v>
      </c>
      <c r="D141" s="20">
        <f t="shared" si="8"/>
        <v>384845.10006474965</v>
      </c>
      <c r="F141" s="20" t="e">
        <f t="shared" si="9"/>
        <v>#DIV/0!</v>
      </c>
      <c r="G141" s="20" t="e">
        <f t="shared" si="10"/>
        <v>#DIV/0!</v>
      </c>
      <c r="H141" s="20">
        <f t="shared" si="11"/>
        <v>0</v>
      </c>
    </row>
    <row r="142" spans="3:8" x14ac:dyDescent="0.25">
      <c r="C142" s="20">
        <v>705</v>
      </c>
      <c r="D142" s="20">
        <f t="shared" si="8"/>
        <v>390362.52216261672</v>
      </c>
      <c r="F142" s="20" t="e">
        <f t="shared" si="9"/>
        <v>#DIV/0!</v>
      </c>
      <c r="G142" s="20" t="e">
        <f t="shared" si="10"/>
        <v>#DIV/0!</v>
      </c>
      <c r="H142" s="20">
        <f t="shared" si="11"/>
        <v>0</v>
      </c>
    </row>
    <row r="143" spans="3:8" x14ac:dyDescent="0.25">
      <c r="C143" s="20">
        <v>710</v>
      </c>
      <c r="D143" s="20">
        <f t="shared" si="8"/>
        <v>395919.21416865365</v>
      </c>
      <c r="F143" s="20" t="e">
        <f t="shared" si="9"/>
        <v>#DIV/0!</v>
      </c>
      <c r="G143" s="20" t="e">
        <f t="shared" si="10"/>
        <v>#DIV/0!</v>
      </c>
      <c r="H143" s="20">
        <f t="shared" si="11"/>
        <v>0</v>
      </c>
    </row>
    <row r="144" spans="3:8" x14ac:dyDescent="0.25">
      <c r="C144" s="20">
        <v>715</v>
      </c>
      <c r="D144" s="20">
        <f t="shared" si="8"/>
        <v>401515.1760828605</v>
      </c>
      <c r="F144" s="20" t="e">
        <f t="shared" si="9"/>
        <v>#DIV/0!</v>
      </c>
      <c r="G144" s="20" t="e">
        <f t="shared" si="10"/>
        <v>#DIV/0!</v>
      </c>
      <c r="H144" s="20">
        <f t="shared" si="11"/>
        <v>0</v>
      </c>
    </row>
    <row r="145" spans="3:8" x14ac:dyDescent="0.25">
      <c r="C145" s="20">
        <v>720</v>
      </c>
      <c r="D145" s="20">
        <f t="shared" si="8"/>
        <v>407150.40790523717</v>
      </c>
      <c r="F145" s="20" t="e">
        <f t="shared" si="9"/>
        <v>#DIV/0!</v>
      </c>
      <c r="G145" s="20" t="e">
        <f t="shared" si="10"/>
        <v>#DIV/0!</v>
      </c>
      <c r="H145" s="20">
        <f t="shared" si="11"/>
        <v>0</v>
      </c>
    </row>
    <row r="146" spans="3:8" x14ac:dyDescent="0.25">
      <c r="C146" s="20">
        <v>725</v>
      </c>
      <c r="D146" s="20">
        <f t="shared" si="8"/>
        <v>412824.90963578376</v>
      </c>
      <c r="F146" s="20" t="e">
        <f t="shared" si="9"/>
        <v>#DIV/0!</v>
      </c>
      <c r="G146" s="20" t="e">
        <f t="shared" si="10"/>
        <v>#DIV/0!</v>
      </c>
      <c r="H146" s="20">
        <f t="shared" si="11"/>
        <v>0</v>
      </c>
    </row>
    <row r="147" spans="3:8" x14ac:dyDescent="0.25">
      <c r="C147" s="20">
        <v>730</v>
      </c>
      <c r="D147" s="20">
        <f t="shared" si="8"/>
        <v>418538.68127450021</v>
      </c>
      <c r="F147" s="20" t="e">
        <f t="shared" si="9"/>
        <v>#DIV/0!</v>
      </c>
      <c r="G147" s="20" t="e">
        <f t="shared" si="10"/>
        <v>#DIV/0!</v>
      </c>
      <c r="H147" s="20">
        <f t="shared" si="11"/>
        <v>0</v>
      </c>
    </row>
    <row r="148" spans="3:8" x14ac:dyDescent="0.25">
      <c r="C148" s="20">
        <v>735</v>
      </c>
      <c r="D148" s="20">
        <f t="shared" si="8"/>
        <v>424291.72282138647</v>
      </c>
      <c r="F148" s="20" t="e">
        <f t="shared" si="9"/>
        <v>#DIV/0!</v>
      </c>
      <c r="G148" s="20" t="e">
        <f t="shared" si="10"/>
        <v>#DIV/0!</v>
      </c>
      <c r="H148" s="20">
        <f t="shared" si="11"/>
        <v>0</v>
      </c>
    </row>
    <row r="149" spans="3:8" x14ac:dyDescent="0.25">
      <c r="C149" s="20">
        <v>740</v>
      </c>
      <c r="D149" s="20">
        <f t="shared" si="8"/>
        <v>430084.03427644266</v>
      </c>
      <c r="F149" s="20" t="e">
        <f t="shared" si="9"/>
        <v>#DIV/0!</v>
      </c>
      <c r="G149" s="20" t="e">
        <f t="shared" si="10"/>
        <v>#DIV/0!</v>
      </c>
      <c r="H149" s="20">
        <f t="shared" si="11"/>
        <v>0</v>
      </c>
    </row>
    <row r="150" spans="3:8" x14ac:dyDescent="0.25">
      <c r="C150" s="20">
        <v>745</v>
      </c>
      <c r="D150" s="20">
        <f t="shared" si="8"/>
        <v>435915.61563966871</v>
      </c>
      <c r="F150" s="20" t="e">
        <f t="shared" si="9"/>
        <v>#DIV/0!</v>
      </c>
      <c r="G150" s="20" t="e">
        <f t="shared" si="10"/>
        <v>#DIV/0!</v>
      </c>
      <c r="H150" s="20">
        <f t="shared" si="11"/>
        <v>0</v>
      </c>
    </row>
    <row r="151" spans="3:8" x14ac:dyDescent="0.25">
      <c r="C151" s="20">
        <v>750</v>
      </c>
      <c r="D151" s="20">
        <f t="shared" si="8"/>
        <v>441786.46691106464</v>
      </c>
      <c r="F151" s="20" t="e">
        <f t="shared" si="9"/>
        <v>#DIV/0!</v>
      </c>
      <c r="G151" s="20" t="e">
        <f t="shared" si="10"/>
        <v>#DIV/0!</v>
      </c>
      <c r="H151" s="20">
        <f t="shared" si="11"/>
        <v>0</v>
      </c>
    </row>
    <row r="152" spans="3:8" x14ac:dyDescent="0.25">
      <c r="C152" s="20">
        <v>755</v>
      </c>
      <c r="D152" s="20">
        <f t="shared" si="8"/>
        <v>447696.58809063048</v>
      </c>
      <c r="F152" s="20" t="e">
        <f t="shared" si="9"/>
        <v>#DIV/0!</v>
      </c>
      <c r="G152" s="20" t="e">
        <f t="shared" si="10"/>
        <v>#DIV/0!</v>
      </c>
      <c r="H152" s="20">
        <f t="shared" si="11"/>
        <v>0</v>
      </c>
    </row>
    <row r="153" spans="3:8" x14ac:dyDescent="0.25">
      <c r="C153" s="20">
        <v>760</v>
      </c>
      <c r="D153" s="20">
        <f t="shared" si="8"/>
        <v>453645.97917836613</v>
      </c>
      <c r="F153" s="20" t="e">
        <f t="shared" si="9"/>
        <v>#DIV/0!</v>
      </c>
      <c r="G153" s="20" t="e">
        <f t="shared" si="10"/>
        <v>#DIV/0!</v>
      </c>
      <c r="H153" s="20">
        <f t="shared" si="11"/>
        <v>0</v>
      </c>
    </row>
    <row r="154" spans="3:8" x14ac:dyDescent="0.25">
      <c r="C154" s="20">
        <v>765</v>
      </c>
      <c r="D154" s="20">
        <f t="shared" si="8"/>
        <v>459634.64017427166</v>
      </c>
      <c r="F154" s="20" t="e">
        <f t="shared" si="9"/>
        <v>#DIV/0!</v>
      </c>
      <c r="G154" s="20" t="e">
        <f t="shared" si="10"/>
        <v>#DIV/0!</v>
      </c>
      <c r="H154" s="20">
        <f t="shared" si="11"/>
        <v>0</v>
      </c>
    </row>
    <row r="155" spans="3:8" x14ac:dyDescent="0.25">
      <c r="C155" s="20">
        <v>770</v>
      </c>
      <c r="D155" s="20">
        <f t="shared" si="8"/>
        <v>465662.5710783471</v>
      </c>
      <c r="F155" s="20" t="e">
        <f t="shared" si="9"/>
        <v>#DIV/0!</v>
      </c>
      <c r="G155" s="20" t="e">
        <f t="shared" si="10"/>
        <v>#DIV/0!</v>
      </c>
      <c r="H155" s="20">
        <f t="shared" si="11"/>
        <v>0</v>
      </c>
    </row>
    <row r="156" spans="3:8" x14ac:dyDescent="0.25">
      <c r="C156" s="20">
        <v>775</v>
      </c>
      <c r="D156" s="20">
        <f t="shared" si="8"/>
        <v>471729.77189059235</v>
      </c>
      <c r="F156" s="20" t="e">
        <f t="shared" si="9"/>
        <v>#DIV/0!</v>
      </c>
      <c r="G156" s="20" t="e">
        <f t="shared" si="10"/>
        <v>#DIV/0!</v>
      </c>
      <c r="H156" s="20">
        <f t="shared" si="11"/>
        <v>0</v>
      </c>
    </row>
    <row r="157" spans="3:8" x14ac:dyDescent="0.25">
      <c r="C157" s="20">
        <v>780</v>
      </c>
      <c r="D157" s="20">
        <f t="shared" si="8"/>
        <v>477836.24261100753</v>
      </c>
      <c r="F157" s="20" t="e">
        <f t="shared" si="9"/>
        <v>#DIV/0!</v>
      </c>
      <c r="G157" s="20" t="e">
        <f t="shared" si="10"/>
        <v>#DIV/0!</v>
      </c>
      <c r="H157" s="20">
        <f t="shared" si="11"/>
        <v>0</v>
      </c>
    </row>
    <row r="158" spans="3:8" x14ac:dyDescent="0.25">
      <c r="C158" s="20">
        <v>785</v>
      </c>
      <c r="D158" s="20">
        <f t="shared" si="8"/>
        <v>483981.98323959258</v>
      </c>
      <c r="F158" s="20" t="e">
        <f t="shared" si="9"/>
        <v>#DIV/0!</v>
      </c>
      <c r="G158" s="20" t="e">
        <f t="shared" si="10"/>
        <v>#DIV/0!</v>
      </c>
      <c r="H158" s="20">
        <f t="shared" si="11"/>
        <v>0</v>
      </c>
    </row>
    <row r="159" spans="3:8" x14ac:dyDescent="0.25">
      <c r="C159" s="20">
        <v>790</v>
      </c>
      <c r="D159" s="20">
        <f t="shared" si="8"/>
        <v>490166.99377634749</v>
      </c>
      <c r="F159" s="20" t="e">
        <f t="shared" si="9"/>
        <v>#DIV/0!</v>
      </c>
      <c r="G159" s="20" t="e">
        <f t="shared" si="10"/>
        <v>#DIV/0!</v>
      </c>
      <c r="H159" s="20">
        <f t="shared" si="11"/>
        <v>0</v>
      </c>
    </row>
    <row r="160" spans="3:8" x14ac:dyDescent="0.25">
      <c r="C160" s="20">
        <v>795</v>
      </c>
      <c r="D160" s="20">
        <f t="shared" si="8"/>
        <v>496391.27422127227</v>
      </c>
      <c r="F160" s="20" t="e">
        <f t="shared" si="9"/>
        <v>#DIV/0!</v>
      </c>
      <c r="G160" s="20" t="e">
        <f t="shared" si="10"/>
        <v>#DIV/0!</v>
      </c>
      <c r="H160" s="20">
        <f t="shared" si="11"/>
        <v>0</v>
      </c>
    </row>
    <row r="161" spans="3:8" x14ac:dyDescent="0.25">
      <c r="C161" s="20">
        <v>800</v>
      </c>
      <c r="D161" s="20">
        <f t="shared" si="8"/>
        <v>502654.82457436691</v>
      </c>
      <c r="F161" s="20" t="e">
        <f t="shared" si="9"/>
        <v>#DIV/0!</v>
      </c>
      <c r="G161" s="20" t="e">
        <f t="shared" si="10"/>
        <v>#DIV/0!</v>
      </c>
      <c r="H161" s="20">
        <f t="shared" si="11"/>
        <v>0</v>
      </c>
    </row>
    <row r="162" spans="3:8" x14ac:dyDescent="0.25">
      <c r="C162" s="20">
        <v>805</v>
      </c>
      <c r="D162" s="20">
        <f t="shared" si="8"/>
        <v>508957.64483563142</v>
      </c>
      <c r="F162" s="20" t="e">
        <f t="shared" si="9"/>
        <v>#DIV/0!</v>
      </c>
      <c r="G162" s="20" t="e">
        <f t="shared" si="10"/>
        <v>#DIV/0!</v>
      </c>
      <c r="H162" s="20">
        <f t="shared" si="11"/>
        <v>0</v>
      </c>
    </row>
    <row r="163" spans="3:8" x14ac:dyDescent="0.25">
      <c r="C163" s="20">
        <v>810</v>
      </c>
      <c r="D163" s="20">
        <f t="shared" si="8"/>
        <v>515299.7350050658</v>
      </c>
      <c r="F163" s="20" t="e">
        <f t="shared" si="9"/>
        <v>#DIV/0!</v>
      </c>
      <c r="G163" s="20" t="e">
        <f t="shared" si="10"/>
        <v>#DIV/0!</v>
      </c>
      <c r="H163" s="20">
        <f t="shared" si="11"/>
        <v>0</v>
      </c>
    </row>
    <row r="164" spans="3:8" x14ac:dyDescent="0.25">
      <c r="C164" s="20">
        <v>815</v>
      </c>
      <c r="D164" s="20">
        <f t="shared" si="8"/>
        <v>521681.0950826701</v>
      </c>
      <c r="F164" s="20" t="e">
        <f t="shared" si="9"/>
        <v>#DIV/0!</v>
      </c>
      <c r="G164" s="20" t="e">
        <f t="shared" si="10"/>
        <v>#DIV/0!</v>
      </c>
      <c r="H164" s="20">
        <f t="shared" si="11"/>
        <v>0</v>
      </c>
    </row>
    <row r="165" spans="3:8" x14ac:dyDescent="0.25">
      <c r="C165" s="20">
        <v>820</v>
      </c>
      <c r="D165" s="20">
        <f t="shared" si="8"/>
        <v>528101.72506844427</v>
      </c>
      <c r="F165" s="20" t="e">
        <f t="shared" si="9"/>
        <v>#DIV/0!</v>
      </c>
      <c r="G165" s="20" t="e">
        <f t="shared" si="10"/>
        <v>#DIV/0!</v>
      </c>
      <c r="H165" s="20">
        <f t="shared" si="11"/>
        <v>0</v>
      </c>
    </row>
    <row r="166" spans="3:8" x14ac:dyDescent="0.25">
      <c r="C166" s="20">
        <v>825</v>
      </c>
      <c r="D166" s="20">
        <f t="shared" si="8"/>
        <v>534561.62496238819</v>
      </c>
      <c r="F166" s="20" t="e">
        <f t="shared" si="9"/>
        <v>#DIV/0!</v>
      </c>
      <c r="G166" s="20" t="e">
        <f t="shared" si="10"/>
        <v>#DIV/0!</v>
      </c>
      <c r="H166" s="20">
        <f t="shared" si="11"/>
        <v>0</v>
      </c>
    </row>
    <row r="167" spans="3:8" x14ac:dyDescent="0.25">
      <c r="C167" s="20">
        <v>830</v>
      </c>
      <c r="D167" s="20">
        <f t="shared" si="8"/>
        <v>541060.79476450209</v>
      </c>
      <c r="F167" s="20" t="e">
        <f t="shared" si="9"/>
        <v>#DIV/0!</v>
      </c>
      <c r="G167" s="20" t="e">
        <f t="shared" si="10"/>
        <v>#DIV/0!</v>
      </c>
      <c r="H167" s="20">
        <f t="shared" si="11"/>
        <v>0</v>
      </c>
    </row>
    <row r="168" spans="3:8" x14ac:dyDescent="0.25">
      <c r="C168" s="20">
        <v>835</v>
      </c>
      <c r="D168" s="20">
        <f t="shared" si="8"/>
        <v>547599.23447478586</v>
      </c>
      <c r="F168" s="20" t="e">
        <f t="shared" si="9"/>
        <v>#DIV/0!</v>
      </c>
      <c r="G168" s="20" t="e">
        <f t="shared" si="10"/>
        <v>#DIV/0!</v>
      </c>
      <c r="H168" s="20">
        <f t="shared" si="11"/>
        <v>0</v>
      </c>
    </row>
    <row r="169" spans="3:8" x14ac:dyDescent="0.25">
      <c r="C169" s="20">
        <v>840</v>
      </c>
      <c r="D169" s="20">
        <f t="shared" si="8"/>
        <v>554176.94409323949</v>
      </c>
      <c r="F169" s="20" t="e">
        <f t="shared" si="9"/>
        <v>#DIV/0!</v>
      </c>
      <c r="G169" s="20" t="e">
        <f t="shared" si="10"/>
        <v>#DIV/0!</v>
      </c>
      <c r="H169" s="20">
        <f t="shared" si="11"/>
        <v>0</v>
      </c>
    </row>
    <row r="170" spans="3:8" x14ac:dyDescent="0.25">
      <c r="C170" s="20">
        <v>845</v>
      </c>
      <c r="D170" s="20">
        <f t="shared" si="8"/>
        <v>560793.923619863</v>
      </c>
      <c r="F170" s="20" t="e">
        <f t="shared" si="9"/>
        <v>#DIV/0!</v>
      </c>
      <c r="G170" s="20" t="e">
        <f t="shared" si="10"/>
        <v>#DIV/0!</v>
      </c>
      <c r="H170" s="20">
        <f t="shared" si="11"/>
        <v>0</v>
      </c>
    </row>
    <row r="171" spans="3:8" x14ac:dyDescent="0.25">
      <c r="C171" s="20">
        <v>850</v>
      </c>
      <c r="D171" s="20">
        <f t="shared" si="8"/>
        <v>567450.17305465636</v>
      </c>
      <c r="F171" s="20" t="e">
        <f t="shared" si="9"/>
        <v>#DIV/0!</v>
      </c>
      <c r="G171" s="20" t="e">
        <f t="shared" si="10"/>
        <v>#DIV/0!</v>
      </c>
      <c r="H171" s="20">
        <f t="shared" si="11"/>
        <v>0</v>
      </c>
    </row>
    <row r="172" spans="3:8" x14ac:dyDescent="0.25">
      <c r="C172" s="20">
        <v>855</v>
      </c>
      <c r="D172" s="20">
        <f t="shared" si="8"/>
        <v>574145.6923976196</v>
      </c>
      <c r="F172" s="20" t="e">
        <f t="shared" si="9"/>
        <v>#DIV/0!</v>
      </c>
      <c r="G172" s="20" t="e">
        <f t="shared" si="10"/>
        <v>#DIV/0!</v>
      </c>
      <c r="H172" s="20">
        <f t="shared" si="11"/>
        <v>0</v>
      </c>
    </row>
    <row r="173" spans="3:8" x14ac:dyDescent="0.25">
      <c r="C173" s="20">
        <v>860</v>
      </c>
      <c r="D173" s="20">
        <f t="shared" si="8"/>
        <v>580880.4816487527</v>
      </c>
      <c r="F173" s="20" t="e">
        <f t="shared" si="9"/>
        <v>#DIV/0!</v>
      </c>
      <c r="G173" s="20" t="e">
        <f t="shared" si="10"/>
        <v>#DIV/0!</v>
      </c>
      <c r="H173" s="20">
        <f t="shared" si="11"/>
        <v>0</v>
      </c>
    </row>
    <row r="174" spans="3:8" x14ac:dyDescent="0.25">
      <c r="C174" s="20">
        <v>865</v>
      </c>
      <c r="D174" s="20">
        <f t="shared" si="8"/>
        <v>587654.54080805578</v>
      </c>
      <c r="F174" s="20" t="e">
        <f t="shared" si="9"/>
        <v>#DIV/0!</v>
      </c>
      <c r="G174" s="20" t="e">
        <f t="shared" si="10"/>
        <v>#DIV/0!</v>
      </c>
      <c r="H174" s="20">
        <f t="shared" si="11"/>
        <v>0</v>
      </c>
    </row>
    <row r="175" spans="3:8" x14ac:dyDescent="0.25">
      <c r="C175" s="20">
        <v>870</v>
      </c>
      <c r="D175" s="20">
        <f t="shared" si="8"/>
        <v>594467.86987552862</v>
      </c>
      <c r="F175" s="20" t="e">
        <f t="shared" si="9"/>
        <v>#DIV/0!</v>
      </c>
      <c r="G175" s="20" t="e">
        <f t="shared" si="10"/>
        <v>#DIV/0!</v>
      </c>
      <c r="H175" s="20">
        <f t="shared" si="11"/>
        <v>0</v>
      </c>
    </row>
    <row r="176" spans="3:8" x14ac:dyDescent="0.25">
      <c r="C176" s="20">
        <v>875</v>
      </c>
      <c r="D176" s="20">
        <f t="shared" si="8"/>
        <v>601320.46885117132</v>
      </c>
      <c r="F176" s="20" t="e">
        <f t="shared" si="9"/>
        <v>#DIV/0!</v>
      </c>
      <c r="G176" s="20" t="e">
        <f t="shared" si="10"/>
        <v>#DIV/0!</v>
      </c>
      <c r="H176" s="20">
        <f t="shared" si="11"/>
        <v>0</v>
      </c>
    </row>
    <row r="177" spans="3:8" x14ac:dyDescent="0.25">
      <c r="C177" s="20">
        <v>880</v>
      </c>
      <c r="D177" s="20">
        <f t="shared" si="8"/>
        <v>608212.337734984</v>
      </c>
      <c r="F177" s="20" t="e">
        <f t="shared" si="9"/>
        <v>#DIV/0!</v>
      </c>
      <c r="G177" s="20" t="e">
        <f t="shared" si="10"/>
        <v>#DIV/0!</v>
      </c>
      <c r="H177" s="20">
        <f t="shared" si="11"/>
        <v>0</v>
      </c>
    </row>
    <row r="178" spans="3:8" x14ac:dyDescent="0.25">
      <c r="C178" s="20">
        <v>885</v>
      </c>
      <c r="D178" s="20">
        <f t="shared" si="8"/>
        <v>615143.47652696643</v>
      </c>
      <c r="F178" s="20" t="e">
        <f t="shared" si="9"/>
        <v>#DIV/0!</v>
      </c>
      <c r="G178" s="20" t="e">
        <f t="shared" si="10"/>
        <v>#DIV/0!</v>
      </c>
      <c r="H178" s="20">
        <f t="shared" si="11"/>
        <v>0</v>
      </c>
    </row>
    <row r="179" spans="3:8" x14ac:dyDescent="0.25">
      <c r="C179" s="20">
        <v>890</v>
      </c>
      <c r="D179" s="20">
        <f t="shared" si="8"/>
        <v>622113.88522711874</v>
      </c>
      <c r="F179" s="20" t="e">
        <f t="shared" si="9"/>
        <v>#DIV/0!</v>
      </c>
      <c r="G179" s="20" t="e">
        <f t="shared" si="10"/>
        <v>#DIV/0!</v>
      </c>
      <c r="H179" s="20">
        <f t="shared" si="11"/>
        <v>0</v>
      </c>
    </row>
    <row r="180" spans="3:8" x14ac:dyDescent="0.25">
      <c r="C180" s="20">
        <v>895</v>
      </c>
      <c r="D180" s="20">
        <f t="shared" si="8"/>
        <v>629123.56383544102</v>
      </c>
      <c r="F180" s="20" t="e">
        <f t="shared" si="9"/>
        <v>#DIV/0!</v>
      </c>
      <c r="G180" s="20" t="e">
        <f t="shared" si="10"/>
        <v>#DIV/0!</v>
      </c>
      <c r="H180" s="20">
        <f t="shared" si="11"/>
        <v>0</v>
      </c>
    </row>
    <row r="181" spans="3:8" x14ac:dyDescent="0.25">
      <c r="C181" s="20">
        <v>900</v>
      </c>
      <c r="D181" s="20">
        <f t="shared" si="8"/>
        <v>636172.51235193305</v>
      </c>
      <c r="F181" s="20" t="e">
        <f t="shared" si="9"/>
        <v>#DIV/0!</v>
      </c>
      <c r="G181" s="20" t="e">
        <f t="shared" si="10"/>
        <v>#DIV/0!</v>
      </c>
      <c r="H181" s="20">
        <f t="shared" si="11"/>
        <v>0</v>
      </c>
    </row>
    <row r="182" spans="3:8" x14ac:dyDescent="0.25">
      <c r="C182" s="20">
        <v>905</v>
      </c>
      <c r="D182" s="20">
        <f t="shared" si="8"/>
        <v>643260.73077659507</v>
      </c>
      <c r="F182" s="20" t="e">
        <f t="shared" si="9"/>
        <v>#DIV/0!</v>
      </c>
      <c r="G182" s="20" t="e">
        <f t="shared" si="10"/>
        <v>#DIV/0!</v>
      </c>
      <c r="H182" s="20">
        <f t="shared" si="11"/>
        <v>0</v>
      </c>
    </row>
    <row r="183" spans="3:8" x14ac:dyDescent="0.25">
      <c r="C183" s="20">
        <v>910</v>
      </c>
      <c r="D183" s="20">
        <f t="shared" si="8"/>
        <v>650388.21910942695</v>
      </c>
      <c r="F183" s="20" t="e">
        <f t="shared" si="9"/>
        <v>#DIV/0!</v>
      </c>
      <c r="G183" s="20" t="e">
        <f t="shared" si="10"/>
        <v>#DIV/0!</v>
      </c>
      <c r="H183" s="20">
        <f t="shared" si="11"/>
        <v>0</v>
      </c>
    </row>
    <row r="184" spans="3:8" x14ac:dyDescent="0.25">
      <c r="C184" s="20">
        <v>915</v>
      </c>
      <c r="D184" s="20">
        <f t="shared" si="8"/>
        <v>657554.97735042858</v>
      </c>
      <c r="F184" s="20" t="e">
        <f t="shared" si="9"/>
        <v>#DIV/0!</v>
      </c>
      <c r="G184" s="20" t="e">
        <f t="shared" si="10"/>
        <v>#DIV/0!</v>
      </c>
      <c r="H184" s="20">
        <f t="shared" si="11"/>
        <v>0</v>
      </c>
    </row>
    <row r="185" spans="3:8" x14ac:dyDescent="0.25">
      <c r="C185" s="20">
        <v>920</v>
      </c>
      <c r="D185" s="20">
        <f t="shared" si="8"/>
        <v>664761.0054996002</v>
      </c>
      <c r="F185" s="20" t="e">
        <f t="shared" si="9"/>
        <v>#DIV/0!</v>
      </c>
      <c r="G185" s="20" t="e">
        <f t="shared" si="10"/>
        <v>#DIV/0!</v>
      </c>
      <c r="H185" s="20">
        <f t="shared" si="11"/>
        <v>0</v>
      </c>
    </row>
    <row r="186" spans="3:8" x14ac:dyDescent="0.25">
      <c r="C186" s="20">
        <v>925</v>
      </c>
      <c r="D186" s="20">
        <f t="shared" si="8"/>
        <v>672006.30355694168</v>
      </c>
      <c r="F186" s="20" t="e">
        <f t="shared" si="9"/>
        <v>#DIV/0!</v>
      </c>
      <c r="G186" s="20" t="e">
        <f t="shared" si="10"/>
        <v>#DIV/0!</v>
      </c>
      <c r="H186" s="20">
        <f t="shared" si="11"/>
        <v>0</v>
      </c>
    </row>
    <row r="187" spans="3:8" x14ac:dyDescent="0.25">
      <c r="C187" s="20">
        <v>930</v>
      </c>
      <c r="D187" s="20">
        <f t="shared" si="8"/>
        <v>679290.87152245303</v>
      </c>
      <c r="F187" s="20" t="e">
        <f t="shared" si="9"/>
        <v>#DIV/0!</v>
      </c>
      <c r="G187" s="20" t="e">
        <f t="shared" si="10"/>
        <v>#DIV/0!</v>
      </c>
      <c r="H187" s="20">
        <f t="shared" si="11"/>
        <v>0</v>
      </c>
    </row>
    <row r="188" spans="3:8" x14ac:dyDescent="0.25">
      <c r="C188" s="20">
        <v>935</v>
      </c>
      <c r="D188" s="20">
        <f t="shared" si="8"/>
        <v>686614.70939613425</v>
      </c>
      <c r="F188" s="20" t="e">
        <f t="shared" si="9"/>
        <v>#DIV/0!</v>
      </c>
      <c r="G188" s="20" t="e">
        <f t="shared" si="10"/>
        <v>#DIV/0!</v>
      </c>
      <c r="H188" s="20">
        <f t="shared" si="11"/>
        <v>0</v>
      </c>
    </row>
    <row r="189" spans="3:8" x14ac:dyDescent="0.25">
      <c r="C189" s="20">
        <v>940</v>
      </c>
      <c r="D189" s="20">
        <f t="shared" si="8"/>
        <v>693977.81717798533</v>
      </c>
      <c r="F189" s="20" t="e">
        <f t="shared" si="9"/>
        <v>#DIV/0!</v>
      </c>
      <c r="G189" s="20" t="e">
        <f t="shared" si="10"/>
        <v>#DIV/0!</v>
      </c>
      <c r="H189" s="20">
        <f t="shared" si="11"/>
        <v>0</v>
      </c>
    </row>
    <row r="190" spans="3:8" x14ac:dyDescent="0.25">
      <c r="C190" s="20">
        <v>945</v>
      </c>
      <c r="D190" s="20">
        <f t="shared" si="8"/>
        <v>701380.19486800628</v>
      </c>
      <c r="F190" s="20" t="e">
        <f t="shared" si="9"/>
        <v>#DIV/0!</v>
      </c>
      <c r="G190" s="20" t="e">
        <f t="shared" si="10"/>
        <v>#DIV/0!</v>
      </c>
      <c r="H190" s="20">
        <f t="shared" si="11"/>
        <v>0</v>
      </c>
    </row>
    <row r="191" spans="3:8" x14ac:dyDescent="0.25">
      <c r="C191" s="20">
        <v>950</v>
      </c>
      <c r="D191" s="20">
        <f t="shared" si="8"/>
        <v>708821.84246619709</v>
      </c>
      <c r="F191" s="20" t="e">
        <f t="shared" si="9"/>
        <v>#DIV/0!</v>
      </c>
      <c r="G191" s="20" t="e">
        <f t="shared" si="10"/>
        <v>#DIV/0!</v>
      </c>
      <c r="H191" s="20">
        <f t="shared" si="11"/>
        <v>0</v>
      </c>
    </row>
    <row r="192" spans="3:8" x14ac:dyDescent="0.25">
      <c r="C192" s="20">
        <v>955</v>
      </c>
      <c r="D192" s="20">
        <f t="shared" si="8"/>
        <v>716302.75997255777</v>
      </c>
      <c r="F192" s="20" t="e">
        <f t="shared" si="9"/>
        <v>#DIV/0!</v>
      </c>
      <c r="G192" s="20" t="e">
        <f t="shared" si="10"/>
        <v>#DIV/0!</v>
      </c>
      <c r="H192" s="20">
        <f t="shared" si="11"/>
        <v>0</v>
      </c>
    </row>
    <row r="193" spans="3:8" x14ac:dyDescent="0.25">
      <c r="C193" s="20">
        <v>960</v>
      </c>
      <c r="D193" s="20">
        <f t="shared" si="8"/>
        <v>723822.94738708832</v>
      </c>
      <c r="F193" s="20" t="e">
        <f t="shared" si="9"/>
        <v>#DIV/0!</v>
      </c>
      <c r="G193" s="20" t="e">
        <f t="shared" si="10"/>
        <v>#DIV/0!</v>
      </c>
      <c r="H193" s="20">
        <f t="shared" si="11"/>
        <v>0</v>
      </c>
    </row>
    <row r="194" spans="3:8" x14ac:dyDescent="0.25">
      <c r="C194" s="20">
        <v>965</v>
      </c>
      <c r="D194" s="20">
        <f t="shared" si="8"/>
        <v>731382.40470978874</v>
      </c>
      <c r="F194" s="20" t="e">
        <f t="shared" si="9"/>
        <v>#DIV/0!</v>
      </c>
      <c r="G194" s="20" t="e">
        <f t="shared" si="10"/>
        <v>#DIV/0!</v>
      </c>
      <c r="H194" s="20">
        <f t="shared" si="11"/>
        <v>0</v>
      </c>
    </row>
    <row r="195" spans="3:8" x14ac:dyDescent="0.25">
      <c r="C195" s="20">
        <v>970</v>
      </c>
      <c r="D195" s="20">
        <f t="shared" ref="D195:D234" si="12">(C195*0.5*C195*0.5)*PI()</f>
        <v>738981.13194065914</v>
      </c>
      <c r="F195" s="20" t="e">
        <f t="shared" ref="F195:F234" si="13">SQRT((2*A195*9.81)/(E195*D195*B195))</f>
        <v>#DIV/0!</v>
      </c>
      <c r="G195" s="20" t="e">
        <f t="shared" ref="G195:G234" si="14">D195*F195*F195*B195*E195*0.5</f>
        <v>#DIV/0!</v>
      </c>
      <c r="H195" s="20">
        <f t="shared" ref="H195:H234" si="15">A195*9.81</f>
        <v>0</v>
      </c>
    </row>
    <row r="196" spans="3:8" x14ac:dyDescent="0.25">
      <c r="C196" s="20">
        <v>975</v>
      </c>
      <c r="D196" s="20">
        <f t="shared" si="12"/>
        <v>746619.12907969928</v>
      </c>
      <c r="F196" s="20" t="e">
        <f t="shared" si="13"/>
        <v>#DIV/0!</v>
      </c>
      <c r="G196" s="20" t="e">
        <f t="shared" si="14"/>
        <v>#DIV/0!</v>
      </c>
      <c r="H196" s="20">
        <f t="shared" si="15"/>
        <v>0</v>
      </c>
    </row>
    <row r="197" spans="3:8" x14ac:dyDescent="0.25">
      <c r="C197" s="20">
        <v>980</v>
      </c>
      <c r="D197" s="20">
        <f t="shared" si="12"/>
        <v>754296.3961269093</v>
      </c>
      <c r="F197" s="20" t="e">
        <f t="shared" si="13"/>
        <v>#DIV/0!</v>
      </c>
      <c r="G197" s="20" t="e">
        <f t="shared" si="14"/>
        <v>#DIV/0!</v>
      </c>
      <c r="H197" s="20">
        <f t="shared" si="15"/>
        <v>0</v>
      </c>
    </row>
    <row r="198" spans="3:8" x14ac:dyDescent="0.25">
      <c r="C198" s="20">
        <v>985</v>
      </c>
      <c r="D198" s="20">
        <f t="shared" si="12"/>
        <v>762012.9330822893</v>
      </c>
      <c r="F198" s="20" t="e">
        <f t="shared" si="13"/>
        <v>#DIV/0!</v>
      </c>
      <c r="G198" s="20" t="e">
        <f t="shared" si="14"/>
        <v>#DIV/0!</v>
      </c>
      <c r="H198" s="20">
        <f t="shared" si="15"/>
        <v>0</v>
      </c>
    </row>
    <row r="199" spans="3:8" x14ac:dyDescent="0.25">
      <c r="C199" s="20">
        <v>990</v>
      </c>
      <c r="D199" s="20">
        <f t="shared" si="12"/>
        <v>769768.73994583904</v>
      </c>
      <c r="F199" s="20" t="e">
        <f t="shared" si="13"/>
        <v>#DIV/0!</v>
      </c>
      <c r="G199" s="20" t="e">
        <f t="shared" si="14"/>
        <v>#DIV/0!</v>
      </c>
      <c r="H199" s="20">
        <f t="shared" si="15"/>
        <v>0</v>
      </c>
    </row>
    <row r="200" spans="3:8" x14ac:dyDescent="0.25">
      <c r="C200" s="20">
        <v>995</v>
      </c>
      <c r="D200" s="20">
        <f t="shared" si="12"/>
        <v>777563.81671755877</v>
      </c>
      <c r="F200" s="20" t="e">
        <f t="shared" si="13"/>
        <v>#DIV/0!</v>
      </c>
      <c r="G200" s="20" t="e">
        <f t="shared" si="14"/>
        <v>#DIV/0!</v>
      </c>
      <c r="H200" s="20">
        <f t="shared" si="15"/>
        <v>0</v>
      </c>
    </row>
    <row r="201" spans="3:8" x14ac:dyDescent="0.25">
      <c r="C201" s="20">
        <v>1000</v>
      </c>
      <c r="D201" s="20">
        <f t="shared" si="12"/>
        <v>785398.16339744825</v>
      </c>
      <c r="F201" s="20" t="e">
        <f t="shared" si="13"/>
        <v>#DIV/0!</v>
      </c>
      <c r="G201" s="20" t="e">
        <f t="shared" si="14"/>
        <v>#DIV/0!</v>
      </c>
      <c r="H201" s="20">
        <f t="shared" si="15"/>
        <v>0</v>
      </c>
    </row>
    <row r="202" spans="3:8" x14ac:dyDescent="0.25">
      <c r="C202" s="20">
        <v>1005</v>
      </c>
      <c r="D202" s="20">
        <f t="shared" si="12"/>
        <v>793271.77998550772</v>
      </c>
      <c r="F202" s="20" t="e">
        <f t="shared" si="13"/>
        <v>#DIV/0!</v>
      </c>
      <c r="G202" s="20" t="e">
        <f t="shared" si="14"/>
        <v>#DIV/0!</v>
      </c>
      <c r="H202" s="20">
        <f t="shared" si="15"/>
        <v>0</v>
      </c>
    </row>
    <row r="203" spans="3:8" x14ac:dyDescent="0.25">
      <c r="C203" s="20">
        <v>1010</v>
      </c>
      <c r="D203" s="20">
        <f t="shared" si="12"/>
        <v>801184.66648173705</v>
      </c>
      <c r="F203" s="20" t="e">
        <f t="shared" si="13"/>
        <v>#DIV/0!</v>
      </c>
      <c r="G203" s="20" t="e">
        <f t="shared" si="14"/>
        <v>#DIV/0!</v>
      </c>
      <c r="H203" s="20">
        <f t="shared" si="15"/>
        <v>0</v>
      </c>
    </row>
    <row r="204" spans="3:8" x14ac:dyDescent="0.25">
      <c r="C204" s="20">
        <v>1015</v>
      </c>
      <c r="D204" s="20">
        <f t="shared" si="12"/>
        <v>809136.82288613613</v>
      </c>
      <c r="F204" s="20" t="e">
        <f t="shared" si="13"/>
        <v>#DIV/0!</v>
      </c>
      <c r="G204" s="20" t="e">
        <f t="shared" si="14"/>
        <v>#DIV/0!</v>
      </c>
      <c r="H204" s="20">
        <f t="shared" si="15"/>
        <v>0</v>
      </c>
    </row>
    <row r="205" spans="3:8" x14ac:dyDescent="0.25">
      <c r="C205" s="20">
        <v>1020</v>
      </c>
      <c r="D205" s="20">
        <f t="shared" si="12"/>
        <v>817128.24919870519</v>
      </c>
      <c r="F205" s="20" t="e">
        <f t="shared" si="13"/>
        <v>#DIV/0!</v>
      </c>
      <c r="G205" s="20" t="e">
        <f t="shared" si="14"/>
        <v>#DIV/0!</v>
      </c>
      <c r="H205" s="20">
        <f t="shared" si="15"/>
        <v>0</v>
      </c>
    </row>
    <row r="206" spans="3:8" x14ac:dyDescent="0.25">
      <c r="C206" s="20">
        <v>1025</v>
      </c>
      <c r="D206" s="20">
        <f t="shared" si="12"/>
        <v>825158.94541944412</v>
      </c>
      <c r="F206" s="20" t="e">
        <f t="shared" si="13"/>
        <v>#DIV/0!</v>
      </c>
      <c r="G206" s="20" t="e">
        <f t="shared" si="14"/>
        <v>#DIV/0!</v>
      </c>
      <c r="H206" s="20">
        <f t="shared" si="15"/>
        <v>0</v>
      </c>
    </row>
    <row r="207" spans="3:8" x14ac:dyDescent="0.25">
      <c r="C207" s="20">
        <v>1030</v>
      </c>
      <c r="D207" s="20">
        <f t="shared" si="12"/>
        <v>833228.91154835292</v>
      </c>
      <c r="F207" s="20" t="e">
        <f t="shared" si="13"/>
        <v>#DIV/0!</v>
      </c>
      <c r="G207" s="20" t="e">
        <f t="shared" si="14"/>
        <v>#DIV/0!</v>
      </c>
      <c r="H207" s="20">
        <f t="shared" si="15"/>
        <v>0</v>
      </c>
    </row>
    <row r="208" spans="3:8" x14ac:dyDescent="0.25">
      <c r="C208" s="20">
        <v>1035</v>
      </c>
      <c r="D208" s="20">
        <f t="shared" si="12"/>
        <v>841338.14758543158</v>
      </c>
      <c r="F208" s="20" t="e">
        <f t="shared" si="13"/>
        <v>#DIV/0!</v>
      </c>
      <c r="G208" s="20" t="e">
        <f t="shared" si="14"/>
        <v>#DIV/0!</v>
      </c>
      <c r="H208" s="20">
        <f t="shared" si="15"/>
        <v>0</v>
      </c>
    </row>
    <row r="209" spans="3:8" x14ac:dyDescent="0.25">
      <c r="C209" s="20">
        <v>1040</v>
      </c>
      <c r="D209" s="20">
        <f t="shared" si="12"/>
        <v>849486.65353068011</v>
      </c>
      <c r="F209" s="20" t="e">
        <f t="shared" si="13"/>
        <v>#DIV/0!</v>
      </c>
      <c r="G209" s="20" t="e">
        <f t="shared" si="14"/>
        <v>#DIV/0!</v>
      </c>
      <c r="H209" s="20">
        <f t="shared" si="15"/>
        <v>0</v>
      </c>
    </row>
    <row r="210" spans="3:8" x14ac:dyDescent="0.25">
      <c r="C210" s="20">
        <v>1045</v>
      </c>
      <c r="D210" s="20">
        <f t="shared" si="12"/>
        <v>857674.4293840985</v>
      </c>
      <c r="F210" s="20" t="e">
        <f t="shared" si="13"/>
        <v>#DIV/0!</v>
      </c>
      <c r="G210" s="20" t="e">
        <f t="shared" si="14"/>
        <v>#DIV/0!</v>
      </c>
      <c r="H210" s="20">
        <f t="shared" si="15"/>
        <v>0</v>
      </c>
    </row>
    <row r="211" spans="3:8" x14ac:dyDescent="0.25">
      <c r="C211" s="20">
        <v>1050</v>
      </c>
      <c r="D211" s="20">
        <f t="shared" si="12"/>
        <v>865901.47514568677</v>
      </c>
      <c r="F211" s="20" t="e">
        <f t="shared" si="13"/>
        <v>#DIV/0!</v>
      </c>
      <c r="G211" s="20" t="e">
        <f t="shared" si="14"/>
        <v>#DIV/0!</v>
      </c>
      <c r="H211" s="20">
        <f t="shared" si="15"/>
        <v>0</v>
      </c>
    </row>
    <row r="212" spans="3:8" x14ac:dyDescent="0.25">
      <c r="C212" s="20">
        <v>1055</v>
      </c>
      <c r="D212" s="20">
        <f t="shared" si="12"/>
        <v>874167.7908154449</v>
      </c>
      <c r="F212" s="20" t="e">
        <f t="shared" si="13"/>
        <v>#DIV/0!</v>
      </c>
      <c r="G212" s="20" t="e">
        <f t="shared" si="14"/>
        <v>#DIV/0!</v>
      </c>
      <c r="H212" s="20">
        <f t="shared" si="15"/>
        <v>0</v>
      </c>
    </row>
    <row r="213" spans="3:8" x14ac:dyDescent="0.25">
      <c r="C213" s="20">
        <v>1060</v>
      </c>
      <c r="D213" s="20">
        <f t="shared" si="12"/>
        <v>882473.37639337289</v>
      </c>
      <c r="F213" s="20" t="e">
        <f t="shared" si="13"/>
        <v>#DIV/0!</v>
      </c>
      <c r="G213" s="20" t="e">
        <f t="shared" si="14"/>
        <v>#DIV/0!</v>
      </c>
      <c r="H213" s="20">
        <f t="shared" si="15"/>
        <v>0</v>
      </c>
    </row>
    <row r="214" spans="3:8" x14ac:dyDescent="0.25">
      <c r="C214" s="20">
        <v>1065</v>
      </c>
      <c r="D214" s="20">
        <f t="shared" si="12"/>
        <v>890818.23187947075</v>
      </c>
      <c r="F214" s="20" t="e">
        <f t="shared" si="13"/>
        <v>#DIV/0!</v>
      </c>
      <c r="G214" s="20" t="e">
        <f t="shared" si="14"/>
        <v>#DIV/0!</v>
      </c>
      <c r="H214" s="20">
        <f t="shared" si="15"/>
        <v>0</v>
      </c>
    </row>
    <row r="215" spans="3:8" x14ac:dyDescent="0.25">
      <c r="C215" s="20">
        <v>1070</v>
      </c>
      <c r="D215" s="20">
        <f t="shared" si="12"/>
        <v>899202.35727373848</v>
      </c>
      <c r="F215" s="20" t="e">
        <f t="shared" si="13"/>
        <v>#DIV/0!</v>
      </c>
      <c r="G215" s="20" t="e">
        <f t="shared" si="14"/>
        <v>#DIV/0!</v>
      </c>
      <c r="H215" s="20">
        <f t="shared" si="15"/>
        <v>0</v>
      </c>
    </row>
    <row r="216" spans="3:8" x14ac:dyDescent="0.25">
      <c r="C216" s="20">
        <v>1075</v>
      </c>
      <c r="D216" s="20">
        <f t="shared" si="12"/>
        <v>907625.75257617619</v>
      </c>
      <c r="F216" s="20" t="e">
        <f t="shared" si="13"/>
        <v>#DIV/0!</v>
      </c>
      <c r="G216" s="20" t="e">
        <f t="shared" si="14"/>
        <v>#DIV/0!</v>
      </c>
      <c r="H216" s="20">
        <f t="shared" si="15"/>
        <v>0</v>
      </c>
    </row>
    <row r="217" spans="3:8" x14ac:dyDescent="0.25">
      <c r="C217" s="20">
        <v>1080</v>
      </c>
      <c r="D217" s="20">
        <f t="shared" si="12"/>
        <v>916088.41778678366</v>
      </c>
      <c r="F217" s="20" t="e">
        <f t="shared" si="13"/>
        <v>#DIV/0!</v>
      </c>
      <c r="G217" s="20" t="e">
        <f t="shared" si="14"/>
        <v>#DIV/0!</v>
      </c>
      <c r="H217" s="20">
        <f t="shared" si="15"/>
        <v>0</v>
      </c>
    </row>
    <row r="218" spans="3:8" x14ac:dyDescent="0.25">
      <c r="C218" s="20">
        <v>1085</v>
      </c>
      <c r="D218" s="20">
        <f t="shared" si="12"/>
        <v>924590.3529055611</v>
      </c>
      <c r="F218" s="20" t="e">
        <f t="shared" si="13"/>
        <v>#DIV/0!</v>
      </c>
      <c r="G218" s="20" t="e">
        <f t="shared" si="14"/>
        <v>#DIV/0!</v>
      </c>
      <c r="H218" s="20">
        <f t="shared" si="15"/>
        <v>0</v>
      </c>
    </row>
    <row r="219" spans="3:8" x14ac:dyDescent="0.25">
      <c r="C219" s="20">
        <v>1090</v>
      </c>
      <c r="D219" s="20">
        <f t="shared" si="12"/>
        <v>933131.55793250829</v>
      </c>
      <c r="F219" s="20" t="e">
        <f t="shared" si="13"/>
        <v>#DIV/0!</v>
      </c>
      <c r="G219" s="20" t="e">
        <f t="shared" si="14"/>
        <v>#DIV/0!</v>
      </c>
      <c r="H219" s="20">
        <f t="shared" si="15"/>
        <v>0</v>
      </c>
    </row>
    <row r="220" spans="3:8" x14ac:dyDescent="0.25">
      <c r="C220" s="20">
        <v>1095</v>
      </c>
      <c r="D220" s="20">
        <f t="shared" si="12"/>
        <v>941712.03286762547</v>
      </c>
      <c r="F220" s="20" t="e">
        <f t="shared" si="13"/>
        <v>#DIV/0!</v>
      </c>
      <c r="G220" s="20" t="e">
        <f t="shared" si="14"/>
        <v>#DIV/0!</v>
      </c>
      <c r="H220" s="20">
        <f t="shared" si="15"/>
        <v>0</v>
      </c>
    </row>
    <row r="221" spans="3:8" x14ac:dyDescent="0.25">
      <c r="C221" s="20">
        <v>1100</v>
      </c>
      <c r="D221" s="20">
        <f t="shared" si="12"/>
        <v>950331.7777109124</v>
      </c>
      <c r="F221" s="20" t="e">
        <f t="shared" si="13"/>
        <v>#DIV/0!</v>
      </c>
      <c r="G221" s="20" t="e">
        <f t="shared" si="14"/>
        <v>#DIV/0!</v>
      </c>
      <c r="H221" s="20">
        <f t="shared" si="15"/>
        <v>0</v>
      </c>
    </row>
    <row r="222" spans="3:8" x14ac:dyDescent="0.25">
      <c r="C222" s="20">
        <v>1105</v>
      </c>
      <c r="D222" s="20">
        <f t="shared" si="12"/>
        <v>958990.79246236931</v>
      </c>
      <c r="F222" s="20" t="e">
        <f t="shared" si="13"/>
        <v>#DIV/0!</v>
      </c>
      <c r="G222" s="20" t="e">
        <f t="shared" si="14"/>
        <v>#DIV/0!</v>
      </c>
      <c r="H222" s="20">
        <f t="shared" si="15"/>
        <v>0</v>
      </c>
    </row>
    <row r="223" spans="3:8" x14ac:dyDescent="0.25">
      <c r="C223" s="20">
        <v>1110</v>
      </c>
      <c r="D223" s="20">
        <f t="shared" si="12"/>
        <v>967689.07712199597</v>
      </c>
      <c r="F223" s="20" t="e">
        <f t="shared" si="13"/>
        <v>#DIV/0!</v>
      </c>
      <c r="G223" s="20" t="e">
        <f t="shared" si="14"/>
        <v>#DIV/0!</v>
      </c>
      <c r="H223" s="20">
        <f t="shared" si="15"/>
        <v>0</v>
      </c>
    </row>
    <row r="224" spans="3:8" x14ac:dyDescent="0.25">
      <c r="C224" s="20">
        <v>1115</v>
      </c>
      <c r="D224" s="20">
        <f t="shared" si="12"/>
        <v>976426.63168979262</v>
      </c>
      <c r="F224" s="20" t="e">
        <f t="shared" si="13"/>
        <v>#DIV/0!</v>
      </c>
      <c r="G224" s="20" t="e">
        <f t="shared" si="14"/>
        <v>#DIV/0!</v>
      </c>
      <c r="H224" s="20">
        <f t="shared" si="15"/>
        <v>0</v>
      </c>
    </row>
    <row r="225" spans="3:8" x14ac:dyDescent="0.25">
      <c r="C225" s="20">
        <v>1120</v>
      </c>
      <c r="D225" s="20">
        <f t="shared" si="12"/>
        <v>985203.45616575913</v>
      </c>
      <c r="F225" s="20" t="e">
        <f t="shared" si="13"/>
        <v>#DIV/0!</v>
      </c>
      <c r="G225" s="20" t="e">
        <f t="shared" si="14"/>
        <v>#DIV/0!</v>
      </c>
      <c r="H225" s="20">
        <f t="shared" si="15"/>
        <v>0</v>
      </c>
    </row>
    <row r="226" spans="3:8" x14ac:dyDescent="0.25">
      <c r="C226" s="20">
        <v>1125</v>
      </c>
      <c r="D226" s="20">
        <f t="shared" si="12"/>
        <v>994019.5505498955</v>
      </c>
      <c r="F226" s="20" t="e">
        <f t="shared" si="13"/>
        <v>#DIV/0!</v>
      </c>
      <c r="G226" s="20" t="e">
        <f t="shared" si="14"/>
        <v>#DIV/0!</v>
      </c>
      <c r="H226" s="20">
        <f t="shared" si="15"/>
        <v>0</v>
      </c>
    </row>
    <row r="227" spans="3:8" x14ac:dyDescent="0.25">
      <c r="C227" s="20">
        <v>1130</v>
      </c>
      <c r="D227" s="20">
        <f t="shared" si="12"/>
        <v>1002874.9148422017</v>
      </c>
      <c r="F227" s="20" t="e">
        <f t="shared" si="13"/>
        <v>#DIV/0!</v>
      </c>
      <c r="G227" s="20" t="e">
        <f t="shared" si="14"/>
        <v>#DIV/0!</v>
      </c>
      <c r="H227" s="20">
        <f t="shared" si="15"/>
        <v>0</v>
      </c>
    </row>
    <row r="228" spans="3:8" x14ac:dyDescent="0.25">
      <c r="C228" s="20">
        <v>1135</v>
      </c>
      <c r="D228" s="20">
        <f t="shared" si="12"/>
        <v>1011769.5490426779</v>
      </c>
      <c r="F228" s="20" t="e">
        <f t="shared" si="13"/>
        <v>#DIV/0!</v>
      </c>
      <c r="G228" s="20" t="e">
        <f t="shared" si="14"/>
        <v>#DIV/0!</v>
      </c>
      <c r="H228" s="20">
        <f t="shared" si="15"/>
        <v>0</v>
      </c>
    </row>
    <row r="229" spans="3:8" x14ac:dyDescent="0.25">
      <c r="C229" s="20">
        <v>1140</v>
      </c>
      <c r="D229" s="20">
        <f t="shared" si="12"/>
        <v>1020703.4531513238</v>
      </c>
      <c r="F229" s="20" t="e">
        <f t="shared" si="13"/>
        <v>#DIV/0!</v>
      </c>
      <c r="G229" s="20" t="e">
        <f t="shared" si="14"/>
        <v>#DIV/0!</v>
      </c>
      <c r="H229" s="20">
        <f t="shared" si="15"/>
        <v>0</v>
      </c>
    </row>
    <row r="230" spans="3:8" x14ac:dyDescent="0.25">
      <c r="C230" s="20">
        <v>1145</v>
      </c>
      <c r="D230" s="20">
        <f t="shared" si="12"/>
        <v>1029676.6271681397</v>
      </c>
      <c r="F230" s="20" t="e">
        <f t="shared" si="13"/>
        <v>#DIV/0!</v>
      </c>
      <c r="G230" s="20" t="e">
        <f t="shared" si="14"/>
        <v>#DIV/0!</v>
      </c>
      <c r="H230" s="20">
        <f t="shared" si="15"/>
        <v>0</v>
      </c>
    </row>
    <row r="231" spans="3:8" x14ac:dyDescent="0.25">
      <c r="C231" s="20">
        <v>1150</v>
      </c>
      <c r="D231" s="20">
        <f t="shared" si="12"/>
        <v>1038689.0710931254</v>
      </c>
      <c r="F231" s="20" t="e">
        <f t="shared" si="13"/>
        <v>#DIV/0!</v>
      </c>
      <c r="G231" s="20" t="e">
        <f t="shared" si="14"/>
        <v>#DIV/0!</v>
      </c>
      <c r="H231" s="20">
        <f t="shared" si="15"/>
        <v>0</v>
      </c>
    </row>
    <row r="232" spans="3:8" x14ac:dyDescent="0.25">
      <c r="C232" s="20">
        <v>1155</v>
      </c>
      <c r="D232" s="20">
        <f t="shared" si="12"/>
        <v>1047740.784926281</v>
      </c>
      <c r="F232" s="20" t="e">
        <f t="shared" si="13"/>
        <v>#DIV/0!</v>
      </c>
      <c r="G232" s="20" t="e">
        <f t="shared" si="14"/>
        <v>#DIV/0!</v>
      </c>
      <c r="H232" s="20">
        <f t="shared" si="15"/>
        <v>0</v>
      </c>
    </row>
    <row r="233" spans="3:8" x14ac:dyDescent="0.25">
      <c r="C233" s="20">
        <v>1160</v>
      </c>
      <c r="D233" s="20">
        <f t="shared" si="12"/>
        <v>1056831.7686676064</v>
      </c>
      <c r="F233" s="20" t="e">
        <f t="shared" si="13"/>
        <v>#DIV/0!</v>
      </c>
      <c r="G233" s="20" t="e">
        <f t="shared" si="14"/>
        <v>#DIV/0!</v>
      </c>
      <c r="H233" s="20">
        <f t="shared" si="15"/>
        <v>0</v>
      </c>
    </row>
    <row r="234" spans="3:8" x14ac:dyDescent="0.25">
      <c r="C234" s="20">
        <v>1165</v>
      </c>
      <c r="D234" s="20">
        <f t="shared" si="12"/>
        <v>1065962.0223171017</v>
      </c>
      <c r="F234" s="20" t="e">
        <f t="shared" si="13"/>
        <v>#DIV/0!</v>
      </c>
      <c r="G234" s="20" t="e">
        <f t="shared" si="14"/>
        <v>#DIV/0!</v>
      </c>
      <c r="H234" s="20">
        <f t="shared" si="1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A2" sqref="A2:K9"/>
    </sheetView>
  </sheetViews>
  <sheetFormatPr defaultRowHeight="15" x14ac:dyDescent="0.25"/>
  <cols>
    <col min="1" max="1" width="12.42578125" bestFit="1" customWidth="1"/>
  </cols>
  <sheetData>
    <row r="2" spans="1:7" x14ac:dyDescent="0.25">
      <c r="A2" t="s">
        <v>322</v>
      </c>
      <c r="B2">
        <v>1</v>
      </c>
    </row>
    <row r="3" spans="1:7" x14ac:dyDescent="0.25">
      <c r="A3" t="s">
        <v>319</v>
      </c>
      <c r="B3">
        <v>1.22</v>
      </c>
      <c r="E3" t="s">
        <v>314</v>
      </c>
    </row>
    <row r="4" spans="1:7" x14ac:dyDescent="0.25">
      <c r="A4" t="s">
        <v>317</v>
      </c>
      <c r="B4">
        <v>1200</v>
      </c>
    </row>
    <row r="5" spans="1:7" x14ac:dyDescent="0.25">
      <c r="A5" t="s">
        <v>315</v>
      </c>
      <c r="B5">
        <v>6</v>
      </c>
    </row>
    <row r="6" spans="1:7" x14ac:dyDescent="0.25">
      <c r="A6" s="38" t="s">
        <v>316</v>
      </c>
      <c r="B6" s="38">
        <f>SQRT((8*B4*9.81)/(PI()*B3*B2*B5*B5))</f>
        <v>26.125464342203276</v>
      </c>
    </row>
    <row r="7" spans="1:7" x14ac:dyDescent="0.25">
      <c r="A7" s="38" t="s">
        <v>318</v>
      </c>
      <c r="B7" s="38">
        <f>0.5*B6*0.5*B6*PI()</f>
        <v>536.06557377049194</v>
      </c>
    </row>
    <row r="8" spans="1:7" x14ac:dyDescent="0.25">
      <c r="A8" s="38" t="s">
        <v>320</v>
      </c>
      <c r="B8" s="38">
        <f>0.5*B3*B5*B5</f>
        <v>21.96</v>
      </c>
    </row>
    <row r="9" spans="1:7" x14ac:dyDescent="0.25">
      <c r="A9" s="38" t="s">
        <v>321</v>
      </c>
      <c r="B9" s="38">
        <f>B8*B7*B2</f>
        <v>11772.000000000004</v>
      </c>
    </row>
    <row r="16" spans="1:7" x14ac:dyDescent="0.25">
      <c r="E16" t="s">
        <v>326</v>
      </c>
      <c r="F16" t="s">
        <v>328</v>
      </c>
      <c r="G16" t="s">
        <v>327</v>
      </c>
    </row>
    <row r="17" spans="4:7" x14ac:dyDescent="0.25">
      <c r="D17" t="s">
        <v>323</v>
      </c>
      <c r="E17">
        <v>1117</v>
      </c>
      <c r="F17">
        <v>44</v>
      </c>
      <c r="G17">
        <v>2.5</v>
      </c>
    </row>
    <row r="18" spans="4:7" x14ac:dyDescent="0.25">
      <c r="D18" t="s">
        <v>324</v>
      </c>
      <c r="E18">
        <v>2054</v>
      </c>
      <c r="F18">
        <v>82</v>
      </c>
      <c r="G18">
        <v>4.5999999999999996</v>
      </c>
    </row>
    <row r="19" spans="4:7" x14ac:dyDescent="0.25">
      <c r="D19" t="s">
        <v>325</v>
      </c>
      <c r="E19">
        <v>536</v>
      </c>
      <c r="F19">
        <v>21</v>
      </c>
      <c r="G19">
        <v>1.2</v>
      </c>
    </row>
    <row r="20" spans="4:7" x14ac:dyDescent="0.25">
      <c r="D20">
        <v>0</v>
      </c>
      <c r="E20">
        <v>894</v>
      </c>
      <c r="F20">
        <v>35</v>
      </c>
      <c r="G20">
        <v>2</v>
      </c>
    </row>
    <row r="21" spans="4:7" x14ac:dyDescent="0.25">
      <c r="D21">
        <v>1</v>
      </c>
      <c r="E21">
        <v>2680</v>
      </c>
      <c r="F21">
        <v>107</v>
      </c>
      <c r="G21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5" sqref="B5"/>
    </sheetView>
  </sheetViews>
  <sheetFormatPr defaultRowHeight="15" x14ac:dyDescent="0.25"/>
  <cols>
    <col min="1" max="1" width="12.42578125" bestFit="1" customWidth="1"/>
  </cols>
  <sheetData>
    <row r="1" spans="1:11" x14ac:dyDescent="0.25">
      <c r="A1" s="20" t="s">
        <v>322</v>
      </c>
      <c r="B1" s="20">
        <v>1</v>
      </c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A2" s="20" t="s">
        <v>319</v>
      </c>
      <c r="B2" s="20">
        <v>1.22</v>
      </c>
      <c r="C2" s="20"/>
      <c r="D2" s="20"/>
      <c r="E2" s="20" t="s">
        <v>314</v>
      </c>
      <c r="F2" s="20"/>
      <c r="G2" s="20"/>
      <c r="H2" s="20"/>
      <c r="I2" s="20"/>
      <c r="J2" s="20"/>
      <c r="K2" s="20"/>
    </row>
    <row r="3" spans="1:11" x14ac:dyDescent="0.25">
      <c r="A3" s="20" t="s">
        <v>317</v>
      </c>
      <c r="B3" s="20">
        <v>5790</v>
      </c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25">
      <c r="A4" s="20" t="s">
        <v>315</v>
      </c>
      <c r="B4" s="20">
        <v>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A5" s="38" t="s">
        <v>316</v>
      </c>
      <c r="B5" s="38">
        <f>SQRT((8*B3*9.81)/(PI()*B2*B1*B4*B4))</f>
        <v>57.386888356461014</v>
      </c>
      <c r="C5" s="20"/>
      <c r="D5" s="20"/>
      <c r="E5" s="20"/>
      <c r="F5" s="20"/>
      <c r="G5" s="20"/>
      <c r="H5" s="20"/>
      <c r="I5" s="20"/>
      <c r="J5" s="20"/>
      <c r="K5" s="20"/>
    </row>
    <row r="6" spans="1:11" x14ac:dyDescent="0.25">
      <c r="A6" s="38" t="s">
        <v>318</v>
      </c>
      <c r="B6" s="38">
        <f>0.5*B5*0.5*B5*PI()</f>
        <v>2586.5163934426232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A7" s="38" t="s">
        <v>320</v>
      </c>
      <c r="B7" s="38">
        <f>0.5*B2*B4*B4</f>
        <v>21.96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A8" s="38" t="s">
        <v>321</v>
      </c>
      <c r="B8" s="38">
        <f>B7*B6*B1</f>
        <v>56799.900000000009</v>
      </c>
      <c r="C8" s="20"/>
      <c r="D8" s="20"/>
      <c r="E8" s="20"/>
      <c r="F8" s="20"/>
      <c r="G8" s="20"/>
      <c r="H8" s="20"/>
      <c r="I8" s="20"/>
      <c r="J8" s="20"/>
      <c r="K8" s="20"/>
    </row>
    <row r="17" spans="1:6" x14ac:dyDescent="0.25">
      <c r="B17" t="s">
        <v>311</v>
      </c>
      <c r="C17" t="s">
        <v>348</v>
      </c>
      <c r="D17" t="s">
        <v>105</v>
      </c>
      <c r="E17" t="s">
        <v>344</v>
      </c>
      <c r="F17" t="s">
        <v>345</v>
      </c>
    </row>
    <row r="18" spans="1:6" x14ac:dyDescent="0.25">
      <c r="A18" t="s">
        <v>342</v>
      </c>
      <c r="B18">
        <v>52.8</v>
      </c>
      <c r="C18">
        <v>6.532</v>
      </c>
      <c r="D18">
        <v>0.94</v>
      </c>
      <c r="E18">
        <v>5.2750000000000004</v>
      </c>
      <c r="F18">
        <v>76.506</v>
      </c>
    </row>
    <row r="19" spans="1:6" x14ac:dyDescent="0.25">
      <c r="A19" t="s">
        <v>343</v>
      </c>
      <c r="B19">
        <v>0.54</v>
      </c>
      <c r="C19">
        <v>0.17</v>
      </c>
      <c r="D19">
        <v>0.94</v>
      </c>
      <c r="E19">
        <v>150</v>
      </c>
      <c r="F19">
        <v>2.2400000000000002</v>
      </c>
    </row>
    <row r="20" spans="1:6" x14ac:dyDescent="0.25">
      <c r="A20" t="s">
        <v>346</v>
      </c>
      <c r="B20">
        <v>115</v>
      </c>
      <c r="C20">
        <v>12</v>
      </c>
      <c r="D20">
        <v>4.4000000000000004</v>
      </c>
      <c r="E20">
        <v>8.4</v>
      </c>
      <c r="F20">
        <v>86</v>
      </c>
    </row>
    <row r="21" spans="1:6" x14ac:dyDescent="0.25">
      <c r="A21" t="s">
        <v>347</v>
      </c>
      <c r="D21">
        <v>4.4000000000000004</v>
      </c>
      <c r="E21">
        <v>115</v>
      </c>
      <c r="F21">
        <v>10.28947</v>
      </c>
    </row>
    <row r="22" spans="1:6" x14ac:dyDescent="0.25">
      <c r="A22" t="s">
        <v>349</v>
      </c>
      <c r="B22">
        <f>32.25*3</f>
        <v>96.75</v>
      </c>
      <c r="C22">
        <v>27.92</v>
      </c>
      <c r="D22">
        <v>4.42</v>
      </c>
      <c r="E22">
        <v>6.5</v>
      </c>
      <c r="F22">
        <v>40.799999999999997</v>
      </c>
    </row>
    <row r="23" spans="1:6" x14ac:dyDescent="0.25">
      <c r="A23" s="20" t="s">
        <v>351</v>
      </c>
      <c r="B23">
        <f>2.62683*3</f>
        <v>7.88049</v>
      </c>
      <c r="C23">
        <v>0.19</v>
      </c>
      <c r="D23">
        <v>4.42</v>
      </c>
      <c r="E23" t="s">
        <v>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O17" sqref="O17"/>
    </sheetView>
  </sheetViews>
  <sheetFormatPr defaultRowHeight="15" x14ac:dyDescent="0.25"/>
  <cols>
    <col min="4" max="6" width="9.140625" style="20"/>
    <col min="10" max="12" width="9.140625" style="20"/>
    <col min="16" max="17" width="9.140625" style="20"/>
  </cols>
  <sheetData>
    <row r="1" spans="1:17" x14ac:dyDescent="0.25">
      <c r="A1" t="s">
        <v>361</v>
      </c>
      <c r="B1" t="s">
        <v>316</v>
      </c>
      <c r="C1" t="s">
        <v>364</v>
      </c>
      <c r="D1" s="20" t="s">
        <v>372</v>
      </c>
      <c r="E1" s="20" t="s">
        <v>364</v>
      </c>
      <c r="G1" t="s">
        <v>362</v>
      </c>
      <c r="H1" s="20" t="s">
        <v>316</v>
      </c>
      <c r="I1" s="20" t="s">
        <v>364</v>
      </c>
      <c r="J1" s="20" t="s">
        <v>372</v>
      </c>
      <c r="K1" s="20" t="s">
        <v>364</v>
      </c>
      <c r="M1" t="s">
        <v>363</v>
      </c>
      <c r="N1" s="20" t="s">
        <v>316</v>
      </c>
      <c r="O1" s="20" t="s">
        <v>364</v>
      </c>
      <c r="P1" s="20" t="s">
        <v>372</v>
      </c>
      <c r="Q1" s="20" t="s">
        <v>364</v>
      </c>
    </row>
    <row r="2" spans="1:17" x14ac:dyDescent="0.25">
      <c r="A2" t="s">
        <v>365</v>
      </c>
      <c r="B2">
        <v>10.1</v>
      </c>
      <c r="C2">
        <f>B2*0.64</f>
        <v>6.4639999999999995</v>
      </c>
      <c r="D2" s="20">
        <v>42.1</v>
      </c>
      <c r="E2" s="20">
        <f>D2*0.64</f>
        <v>26.944000000000003</v>
      </c>
      <c r="F2" s="20">
        <f>E2</f>
        <v>26.944000000000003</v>
      </c>
      <c r="G2" t="s">
        <v>373</v>
      </c>
      <c r="H2">
        <v>8.4</v>
      </c>
      <c r="I2" s="20">
        <f>H2*0.64</f>
        <v>5.3760000000000003</v>
      </c>
      <c r="K2" s="20">
        <f>J2*0.64</f>
        <v>0</v>
      </c>
      <c r="M2" t="s">
        <v>373</v>
      </c>
      <c r="O2" s="20">
        <f>N2*0.64</f>
        <v>0</v>
      </c>
      <c r="Q2" s="20">
        <f>P2*0.64</f>
        <v>0</v>
      </c>
    </row>
    <row r="3" spans="1:17" x14ac:dyDescent="0.25">
      <c r="A3" t="s">
        <v>366</v>
      </c>
      <c r="B3">
        <v>10.1</v>
      </c>
      <c r="C3" s="20">
        <f t="shared" ref="C3:C8" si="0">B3*0.64</f>
        <v>6.4639999999999995</v>
      </c>
      <c r="D3" s="20">
        <v>24.8</v>
      </c>
      <c r="E3" s="20">
        <f t="shared" ref="E3:E8" si="1">D3*0.64</f>
        <v>15.872000000000002</v>
      </c>
      <c r="F3" s="20">
        <f>F2+E3</f>
        <v>42.816000000000003</v>
      </c>
      <c r="G3" t="s">
        <v>374</v>
      </c>
      <c r="I3" s="20">
        <f t="shared" ref="I3:I8" si="2">H3*0.64</f>
        <v>0</v>
      </c>
      <c r="K3" s="20">
        <f t="shared" ref="K3:K8" si="3">J3*0.64</f>
        <v>0</v>
      </c>
      <c r="M3" t="s">
        <v>374</v>
      </c>
      <c r="O3" s="20">
        <f t="shared" ref="O3:O8" si="4">N3*0.64</f>
        <v>0</v>
      </c>
      <c r="Q3" s="20">
        <f t="shared" ref="Q3:Q8" si="5">P3*0.64</f>
        <v>0</v>
      </c>
    </row>
    <row r="4" spans="1:17" x14ac:dyDescent="0.25">
      <c r="A4" t="s">
        <v>367</v>
      </c>
      <c r="B4">
        <v>6.6</v>
      </c>
      <c r="C4" s="20">
        <f t="shared" si="0"/>
        <v>4.2240000000000002</v>
      </c>
      <c r="D4" s="20">
        <v>18.8</v>
      </c>
      <c r="E4" s="20">
        <f t="shared" si="1"/>
        <v>12.032</v>
      </c>
      <c r="F4" s="20">
        <f>F3+E4</f>
        <v>54.847999999999999</v>
      </c>
      <c r="G4" t="s">
        <v>375</v>
      </c>
      <c r="I4" s="20">
        <f t="shared" si="2"/>
        <v>0</v>
      </c>
      <c r="K4" s="20">
        <f t="shared" si="3"/>
        <v>0</v>
      </c>
      <c r="M4" t="s">
        <v>363</v>
      </c>
      <c r="O4" s="20">
        <f t="shared" si="4"/>
        <v>0</v>
      </c>
      <c r="Q4" s="20">
        <f t="shared" si="5"/>
        <v>0</v>
      </c>
    </row>
    <row r="5" spans="1:17" x14ac:dyDescent="0.25">
      <c r="A5" t="s">
        <v>368</v>
      </c>
      <c r="C5" s="20">
        <f t="shared" si="0"/>
        <v>0</v>
      </c>
      <c r="E5" s="20">
        <f t="shared" si="1"/>
        <v>0</v>
      </c>
      <c r="G5" t="s">
        <v>376</v>
      </c>
      <c r="I5" s="20">
        <f t="shared" si="2"/>
        <v>0</v>
      </c>
      <c r="K5" s="20">
        <f t="shared" si="3"/>
        <v>0</v>
      </c>
      <c r="O5" s="20">
        <f t="shared" si="4"/>
        <v>0</v>
      </c>
      <c r="Q5" s="20">
        <f t="shared" si="5"/>
        <v>0</v>
      </c>
    </row>
    <row r="6" spans="1:17" x14ac:dyDescent="0.25">
      <c r="A6" t="s">
        <v>369</v>
      </c>
      <c r="C6" s="20">
        <f t="shared" si="0"/>
        <v>0</v>
      </c>
      <c r="E6" s="20">
        <f t="shared" si="1"/>
        <v>0</v>
      </c>
      <c r="G6" t="s">
        <v>370</v>
      </c>
      <c r="I6" s="20">
        <f t="shared" si="2"/>
        <v>0</v>
      </c>
      <c r="K6" s="20">
        <f t="shared" si="3"/>
        <v>0</v>
      </c>
      <c r="O6" s="20">
        <f t="shared" si="4"/>
        <v>0</v>
      </c>
      <c r="Q6" s="20">
        <f t="shared" si="5"/>
        <v>0</v>
      </c>
    </row>
    <row r="7" spans="1:17" x14ac:dyDescent="0.25">
      <c r="A7" t="s">
        <v>370</v>
      </c>
      <c r="C7" s="20">
        <f t="shared" si="0"/>
        <v>0</v>
      </c>
      <c r="E7" s="20">
        <f t="shared" si="1"/>
        <v>0</v>
      </c>
      <c r="G7" t="s">
        <v>371</v>
      </c>
      <c r="I7" s="20">
        <f t="shared" si="2"/>
        <v>0</v>
      </c>
      <c r="K7" s="20">
        <f t="shared" si="3"/>
        <v>0</v>
      </c>
      <c r="O7" s="20">
        <f t="shared" si="4"/>
        <v>0</v>
      </c>
      <c r="Q7" s="20">
        <f t="shared" si="5"/>
        <v>0</v>
      </c>
    </row>
    <row r="8" spans="1:17" x14ac:dyDescent="0.25">
      <c r="A8" t="s">
        <v>371</v>
      </c>
      <c r="C8" s="20">
        <f t="shared" si="0"/>
        <v>0</v>
      </c>
      <c r="E8" s="20">
        <f t="shared" si="1"/>
        <v>0</v>
      </c>
      <c r="I8" s="20">
        <f t="shared" si="2"/>
        <v>0</v>
      </c>
      <c r="K8" s="20">
        <f t="shared" si="3"/>
        <v>0</v>
      </c>
      <c r="O8" s="20">
        <f t="shared" si="4"/>
        <v>0</v>
      </c>
      <c r="Q8" s="20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parts</vt:lpstr>
      <vt:lpstr>dV-Calc-SC-B</vt:lpstr>
      <vt:lpstr>FuelTypes</vt:lpstr>
      <vt:lpstr>engineSpecs</vt:lpstr>
      <vt:lpstr>ChuteCalc</vt:lpstr>
      <vt:lpstr>Sheet2</vt:lpstr>
      <vt:lpstr>StockChuteCalc</vt:lpstr>
      <vt:lpstr>RealRocketDims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2016-03-05T20:26:28Z</dcterms:modified>
</cp:coreProperties>
</file>