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v-calc" sheetId="4" r:id="rId1"/>
    <sheet name="PartInfo" sheetId="2" r:id="rId2"/>
    <sheet name="FUEL_CALC" sheetId="5" r:id="rId3"/>
  </sheets>
  <calcPr calcId="152511"/>
</workbook>
</file>

<file path=xl/calcChain.xml><?xml version="1.0" encoding="utf-8"?>
<calcChain xmlns="http://schemas.openxmlformats.org/spreadsheetml/2006/main">
  <c r="D2" i="5" l="1"/>
  <c r="F2" i="5" s="1"/>
  <c r="C2" i="5"/>
  <c r="E2" i="5" l="1"/>
  <c r="C8" i="2"/>
  <c r="Z8" i="2"/>
  <c r="Y8" i="2"/>
  <c r="T8" i="2" l="1"/>
  <c r="S8" i="2"/>
  <c r="U8" i="2"/>
  <c r="O7" i="2"/>
  <c r="N7" i="2"/>
  <c r="M7" i="2"/>
  <c r="V8" i="2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C3" i="4"/>
  <c r="B3" i="4"/>
  <c r="J8" i="2" l="1"/>
  <c r="P6" i="2"/>
  <c r="P5" i="2"/>
  <c r="O6" i="2"/>
  <c r="O5" i="2"/>
  <c r="N5" i="2"/>
  <c r="M5" i="2"/>
  <c r="N6" i="2"/>
  <c r="M6" i="2"/>
  <c r="L5" i="2"/>
  <c r="K5" i="2"/>
  <c r="H3" i="4"/>
  <c r="L8" i="2" l="1"/>
  <c r="N8" i="2" s="1"/>
  <c r="K8" i="2"/>
  <c r="M8" i="2" s="1"/>
  <c r="S19" i="4"/>
  <c r="N19" i="4"/>
  <c r="I19" i="4"/>
  <c r="D19" i="4"/>
  <c r="O8" i="2" l="1"/>
  <c r="C4" i="4"/>
  <c r="C19" i="4" s="1"/>
  <c r="E28" i="2"/>
  <c r="E24" i="2"/>
  <c r="E23" i="2"/>
  <c r="E20" i="2"/>
  <c r="E19" i="2"/>
  <c r="E16" i="2"/>
  <c r="E15" i="2"/>
  <c r="E12" i="2"/>
  <c r="E8" i="2"/>
  <c r="Q3" i="4" s="1"/>
  <c r="E2" i="2"/>
  <c r="E11" i="2" l="1"/>
  <c r="E27" i="2"/>
  <c r="F2" i="2"/>
  <c r="E6" i="2"/>
  <c r="L3" i="4" s="1"/>
  <c r="F8" i="2"/>
  <c r="F24" i="2"/>
  <c r="F20" i="2"/>
  <c r="F16" i="2"/>
  <c r="F12" i="2"/>
  <c r="F28" i="2"/>
  <c r="E3" i="2"/>
  <c r="E5" i="2"/>
  <c r="G3" i="4" s="1"/>
  <c r="E10" i="2"/>
  <c r="E14" i="2"/>
  <c r="F15" i="2"/>
  <c r="E18" i="2"/>
  <c r="F19" i="2"/>
  <c r="E22" i="2"/>
  <c r="F22" i="2" s="1"/>
  <c r="F23" i="2"/>
  <c r="E26" i="2"/>
  <c r="E4" i="2"/>
  <c r="B4" i="4" s="1"/>
  <c r="B19" i="4" s="1"/>
  <c r="E9" i="2"/>
  <c r="E13" i="2"/>
  <c r="F13" i="2" s="1"/>
  <c r="E17" i="2"/>
  <c r="E21" i="2"/>
  <c r="F21" i="2" s="1"/>
  <c r="E25" i="2"/>
  <c r="F25" i="2" s="1"/>
  <c r="G18" i="4" l="1"/>
  <c r="H18" i="4" s="1"/>
  <c r="H19" i="4" s="1"/>
  <c r="B20" i="4"/>
  <c r="G19" i="4"/>
  <c r="L18" i="4" s="1"/>
  <c r="M18" i="4" s="1"/>
  <c r="M19" i="4" s="1"/>
  <c r="F6" i="2"/>
  <c r="F27" i="2"/>
  <c r="F11" i="2"/>
  <c r="F10" i="2"/>
  <c r="F18" i="2"/>
  <c r="F9" i="2"/>
  <c r="F4" i="2"/>
  <c r="F26" i="2"/>
  <c r="F17" i="2"/>
  <c r="F3" i="2"/>
  <c r="F14" i="2"/>
  <c r="F5" i="2"/>
  <c r="L19" i="4" l="1"/>
  <c r="L20" i="4" s="1"/>
  <c r="G20" i="4"/>
  <c r="Q18" i="4"/>
  <c r="R18" i="4" s="1"/>
  <c r="R19" i="4" s="1"/>
  <c r="F7" i="2"/>
  <c r="Q19" i="4" l="1"/>
  <c r="Q20" i="4" s="1"/>
</calcChain>
</file>

<file path=xl/sharedStrings.xml><?xml version="1.0" encoding="utf-8"?>
<sst xmlns="http://schemas.openxmlformats.org/spreadsheetml/2006/main" count="69" uniqueCount="39">
  <si>
    <t>Part</t>
  </si>
  <si>
    <t>CM</t>
  </si>
  <si>
    <t>SM</t>
  </si>
  <si>
    <t>Fuel Mass</t>
  </si>
  <si>
    <t>Total Mass</t>
  </si>
  <si>
    <t>Dry Mass</t>
  </si>
  <si>
    <t>Fuel/Mass Ratio</t>
  </si>
  <si>
    <t>Cost</t>
  </si>
  <si>
    <t>BPC</t>
  </si>
  <si>
    <t>ICPS</t>
  </si>
  <si>
    <t>Entry Cost</t>
  </si>
  <si>
    <t>ISP</t>
  </si>
  <si>
    <t>fuel units</t>
  </si>
  <si>
    <t>HUS</t>
  </si>
  <si>
    <t>Raw Volume</t>
  </si>
  <si>
    <t>Mass</t>
  </si>
  <si>
    <t>DryMass</t>
  </si>
  <si>
    <t>Totals</t>
  </si>
  <si>
    <t>Stage DV</t>
  </si>
  <si>
    <t>PSTAGE</t>
  </si>
  <si>
    <t>LANDER</t>
  </si>
  <si>
    <t>LH2</t>
  </si>
  <si>
    <t>LO2</t>
  </si>
  <si>
    <t>LH2Mass</t>
  </si>
  <si>
    <t>LO2 Mass</t>
  </si>
  <si>
    <t>Total F Mass</t>
  </si>
  <si>
    <t>CORE</t>
  </si>
  <si>
    <t>act h</t>
  </si>
  <si>
    <t>act dia</t>
  </si>
  <si>
    <t>act h m</t>
  </si>
  <si>
    <t>act d m</t>
  </si>
  <si>
    <t>kerb h</t>
  </si>
  <si>
    <t>kerb d</t>
  </si>
  <si>
    <t>MASS</t>
  </si>
  <si>
    <t>LF</t>
  </si>
  <si>
    <t>O</t>
  </si>
  <si>
    <t>dens</t>
  </si>
  <si>
    <t>total units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</si>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</sst>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S4" sqref="S4"/>
    </sheetView>
  </sheetViews>
  <sheetFormatPr defaultRowHeight="15" x14ac:dyDescent="0.25"/>
  <cols>
    <col min="1" max="1" width="15.140625" customWidth="1"/>
    <col min="3" max="3" width="10" bestFit="1" customWidth="1"/>
    <col min="6" max="6" width="14.7109375" customWidth="1"/>
    <col min="11" max="11" width="17.42578125" customWidth="1"/>
    <col min="16" max="16" width="13.85546875" customWidth="1"/>
  </cols>
  <sheetData>
    <row r="1" spans="1:19" ht="15.75" thickBot="1" x14ac:dyDescent="0.3"/>
    <row r="2" spans="1:19" x14ac:dyDescent="0.25">
      <c r="A2" s="7" t="s">
        <v>0</v>
      </c>
      <c r="B2" s="8" t="s">
        <v>15</v>
      </c>
      <c r="C2" s="8" t="s">
        <v>16</v>
      </c>
      <c r="D2" s="9" t="s">
        <v>11</v>
      </c>
      <c r="F2" s="7" t="s">
        <v>0</v>
      </c>
      <c r="G2" s="8" t="s">
        <v>15</v>
      </c>
      <c r="H2" s="8" t="s">
        <v>16</v>
      </c>
      <c r="I2" s="9" t="s">
        <v>11</v>
      </c>
      <c r="K2" s="7" t="s">
        <v>0</v>
      </c>
      <c r="L2" s="8" t="s">
        <v>15</v>
      </c>
      <c r="M2" s="8" t="s">
        <v>16</v>
      </c>
      <c r="N2" s="9" t="s">
        <v>11</v>
      </c>
      <c r="P2" s="7" t="s">
        <v>0</v>
      </c>
      <c r="Q2" s="8" t="s">
        <v>15</v>
      </c>
      <c r="R2" s="8" t="s">
        <v>16</v>
      </c>
      <c r="S2" s="9" t="s">
        <v>11</v>
      </c>
    </row>
    <row r="3" spans="1:19" x14ac:dyDescent="0.25">
      <c r="A3" s="10" t="s">
        <v>8</v>
      </c>
      <c r="B3" s="4">
        <f>IFERROR(VLOOKUP(A3,PartInfo!$A$2:$I107,5,FALSE), 0)</f>
        <v>2.25</v>
      </c>
      <c r="C3" s="4">
        <f>IFERROR(VLOOKUP(A3,PartInfo!$A$2:$I$10,4,FALSE), 0)</f>
        <v>1.25</v>
      </c>
      <c r="D3" s="11"/>
      <c r="F3" s="10" t="s">
        <v>9</v>
      </c>
      <c r="G3" s="4">
        <f>IFERROR(VLOOKUP(F3,PartInfo!$A$2:$I107,5,FALSE), 0)</f>
        <v>14</v>
      </c>
      <c r="H3" s="4">
        <f>IFERROR(VLOOKUP(F3,PartInfo!$A$2:$I$10,4,FALSE), 0)</f>
        <v>4.5</v>
      </c>
      <c r="I3" s="11">
        <v>420</v>
      </c>
      <c r="K3" s="10" t="s">
        <v>13</v>
      </c>
      <c r="L3" s="4">
        <f>IFERROR(VLOOKUP(K3,PartInfo!$A$2:$I107,5,FALSE), 0)</f>
        <v>37.634</v>
      </c>
      <c r="M3" s="4">
        <f>IFERROR(VLOOKUP(K3,PartInfo!$A$2:$I$10,4,FALSE), 0)</f>
        <v>9.15</v>
      </c>
      <c r="N3" s="11">
        <v>420</v>
      </c>
      <c r="P3" s="10" t="s">
        <v>26</v>
      </c>
      <c r="Q3" s="4">
        <f>IFERROR(VLOOKUP(P3,PartInfo!$A$2:$I107,5,FALSE), 0)</f>
        <v>254.89845350523564</v>
      </c>
      <c r="R3" s="4">
        <f>IFERROR(VLOOKUP(P3,PartInfo!$A$2:$I$10,4,FALSE), 0)</f>
        <v>20</v>
      </c>
      <c r="S3" s="11">
        <v>320</v>
      </c>
    </row>
    <row r="4" spans="1:19" x14ac:dyDescent="0.25">
      <c r="A4" s="10" t="s">
        <v>2</v>
      </c>
      <c r="B4" s="4">
        <f>IFERROR(VLOOKUP(A4,PartInfo!$A$2:$I108,5,FALSE), 0)</f>
        <v>7.25</v>
      </c>
      <c r="C4" s="4">
        <f>IFERROR(VLOOKUP(A4,PartInfo!$A$2:$I$10,4,FALSE), 0)</f>
        <v>3.05</v>
      </c>
      <c r="D4" s="11">
        <v>305</v>
      </c>
      <c r="F4" s="10"/>
      <c r="G4" s="4">
        <f>IFERROR(VLOOKUP(F4,PartInfo!$A$2:$I108,5,FALSE), 0)</f>
        <v>0</v>
      </c>
      <c r="H4" s="4">
        <f>IFERROR(VLOOKUP(F4,PartInfo!$A$2:$I$10,4,FALSE), 0)</f>
        <v>0</v>
      </c>
      <c r="I4" s="11"/>
      <c r="K4" s="10"/>
      <c r="L4" s="4">
        <f>IFERROR(VLOOKUP(K4,PartInfo!$A$2:$I108,5,FALSE), 0)</f>
        <v>0</v>
      </c>
      <c r="M4" s="4">
        <f>IFERROR(VLOOKUP(K4,PartInfo!$A$2:$I$10,4,FALSE), 0)</f>
        <v>0</v>
      </c>
      <c r="N4" s="11"/>
      <c r="P4" s="10"/>
      <c r="Q4" s="4">
        <f>IFERROR(VLOOKUP(P4,PartInfo!$A$2:$I108,5,FALSE), 0)</f>
        <v>0</v>
      </c>
      <c r="R4" s="4">
        <f>IFERROR(VLOOKUP(P4,PartInfo!$A$2:$I$10,4,FALSE), 0)</f>
        <v>0</v>
      </c>
      <c r="S4" s="11"/>
    </row>
    <row r="5" spans="1:19" x14ac:dyDescent="0.25">
      <c r="A5" s="10" t="s">
        <v>1</v>
      </c>
      <c r="B5" s="4">
        <f>IFERROR(VLOOKUP(A5,PartInfo!$A$2:$I109,5,FALSE), 0)</f>
        <v>5</v>
      </c>
      <c r="C5" s="4">
        <f>IFERROR(VLOOKUP(A5,PartInfo!$A$2:$I$10,4,FALSE), 0)</f>
        <v>5</v>
      </c>
      <c r="D5" s="11"/>
      <c r="F5" s="10"/>
      <c r="G5" s="4">
        <f>IFERROR(VLOOKUP(F5,PartInfo!$A$2:$I109,5,FALSE), 0)</f>
        <v>0</v>
      </c>
      <c r="H5" s="4">
        <f>IFERROR(VLOOKUP(F5,PartInfo!$A$2:$I$10,4,FALSE), 0)</f>
        <v>0</v>
      </c>
      <c r="I5" s="11"/>
      <c r="K5" s="10"/>
      <c r="L5" s="4">
        <f>IFERROR(VLOOKUP(K5,PartInfo!$A$2:$I109,5,FALSE), 0)</f>
        <v>0</v>
      </c>
      <c r="M5" s="4">
        <f>IFERROR(VLOOKUP(K5,PartInfo!$A$2:$I$10,4,FALSE), 0)</f>
        <v>0</v>
      </c>
      <c r="N5" s="11"/>
      <c r="P5" s="10"/>
      <c r="Q5" s="4">
        <f>IFERROR(VLOOKUP(P5,PartInfo!$A$2:$I109,5,FALSE), 0)</f>
        <v>0</v>
      </c>
      <c r="R5" s="4">
        <f>IFERROR(VLOOKUP(P5,PartInfo!$A$2:$I$10,4,FALSE), 0)</f>
        <v>0</v>
      </c>
      <c r="S5" s="11"/>
    </row>
    <row r="6" spans="1:19" x14ac:dyDescent="0.25">
      <c r="A6" s="10"/>
      <c r="B6" s="4">
        <f>IFERROR(VLOOKUP(A6,PartInfo!$A$2:$I110,5,FALSE), 0)</f>
        <v>0</v>
      </c>
      <c r="C6" s="4">
        <f>IFERROR(VLOOKUP(A6,PartInfo!$A$2:$I$10,4,FALSE), 0)</f>
        <v>0</v>
      </c>
      <c r="D6" s="11"/>
      <c r="F6" s="10"/>
      <c r="G6" s="4">
        <f>IFERROR(VLOOKUP(F6,PartInfo!$A$2:$I110,5,FALSE), 0)</f>
        <v>0</v>
      </c>
      <c r="H6" s="4">
        <f>IFERROR(VLOOKUP(F6,PartInfo!$A$2:$I$10,4,FALSE), 0)</f>
        <v>0</v>
      </c>
      <c r="I6" s="11"/>
      <c r="K6" s="10"/>
      <c r="L6" s="4">
        <f>IFERROR(VLOOKUP(K6,PartInfo!$A$2:$I110,5,FALSE), 0)</f>
        <v>0</v>
      </c>
      <c r="M6" s="4">
        <f>IFERROR(VLOOKUP(K6,PartInfo!$A$2:$I$10,4,FALSE), 0)</f>
        <v>0</v>
      </c>
      <c r="N6" s="11"/>
      <c r="P6" s="10"/>
      <c r="Q6" s="4">
        <f>IFERROR(VLOOKUP(P6,PartInfo!$A$2:$I110,5,FALSE), 0)</f>
        <v>0</v>
      </c>
      <c r="R6" s="4">
        <f>IFERROR(VLOOKUP(P6,PartInfo!$A$2:$I$10,4,FALSE), 0)</f>
        <v>0</v>
      </c>
      <c r="S6" s="11"/>
    </row>
    <row r="7" spans="1:19" x14ac:dyDescent="0.25">
      <c r="A7" s="10"/>
      <c r="B7" s="4">
        <f>IFERROR(VLOOKUP(A7,PartInfo!$A$2:$I111,5,FALSE), 0)</f>
        <v>0</v>
      </c>
      <c r="C7" s="4">
        <f>IFERROR(VLOOKUP(A7,PartInfo!$A$2:$I$10,4,FALSE), 0)</f>
        <v>0</v>
      </c>
      <c r="D7" s="11"/>
      <c r="F7" s="10"/>
      <c r="G7" s="4">
        <f>IFERROR(VLOOKUP(F7,PartInfo!$A$2:$I111,5,FALSE), 0)</f>
        <v>0</v>
      </c>
      <c r="H7" s="4">
        <f>IFERROR(VLOOKUP(F7,PartInfo!$A$2:$I$10,4,FALSE), 0)</f>
        <v>0</v>
      </c>
      <c r="I7" s="11"/>
      <c r="K7" s="10"/>
      <c r="L7" s="4">
        <f>IFERROR(VLOOKUP(K7,PartInfo!$A$2:$I111,5,FALSE), 0)</f>
        <v>0</v>
      </c>
      <c r="M7" s="4">
        <f>IFERROR(VLOOKUP(K7,PartInfo!$A$2:$I$10,4,FALSE), 0)</f>
        <v>0</v>
      </c>
      <c r="N7" s="11"/>
      <c r="P7" s="10"/>
      <c r="Q7" s="4">
        <f>IFERROR(VLOOKUP(P7,PartInfo!$A$2:$I111,5,FALSE), 0)</f>
        <v>0</v>
      </c>
      <c r="R7" s="4">
        <f>IFERROR(VLOOKUP(P7,PartInfo!$A$2:$I$10,4,FALSE), 0)</f>
        <v>0</v>
      </c>
      <c r="S7" s="11"/>
    </row>
    <row r="8" spans="1:19" x14ac:dyDescent="0.25">
      <c r="A8" s="10"/>
      <c r="B8" s="4">
        <f>IFERROR(VLOOKUP(A8,PartInfo!$A$2:$I112,5,FALSE), 0)</f>
        <v>0</v>
      </c>
      <c r="C8" s="4">
        <f>IFERROR(VLOOKUP(A8,PartInfo!$A$2:$I$10,4,FALSE), 0)</f>
        <v>0</v>
      </c>
      <c r="D8" s="11"/>
      <c r="F8" s="10"/>
      <c r="G8" s="4">
        <f>IFERROR(VLOOKUP(F8,PartInfo!$A$2:$I112,5,FALSE), 0)</f>
        <v>0</v>
      </c>
      <c r="H8" s="4">
        <f>IFERROR(VLOOKUP(F8,PartInfo!$A$2:$I$10,4,FALSE), 0)</f>
        <v>0</v>
      </c>
      <c r="I8" s="11"/>
      <c r="K8" s="10"/>
      <c r="L8" s="4">
        <f>IFERROR(VLOOKUP(K8,PartInfo!$A$2:$I112,5,FALSE), 0)</f>
        <v>0</v>
      </c>
      <c r="M8" s="4">
        <f>IFERROR(VLOOKUP(K8,PartInfo!$A$2:$I$10,4,FALSE), 0)</f>
        <v>0</v>
      </c>
      <c r="N8" s="11"/>
      <c r="P8" s="10"/>
      <c r="Q8" s="4">
        <f>IFERROR(VLOOKUP(P8,PartInfo!$A$2:$I112,5,FALSE), 0)</f>
        <v>0</v>
      </c>
      <c r="R8" s="4">
        <f>IFERROR(VLOOKUP(P8,PartInfo!$A$2:$I$10,4,FALSE), 0)</f>
        <v>0</v>
      </c>
      <c r="S8" s="11"/>
    </row>
    <row r="9" spans="1:19" x14ac:dyDescent="0.25">
      <c r="A9" s="10"/>
      <c r="B9" s="4">
        <f>IFERROR(VLOOKUP(A9,PartInfo!$A$2:$I113,5,FALSE), 0)</f>
        <v>0</v>
      </c>
      <c r="C9" s="4">
        <f>IFERROR(VLOOKUP(A9,PartInfo!$A$2:$I$10,4,FALSE), 0)</f>
        <v>0</v>
      </c>
      <c r="D9" s="11"/>
      <c r="F9" s="10"/>
      <c r="G9" s="4">
        <f>IFERROR(VLOOKUP(F9,PartInfo!$A$2:$I113,5,FALSE), 0)</f>
        <v>0</v>
      </c>
      <c r="H9" s="4">
        <f>IFERROR(VLOOKUP(F9,PartInfo!$A$2:$I$10,4,FALSE), 0)</f>
        <v>0</v>
      </c>
      <c r="I9" s="11"/>
      <c r="K9" s="10"/>
      <c r="L9" s="4">
        <f>IFERROR(VLOOKUP(K9,PartInfo!$A$2:$I113,5,FALSE), 0)</f>
        <v>0</v>
      </c>
      <c r="M9" s="4">
        <f>IFERROR(VLOOKUP(K9,PartInfo!$A$2:$I$10,4,FALSE), 0)</f>
        <v>0</v>
      </c>
      <c r="N9" s="11"/>
      <c r="P9" s="10"/>
      <c r="Q9" s="4">
        <f>IFERROR(VLOOKUP(P9,PartInfo!$A$2:$I113,5,FALSE), 0)</f>
        <v>0</v>
      </c>
      <c r="R9" s="4">
        <f>IFERROR(VLOOKUP(P9,PartInfo!$A$2:$I$10,4,FALSE), 0)</f>
        <v>0</v>
      </c>
      <c r="S9" s="11"/>
    </row>
    <row r="10" spans="1:19" x14ac:dyDescent="0.25">
      <c r="A10" s="10"/>
      <c r="B10" s="4">
        <f>IFERROR(VLOOKUP(A10,PartInfo!$A$2:$I114,5,FALSE), 0)</f>
        <v>0</v>
      </c>
      <c r="C10" s="4">
        <f>IFERROR(VLOOKUP(A10,PartInfo!$A$2:$I$10,4,FALSE), 0)</f>
        <v>0</v>
      </c>
      <c r="D10" s="11"/>
      <c r="F10" s="10"/>
      <c r="G10" s="4">
        <f>IFERROR(VLOOKUP(F10,PartInfo!$A$2:$I114,5,FALSE), 0)</f>
        <v>0</v>
      </c>
      <c r="H10" s="4">
        <f>IFERROR(VLOOKUP(F10,PartInfo!$A$2:$I$10,4,FALSE), 0)</f>
        <v>0</v>
      </c>
      <c r="I10" s="11"/>
      <c r="K10" s="10"/>
      <c r="L10" s="4">
        <f>IFERROR(VLOOKUP(K10,PartInfo!$A$2:$I114,5,FALSE), 0)</f>
        <v>0</v>
      </c>
      <c r="M10" s="4">
        <f>IFERROR(VLOOKUP(K10,PartInfo!$A$2:$I$10,4,FALSE), 0)</f>
        <v>0</v>
      </c>
      <c r="N10" s="11"/>
      <c r="P10" s="10"/>
      <c r="Q10" s="4">
        <f>IFERROR(VLOOKUP(P10,PartInfo!$A$2:$I114,5,FALSE), 0)</f>
        <v>0</v>
      </c>
      <c r="R10" s="4">
        <f>IFERROR(VLOOKUP(P10,PartInfo!$A$2:$I$10,4,FALSE), 0)</f>
        <v>0</v>
      </c>
      <c r="S10" s="11"/>
    </row>
    <row r="11" spans="1:19" x14ac:dyDescent="0.25">
      <c r="A11" s="10"/>
      <c r="B11" s="4">
        <f>IFERROR(VLOOKUP(A11,PartInfo!$A$2:$I115,5,FALSE), 0)</f>
        <v>0</v>
      </c>
      <c r="C11" s="4">
        <f>IFERROR(VLOOKUP(A11,PartInfo!$A$2:$I$10,4,FALSE), 0)</f>
        <v>0</v>
      </c>
      <c r="D11" s="11"/>
      <c r="F11" s="10"/>
      <c r="G11" s="4">
        <f>IFERROR(VLOOKUP(F11,PartInfo!$A$2:$I115,5,FALSE), 0)</f>
        <v>0</v>
      </c>
      <c r="H11" s="4">
        <f>IFERROR(VLOOKUP(F11,PartInfo!$A$2:$I$10,4,FALSE), 0)</f>
        <v>0</v>
      </c>
      <c r="I11" s="11"/>
      <c r="K11" s="10"/>
      <c r="L11" s="4">
        <f>IFERROR(VLOOKUP(K11,PartInfo!$A$2:$I115,5,FALSE), 0)</f>
        <v>0</v>
      </c>
      <c r="M11" s="4">
        <f>IFERROR(VLOOKUP(K11,PartInfo!$A$2:$I$10,4,FALSE), 0)</f>
        <v>0</v>
      </c>
      <c r="N11" s="11"/>
      <c r="P11" s="10"/>
      <c r="Q11" s="4">
        <f>IFERROR(VLOOKUP(P11,PartInfo!$A$2:$I115,5,FALSE), 0)</f>
        <v>0</v>
      </c>
      <c r="R11" s="4">
        <f>IFERROR(VLOOKUP(P11,PartInfo!$A$2:$I$10,4,FALSE), 0)</f>
        <v>0</v>
      </c>
      <c r="S11" s="11"/>
    </row>
    <row r="12" spans="1:19" x14ac:dyDescent="0.25">
      <c r="A12" s="10"/>
      <c r="B12" s="4">
        <f>IFERROR(VLOOKUP(A12,PartInfo!$A$2:$I116,5,FALSE), 0)</f>
        <v>0</v>
      </c>
      <c r="C12" s="4">
        <f>IFERROR(VLOOKUP(A12,PartInfo!$A$2:$I$10,4,FALSE), 0)</f>
        <v>0</v>
      </c>
      <c r="D12" s="11"/>
      <c r="F12" s="10"/>
      <c r="G12" s="4">
        <f>IFERROR(VLOOKUP(F12,PartInfo!$A$2:$I116,5,FALSE), 0)</f>
        <v>0</v>
      </c>
      <c r="H12" s="4">
        <f>IFERROR(VLOOKUP(F12,PartInfo!$A$2:$I$10,4,FALSE), 0)</f>
        <v>0</v>
      </c>
      <c r="I12" s="11"/>
      <c r="K12" s="10"/>
      <c r="L12" s="4">
        <f>IFERROR(VLOOKUP(K12,PartInfo!$A$2:$I116,5,FALSE), 0)</f>
        <v>0</v>
      </c>
      <c r="M12" s="4">
        <f>IFERROR(VLOOKUP(K12,PartInfo!$A$2:$I$10,4,FALSE), 0)</f>
        <v>0</v>
      </c>
      <c r="N12" s="11"/>
      <c r="P12" s="10"/>
      <c r="Q12" s="4">
        <f>IFERROR(VLOOKUP(P12,PartInfo!$A$2:$I116,5,FALSE), 0)</f>
        <v>0</v>
      </c>
      <c r="R12" s="4">
        <f>IFERROR(VLOOKUP(P12,PartInfo!$A$2:$I$10,4,FALSE), 0)</f>
        <v>0</v>
      </c>
      <c r="S12" s="11"/>
    </row>
    <row r="13" spans="1:19" x14ac:dyDescent="0.25">
      <c r="A13" s="10"/>
      <c r="B13" s="4">
        <f>IFERROR(VLOOKUP(A13,PartInfo!$A$2:$I117,5,FALSE), 0)</f>
        <v>0</v>
      </c>
      <c r="C13" s="4">
        <f>IFERROR(VLOOKUP(A13,PartInfo!$A$2:$I$10,4,FALSE), 0)</f>
        <v>0</v>
      </c>
      <c r="D13" s="11"/>
      <c r="F13" s="10"/>
      <c r="G13" s="4">
        <f>IFERROR(VLOOKUP(F13,PartInfo!$A$2:$I117,5,FALSE), 0)</f>
        <v>0</v>
      </c>
      <c r="H13" s="4">
        <f>IFERROR(VLOOKUP(F13,PartInfo!$A$2:$I$10,4,FALSE), 0)</f>
        <v>0</v>
      </c>
      <c r="I13" s="11"/>
      <c r="K13" s="10"/>
      <c r="L13" s="4">
        <f>IFERROR(VLOOKUP(K13,PartInfo!$A$2:$I117,5,FALSE), 0)</f>
        <v>0</v>
      </c>
      <c r="M13" s="4">
        <f>IFERROR(VLOOKUP(K13,PartInfo!$A$2:$I$10,4,FALSE), 0)</f>
        <v>0</v>
      </c>
      <c r="N13" s="11"/>
      <c r="P13" s="10"/>
      <c r="Q13" s="4">
        <f>IFERROR(VLOOKUP(P13,PartInfo!$A$2:$I117,5,FALSE), 0)</f>
        <v>0</v>
      </c>
      <c r="R13" s="4">
        <f>IFERROR(VLOOKUP(P13,PartInfo!$A$2:$I$10,4,FALSE), 0)</f>
        <v>0</v>
      </c>
      <c r="S13" s="11"/>
    </row>
    <row r="14" spans="1:19" x14ac:dyDescent="0.25">
      <c r="A14" s="10"/>
      <c r="B14" s="4">
        <f>IFERROR(VLOOKUP(A14,PartInfo!$A$2:$I118,5,FALSE), 0)</f>
        <v>0</v>
      </c>
      <c r="C14" s="4">
        <f>IFERROR(VLOOKUP(A14,PartInfo!$A$2:$I$10,4,FALSE), 0)</f>
        <v>0</v>
      </c>
      <c r="D14" s="11"/>
      <c r="F14" s="10"/>
      <c r="G14" s="4">
        <f>IFERROR(VLOOKUP(F14,PartInfo!$A$2:$I118,5,FALSE), 0)</f>
        <v>0</v>
      </c>
      <c r="H14" s="4">
        <f>IFERROR(VLOOKUP(F14,PartInfo!$A$2:$I$10,4,FALSE), 0)</f>
        <v>0</v>
      </c>
      <c r="I14" s="11"/>
      <c r="K14" s="10"/>
      <c r="L14" s="4">
        <f>IFERROR(VLOOKUP(K14,PartInfo!$A$2:$I118,5,FALSE), 0)</f>
        <v>0</v>
      </c>
      <c r="M14" s="4">
        <f>IFERROR(VLOOKUP(K14,PartInfo!$A$2:$I$10,4,FALSE), 0)</f>
        <v>0</v>
      </c>
      <c r="N14" s="11"/>
      <c r="P14" s="10"/>
      <c r="Q14" s="4">
        <f>IFERROR(VLOOKUP(P14,PartInfo!$A$2:$I118,5,FALSE), 0)</f>
        <v>0</v>
      </c>
      <c r="R14" s="4">
        <f>IFERROR(VLOOKUP(P14,PartInfo!$A$2:$I$10,4,FALSE), 0)</f>
        <v>0</v>
      </c>
      <c r="S14" s="11"/>
    </row>
    <row r="15" spans="1:19" x14ac:dyDescent="0.25">
      <c r="A15" s="10"/>
      <c r="B15" s="4">
        <f>IFERROR(VLOOKUP(A15,PartInfo!$A$2:$I119,5,FALSE), 0)</f>
        <v>0</v>
      </c>
      <c r="C15" s="4">
        <f>IFERROR(VLOOKUP(A15,PartInfo!$A$2:$I$10,4,FALSE), 0)</f>
        <v>0</v>
      </c>
      <c r="D15" s="11"/>
      <c r="F15" s="10"/>
      <c r="G15" s="4">
        <f>IFERROR(VLOOKUP(F15,PartInfo!$A$2:$I119,5,FALSE), 0)</f>
        <v>0</v>
      </c>
      <c r="H15" s="4">
        <f>IFERROR(VLOOKUP(F15,PartInfo!$A$2:$I$10,4,FALSE), 0)</f>
        <v>0</v>
      </c>
      <c r="I15" s="11"/>
      <c r="K15" s="10"/>
      <c r="L15" s="4">
        <f>IFERROR(VLOOKUP(K15,PartInfo!$A$2:$I119,5,FALSE), 0)</f>
        <v>0</v>
      </c>
      <c r="M15" s="4">
        <f>IFERROR(VLOOKUP(K15,PartInfo!$A$2:$I$10,4,FALSE), 0)</f>
        <v>0</v>
      </c>
      <c r="N15" s="11"/>
      <c r="P15" s="10"/>
      <c r="Q15" s="4">
        <f>IFERROR(VLOOKUP(P15,PartInfo!$A$2:$I119,5,FALSE), 0)</f>
        <v>0</v>
      </c>
      <c r="R15" s="4">
        <f>IFERROR(VLOOKUP(P15,PartInfo!$A$2:$I$10,4,FALSE), 0)</f>
        <v>0</v>
      </c>
      <c r="S15" s="11"/>
    </row>
    <row r="16" spans="1:19" x14ac:dyDescent="0.25">
      <c r="A16" s="10"/>
      <c r="B16" s="4">
        <f>IFERROR(VLOOKUP(A16,PartInfo!$A$2:$I120,5,FALSE), 0)</f>
        <v>0</v>
      </c>
      <c r="C16" s="4">
        <f>IFERROR(VLOOKUP(A16,PartInfo!$A$2:$I$10,4,FALSE), 0)</f>
        <v>0</v>
      </c>
      <c r="D16" s="11"/>
      <c r="F16" s="10"/>
      <c r="G16" s="4">
        <f>IFERROR(VLOOKUP(F16,PartInfo!$A$2:$I120,5,FALSE), 0)</f>
        <v>0</v>
      </c>
      <c r="H16" s="4">
        <f>IFERROR(VLOOKUP(F16,PartInfo!$A$2:$I$10,4,FALSE), 0)</f>
        <v>0</v>
      </c>
      <c r="I16" s="11"/>
      <c r="K16" s="10"/>
      <c r="L16" s="4">
        <f>IFERROR(VLOOKUP(K16,PartInfo!$A$2:$I120,5,FALSE), 0)</f>
        <v>0</v>
      </c>
      <c r="M16" s="4">
        <f>IFERROR(VLOOKUP(K16,PartInfo!$A$2:$I$10,4,FALSE), 0)</f>
        <v>0</v>
      </c>
      <c r="N16" s="11"/>
      <c r="P16" s="10"/>
      <c r="Q16" s="4">
        <f>IFERROR(VLOOKUP(P16,PartInfo!$A$2:$I120,5,FALSE), 0)</f>
        <v>0</v>
      </c>
      <c r="R16" s="4">
        <f>IFERROR(VLOOKUP(P16,PartInfo!$A$2:$I$10,4,FALSE), 0)</f>
        <v>0</v>
      </c>
      <c r="S16" s="11"/>
    </row>
    <row r="17" spans="1:19" x14ac:dyDescent="0.25">
      <c r="A17" s="10"/>
      <c r="B17" s="4">
        <f>IFERROR(VLOOKUP(A17,PartInfo!$A$2:$I121,5,FALSE), 0)</f>
        <v>0</v>
      </c>
      <c r="C17" s="4">
        <f>IFERROR(VLOOKUP(A17,PartInfo!$A$2:$I$10,4,FALSE), 0)</f>
        <v>0</v>
      </c>
      <c r="D17" s="11"/>
      <c r="F17" s="10"/>
      <c r="G17" s="4">
        <f>IFERROR(VLOOKUP(F17,PartInfo!$A$2:$I121,5,FALSE), 0)</f>
        <v>0</v>
      </c>
      <c r="H17" s="4">
        <f>IFERROR(VLOOKUP(F17,PartInfo!$A$2:$I$10,4,FALSE), 0)</f>
        <v>0</v>
      </c>
      <c r="I17" s="11"/>
      <c r="K17" s="10"/>
      <c r="L17" s="4">
        <f>IFERROR(VLOOKUP(K17,PartInfo!$A$2:$I121,5,FALSE), 0)</f>
        <v>0</v>
      </c>
      <c r="M17" s="4">
        <f>IFERROR(VLOOKUP(K17,PartInfo!$A$2:$I$10,4,FALSE), 0)</f>
        <v>0</v>
      </c>
      <c r="N17" s="11"/>
      <c r="P17" s="10"/>
      <c r="Q17" s="4">
        <f>IFERROR(VLOOKUP(P17,PartInfo!$A$2:$I121,5,FALSE), 0)</f>
        <v>0</v>
      </c>
      <c r="R17" s="4">
        <f>IFERROR(VLOOKUP(P17,PartInfo!$A$2:$I$10,4,FALSE), 0)</f>
        <v>0</v>
      </c>
      <c r="S17" s="11"/>
    </row>
    <row r="18" spans="1:19" x14ac:dyDescent="0.25">
      <c r="A18" s="10" t="s">
        <v>19</v>
      </c>
      <c r="B18" s="4">
        <v>0</v>
      </c>
      <c r="C18" s="4">
        <v>0</v>
      </c>
      <c r="D18" s="11"/>
      <c r="F18" s="10" t="s">
        <v>19</v>
      </c>
      <c r="G18" s="4">
        <f>B19</f>
        <v>14.5</v>
      </c>
      <c r="H18" s="4">
        <f>G18</f>
        <v>14.5</v>
      </c>
      <c r="I18" s="11"/>
      <c r="K18" s="10" t="s">
        <v>19</v>
      </c>
      <c r="L18" s="4">
        <f>G19</f>
        <v>28.5</v>
      </c>
      <c r="M18" s="4">
        <f>L18</f>
        <v>28.5</v>
      </c>
      <c r="N18" s="11"/>
      <c r="P18" s="10" t="s">
        <v>19</v>
      </c>
      <c r="Q18" s="4">
        <f>L19</f>
        <v>66.134</v>
      </c>
      <c r="R18" s="4">
        <f>Q18</f>
        <v>66.134</v>
      </c>
      <c r="S18" s="11"/>
    </row>
    <row r="19" spans="1:19" x14ac:dyDescent="0.25">
      <c r="A19" s="10" t="s">
        <v>17</v>
      </c>
      <c r="B19" s="4">
        <f>SUM(B3:B18)</f>
        <v>14.5</v>
      </c>
      <c r="C19" s="4">
        <f t="shared" ref="C19" si="0">SUM(C3:C18)</f>
        <v>9.3000000000000007</v>
      </c>
      <c r="D19" s="11">
        <f>LARGE(D3:D18,1)</f>
        <v>305</v>
      </c>
      <c r="F19" s="10" t="s">
        <v>17</v>
      </c>
      <c r="G19" s="4">
        <f>SUM(G3:G18)</f>
        <v>28.5</v>
      </c>
      <c r="H19" s="4">
        <f t="shared" ref="H19" si="1">SUM(H3:H18)</f>
        <v>19</v>
      </c>
      <c r="I19" s="11">
        <f>LARGE(I3:I18,1)</f>
        <v>420</v>
      </c>
      <c r="K19" s="10" t="s">
        <v>17</v>
      </c>
      <c r="L19" s="4">
        <f>SUM(L3:L18)</f>
        <v>66.134</v>
      </c>
      <c r="M19" s="4">
        <f t="shared" ref="M19" si="2">SUM(M3:M18)</f>
        <v>37.65</v>
      </c>
      <c r="N19" s="11">
        <f>LARGE(N3:N18,1)</f>
        <v>420</v>
      </c>
      <c r="P19" s="10" t="s">
        <v>17</v>
      </c>
      <c r="Q19" s="4">
        <f>SUM(Q3:Q18)</f>
        <v>321.03245350523565</v>
      </c>
      <c r="R19" s="4">
        <f t="shared" ref="R19" si="3">SUM(R3:R18)</f>
        <v>86.134</v>
      </c>
      <c r="S19" s="11">
        <f>LARGE(S3:S18,1)</f>
        <v>320</v>
      </c>
    </row>
    <row r="20" spans="1:19" ht="15.75" thickBot="1" x14ac:dyDescent="0.3">
      <c r="A20" s="12" t="s">
        <v>18</v>
      </c>
      <c r="B20" s="13">
        <f>LN(B19/C19)*D19*9.82</f>
        <v>1330.2264899805455</v>
      </c>
      <c r="C20" s="13"/>
      <c r="D20" s="14"/>
      <c r="F20" s="12" t="s">
        <v>18</v>
      </c>
      <c r="G20" s="13">
        <f>LN(G19/H19)*I19*9.82</f>
        <v>1672.3002918813131</v>
      </c>
      <c r="H20" s="13"/>
      <c r="I20" s="14"/>
      <c r="K20" s="12" t="s">
        <v>18</v>
      </c>
      <c r="L20" s="13">
        <f>LN(L19/M19)*N19*9.82</f>
        <v>2323.4808741713191</v>
      </c>
      <c r="M20" s="13"/>
      <c r="N20" s="14"/>
      <c r="P20" s="12" t="s">
        <v>18</v>
      </c>
      <c r="Q20" s="13">
        <f>LN(Q19/R19)*S19*9.82</f>
        <v>4134.2608390501609</v>
      </c>
      <c r="R20" s="13"/>
      <c r="S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selection activeCell="G18" sqref="G1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3" width="12.28515625" bestFit="1" customWidth="1"/>
    <col min="5" max="5" width="10.28515625" bestFit="1" customWidth="1"/>
    <col min="6" max="6" width="15.28515625" bestFit="1" customWidth="1"/>
    <col min="7" max="9" width="15.28515625" customWidth="1"/>
    <col min="10" max="10" width="12.140625" bestFit="1" customWidth="1"/>
    <col min="11" max="11" width="9.7109375" bestFit="1" customWidth="1"/>
  </cols>
  <sheetData>
    <row r="1" spans="1:26" x14ac:dyDescent="0.25">
      <c r="A1" s="1" t="s">
        <v>0</v>
      </c>
      <c r="B1" s="1" t="s">
        <v>14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11</v>
      </c>
      <c r="H1" s="1" t="s">
        <v>10</v>
      </c>
      <c r="I1" s="3" t="s">
        <v>7</v>
      </c>
      <c r="J1" s="3" t="s">
        <v>14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</row>
    <row r="2" spans="1:26" x14ac:dyDescent="0.25">
      <c r="A2" s="1" t="s">
        <v>8</v>
      </c>
      <c r="B2" s="1"/>
      <c r="C2" s="1">
        <v>1</v>
      </c>
      <c r="D2" s="1">
        <v>1.25</v>
      </c>
      <c r="E2" s="2">
        <f>C2+D2</f>
        <v>2.25</v>
      </c>
      <c r="F2" s="2">
        <f>IFERROR(C2/E2,0)</f>
        <v>0.44444444444444442</v>
      </c>
      <c r="G2" s="2">
        <v>220</v>
      </c>
      <c r="H2" s="1">
        <v>4200</v>
      </c>
      <c r="I2" s="1">
        <v>2000</v>
      </c>
      <c r="J2" s="4"/>
      <c r="K2" s="4"/>
    </row>
    <row r="3" spans="1:26" x14ac:dyDescent="0.25">
      <c r="A3" s="1" t="s">
        <v>1</v>
      </c>
      <c r="B3" s="1"/>
      <c r="C3" s="1">
        <v>0</v>
      </c>
      <c r="D3" s="1">
        <v>5</v>
      </c>
      <c r="E3" s="2">
        <f>C3+D3</f>
        <v>5</v>
      </c>
      <c r="F3" s="2">
        <f>IFERROR(C3/E3,0)</f>
        <v>0</v>
      </c>
      <c r="G3" s="2">
        <v>0</v>
      </c>
      <c r="H3" s="1">
        <v>18000</v>
      </c>
      <c r="I3" s="1">
        <v>6400</v>
      </c>
      <c r="J3" s="4"/>
      <c r="K3" s="4"/>
    </row>
    <row r="4" spans="1:26" x14ac:dyDescent="0.25">
      <c r="A4" s="1" t="s">
        <v>2</v>
      </c>
      <c r="B4" s="1">
        <v>21</v>
      </c>
      <c r="C4" s="1">
        <v>4.2</v>
      </c>
      <c r="D4" s="1">
        <v>3.05</v>
      </c>
      <c r="E4" s="2">
        <f t="shared" ref="E4:E28" si="0">C4+D4</f>
        <v>7.25</v>
      </c>
      <c r="F4" s="2">
        <f t="shared" ref="F4:F28" si="1">IFERROR(C4/E4,0)</f>
        <v>0.57931034482758625</v>
      </c>
      <c r="G4" s="2">
        <v>305</v>
      </c>
      <c r="H4" s="1">
        <v>24000</v>
      </c>
      <c r="I4" s="1">
        <v>8600</v>
      </c>
      <c r="J4" s="4">
        <v>21</v>
      </c>
      <c r="K4" s="4"/>
    </row>
    <row r="5" spans="1:26" x14ac:dyDescent="0.25">
      <c r="A5" s="1" t="s">
        <v>9</v>
      </c>
      <c r="B5" s="1">
        <v>35</v>
      </c>
      <c r="C5" s="1">
        <v>9.5</v>
      </c>
      <c r="D5" s="1">
        <v>4.5</v>
      </c>
      <c r="E5" s="2">
        <f t="shared" si="0"/>
        <v>14</v>
      </c>
      <c r="F5" s="2">
        <f t="shared" si="1"/>
        <v>0.6785714285714286</v>
      </c>
      <c r="G5" s="2">
        <v>420</v>
      </c>
      <c r="H5" s="1">
        <v>3000</v>
      </c>
      <c r="I5" s="1">
        <v>1200</v>
      </c>
      <c r="J5">
        <v>35</v>
      </c>
      <c r="K5" s="4">
        <f>J5*0.8</f>
        <v>28</v>
      </c>
      <c r="L5">
        <f>J5*0.2</f>
        <v>7</v>
      </c>
      <c r="M5">
        <f>K5*0.0708</f>
        <v>1.9824000000000002</v>
      </c>
      <c r="N5">
        <f>L5*1.141</f>
        <v>7.9870000000000001</v>
      </c>
      <c r="O5">
        <f>N5+M5</f>
        <v>9.9694000000000003</v>
      </c>
      <c r="P5">
        <f>N5/M5</f>
        <v>4.0289548022598867</v>
      </c>
    </row>
    <row r="6" spans="1:26" x14ac:dyDescent="0.25">
      <c r="A6" s="1" t="s">
        <v>13</v>
      </c>
      <c r="B6" s="1">
        <v>101</v>
      </c>
      <c r="C6" s="1">
        <v>28.484000000000002</v>
      </c>
      <c r="D6" s="1">
        <v>9.15</v>
      </c>
      <c r="E6" s="2">
        <f t="shared" si="0"/>
        <v>37.634</v>
      </c>
      <c r="F6" s="2">
        <f t="shared" si="1"/>
        <v>0.75686878886113629</v>
      </c>
      <c r="G6" s="2">
        <v>420</v>
      </c>
      <c r="H6" s="1">
        <v>5000</v>
      </c>
      <c r="I6" s="1">
        <v>1800</v>
      </c>
      <c r="J6">
        <v>101</v>
      </c>
      <c r="K6" s="4">
        <v>80</v>
      </c>
      <c r="L6" s="6">
        <v>20</v>
      </c>
      <c r="M6">
        <f>K6*0.0708</f>
        <v>5.6639999999999997</v>
      </c>
      <c r="N6">
        <f>L6*1.141</f>
        <v>22.82</v>
      </c>
      <c r="O6">
        <f>N6+M6</f>
        <v>28.484000000000002</v>
      </c>
      <c r="P6">
        <f>N6/M6</f>
        <v>4.0289548022598876</v>
      </c>
    </row>
    <row r="7" spans="1:26" x14ac:dyDescent="0.25">
      <c r="A7" s="1" t="s">
        <v>20</v>
      </c>
      <c r="B7" s="1"/>
      <c r="C7" s="1"/>
      <c r="D7" s="1">
        <v>12</v>
      </c>
      <c r="E7" s="2">
        <v>12</v>
      </c>
      <c r="F7" s="2">
        <f t="shared" si="1"/>
        <v>0</v>
      </c>
      <c r="G7" s="2"/>
      <c r="H7" s="1"/>
      <c r="I7" s="1"/>
      <c r="J7" s="4"/>
      <c r="K7" s="4"/>
      <c r="M7">
        <f t="shared" ref="M7:M8" si="2">K7*0.0708</f>
        <v>0</v>
      </c>
      <c r="N7">
        <f t="shared" ref="N7:N8" si="3">L7*1.141</f>
        <v>0</v>
      </c>
      <c r="O7">
        <f t="shared" ref="O7:O8" si="4">N7+M7</f>
        <v>0</v>
      </c>
      <c r="Q7" t="s">
        <v>27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</row>
    <row r="8" spans="1:26" x14ac:dyDescent="0.25">
      <c r="A8" s="1" t="s">
        <v>26</v>
      </c>
      <c r="B8" s="1">
        <v>892</v>
      </c>
      <c r="C8" s="1">
        <f>O8</f>
        <v>234.89845350523564</v>
      </c>
      <c r="D8" s="1">
        <v>20</v>
      </c>
      <c r="E8" s="2">
        <f t="shared" si="0"/>
        <v>254.89845350523564</v>
      </c>
      <c r="F8" s="2">
        <f t="shared" si="1"/>
        <v>0.92153738194575119</v>
      </c>
      <c r="G8" s="2"/>
      <c r="H8" s="1"/>
      <c r="I8" s="1"/>
      <c r="J8" s="4">
        <f>Z8</f>
        <v>824.66807156732068</v>
      </c>
      <c r="K8" s="4">
        <f>J8/5*4</f>
        <v>659.73445725385659</v>
      </c>
      <c r="L8">
        <f>J8/5</f>
        <v>164.93361431346415</v>
      </c>
      <c r="M8">
        <f t="shared" si="2"/>
        <v>46.709199573573045</v>
      </c>
      <c r="N8">
        <f t="shared" si="3"/>
        <v>188.18925393166259</v>
      </c>
      <c r="O8">
        <f t="shared" si="4"/>
        <v>234.89845350523564</v>
      </c>
      <c r="Q8">
        <v>212</v>
      </c>
      <c r="R8">
        <v>27.5</v>
      </c>
      <c r="S8">
        <f>212*0.3048</f>
        <v>64.61760000000001</v>
      </c>
      <c r="T8">
        <f>R8*0.3048</f>
        <v>8.3819999999999997</v>
      </c>
      <c r="U8">
        <f>S8*0.64</f>
        <v>41.355264000000005</v>
      </c>
      <c r="V8">
        <f>T8*0.64</f>
        <v>5.3644799999999995</v>
      </c>
      <c r="W8">
        <v>42</v>
      </c>
      <c r="X8">
        <v>5</v>
      </c>
      <c r="Y8">
        <f>X8/2</f>
        <v>2.5</v>
      </c>
      <c r="Z8">
        <f>PI()*(Y8*Y8)*W8</f>
        <v>824.66807156732068</v>
      </c>
    </row>
    <row r="9" spans="1:26" x14ac:dyDescent="0.25">
      <c r="A9" s="1"/>
      <c r="B9" s="1"/>
      <c r="C9" s="1">
        <v>0</v>
      </c>
      <c r="D9" s="1"/>
      <c r="E9" s="2">
        <f t="shared" si="0"/>
        <v>0</v>
      </c>
      <c r="F9" s="2">
        <f t="shared" si="1"/>
        <v>0</v>
      </c>
      <c r="G9" s="2"/>
      <c r="H9" s="1"/>
      <c r="I9" s="1"/>
      <c r="J9" s="4"/>
      <c r="K9" s="4"/>
    </row>
    <row r="10" spans="1:26" x14ac:dyDescent="0.25">
      <c r="A10" s="1"/>
      <c r="B10" s="1"/>
      <c r="C10" s="1">
        <v>0</v>
      </c>
      <c r="D10" s="1">
        <v>0</v>
      </c>
      <c r="E10" s="2">
        <f t="shared" si="0"/>
        <v>0</v>
      </c>
      <c r="F10" s="2">
        <f t="shared" si="1"/>
        <v>0</v>
      </c>
      <c r="G10" s="2"/>
      <c r="H10" s="1"/>
      <c r="I10" s="1"/>
      <c r="J10" s="4"/>
      <c r="K10" s="4"/>
    </row>
    <row r="11" spans="1:26" x14ac:dyDescent="0.25">
      <c r="A11" s="1"/>
      <c r="B11" s="1"/>
      <c r="C11" s="1">
        <v>0</v>
      </c>
      <c r="D11" s="1">
        <v>0</v>
      </c>
      <c r="E11" s="2">
        <f t="shared" si="0"/>
        <v>0</v>
      </c>
      <c r="F11" s="2">
        <f t="shared" si="1"/>
        <v>0</v>
      </c>
      <c r="G11" s="2"/>
      <c r="H11" s="1"/>
      <c r="I11" s="1"/>
      <c r="J11" s="4"/>
      <c r="K11" s="4"/>
    </row>
    <row r="12" spans="1:26" x14ac:dyDescent="0.25">
      <c r="A12" s="1"/>
      <c r="B12" s="1"/>
      <c r="C12" s="1">
        <v>0</v>
      </c>
      <c r="D12" s="1">
        <v>0</v>
      </c>
      <c r="E12" s="2">
        <f t="shared" si="0"/>
        <v>0</v>
      </c>
      <c r="F12" s="2">
        <f t="shared" si="1"/>
        <v>0</v>
      </c>
      <c r="G12" s="2"/>
      <c r="H12" s="1"/>
      <c r="I12" s="1"/>
      <c r="J12" s="4"/>
      <c r="K12" s="4"/>
    </row>
    <row r="13" spans="1:26" x14ac:dyDescent="0.25">
      <c r="A13" s="1"/>
      <c r="B13" s="1"/>
      <c r="C13" s="1">
        <v>0</v>
      </c>
      <c r="D13" s="1">
        <v>0</v>
      </c>
      <c r="E13" s="2">
        <f t="shared" si="0"/>
        <v>0</v>
      </c>
      <c r="F13" s="2">
        <f t="shared" si="1"/>
        <v>0</v>
      </c>
      <c r="G13" s="2"/>
      <c r="H13" s="1"/>
      <c r="I13" s="1"/>
      <c r="J13" s="4"/>
      <c r="K13" s="4"/>
    </row>
    <row r="14" spans="1:26" x14ac:dyDescent="0.25">
      <c r="A14" s="1"/>
      <c r="B14" s="1"/>
      <c r="C14" s="1">
        <v>0</v>
      </c>
      <c r="D14" s="1">
        <v>0</v>
      </c>
      <c r="E14" s="2">
        <f t="shared" si="0"/>
        <v>0</v>
      </c>
      <c r="F14" s="2">
        <f t="shared" si="1"/>
        <v>0</v>
      </c>
      <c r="G14" s="2"/>
      <c r="H14" s="1"/>
      <c r="I14" s="1"/>
      <c r="J14" s="4"/>
      <c r="K14" s="4"/>
    </row>
    <row r="15" spans="1:26" x14ac:dyDescent="0.25">
      <c r="A15" s="1"/>
      <c r="B15" s="1"/>
      <c r="C15" s="1">
        <v>0</v>
      </c>
      <c r="D15" s="1">
        <v>0</v>
      </c>
      <c r="E15" s="2">
        <f t="shared" si="0"/>
        <v>0</v>
      </c>
      <c r="F15" s="2">
        <f t="shared" si="1"/>
        <v>0</v>
      </c>
      <c r="G15" s="2"/>
      <c r="H15" s="1"/>
      <c r="I15" s="1"/>
      <c r="J15" s="4"/>
      <c r="K15" s="4"/>
    </row>
    <row r="16" spans="1:26" x14ac:dyDescent="0.25">
      <c r="A16" s="1"/>
      <c r="B16" s="1"/>
      <c r="C16" s="1">
        <v>0</v>
      </c>
      <c r="D16" s="1">
        <v>0</v>
      </c>
      <c r="E16" s="2">
        <f t="shared" si="0"/>
        <v>0</v>
      </c>
      <c r="F16" s="2">
        <f t="shared" si="1"/>
        <v>0</v>
      </c>
      <c r="G16" s="2"/>
      <c r="H16" s="1"/>
      <c r="I16" s="1"/>
      <c r="J16" s="4"/>
      <c r="K16" s="4"/>
    </row>
    <row r="17" spans="1:12" x14ac:dyDescent="0.25">
      <c r="A17" s="1"/>
      <c r="B17" s="1"/>
      <c r="C17" s="1">
        <v>0</v>
      </c>
      <c r="D17" s="1">
        <v>0</v>
      </c>
      <c r="E17" s="2">
        <f t="shared" si="0"/>
        <v>0</v>
      </c>
      <c r="F17" s="2">
        <f t="shared" si="1"/>
        <v>0</v>
      </c>
      <c r="G17" s="2"/>
      <c r="H17" s="1"/>
      <c r="I17" s="1"/>
      <c r="J17" s="4"/>
      <c r="K17" s="4"/>
    </row>
    <row r="18" spans="1:12" x14ac:dyDescent="0.25">
      <c r="A18" s="1"/>
      <c r="B18" s="1"/>
      <c r="C18" s="1">
        <v>0</v>
      </c>
      <c r="D18" s="1">
        <v>0</v>
      </c>
      <c r="E18" s="2">
        <f t="shared" si="0"/>
        <v>0</v>
      </c>
      <c r="F18" s="2">
        <f t="shared" si="1"/>
        <v>0</v>
      </c>
      <c r="G18" s="2"/>
      <c r="H18" s="1"/>
      <c r="I18" s="1"/>
      <c r="J18" s="4"/>
      <c r="K18" s="4"/>
    </row>
    <row r="19" spans="1:12" x14ac:dyDescent="0.25">
      <c r="A19" s="1"/>
      <c r="B19" s="1"/>
      <c r="C19" s="1">
        <v>0</v>
      </c>
      <c r="D19" s="1">
        <v>0</v>
      </c>
      <c r="E19" s="2">
        <f t="shared" si="0"/>
        <v>0</v>
      </c>
      <c r="F19" s="2">
        <f t="shared" si="1"/>
        <v>0</v>
      </c>
      <c r="G19" s="2"/>
      <c r="H19" s="1"/>
      <c r="I19" s="1"/>
      <c r="J19" s="4"/>
      <c r="K19" s="4"/>
    </row>
    <row r="20" spans="1:12" x14ac:dyDescent="0.25">
      <c r="A20" s="1"/>
      <c r="B20" s="1"/>
      <c r="C20" s="1">
        <v>0</v>
      </c>
      <c r="D20" s="1">
        <v>0</v>
      </c>
      <c r="E20" s="2">
        <f t="shared" si="0"/>
        <v>0</v>
      </c>
      <c r="F20" s="2">
        <f t="shared" si="1"/>
        <v>0</v>
      </c>
      <c r="G20" s="2"/>
      <c r="H20" s="1"/>
      <c r="I20" s="1"/>
      <c r="J20" s="4"/>
      <c r="K20" s="4"/>
    </row>
    <row r="21" spans="1:12" x14ac:dyDescent="0.25">
      <c r="A21" s="1"/>
      <c r="B21" s="1"/>
      <c r="C21" s="1">
        <v>0</v>
      </c>
      <c r="D21" s="1">
        <v>0</v>
      </c>
      <c r="E21" s="2">
        <f t="shared" si="0"/>
        <v>0</v>
      </c>
      <c r="F21" s="2">
        <f t="shared" si="1"/>
        <v>0</v>
      </c>
      <c r="G21" s="2"/>
      <c r="H21" s="1"/>
      <c r="I21" s="1"/>
      <c r="J21" s="4"/>
      <c r="K21" s="4"/>
    </row>
    <row r="22" spans="1:12" x14ac:dyDescent="0.25">
      <c r="A22" s="1"/>
      <c r="B22" s="1"/>
      <c r="C22" s="1">
        <v>0</v>
      </c>
      <c r="D22" s="1">
        <v>0</v>
      </c>
      <c r="E22" s="2">
        <f t="shared" si="0"/>
        <v>0</v>
      </c>
      <c r="F22" s="2">
        <f t="shared" si="1"/>
        <v>0</v>
      </c>
      <c r="G22" s="2"/>
      <c r="H22" s="1"/>
      <c r="I22" s="1"/>
      <c r="J22" s="4"/>
      <c r="K22" s="4"/>
    </row>
    <row r="23" spans="1:12" x14ac:dyDescent="0.25">
      <c r="A23" s="1"/>
      <c r="B23" s="1"/>
      <c r="C23" s="1">
        <v>0</v>
      </c>
      <c r="D23" s="1">
        <v>0</v>
      </c>
      <c r="E23" s="2">
        <f t="shared" si="0"/>
        <v>0</v>
      </c>
      <c r="F23" s="2">
        <f t="shared" si="1"/>
        <v>0</v>
      </c>
      <c r="G23" s="2"/>
      <c r="H23" s="1"/>
      <c r="I23" s="1"/>
      <c r="J23" s="4"/>
      <c r="K23" s="4"/>
    </row>
    <row r="24" spans="1:12" x14ac:dyDescent="0.25">
      <c r="A24" s="1"/>
      <c r="B24" s="1"/>
      <c r="C24" s="1">
        <v>0</v>
      </c>
      <c r="D24" s="1">
        <v>0</v>
      </c>
      <c r="E24" s="2">
        <f t="shared" si="0"/>
        <v>0</v>
      </c>
      <c r="F24" s="2">
        <f t="shared" si="1"/>
        <v>0</v>
      </c>
      <c r="G24" s="2"/>
      <c r="H24" s="1"/>
      <c r="I24" s="1"/>
      <c r="J24" s="4"/>
      <c r="K24" s="4"/>
    </row>
    <row r="25" spans="1:12" x14ac:dyDescent="0.25">
      <c r="A25" s="1"/>
      <c r="B25" s="1"/>
      <c r="C25" s="1">
        <v>0</v>
      </c>
      <c r="D25" s="1">
        <v>0</v>
      </c>
      <c r="E25" s="2">
        <f t="shared" si="0"/>
        <v>0</v>
      </c>
      <c r="F25" s="2">
        <f t="shared" si="1"/>
        <v>0</v>
      </c>
      <c r="G25" s="2"/>
      <c r="H25" s="1"/>
      <c r="I25" s="1"/>
      <c r="J25" s="4"/>
      <c r="K25" s="4"/>
    </row>
    <row r="26" spans="1:12" x14ac:dyDescent="0.25">
      <c r="A26" s="1"/>
      <c r="B26" s="1"/>
      <c r="C26" s="1">
        <v>0</v>
      </c>
      <c r="D26" s="1">
        <v>0</v>
      </c>
      <c r="E26" s="2">
        <f t="shared" si="0"/>
        <v>0</v>
      </c>
      <c r="F26" s="2">
        <f t="shared" si="1"/>
        <v>0</v>
      </c>
      <c r="G26" s="2"/>
      <c r="H26" s="1"/>
      <c r="I26" s="1"/>
      <c r="J26" s="4"/>
      <c r="K26" s="4"/>
    </row>
    <row r="27" spans="1:12" x14ac:dyDescent="0.25">
      <c r="A27" s="1"/>
      <c r="B27" s="1"/>
      <c r="C27" s="1">
        <v>0</v>
      </c>
      <c r="D27" s="1">
        <v>0</v>
      </c>
      <c r="E27" s="2">
        <f t="shared" si="0"/>
        <v>0</v>
      </c>
      <c r="F27" s="2">
        <f t="shared" si="1"/>
        <v>0</v>
      </c>
      <c r="G27" s="2"/>
      <c r="H27" s="1"/>
      <c r="I27" s="1"/>
      <c r="J27" s="4"/>
      <c r="K27" s="4"/>
    </row>
    <row r="28" spans="1:12" x14ac:dyDescent="0.25">
      <c r="A28" s="1"/>
      <c r="B28" s="1"/>
      <c r="C28" s="1">
        <v>0</v>
      </c>
      <c r="D28" s="1">
        <v>0</v>
      </c>
      <c r="E28" s="2">
        <f t="shared" si="0"/>
        <v>0</v>
      </c>
      <c r="F28" s="2">
        <f t="shared" si="1"/>
        <v>0</v>
      </c>
      <c r="G28" s="2"/>
      <c r="H28" s="1"/>
      <c r="I28" s="1"/>
      <c r="J28" s="4"/>
      <c r="K28" s="4"/>
    </row>
    <row r="30" spans="1:12" x14ac:dyDescent="0.25">
      <c r="J30" s="5"/>
      <c r="K30" s="5"/>
      <c r="L30" s="5"/>
    </row>
    <row r="31" spans="1:12" x14ac:dyDescent="0.25">
      <c r="J31" s="5"/>
      <c r="K31" s="5"/>
      <c r="L31" s="5"/>
    </row>
    <row r="32" spans="1:12" x14ac:dyDescent="0.25">
      <c r="J32" s="5"/>
      <c r="K32" s="5"/>
      <c r="L32" s="5"/>
    </row>
    <row r="33" spans="8:12" x14ac:dyDescent="0.25">
      <c r="J33" s="5"/>
      <c r="K33" s="5"/>
      <c r="L33" s="5"/>
    </row>
    <row r="34" spans="8:12" x14ac:dyDescent="0.25">
      <c r="J34" s="5"/>
      <c r="K34" s="5"/>
      <c r="L34" s="5"/>
    </row>
    <row r="35" spans="8:12" x14ac:dyDescent="0.25">
      <c r="J35" s="5"/>
      <c r="K35" s="5"/>
      <c r="L35" s="5"/>
    </row>
    <row r="36" spans="8:12" x14ac:dyDescent="0.25">
      <c r="J36" s="5"/>
      <c r="K36" s="5"/>
      <c r="L36" s="5"/>
    </row>
    <row r="37" spans="8:12" x14ac:dyDescent="0.25">
      <c r="H37">
        <v>400</v>
      </c>
      <c r="I37" t="s">
        <v>12</v>
      </c>
      <c r="J37" s="5"/>
      <c r="K37" s="5"/>
      <c r="L37" s="5"/>
    </row>
  </sheetData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3" sqref="A3"/>
    </sheetView>
  </sheetViews>
  <sheetFormatPr defaultRowHeight="15" x14ac:dyDescent="0.25"/>
  <cols>
    <col min="3" max="3" width="10" bestFit="1" customWidth="1"/>
  </cols>
  <sheetData>
    <row r="1" spans="1:6" x14ac:dyDescent="0.25">
      <c r="A1" t="s">
        <v>33</v>
      </c>
      <c r="B1" t="s">
        <v>36</v>
      </c>
      <c r="C1" t="s">
        <v>37</v>
      </c>
      <c r="D1" t="s">
        <v>38</v>
      </c>
      <c r="E1" t="s">
        <v>34</v>
      </c>
      <c r="F1" t="s">
        <v>35</v>
      </c>
    </row>
    <row r="2" spans="1:6" x14ac:dyDescent="0.25">
      <c r="A2">
        <v>28.5</v>
      </c>
      <c r="B2">
        <v>5.0000000000000001E-3</v>
      </c>
      <c r="C2">
        <f>A2/B2</f>
        <v>5700</v>
      </c>
      <c r="D2">
        <f>ROUNDUP(C2/20,0)</f>
        <v>285</v>
      </c>
      <c r="E2">
        <f>9*D2</f>
        <v>2565</v>
      </c>
      <c r="F2">
        <f>D2*11</f>
        <v>3135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dv-calc</vt:lpstr>
      <vt:lpstr>PartInfo</vt:lpstr>
      <vt:lpstr>FUEL_CALC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2015-08-19T19:08:15Z</dcterms:modified>
</cp:coreProperties>
</file>